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drawings/drawing28.xml" ContentType="application/vnd.openxmlformats-officedocument.drawingml.chartshapes+xml"/>
  <Override PartName="/xl/drawings/drawing29.xml" ContentType="application/vnd.openxmlformats-officedocument.drawingml.chartshap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harts/chart1.xml" ContentType="application/vnd.openxmlformats-officedocument.drawingml.chart+xml"/>
  <Override PartName="/xl/drawings/drawing10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19.xml" ContentType="application/vnd.openxmlformats-officedocument.drawing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drawings/drawing20.xml" ContentType="application/vnd.openxmlformats-officedocument.drawing+xml"/>
  <Override PartName="/xl/charts/chart28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9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0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31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1.xml" ContentType="application/vnd.openxmlformats-officedocument.drawing+xml"/>
  <Override PartName="/xl/charts/chart32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27.xml" ContentType="application/vnd.openxmlformats-officedocument.drawing+xml"/>
  <Override PartName="/xl/drawings/drawing22.xml" ContentType="application/vnd.openxmlformats-officedocument.drawing+xml"/>
  <Override PartName="/xl/charts/chart33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34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35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drawings/drawing25.xml" ContentType="application/vnd.openxmlformats-officedocument.drawing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drawings/drawing26.xml" ContentType="application/vnd.openxmlformats-officedocument.drawing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vbaProject.bin" ContentType="application/vnd.ms-office.vbaProject"/>
  <Override PartName="/xl/externalLinks/externalLink1.xml" ContentType="application/vnd.openxmlformats-officedocument.spreadsheetml.externalLink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731" codeName="{C026B480-071E-DA80-A48C-D3F380F32C35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M:\IE\Projects\Nuffield via NFER AI and automation\Data\Results\Workbooks\NE\"/>
    </mc:Choice>
  </mc:AlternateContent>
  <xr:revisionPtr revIDLastSave="0" documentId="13_ncr:1_{05FAD54A-E330-4EFA-837B-804C0130CD68}" xr6:coauthVersionLast="47" xr6:coauthVersionMax="47" xr10:uidLastSave="{00000000-0000-0000-0000-000000000000}"/>
  <bookViews>
    <workbookView xWindow="0" yWindow="0" windowWidth="10350" windowHeight="6390" tabRatio="880" firstSheet="1" activeTab="1" xr2:uid="{00000000-000D-0000-FFFF-FFFF00000000}"/>
  </bookViews>
  <sheets>
    <sheet name="Stored" sheetId="8" state="hidden" r:id="rId1"/>
    <sheet name="Warning" sheetId="100" r:id="rId2"/>
    <sheet name="Info" sheetId="50" r:id="rId3"/>
    <sheet name="Manager" sheetId="13" r:id="rId4"/>
    <sheet name="Contents" sheetId="99" r:id="rId5"/>
    <sheet name="Ind T1" sheetId="11" r:id="rId6"/>
    <sheet name="Ind T2" sheetId="12" r:id="rId7"/>
    <sheet name="Ind T3" sheetId="97" r:id="rId8"/>
    <sheet name="Ind T4" sheetId="15" r:id="rId9"/>
    <sheet name="Ind T5" sheetId="104" r:id="rId10"/>
    <sheet name="Ind T6" sheetId="102" r:id="rId11"/>
    <sheet name="Ind F1" sheetId="19" r:id="rId12"/>
    <sheet name="Ind F2" sheetId="21" r:id="rId13"/>
    <sheet name="Ind Occ T1" sheetId="101" r:id="rId14"/>
    <sheet name="Ind Occ T2" sheetId="103" r:id="rId15"/>
    <sheet name="Occ T1" sheetId="16" r:id="rId16"/>
    <sheet name="Occ T2" sheetId="71" r:id="rId17"/>
    <sheet name="Occ T3" sheetId="18" r:id="rId18"/>
    <sheet name="Occ T4" sheetId="105" r:id="rId19"/>
    <sheet name="Occ T5" sheetId="109" r:id="rId20"/>
    <sheet name="Occ F1" sheetId="75" r:id="rId21"/>
    <sheet name="Occ F2" sheetId="76" r:id="rId22"/>
    <sheet name="Occ F3" sheetId="106" r:id="rId23"/>
    <sheet name="Occ F4" sheetId="107" r:id="rId24"/>
    <sheet name="Occ F5" sheetId="108" r:id="rId25"/>
    <sheet name="Qual T1" sheetId="44" r:id="rId26"/>
    <sheet name="Qual F1" sheetId="51" r:id="rId27"/>
    <sheet name="SummaryTable12" sheetId="62" state="veryHidden" r:id="rId28"/>
    <sheet name="ShiftShare T1" sheetId="80" r:id="rId29"/>
    <sheet name="RD T1" sheetId="49" r:id="rId30"/>
    <sheet name="RD F1" sheetId="31" r:id="rId31"/>
    <sheet name="Basic T1" sheetId="52" r:id="rId32"/>
    <sheet name="Basic T2" sheetId="78" r:id="rId33"/>
    <sheet name="Basic T3" sheetId="79" r:id="rId34"/>
    <sheet name="BasicTable5" sheetId="60" state="veryHidden" r:id="rId35"/>
    <sheet name="ShiftShare2" sheetId="83" state="veryHidden" r:id="rId36"/>
    <sheet name="SupplyBasicTable2" sheetId="93" state="veryHidden" r:id="rId37"/>
    <sheet name="name" sheetId="2" r:id="rId38"/>
    <sheet name="aggregation" sheetId="5" r:id="rId39"/>
    <sheet name="AggregationTables" sheetId="46" r:id="rId40"/>
  </sheets>
  <externalReferences>
    <externalReference r:id="rId41"/>
  </externalReferences>
  <definedNames>
    <definedName name="_Fill" localSheetId="34">#REF!</definedName>
    <definedName name="_Fill" localSheetId="14" hidden="1">#REF!</definedName>
    <definedName name="_Fill" localSheetId="35">#REF!</definedName>
    <definedName name="_Fill" localSheetId="27">#REF!</definedName>
    <definedName name="chart22" localSheetId="35">'[1]Chapter 2 - Charts'!$D$71:$N$108</definedName>
    <definedName name="chart31" localSheetId="35">'[1]Chapter 3 - Charts'!$D$27:$O$60</definedName>
    <definedName name="chart32" localSheetId="35">'[1]Chapter 3 - Charts'!$D$74:$O$106</definedName>
    <definedName name="chart33" localSheetId="35">'[1]Chapter 3 - Charts'!$D$117:$Z$153</definedName>
    <definedName name="chart34" localSheetId="35">'[1]Chapter 3 - Charts'!$D$598:$Y$629</definedName>
    <definedName name="Chart42" localSheetId="35">'[1]Chapter 4 - Charts'!$D$25:$N$62</definedName>
    <definedName name="Chart43" localSheetId="35">'[1]Chapter 4 - Charts'!$D$71:$N$108</definedName>
    <definedName name="Chart43_b" localSheetId="35">'[1]Chapter 4 - Charts'!$D$216:$N$260</definedName>
    <definedName name="Chart44" localSheetId="35">'[1]Chapter 4 - Charts'!$D$118:$N$155</definedName>
    <definedName name="Chart44_b" localSheetId="35">'[1]Chapter 4 - Charts'!$D$165:$N$209</definedName>
    <definedName name="Chart44_b_a" localSheetId="35">'[1]Chapter 4 - Charts'!$D$267:$N$311</definedName>
    <definedName name="Chart51" localSheetId="35">'[1]Chapter 5 - Charts'!$D$25:$N$62</definedName>
    <definedName name="Chart52" localSheetId="35">'[1]Chapter 5 - Charts'!$D$71:$N$108</definedName>
    <definedName name="Chart52_b" localSheetId="35">'[1]Chapter 5 - Charts'!$D$118:$N$153</definedName>
    <definedName name="Chart53" localSheetId="35">'[1]Chapter 5 - Charts'!$D$530:$N$567</definedName>
    <definedName name="Chart71" localSheetId="35">'[1]Chapter 7 - Charts'!$D$25:$N$60</definedName>
    <definedName name="Chart710" localSheetId="35">'[1]Chapter 7 - Charts'!$D$843:$N$878</definedName>
    <definedName name="Chart710_b" localSheetId="35">'[1]Chapter 7 - Charts'!$D$886:$N$921</definedName>
    <definedName name="Chart711" localSheetId="35">'[1]Chapter 7 - Charts'!$D$931:$N$966</definedName>
    <definedName name="Chart711_b" localSheetId="35">'[1]Chapter 7 - Charts'!$D$976:$N$1011</definedName>
    <definedName name="Chart712" localSheetId="35">'[1]Chapter 7 - Charts'!$D$1021:$N$1056</definedName>
    <definedName name="Chart712_b" localSheetId="35">'[1]Chapter 7 - Charts'!$D$1065:$N$1100</definedName>
    <definedName name="Chart712_c" localSheetId="35">'[1]Chapter 7 - Charts'!$D$1110:$N$1145</definedName>
    <definedName name="Chart72" localSheetId="35">'[1]Chapter 7 - Charts'!$D$67:$N$102</definedName>
    <definedName name="Chart75" localSheetId="35">'[1]Chapter 7 - Charts'!$D$454:$N$489</definedName>
    <definedName name="Chart76" localSheetId="35">'[1]Chapter 7 - Charts'!$D$366:$N$401</definedName>
    <definedName name="Chart76_b" localSheetId="35">'[1]Chapter 7 - Charts'!$D$499:$N$534</definedName>
    <definedName name="Chart77" localSheetId="35">'[1]Chapter 7 - Charts'!$D$410:$N$445</definedName>
    <definedName name="Chart77_b" localSheetId="35">'[1]Chapter 7 - Charts'!$D$543:$N$578</definedName>
    <definedName name="colourboard" localSheetId="35">[1]Contents!$I$6:$M$30</definedName>
    <definedName name="_xlnm.Print_Area" localSheetId="31">'Basic T1'!$A$1:$AN$101</definedName>
    <definedName name="_xlnm.Print_Area" localSheetId="32">'Basic T2'!$A$1:$CT$146</definedName>
    <definedName name="_xlnm.Print_Area" localSheetId="33">'Basic T3'!$A$1:$AG$35</definedName>
    <definedName name="_xlnm.Print_Area" localSheetId="34">BasicTable5!$1:$96</definedName>
    <definedName name="_xlnm.Print_Area" localSheetId="11">'Ind F1'!$A:$J</definedName>
    <definedName name="_xlnm.Print_Area" localSheetId="12">'Ind F2'!$A:$J</definedName>
    <definedName name="_xlnm.Print_Area" localSheetId="13">'Ind Occ T1'!$A$1:$L$1294</definedName>
    <definedName name="_xlnm.Print_Area" localSheetId="14">'Ind Occ T2'!$A$1:$O$1294</definedName>
    <definedName name="_xlnm.Print_Area" localSheetId="5">'Ind T1'!$A$1:$S$52</definedName>
    <definedName name="_xlnm.Print_Area" localSheetId="6">'Ind T2'!$A$1:$G$113</definedName>
    <definedName name="_xlnm.Print_Area" localSheetId="7">'Ind T3'!$A$1:$F$333</definedName>
    <definedName name="_xlnm.Print_Area" localSheetId="8">'Ind T4'!$A$1:$L$122</definedName>
    <definedName name="_xlnm.Print_Area" localSheetId="9">'Ind T5'!$A$1:$N$508</definedName>
    <definedName name="_xlnm.Print_Area" localSheetId="10">'Ind T6'!$A$1:$Y$566</definedName>
    <definedName name="_xlnm.Print_Area" localSheetId="3">Manager!$A$1:$O$18</definedName>
    <definedName name="_xlnm.Print_Area" localSheetId="20">'Occ F1'!$A$1:$J$185</definedName>
    <definedName name="_xlnm.Print_Area" localSheetId="21">'Occ F2'!$A:$J</definedName>
    <definedName name="_xlnm.Print_Area" localSheetId="22">'Occ F3'!$A$1:$S$29</definedName>
    <definedName name="_xlnm.Print_Area" localSheetId="23">'Occ F4'!$A$1:$J$38</definedName>
    <definedName name="_xlnm.Print_Area" localSheetId="24">'Occ F5'!$A$1:$J$116</definedName>
    <definedName name="_xlnm.Print_Area" localSheetId="15">'Occ T1'!$A$1:$AF$90</definedName>
    <definedName name="_xlnm.Print_Area" localSheetId="16">'Occ T2'!$A$1:$AF$180</definedName>
    <definedName name="_xlnm.Print_Area" localSheetId="17">'Occ T3'!$A$1:$L$103</definedName>
    <definedName name="_xlnm.Print_Area" localSheetId="18">'Occ T4'!$A$1:$U$38</definedName>
    <definedName name="_xlnm.Print_Area" localSheetId="19">'Occ T5'!$A$1:$AU$54</definedName>
    <definedName name="_xlnm.Print_Area" localSheetId="26">'Qual F1'!$A:$J</definedName>
    <definedName name="_xlnm.Print_Area" localSheetId="25">'Qual T1'!$A$1:$F$57</definedName>
    <definedName name="_xlnm.Print_Area" localSheetId="30">'RD F1'!$A:$N</definedName>
    <definedName name="_xlnm.Print_Area" localSheetId="29">'RD T1'!$A$1:$G$294,'RD T1'!$I$1:$N$117,'RD T1'!$P$1:$V$62,'RD T1'!$X$1:$AD$82</definedName>
    <definedName name="_xlnm.Print_Area" localSheetId="28">'ShiftShare T1'!$A$1:$R$71</definedName>
    <definedName name="_xlnm.Print_Titles" localSheetId="33">'Basic T3'!$A:$A</definedName>
    <definedName name="_xlnm.Print_Titles" localSheetId="27">SummaryTable12!$1:$6</definedName>
    <definedName name="thecontents" localSheetId="35">[1]Contents!$A$1:$N$1</definedName>
    <definedName name="Total79" localSheetId="35">'[1]Chapter 5 - Charts'!$AJ$75:$AJ$85</definedName>
    <definedName name="Total98" localSheetId="35">'[1]Chapter 5 - Charts'!$AK$75:$AK$85</definedName>
    <definedName name="wshNames">RIGHT(GET.WORKBOOK(1),LEN(GET.WORKBOOK(1))-FIND("]",GET.WORKBOOK(1)))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40" i="18" l="1"/>
  <c r="D40" i="18"/>
  <c r="E40" i="18"/>
  <c r="F40" i="18"/>
  <c r="C41" i="18"/>
  <c r="D41" i="18"/>
  <c r="E41" i="18"/>
  <c r="F41" i="18"/>
  <c r="C44" i="18"/>
  <c r="D44" i="18"/>
  <c r="E44" i="18"/>
  <c r="F44" i="18"/>
  <c r="C45" i="18"/>
  <c r="D45" i="18"/>
  <c r="E45" i="18"/>
  <c r="F45" i="18"/>
  <c r="C48" i="18"/>
  <c r="D48" i="18"/>
  <c r="E48" i="18"/>
  <c r="F48" i="18"/>
  <c r="C49" i="18"/>
  <c r="D49" i="18"/>
  <c r="E49" i="18"/>
  <c r="F49" i="18"/>
  <c r="B49" i="18"/>
  <c r="B48" i="18"/>
  <c r="H48" i="18" s="1"/>
  <c r="B45" i="18"/>
  <c r="B44" i="18"/>
  <c r="B41" i="18"/>
  <c r="B40" i="18"/>
  <c r="X1" i="49"/>
  <c r="P1" i="49"/>
  <c r="I1" i="49"/>
  <c r="A1" i="49"/>
  <c r="AK1" i="80"/>
  <c r="W1" i="80"/>
  <c r="Q1" i="109"/>
  <c r="A1" i="109"/>
  <c r="A1" i="105"/>
  <c r="A1" i="71"/>
  <c r="A1" i="103"/>
  <c r="A1" i="101"/>
  <c r="A1" i="102"/>
  <c r="A1" i="97"/>
  <c r="CP35" i="78" l="1"/>
  <c r="V49" i="49"/>
  <c r="T62" i="49"/>
  <c r="R33" i="49"/>
  <c r="B294" i="49"/>
  <c r="E71" i="80"/>
  <c r="N32" i="76"/>
  <c r="O32" i="76"/>
  <c r="P32" i="76"/>
  <c r="Q32" i="76"/>
  <c r="R32" i="76"/>
  <c r="S32" i="76"/>
  <c r="T32" i="76"/>
  <c r="U32" i="76"/>
  <c r="V32" i="76"/>
  <c r="W32" i="76"/>
  <c r="X32" i="76"/>
  <c r="Y32" i="76"/>
  <c r="Z32" i="76"/>
  <c r="AA32" i="76"/>
  <c r="AB32" i="76"/>
  <c r="AC32" i="76"/>
  <c r="AD32" i="76"/>
  <c r="AE32" i="76"/>
  <c r="AF32" i="76"/>
  <c r="AG32" i="76"/>
  <c r="AH32" i="76"/>
  <c r="AI32" i="76"/>
  <c r="AJ32" i="76"/>
  <c r="AK32" i="76"/>
  <c r="AL32" i="76"/>
  <c r="M32" i="76"/>
  <c r="L107" i="75"/>
  <c r="M107" i="75"/>
  <c r="B36" i="105"/>
  <c r="H9" i="78" l="1"/>
  <c r="H8" i="78"/>
  <c r="H45" i="78" s="1"/>
  <c r="M107" i="49" a="1"/>
  <c r="M107" i="49" s="1"/>
  <c r="K107" i="49" a="1"/>
  <c r="K107" i="49" s="1"/>
  <c r="J107" i="49" a="1"/>
  <c r="J107" i="49" s="1"/>
  <c r="M96" i="49" a="1"/>
  <c r="M100" i="49" s="1"/>
  <c r="K96" i="49" a="1"/>
  <c r="K96" i="49" s="1"/>
  <c r="J96" i="49" a="1"/>
  <c r="J96" i="49" s="1"/>
  <c r="M85" i="49" a="1"/>
  <c r="M86" i="49" s="1"/>
  <c r="K85" i="49" a="1"/>
  <c r="K85" i="49" s="1"/>
  <c r="J85" i="49" a="1"/>
  <c r="J85" i="49" s="1"/>
  <c r="M74" i="49" a="1"/>
  <c r="M74" i="49" s="1"/>
  <c r="K74" i="49" a="1"/>
  <c r="K75" i="49" s="1"/>
  <c r="J74" i="49" a="1"/>
  <c r="J74" i="49" s="1"/>
  <c r="M63" i="49" a="1"/>
  <c r="M64" i="49" s="1"/>
  <c r="K63" i="49" a="1"/>
  <c r="K63" i="49" s="1"/>
  <c r="J63" i="49" a="1"/>
  <c r="J63" i="49" s="1"/>
  <c r="M52" i="49" a="1"/>
  <c r="M52" i="49" s="1"/>
  <c r="K52" i="49" a="1"/>
  <c r="K53" i="49" s="1"/>
  <c r="J52" i="49" a="1"/>
  <c r="J53" i="49" s="1"/>
  <c r="M41" i="49" a="1"/>
  <c r="M41" i="49" s="1"/>
  <c r="K41" i="49" a="1"/>
  <c r="K41" i="49" s="1"/>
  <c r="J41" i="49" a="1"/>
  <c r="J41" i="49" s="1"/>
  <c r="M30" i="49" a="1"/>
  <c r="M30" i="49" s="1"/>
  <c r="K30" i="49" a="1"/>
  <c r="K33" i="49" s="1"/>
  <c r="J30" i="49" a="1"/>
  <c r="J30" i="49" s="1"/>
  <c r="M19" i="49" a="1"/>
  <c r="M19" i="49" s="1"/>
  <c r="K19" i="49" a="1"/>
  <c r="K19" i="49" s="1"/>
  <c r="J19" i="49" a="1"/>
  <c r="J19" i="49" s="1"/>
  <c r="L44" i="109"/>
  <c r="G44" i="109"/>
  <c r="R9" i="105"/>
  <c r="Q9" i="105"/>
  <c r="N9" i="105"/>
  <c r="K59" i="49" l="1"/>
  <c r="K56" i="49"/>
  <c r="K81" i="49"/>
  <c r="M59" i="49"/>
  <c r="J31" i="49"/>
  <c r="M63" i="49"/>
  <c r="J26" i="49"/>
  <c r="K74" i="49"/>
  <c r="J104" i="49"/>
  <c r="K23" i="49"/>
  <c r="K22" i="49"/>
  <c r="K20" i="49"/>
  <c r="J48" i="49"/>
  <c r="J100" i="49"/>
  <c r="J45" i="49"/>
  <c r="J70" i="49"/>
  <c r="M23" i="49"/>
  <c r="J42" i="49"/>
  <c r="J68" i="49"/>
  <c r="M79" i="49"/>
  <c r="M20" i="49"/>
  <c r="K70" i="49"/>
  <c r="J92" i="49"/>
  <c r="J86" i="49"/>
  <c r="J114" i="49"/>
  <c r="J34" i="49"/>
  <c r="J52" i="49"/>
  <c r="M71" i="49"/>
  <c r="M22" i="49"/>
  <c r="M93" i="49"/>
  <c r="K30" i="49"/>
  <c r="M92" i="49"/>
  <c r="K82" i="49"/>
  <c r="M85" i="49"/>
  <c r="M78" i="49"/>
  <c r="J99" i="49"/>
  <c r="K27" i="49"/>
  <c r="M27" i="49"/>
  <c r="M48" i="49"/>
  <c r="J60" i="49"/>
  <c r="K52" i="49"/>
  <c r="M75" i="49"/>
  <c r="K92" i="49"/>
  <c r="M89" i="49"/>
  <c r="J97" i="49"/>
  <c r="M104" i="49"/>
  <c r="K114" i="49"/>
  <c r="K26" i="49"/>
  <c r="M26" i="49"/>
  <c r="K38" i="49"/>
  <c r="M37" i="49"/>
  <c r="K48" i="49"/>
  <c r="M47" i="49"/>
  <c r="J59" i="49"/>
  <c r="K90" i="49"/>
  <c r="M103" i="49"/>
  <c r="J54" i="49"/>
  <c r="K89" i="49"/>
  <c r="K103" i="49"/>
  <c r="M99" i="49"/>
  <c r="K37" i="49"/>
  <c r="K34" i="49"/>
  <c r="M98" i="49"/>
  <c r="K32" i="49"/>
  <c r="M70" i="49"/>
  <c r="M97" i="49"/>
  <c r="J37" i="49"/>
  <c r="K31" i="49"/>
  <c r="K60" i="49"/>
  <c r="M67" i="49"/>
  <c r="K78" i="49"/>
  <c r="M81" i="49"/>
  <c r="J89" i="49"/>
  <c r="J103" i="49"/>
  <c r="M96" i="49"/>
  <c r="M114" i="49"/>
  <c r="M113" i="49"/>
  <c r="M112" i="49"/>
  <c r="M111" i="49"/>
  <c r="M110" i="49"/>
  <c r="M109" i="49"/>
  <c r="M108" i="49"/>
  <c r="M115" i="49"/>
  <c r="K113" i="49"/>
  <c r="K112" i="49"/>
  <c r="K111" i="49"/>
  <c r="K110" i="49"/>
  <c r="K109" i="49"/>
  <c r="K108" i="49"/>
  <c r="K115" i="49"/>
  <c r="J113" i="49"/>
  <c r="J112" i="49"/>
  <c r="J111" i="49"/>
  <c r="J110" i="49"/>
  <c r="J109" i="49"/>
  <c r="J108" i="49"/>
  <c r="J115" i="49"/>
  <c r="M102" i="49"/>
  <c r="M101" i="49"/>
  <c r="K102" i="49"/>
  <c r="K101" i="49"/>
  <c r="K100" i="49"/>
  <c r="K99" i="49"/>
  <c r="K98" i="49"/>
  <c r="K97" i="49"/>
  <c r="K104" i="49"/>
  <c r="J102" i="49"/>
  <c r="J101" i="49"/>
  <c r="J98" i="49"/>
  <c r="M91" i="49"/>
  <c r="M90" i="49"/>
  <c r="M88" i="49"/>
  <c r="M87" i="49"/>
  <c r="K91" i="49"/>
  <c r="K88" i="49"/>
  <c r="K87" i="49"/>
  <c r="K86" i="49"/>
  <c r="K93" i="49"/>
  <c r="J91" i="49"/>
  <c r="J90" i="49"/>
  <c r="J88" i="49"/>
  <c r="J87" i="49"/>
  <c r="J93" i="49"/>
  <c r="M80" i="49"/>
  <c r="M77" i="49"/>
  <c r="M76" i="49"/>
  <c r="M82" i="49"/>
  <c r="K80" i="49"/>
  <c r="K79" i="49"/>
  <c r="K77" i="49"/>
  <c r="K76" i="49"/>
  <c r="J80" i="49"/>
  <c r="J81" i="49"/>
  <c r="J79" i="49"/>
  <c r="J78" i="49"/>
  <c r="J77" i="49"/>
  <c r="J76" i="49"/>
  <c r="J75" i="49"/>
  <c r="J82" i="49"/>
  <c r="M69" i="49"/>
  <c r="M68" i="49"/>
  <c r="M66" i="49"/>
  <c r="M65" i="49"/>
  <c r="K69" i="49"/>
  <c r="K68" i="49"/>
  <c r="K67" i="49"/>
  <c r="K66" i="49"/>
  <c r="K65" i="49"/>
  <c r="K64" i="49"/>
  <c r="K71" i="49"/>
  <c r="J69" i="49"/>
  <c r="J67" i="49"/>
  <c r="J66" i="49"/>
  <c r="J65" i="49"/>
  <c r="J64" i="49"/>
  <c r="J71" i="49"/>
  <c r="M58" i="49"/>
  <c r="M57" i="49"/>
  <c r="M56" i="49"/>
  <c r="M55" i="49"/>
  <c r="M54" i="49"/>
  <c r="M53" i="49"/>
  <c r="M60" i="49"/>
  <c r="K58" i="49"/>
  <c r="K57" i="49"/>
  <c r="K55" i="49"/>
  <c r="K54" i="49"/>
  <c r="J58" i="49"/>
  <c r="J57" i="49"/>
  <c r="J56" i="49"/>
  <c r="J55" i="49"/>
  <c r="M46" i="49"/>
  <c r="M45" i="49"/>
  <c r="M44" i="49"/>
  <c r="M43" i="49"/>
  <c r="M42" i="49"/>
  <c r="M49" i="49"/>
  <c r="K47" i="49"/>
  <c r="K46" i="49"/>
  <c r="K45" i="49"/>
  <c r="K44" i="49"/>
  <c r="K43" i="49"/>
  <c r="K42" i="49"/>
  <c r="K49" i="49"/>
  <c r="J47" i="49"/>
  <c r="J46" i="49"/>
  <c r="J44" i="49"/>
  <c r="J43" i="49"/>
  <c r="J49" i="49"/>
  <c r="M36" i="49"/>
  <c r="M35" i="49"/>
  <c r="M34" i="49"/>
  <c r="M33" i="49"/>
  <c r="M32" i="49"/>
  <c r="M31" i="49"/>
  <c r="M38" i="49"/>
  <c r="K36" i="49"/>
  <c r="K35" i="49"/>
  <c r="J36" i="49"/>
  <c r="J35" i="49"/>
  <c r="J33" i="49"/>
  <c r="J32" i="49"/>
  <c r="J38" i="49"/>
  <c r="M25" i="49"/>
  <c r="M24" i="49"/>
  <c r="M21" i="49"/>
  <c r="K25" i="49"/>
  <c r="K24" i="49"/>
  <c r="K21" i="49"/>
  <c r="J25" i="49"/>
  <c r="J24" i="49"/>
  <c r="J23" i="49"/>
  <c r="J22" i="49"/>
  <c r="J21" i="49"/>
  <c r="J20" i="49"/>
  <c r="J27" i="49"/>
  <c r="AB8" i="16" l="1" a="1"/>
  <c r="AB8" i="16" s="1"/>
  <c r="AA8" i="16" a="1"/>
  <c r="AA9" i="16" s="1"/>
  <c r="Z8" i="16" a="1"/>
  <c r="Z8" i="16" s="1"/>
  <c r="Y8" i="16" a="1"/>
  <c r="Y8" i="16" s="1"/>
  <c r="X8" i="16" a="1"/>
  <c r="X8" i="16" s="1"/>
  <c r="Q8" i="16" a="1"/>
  <c r="Q9" i="16" s="1"/>
  <c r="P8" i="16" a="1"/>
  <c r="P8" i="16" s="1"/>
  <c r="O8" i="16" a="1"/>
  <c r="O8" i="16" s="1"/>
  <c r="N8" i="16" a="1"/>
  <c r="N9" i="16" s="1"/>
  <c r="M8" i="16" a="1"/>
  <c r="M8" i="16" s="1"/>
  <c r="F8" i="16" a="1"/>
  <c r="F8" i="16" s="1"/>
  <c r="E8" i="16" a="1"/>
  <c r="E8" i="16" s="1"/>
  <c r="D8" i="16" a="1"/>
  <c r="D9" i="16" s="1"/>
  <c r="C8" i="16" a="1"/>
  <c r="C8" i="16" s="1"/>
  <c r="B8" i="16" a="1"/>
  <c r="B10" i="16" s="1"/>
  <c r="F258" i="97"/>
  <c r="F259" i="97"/>
  <c r="F260" i="97"/>
  <c r="F261" i="97"/>
  <c r="F262" i="97"/>
  <c r="F263" i="97"/>
  <c r="F264" i="97"/>
  <c r="F265" i="97"/>
  <c r="F266" i="97"/>
  <c r="F267" i="97"/>
  <c r="F268" i="97"/>
  <c r="F269" i="97"/>
  <c r="F270" i="97"/>
  <c r="F271" i="97"/>
  <c r="F272" i="97"/>
  <c r="F273" i="97"/>
  <c r="F274" i="97"/>
  <c r="F275" i="97"/>
  <c r="F276" i="97"/>
  <c r="F277" i="97"/>
  <c r="F278" i="97"/>
  <c r="F279" i="97"/>
  <c r="F280" i="97"/>
  <c r="F281" i="97"/>
  <c r="F282" i="97"/>
  <c r="F283" i="97"/>
  <c r="F284" i="97"/>
  <c r="F285" i="97"/>
  <c r="F286" i="97"/>
  <c r="F287" i="97"/>
  <c r="F288" i="97"/>
  <c r="F289" i="97"/>
  <c r="F290" i="97"/>
  <c r="F291" i="97"/>
  <c r="F292" i="97"/>
  <c r="F293" i="97"/>
  <c r="F294" i="97"/>
  <c r="F295" i="97"/>
  <c r="F296" i="97"/>
  <c r="F297" i="97"/>
  <c r="F298" i="97"/>
  <c r="F299" i="97"/>
  <c r="F300" i="97"/>
  <c r="F301" i="97"/>
  <c r="F302" i="97"/>
  <c r="F303" i="97"/>
  <c r="F304" i="97"/>
  <c r="F305" i="97"/>
  <c r="F306" i="97"/>
  <c r="F307" i="97"/>
  <c r="F308" i="97"/>
  <c r="F309" i="97"/>
  <c r="F310" i="97"/>
  <c r="F311" i="97"/>
  <c r="F312" i="97"/>
  <c r="F313" i="97"/>
  <c r="F314" i="97"/>
  <c r="F315" i="97"/>
  <c r="F316" i="97"/>
  <c r="F317" i="97"/>
  <c r="F318" i="97"/>
  <c r="F319" i="97"/>
  <c r="F320" i="97"/>
  <c r="F321" i="97"/>
  <c r="F322" i="97"/>
  <c r="F323" i="97"/>
  <c r="F324" i="97"/>
  <c r="F325" i="97"/>
  <c r="F326" i="97"/>
  <c r="F327" i="97"/>
  <c r="F328" i="97"/>
  <c r="F329" i="97"/>
  <c r="F330" i="97"/>
  <c r="F331" i="97"/>
  <c r="F257" i="97"/>
  <c r="F255" i="97"/>
  <c r="F174" i="97"/>
  <c r="F175" i="97"/>
  <c r="F176" i="97"/>
  <c r="F177" i="97"/>
  <c r="F178" i="97"/>
  <c r="F179" i="97"/>
  <c r="F180" i="97"/>
  <c r="F181" i="97"/>
  <c r="F182" i="97"/>
  <c r="F183" i="97"/>
  <c r="F184" i="97"/>
  <c r="F185" i="97"/>
  <c r="F186" i="97"/>
  <c r="F187" i="97"/>
  <c r="F188" i="97"/>
  <c r="F189" i="97"/>
  <c r="F190" i="97"/>
  <c r="F191" i="97"/>
  <c r="F192" i="97"/>
  <c r="F193" i="97"/>
  <c r="F194" i="97"/>
  <c r="F195" i="97"/>
  <c r="F196" i="97"/>
  <c r="F197" i="97"/>
  <c r="F198" i="97"/>
  <c r="F199" i="97"/>
  <c r="F200" i="97"/>
  <c r="F201" i="97"/>
  <c r="F202" i="97"/>
  <c r="F203" i="97"/>
  <c r="F204" i="97"/>
  <c r="F205" i="97"/>
  <c r="F206" i="97"/>
  <c r="F207" i="97"/>
  <c r="F208" i="97"/>
  <c r="F209" i="97"/>
  <c r="F210" i="97"/>
  <c r="F211" i="97"/>
  <c r="F212" i="97"/>
  <c r="F213" i="97"/>
  <c r="F214" i="97"/>
  <c r="F215" i="97"/>
  <c r="F216" i="97"/>
  <c r="F217" i="97"/>
  <c r="F218" i="97"/>
  <c r="F219" i="97"/>
  <c r="F220" i="97"/>
  <c r="F221" i="97"/>
  <c r="F222" i="97"/>
  <c r="F223" i="97"/>
  <c r="F224" i="97"/>
  <c r="F225" i="97"/>
  <c r="F226" i="97"/>
  <c r="F227" i="97"/>
  <c r="F228" i="97"/>
  <c r="F229" i="97"/>
  <c r="F230" i="97"/>
  <c r="F231" i="97"/>
  <c r="F232" i="97"/>
  <c r="F233" i="97"/>
  <c r="F234" i="97"/>
  <c r="F235" i="97"/>
  <c r="F236" i="97"/>
  <c r="F237" i="97"/>
  <c r="F238" i="97"/>
  <c r="F239" i="97"/>
  <c r="F240" i="97"/>
  <c r="F241" i="97"/>
  <c r="F242" i="97"/>
  <c r="F243" i="97"/>
  <c r="F244" i="97"/>
  <c r="F245" i="97"/>
  <c r="F246" i="97"/>
  <c r="F247" i="97"/>
  <c r="F173" i="97"/>
  <c r="F171" i="97"/>
  <c r="B15" i="16" l="1"/>
  <c r="B9" i="16"/>
  <c r="D8" i="16"/>
  <c r="P15" i="16"/>
  <c r="E11" i="16"/>
  <c r="P14" i="16"/>
  <c r="B16" i="16"/>
  <c r="E9" i="16"/>
  <c r="P13" i="16"/>
  <c r="B8" i="16"/>
  <c r="X15" i="16"/>
  <c r="N16" i="16"/>
  <c r="X12" i="16"/>
  <c r="N15" i="16"/>
  <c r="D16" i="16"/>
  <c r="N10" i="16"/>
  <c r="D15" i="16"/>
  <c r="N8" i="16"/>
  <c r="Z15" i="16"/>
  <c r="D12" i="16"/>
  <c r="Z9" i="16"/>
  <c r="E16" i="16"/>
  <c r="M16" i="16"/>
  <c r="Q16" i="16"/>
  <c r="AA15" i="16"/>
  <c r="C15" i="16"/>
  <c r="E15" i="16"/>
  <c r="M15" i="16"/>
  <c r="Q15" i="16"/>
  <c r="Y15" i="16"/>
  <c r="AA12" i="16"/>
  <c r="E13" i="16"/>
  <c r="M11" i="16"/>
  <c r="O15" i="16"/>
  <c r="Q13" i="16"/>
  <c r="AA8" i="16"/>
  <c r="M9" i="16"/>
  <c r="Q8" i="16"/>
  <c r="Z10" i="16"/>
  <c r="AB15" i="16"/>
  <c r="X9" i="16"/>
  <c r="AA16" i="16"/>
  <c r="AB14" i="16"/>
  <c r="AB13" i="16"/>
  <c r="AB12" i="16"/>
  <c r="AB11" i="16"/>
  <c r="AB10" i="16"/>
  <c r="AB9" i="16"/>
  <c r="AB16" i="16"/>
  <c r="AA14" i="16"/>
  <c r="AA13" i="16"/>
  <c r="AA11" i="16"/>
  <c r="AA10" i="16"/>
  <c r="Z14" i="16"/>
  <c r="Z13" i="16"/>
  <c r="Z12" i="16"/>
  <c r="Z11" i="16"/>
  <c r="Z16" i="16"/>
  <c r="Y14" i="16"/>
  <c r="Y13" i="16"/>
  <c r="Y12" i="16"/>
  <c r="Y11" i="16"/>
  <c r="Y10" i="16"/>
  <c r="Y9" i="16"/>
  <c r="Y16" i="16"/>
  <c r="X14" i="16"/>
  <c r="X13" i="16"/>
  <c r="X11" i="16"/>
  <c r="X10" i="16"/>
  <c r="X16" i="16"/>
  <c r="Q14" i="16"/>
  <c r="Q12" i="16"/>
  <c r="Q11" i="16"/>
  <c r="Q10" i="16"/>
  <c r="P12" i="16"/>
  <c r="P11" i="16"/>
  <c r="P10" i="16"/>
  <c r="P9" i="16"/>
  <c r="P16" i="16"/>
  <c r="O14" i="16"/>
  <c r="O13" i="16"/>
  <c r="O12" i="16"/>
  <c r="O11" i="16"/>
  <c r="O10" i="16"/>
  <c r="O9" i="16"/>
  <c r="O16" i="16"/>
  <c r="N14" i="16"/>
  <c r="N13" i="16"/>
  <c r="N12" i="16"/>
  <c r="N11" i="16"/>
  <c r="M14" i="16"/>
  <c r="M13" i="16"/>
  <c r="M12" i="16"/>
  <c r="M10" i="16"/>
  <c r="F15" i="16"/>
  <c r="F14" i="16"/>
  <c r="F13" i="16"/>
  <c r="F12" i="16"/>
  <c r="F11" i="16"/>
  <c r="F10" i="16"/>
  <c r="F9" i="16"/>
  <c r="H8" i="16"/>
  <c r="F16" i="16"/>
  <c r="E14" i="16"/>
  <c r="E12" i="16"/>
  <c r="E10" i="16"/>
  <c r="D14" i="16"/>
  <c r="D13" i="16"/>
  <c r="D11" i="16"/>
  <c r="D10" i="16"/>
  <c r="C14" i="16"/>
  <c r="C13" i="16"/>
  <c r="C12" i="16"/>
  <c r="C11" i="16"/>
  <c r="C10" i="16"/>
  <c r="C9" i="16"/>
  <c r="C16" i="16"/>
  <c r="B14" i="16"/>
  <c r="B13" i="16"/>
  <c r="B12" i="16"/>
  <c r="B11" i="16"/>
  <c r="Y6" i="71" l="1"/>
  <c r="Z6" i="71"/>
  <c r="AA6" i="71"/>
  <c r="AB6" i="71"/>
  <c r="X6" i="71"/>
  <c r="W1" i="71" s="1"/>
  <c r="N6" i="71"/>
  <c r="O6" i="71"/>
  <c r="P6" i="71"/>
  <c r="Q6" i="71"/>
  <c r="M6" i="71"/>
  <c r="L1" i="71" s="1"/>
  <c r="AR5" i="109"/>
  <c r="AM5" i="109"/>
  <c r="AH5" i="109"/>
  <c r="AB5" i="109"/>
  <c r="W5" i="109"/>
  <c r="R5" i="109"/>
  <c r="AH33" i="21"/>
  <c r="AI33" i="21"/>
  <c r="AJ33" i="21"/>
  <c r="AK33" i="21"/>
  <c r="AL33" i="21"/>
  <c r="AH23" i="21"/>
  <c r="AI23" i="21"/>
  <c r="AJ23" i="21"/>
  <c r="AK23" i="21"/>
  <c r="AL23" i="21"/>
  <c r="AH18" i="21"/>
  <c r="AI18" i="21"/>
  <c r="AJ18" i="21"/>
  <c r="AK18" i="21"/>
  <c r="AL18" i="21"/>
  <c r="AH11" i="21"/>
  <c r="AI11" i="21"/>
  <c r="AJ11" i="21"/>
  <c r="AK11" i="21"/>
  <c r="AL11" i="21"/>
  <c r="AH5" i="21"/>
  <c r="AI5" i="21"/>
  <c r="AJ5" i="21"/>
  <c r="AK5" i="21"/>
  <c r="AL5" i="21"/>
  <c r="I8" i="78"/>
  <c r="AA81" i="49"/>
  <c r="I40" i="80"/>
  <c r="A37" i="80" s="1"/>
  <c r="N51" i="76"/>
  <c r="O51" i="76"/>
  <c r="P51" i="76"/>
  <c r="Q51" i="76"/>
  <c r="R51" i="76"/>
  <c r="S51" i="76"/>
  <c r="T51" i="76"/>
  <c r="U51" i="76"/>
  <c r="V51" i="76"/>
  <c r="W51" i="76"/>
  <c r="X51" i="76"/>
  <c r="Y51" i="76"/>
  <c r="Z51" i="76"/>
  <c r="AA51" i="76"/>
  <c r="AB51" i="76"/>
  <c r="AC51" i="76"/>
  <c r="AD51" i="76"/>
  <c r="AE51" i="76"/>
  <c r="AF51" i="76"/>
  <c r="AG51" i="76"/>
  <c r="AH51" i="76"/>
  <c r="AI51" i="76"/>
  <c r="AJ51" i="76"/>
  <c r="AK51" i="76"/>
  <c r="AL51" i="76"/>
  <c r="M51" i="76"/>
  <c r="AH45" i="76"/>
  <c r="AI45" i="76"/>
  <c r="AJ45" i="76"/>
  <c r="AK45" i="76"/>
  <c r="AL45" i="76"/>
  <c r="AH41" i="76"/>
  <c r="AI41" i="76"/>
  <c r="AJ41" i="76"/>
  <c r="AK41" i="76"/>
  <c r="AL41" i="76"/>
  <c r="AH37" i="76"/>
  <c r="AI37" i="76"/>
  <c r="AJ37" i="76"/>
  <c r="AK37" i="76"/>
  <c r="AL37" i="76"/>
  <c r="AH26" i="76"/>
  <c r="AI26" i="76"/>
  <c r="AJ26" i="76"/>
  <c r="AK26" i="76"/>
  <c r="AL26" i="76"/>
  <c r="AH22" i="76"/>
  <c r="AI22" i="76"/>
  <c r="AJ22" i="76"/>
  <c r="AK22" i="76"/>
  <c r="AL22" i="76"/>
  <c r="AH15" i="76"/>
  <c r="AI15" i="76"/>
  <c r="AJ15" i="76"/>
  <c r="AK15" i="76"/>
  <c r="AL15" i="76"/>
  <c r="AH9" i="76"/>
  <c r="AI9" i="76"/>
  <c r="AJ9" i="76"/>
  <c r="AK9" i="76"/>
  <c r="AL9" i="76"/>
  <c r="AH5" i="76"/>
  <c r="AI5" i="76"/>
  <c r="AJ5" i="76"/>
  <c r="AK5" i="76"/>
  <c r="AL5" i="76"/>
  <c r="H34" i="105"/>
  <c r="L34" i="105"/>
  <c r="D34" i="105"/>
  <c r="A33" i="79"/>
  <c r="B33" i="79"/>
  <c r="C33" i="79"/>
  <c r="D33" i="79"/>
  <c r="E33" i="79"/>
  <c r="F33" i="79"/>
  <c r="G33" i="79"/>
  <c r="H33" i="79"/>
  <c r="I33" i="79"/>
  <c r="J33" i="79"/>
  <c r="A144" i="78"/>
  <c r="L144" i="78" s="1"/>
  <c r="AH144" i="78" s="1"/>
  <c r="BD144" i="78" s="1"/>
  <c r="BZ144" i="78" s="1"/>
  <c r="B144" i="78"/>
  <c r="C144" i="78"/>
  <c r="D144" i="78"/>
  <c r="E144" i="78"/>
  <c r="F144" i="78"/>
  <c r="M144" i="78"/>
  <c r="N144" i="78"/>
  <c r="O144" i="78"/>
  <c r="P144" i="78"/>
  <c r="Q144" i="78"/>
  <c r="X144" i="78"/>
  <c r="Y144" i="78"/>
  <c r="Z144" i="78"/>
  <c r="AA144" i="78"/>
  <c r="AB144" i="78"/>
  <c r="AI144" i="78"/>
  <c r="AJ144" i="78"/>
  <c r="AK144" i="78"/>
  <c r="AL144" i="78"/>
  <c r="AM144" i="78"/>
  <c r="AT144" i="78"/>
  <c r="AU144" i="78"/>
  <c r="AV144" i="78"/>
  <c r="AW144" i="78"/>
  <c r="AX144" i="78"/>
  <c r="BE144" i="78"/>
  <c r="BF144" i="78"/>
  <c r="BG144" i="78"/>
  <c r="BH144" i="78"/>
  <c r="BI144" i="78"/>
  <c r="BP144" i="78"/>
  <c r="BQ144" i="78"/>
  <c r="BR144" i="78"/>
  <c r="BS144" i="78"/>
  <c r="BT144" i="78"/>
  <c r="CA144" i="78"/>
  <c r="CB144" i="78"/>
  <c r="CC144" i="78"/>
  <c r="CD144" i="78"/>
  <c r="CE144" i="78"/>
  <c r="CL144" i="78"/>
  <c r="CM144" i="78"/>
  <c r="CN144" i="78"/>
  <c r="CO144" i="78"/>
  <c r="CP144" i="78"/>
  <c r="F107" i="78"/>
  <c r="B107" i="78"/>
  <c r="C107" i="78"/>
  <c r="D107" i="78"/>
  <c r="E107" i="78"/>
  <c r="CN35" i="78"/>
  <c r="CN70" i="78" s="1"/>
  <c r="CO35" i="78"/>
  <c r="CO70" i="78" s="1"/>
  <c r="CM35" i="78"/>
  <c r="CM70" i="78" s="1"/>
  <c r="CL35" i="78"/>
  <c r="CL70" i="78" s="1"/>
  <c r="CE35" i="78"/>
  <c r="CE70" i="78" s="1"/>
  <c r="CD35" i="78"/>
  <c r="CD70" i="78" s="1"/>
  <c r="CC35" i="78"/>
  <c r="CC70" i="78" s="1"/>
  <c r="CB35" i="78"/>
  <c r="CB70" i="78" s="1"/>
  <c r="CA35" i="78"/>
  <c r="CA70" i="78" s="1"/>
  <c r="BT35" i="78"/>
  <c r="BT70" i="78" s="1"/>
  <c r="BS35" i="78"/>
  <c r="BS70" i="78" s="1"/>
  <c r="BR35" i="78"/>
  <c r="BR70" i="78" s="1"/>
  <c r="BQ35" i="78"/>
  <c r="BQ70" i="78" s="1"/>
  <c r="BP35" i="78"/>
  <c r="BP70" i="78" s="1"/>
  <c r="BI35" i="78"/>
  <c r="BI70" i="78" s="1"/>
  <c r="BH35" i="78"/>
  <c r="BH70" i="78" s="1"/>
  <c r="BG35" i="78"/>
  <c r="BG70" i="78" s="1"/>
  <c r="BF35" i="78"/>
  <c r="BF70" i="78" s="1"/>
  <c r="BE35" i="78"/>
  <c r="BE70" i="78" s="1"/>
  <c r="AX35" i="78"/>
  <c r="AX70" i="78" s="1"/>
  <c r="AW35" i="78"/>
  <c r="AW70" i="78" s="1"/>
  <c r="AV35" i="78"/>
  <c r="AV70" i="78" s="1"/>
  <c r="AU35" i="78"/>
  <c r="AU70" i="78" s="1"/>
  <c r="AT35" i="78"/>
  <c r="AT70" i="78" s="1"/>
  <c r="AM35" i="78"/>
  <c r="AL35" i="78"/>
  <c r="AL70" i="78" s="1"/>
  <c r="AK35" i="78"/>
  <c r="AK70" i="78" s="1"/>
  <c r="AJ35" i="78"/>
  <c r="AJ70" i="78" s="1"/>
  <c r="AI35" i="78"/>
  <c r="AI70" i="78" s="1"/>
  <c r="AB35" i="78"/>
  <c r="AA35" i="78"/>
  <c r="AA70" i="78" s="1"/>
  <c r="Z35" i="78"/>
  <c r="Z70" i="78" s="1"/>
  <c r="Y35" i="78"/>
  <c r="Y70" i="78" s="1"/>
  <c r="X35" i="78"/>
  <c r="X70" i="78" s="1"/>
  <c r="Q35" i="78"/>
  <c r="Q70" i="78" s="1"/>
  <c r="P35" i="78"/>
  <c r="P70" i="78" s="1"/>
  <c r="O35" i="78"/>
  <c r="O70" i="78" s="1"/>
  <c r="N35" i="78"/>
  <c r="N70" i="78" s="1"/>
  <c r="M35" i="78"/>
  <c r="M70" i="78" s="1"/>
  <c r="S33" i="78"/>
  <c r="T33" i="78"/>
  <c r="T70" i="78" s="1"/>
  <c r="AD33" i="78"/>
  <c r="AE33" i="78"/>
  <c r="AE70" i="78" s="1"/>
  <c r="AO33" i="78"/>
  <c r="AO70" i="78" s="1"/>
  <c r="AO107" i="78" s="1"/>
  <c r="AP33" i="78"/>
  <c r="AP70" i="78" s="1"/>
  <c r="AZ33" i="78"/>
  <c r="AZ70" i="78" s="1"/>
  <c r="AZ107" i="78" s="1"/>
  <c r="BA33" i="78"/>
  <c r="BK33" i="78"/>
  <c r="BL33" i="78"/>
  <c r="BL70" i="78" s="1"/>
  <c r="BV33" i="78"/>
  <c r="BV70" i="78" s="1"/>
  <c r="BV107" i="78" s="1"/>
  <c r="BW33" i="78"/>
  <c r="BW70" i="78" s="1"/>
  <c r="CG33" i="78"/>
  <c r="CH33" i="78"/>
  <c r="CH70" i="78" s="1"/>
  <c r="CR33" i="78"/>
  <c r="CR70" i="78" s="1"/>
  <c r="CR107" i="78" s="1"/>
  <c r="CS33" i="78"/>
  <c r="CS70" i="78" s="1"/>
  <c r="C35" i="78"/>
  <c r="C70" i="78" s="1"/>
  <c r="D35" i="78"/>
  <c r="E35" i="78"/>
  <c r="E70" i="78" s="1"/>
  <c r="F35" i="78"/>
  <c r="B35" i="78"/>
  <c r="B70" i="78" s="1"/>
  <c r="I33" i="78"/>
  <c r="I70" i="78" s="1"/>
  <c r="A33" i="78"/>
  <c r="L33" i="78" s="1"/>
  <c r="AH33" i="78" s="1"/>
  <c r="BD33" i="78" s="1"/>
  <c r="BZ33" i="78" s="1"/>
  <c r="H33" i="78"/>
  <c r="H70" i="78" s="1"/>
  <c r="H107" i="78" s="1"/>
  <c r="AE33" i="71"/>
  <c r="T33" i="71"/>
  <c r="O62" i="31"/>
  <c r="R62" i="49"/>
  <c r="Q62" i="49"/>
  <c r="V62" i="49" s="1"/>
  <c r="P61" i="49"/>
  <c r="S61" i="49"/>
  <c r="U61" i="49" s="1"/>
  <c r="V61" i="49"/>
  <c r="T33" i="49"/>
  <c r="Q33" i="49"/>
  <c r="S33" i="49" s="1"/>
  <c r="V32" i="49"/>
  <c r="P32" i="49"/>
  <c r="S32" i="49"/>
  <c r="U32" i="49" s="1"/>
  <c r="E32" i="49"/>
  <c r="I33" i="71" s="1"/>
  <c r="B32" i="49"/>
  <c r="C32" i="49"/>
  <c r="C62" i="49"/>
  <c r="E62" i="49"/>
  <c r="B62" i="49"/>
  <c r="C91" i="49"/>
  <c r="E91" i="49"/>
  <c r="B91" i="49"/>
  <c r="C120" i="49"/>
  <c r="E120" i="49"/>
  <c r="B120" i="49"/>
  <c r="C149" i="49"/>
  <c r="E149" i="49"/>
  <c r="B149" i="49"/>
  <c r="C178" i="49"/>
  <c r="E178" i="49"/>
  <c r="B178" i="49"/>
  <c r="C207" i="49"/>
  <c r="E207" i="49"/>
  <c r="B207" i="49"/>
  <c r="C236" i="49"/>
  <c r="E236" i="49"/>
  <c r="B236" i="49"/>
  <c r="C265" i="49"/>
  <c r="E265" i="49"/>
  <c r="B265" i="49"/>
  <c r="G293" i="49"/>
  <c r="E294" i="49"/>
  <c r="G294" i="49" s="1"/>
  <c r="C294" i="49"/>
  <c r="D293" i="49"/>
  <c r="F293" i="49" s="1"/>
  <c r="D264" i="49"/>
  <c r="F264" i="49" s="1"/>
  <c r="G264" i="49"/>
  <c r="D235" i="49"/>
  <c r="F235" i="49" s="1"/>
  <c r="G235" i="49"/>
  <c r="D206" i="49"/>
  <c r="F206" i="49" s="1"/>
  <c r="G206" i="49"/>
  <c r="D177" i="49"/>
  <c r="F177" i="49" s="1"/>
  <c r="G177" i="49"/>
  <c r="D148" i="49"/>
  <c r="F148" i="49" s="1"/>
  <c r="G148" i="49"/>
  <c r="D119" i="49"/>
  <c r="F119" i="49" s="1"/>
  <c r="G119" i="49"/>
  <c r="D90" i="49"/>
  <c r="F90" i="49" s="1"/>
  <c r="G90" i="49"/>
  <c r="D61" i="49"/>
  <c r="F61" i="49" s="1"/>
  <c r="G61" i="49"/>
  <c r="A32" i="49"/>
  <c r="A61" i="49" s="1"/>
  <c r="A148" i="49" s="1"/>
  <c r="A235" i="49" s="1"/>
  <c r="B71" i="80"/>
  <c r="C69" i="80" s="1"/>
  <c r="H69" i="80"/>
  <c r="I69" i="80"/>
  <c r="R69" i="80"/>
  <c r="A69" i="80"/>
  <c r="E35" i="80"/>
  <c r="F33" i="80" s="1"/>
  <c r="B35" i="80"/>
  <c r="C33" i="80" s="1"/>
  <c r="R33" i="80"/>
  <c r="I33" i="80"/>
  <c r="H33" i="80"/>
  <c r="A33" i="80"/>
  <c r="L82" i="76"/>
  <c r="L35" i="76"/>
  <c r="AG1" i="109" l="1"/>
  <c r="J8" i="78"/>
  <c r="J45" i="78" s="1"/>
  <c r="I45" i="78"/>
  <c r="H35" i="78"/>
  <c r="H72" i="78" s="1"/>
  <c r="H109" i="78" s="1"/>
  <c r="U33" i="49"/>
  <c r="AH49" i="76"/>
  <c r="AH59" i="76" s="1"/>
  <c r="S62" i="49"/>
  <c r="U62" i="49" s="1"/>
  <c r="AL38" i="21"/>
  <c r="AK38" i="21"/>
  <c r="AP107" i="78"/>
  <c r="AK49" i="76"/>
  <c r="AK52" i="76" s="1"/>
  <c r="AJ49" i="76"/>
  <c r="AJ52" i="76" s="1"/>
  <c r="AI49" i="76"/>
  <c r="AI84" i="76" s="1"/>
  <c r="AL49" i="76"/>
  <c r="AL84" i="76" s="1"/>
  <c r="AJ38" i="21"/>
  <c r="AI38" i="21"/>
  <c r="AH38" i="21"/>
  <c r="AF33" i="78"/>
  <c r="AF70" i="78" s="1"/>
  <c r="AF107" i="78" s="1"/>
  <c r="CS107" i="78"/>
  <c r="K69" i="80"/>
  <c r="L69" i="80" s="1"/>
  <c r="K33" i="79"/>
  <c r="CR35" i="78"/>
  <c r="AD70" i="78"/>
  <c r="AD107" i="78" s="1"/>
  <c r="B146" i="78"/>
  <c r="BB33" i="78"/>
  <c r="BB70" i="78" s="1"/>
  <c r="BB107" i="78" s="1"/>
  <c r="CP70" i="78"/>
  <c r="D70" i="78"/>
  <c r="F146" i="78"/>
  <c r="W144" i="78"/>
  <c r="AS144" i="78" s="1"/>
  <c r="BO144" i="78" s="1"/>
  <c r="CK144" i="78" s="1"/>
  <c r="AO35" i="78"/>
  <c r="BM33" i="78"/>
  <c r="BM70" i="78" s="1"/>
  <c r="BM107" i="78" s="1"/>
  <c r="BA70" i="78"/>
  <c r="BW107" i="78"/>
  <c r="F70" i="78"/>
  <c r="CH107" i="78"/>
  <c r="BA107" i="78"/>
  <c r="AD35" i="78"/>
  <c r="B72" i="78"/>
  <c r="T107" i="78"/>
  <c r="A107" i="78"/>
  <c r="BL107" i="78"/>
  <c r="I107" i="78"/>
  <c r="AE107" i="78"/>
  <c r="U33" i="78"/>
  <c r="U70" i="78" s="1"/>
  <c r="U107" i="78" s="1"/>
  <c r="BX33" i="78"/>
  <c r="BX70" i="78" s="1"/>
  <c r="BX107" i="78" s="1"/>
  <c r="BK35" i="78"/>
  <c r="AM70" i="78"/>
  <c r="J33" i="78"/>
  <c r="J70" i="78" s="1"/>
  <c r="J107" i="78" s="1"/>
  <c r="S70" i="78"/>
  <c r="S107" i="78" s="1"/>
  <c r="AQ33" i="78"/>
  <c r="AQ70" i="78" s="1"/>
  <c r="AQ107" i="78" s="1"/>
  <c r="A70" i="78"/>
  <c r="CI33" i="78"/>
  <c r="CI70" i="78" s="1"/>
  <c r="CI107" i="78" s="1"/>
  <c r="CG70" i="78"/>
  <c r="CG107" i="78" s="1"/>
  <c r="S35" i="78"/>
  <c r="BV35" i="78"/>
  <c r="CT33" i="78"/>
  <c r="CT70" i="78" s="1"/>
  <c r="CT107" i="78" s="1"/>
  <c r="BK70" i="78"/>
  <c r="BK107" i="78" s="1"/>
  <c r="AB70" i="78"/>
  <c r="W33" i="78"/>
  <c r="AS33" i="78" s="1"/>
  <c r="BO33" i="78" s="1"/>
  <c r="CK33" i="78" s="1"/>
  <c r="CG35" i="78"/>
  <c r="AZ35" i="78"/>
  <c r="B33" i="49"/>
  <c r="F32" i="49"/>
  <c r="D32" i="49"/>
  <c r="A119" i="49"/>
  <c r="A206" i="49" s="1"/>
  <c r="A293" i="49" s="1"/>
  <c r="A90" i="49"/>
  <c r="A177" i="49" s="1"/>
  <c r="A264" i="49" s="1"/>
  <c r="F69" i="80"/>
  <c r="H35" i="80"/>
  <c r="K33" i="80"/>
  <c r="L21" i="75"/>
  <c r="T34" i="105"/>
  <c r="U34" i="105"/>
  <c r="O10" i="105"/>
  <c r="Q10" i="105"/>
  <c r="R10" i="105"/>
  <c r="O11" i="105"/>
  <c r="Q11" i="105"/>
  <c r="R11" i="105"/>
  <c r="O12" i="105"/>
  <c r="Q12" i="105"/>
  <c r="R12" i="105"/>
  <c r="O13" i="105"/>
  <c r="Q13" i="105"/>
  <c r="R13" i="105"/>
  <c r="O14" i="105"/>
  <c r="Q14" i="105"/>
  <c r="R14" i="105"/>
  <c r="O15" i="105"/>
  <c r="Q15" i="105"/>
  <c r="R15" i="105"/>
  <c r="O16" i="105"/>
  <c r="Q16" i="105"/>
  <c r="R16" i="105"/>
  <c r="O17" i="105"/>
  <c r="Q17" i="105"/>
  <c r="R17" i="105"/>
  <c r="O18" i="105"/>
  <c r="Q18" i="105"/>
  <c r="R18" i="105"/>
  <c r="O19" i="105"/>
  <c r="Q19" i="105"/>
  <c r="R19" i="105"/>
  <c r="O20" i="105"/>
  <c r="Q20" i="105"/>
  <c r="R20" i="105"/>
  <c r="O21" i="105"/>
  <c r="Q21" i="105"/>
  <c r="R21" i="105"/>
  <c r="O22" i="105"/>
  <c r="Q22" i="105"/>
  <c r="R22" i="105"/>
  <c r="O23" i="105"/>
  <c r="Q23" i="105"/>
  <c r="R23" i="105"/>
  <c r="O24" i="105"/>
  <c r="Q24" i="105"/>
  <c r="R24" i="105"/>
  <c r="O25" i="105"/>
  <c r="Q25" i="105"/>
  <c r="R25" i="105"/>
  <c r="O26" i="105"/>
  <c r="Q26" i="105"/>
  <c r="R26" i="105"/>
  <c r="O27" i="105"/>
  <c r="Q27" i="105"/>
  <c r="R27" i="105"/>
  <c r="O28" i="105"/>
  <c r="Q28" i="105"/>
  <c r="R28" i="105"/>
  <c r="O29" i="105"/>
  <c r="Q29" i="105"/>
  <c r="R29" i="105"/>
  <c r="O30" i="105"/>
  <c r="Q30" i="105"/>
  <c r="R30" i="105"/>
  <c r="O31" i="105"/>
  <c r="Q31" i="105"/>
  <c r="R31" i="105"/>
  <c r="O32" i="105"/>
  <c r="Q32" i="105"/>
  <c r="R32" i="105"/>
  <c r="O33" i="105"/>
  <c r="Q33" i="105"/>
  <c r="R33" i="105"/>
  <c r="O34" i="105"/>
  <c r="Q34" i="105"/>
  <c r="R34" i="105"/>
  <c r="O9" i="105"/>
  <c r="N10" i="105"/>
  <c r="N11" i="105"/>
  <c r="N12" i="105"/>
  <c r="N13" i="105"/>
  <c r="N14" i="105"/>
  <c r="N15" i="105"/>
  <c r="N16" i="105"/>
  <c r="N17" i="105"/>
  <c r="N18" i="105"/>
  <c r="N19" i="105"/>
  <c r="N20" i="105"/>
  <c r="N21" i="105"/>
  <c r="N22" i="105"/>
  <c r="N23" i="105"/>
  <c r="N24" i="105"/>
  <c r="N25" i="105"/>
  <c r="N26" i="105"/>
  <c r="N27" i="105"/>
  <c r="N28" i="105"/>
  <c r="N29" i="105"/>
  <c r="N30" i="105"/>
  <c r="N31" i="105"/>
  <c r="N32" i="105"/>
  <c r="N33" i="105"/>
  <c r="N34" i="105"/>
  <c r="K36" i="105"/>
  <c r="J36" i="105"/>
  <c r="G36" i="105"/>
  <c r="F36" i="105"/>
  <c r="N36" i="105" s="1"/>
  <c r="C36" i="105"/>
  <c r="A34" i="105"/>
  <c r="A92" i="18"/>
  <c r="A89" i="18"/>
  <c r="A49" i="18"/>
  <c r="A48" i="18"/>
  <c r="A45" i="18"/>
  <c r="A44" i="18"/>
  <c r="A41" i="18"/>
  <c r="A40" i="18"/>
  <c r="B37" i="18"/>
  <c r="C37" i="18"/>
  <c r="D37" i="18"/>
  <c r="E37" i="18"/>
  <c r="F37" i="18"/>
  <c r="A37" i="18"/>
  <c r="W178" i="71"/>
  <c r="X178" i="71"/>
  <c r="Y178" i="71"/>
  <c r="Z178" i="71"/>
  <c r="AA178" i="71"/>
  <c r="AB178" i="71"/>
  <c r="L178" i="71"/>
  <c r="M178" i="71"/>
  <c r="N178" i="71"/>
  <c r="O178" i="71"/>
  <c r="P178" i="71"/>
  <c r="Q178" i="71"/>
  <c r="A178" i="71"/>
  <c r="B178" i="71"/>
  <c r="C178" i="71"/>
  <c r="D178" i="71"/>
  <c r="E178" i="71"/>
  <c r="F178" i="71"/>
  <c r="X144" i="71"/>
  <c r="Y144" i="71"/>
  <c r="Z144" i="71"/>
  <c r="AA144" i="71"/>
  <c r="AB144" i="71"/>
  <c r="M144" i="71"/>
  <c r="N144" i="71"/>
  <c r="O144" i="71"/>
  <c r="P144" i="71"/>
  <c r="Q144" i="71"/>
  <c r="B144" i="71"/>
  <c r="C144" i="71"/>
  <c r="D144" i="71"/>
  <c r="E144" i="71"/>
  <c r="F144" i="71"/>
  <c r="N107" i="75" s="1"/>
  <c r="X107" i="71"/>
  <c r="Y107" i="71"/>
  <c r="Z107" i="71"/>
  <c r="AA107" i="71"/>
  <c r="AB107" i="71"/>
  <c r="AE107" i="71"/>
  <c r="M107" i="71"/>
  <c r="N107" i="71"/>
  <c r="O107" i="71"/>
  <c r="P107" i="71"/>
  <c r="Q107" i="71"/>
  <c r="T107" i="71"/>
  <c r="F107" i="71"/>
  <c r="B107" i="71"/>
  <c r="C107" i="71"/>
  <c r="D107" i="71"/>
  <c r="E107" i="71"/>
  <c r="I107" i="71"/>
  <c r="AE70" i="71"/>
  <c r="T70" i="71"/>
  <c r="I70" i="71"/>
  <c r="AD33" i="71"/>
  <c r="AD70" i="71" s="1"/>
  <c r="AD107" i="71" s="1"/>
  <c r="Y35" i="71"/>
  <c r="Y70" i="71" s="1"/>
  <c r="Z35" i="71"/>
  <c r="Z70" i="71" s="1"/>
  <c r="AA35" i="71"/>
  <c r="AA70" i="71" s="1"/>
  <c r="AB35" i="71"/>
  <c r="X35" i="71"/>
  <c r="X70" i="71" s="1"/>
  <c r="Q35" i="71"/>
  <c r="Q70" i="71" s="1"/>
  <c r="M35" i="71"/>
  <c r="M70" i="71" s="1"/>
  <c r="C35" i="71"/>
  <c r="D35" i="71"/>
  <c r="D70" i="71" s="1"/>
  <c r="E35" i="71"/>
  <c r="E70" i="71" s="1"/>
  <c r="F35" i="71"/>
  <c r="F70" i="71" s="1"/>
  <c r="B35" i="71"/>
  <c r="B70" i="71" s="1"/>
  <c r="N35" i="71"/>
  <c r="N70" i="71" s="1"/>
  <c r="O35" i="71"/>
  <c r="O70" i="71" s="1"/>
  <c r="P35" i="71"/>
  <c r="P70" i="71" s="1"/>
  <c r="S33" i="71"/>
  <c r="S70" i="71" s="1"/>
  <c r="S107" i="71" s="1"/>
  <c r="H33" i="71"/>
  <c r="H70" i="71" s="1"/>
  <c r="H107" i="71" s="1"/>
  <c r="W107" i="71"/>
  <c r="W33" i="71"/>
  <c r="W144" i="71" s="1"/>
  <c r="L33" i="71"/>
  <c r="L70" i="71" s="1"/>
  <c r="A33" i="71"/>
  <c r="A70" i="71" s="1"/>
  <c r="A1" i="78"/>
  <c r="A1" i="52"/>
  <c r="R36" i="105" l="1"/>
  <c r="AE33" i="79"/>
  <c r="X33" i="79"/>
  <c r="AF33" i="79"/>
  <c r="AH54" i="76"/>
  <c r="AI52" i="76"/>
  <c r="AH93" i="76"/>
  <c r="AH57" i="76"/>
  <c r="AH76" i="76"/>
  <c r="AH90" i="76"/>
  <c r="AH85" i="76"/>
  <c r="AH84" i="76"/>
  <c r="AH94" i="76"/>
  <c r="AH82" i="76"/>
  <c r="AH64" i="76"/>
  <c r="AH53" i="76"/>
  <c r="AH86" i="76"/>
  <c r="AH70" i="76"/>
  <c r="AH77" i="76"/>
  <c r="AH92" i="76"/>
  <c r="AH62" i="76"/>
  <c r="AH79" i="76"/>
  <c r="AH69" i="76"/>
  <c r="AH52" i="76"/>
  <c r="N69" i="80"/>
  <c r="O69" i="80" s="1"/>
  <c r="AH56" i="76"/>
  <c r="AH88" i="76"/>
  <c r="AH96" i="76"/>
  <c r="AH63" i="76"/>
  <c r="AH73" i="76"/>
  <c r="AH67" i="76"/>
  <c r="AH75" i="76"/>
  <c r="AH80" i="76"/>
  <c r="AH60" i="76"/>
  <c r="AH58" i="76"/>
  <c r="AH65" i="76"/>
  <c r="AH89" i="76"/>
  <c r="AH81" i="76"/>
  <c r="AH66" i="76"/>
  <c r="AH74" i="76"/>
  <c r="AH71" i="76"/>
  <c r="AD35" i="71"/>
  <c r="O36" i="105"/>
  <c r="AB33" i="79"/>
  <c r="AA33" i="79"/>
  <c r="AI62" i="76"/>
  <c r="AL79" i="76"/>
  <c r="AL73" i="76"/>
  <c r="AL88" i="76"/>
  <c r="L37" i="18"/>
  <c r="J37" i="18"/>
  <c r="Q36" i="105"/>
  <c r="AG33" i="79"/>
  <c r="AC33" i="79"/>
  <c r="Z33" i="79"/>
  <c r="Y33" i="79"/>
  <c r="AK73" i="76"/>
  <c r="AK84" i="76"/>
  <c r="AJ60" i="76"/>
  <c r="AJ70" i="76"/>
  <c r="AJ80" i="76"/>
  <c r="AJ90" i="76"/>
  <c r="AJ57" i="76"/>
  <c r="AJ66" i="76"/>
  <c r="AJ76" i="76"/>
  <c r="AJ86" i="76"/>
  <c r="AJ53" i="76"/>
  <c r="AJ63" i="76"/>
  <c r="AJ82" i="76"/>
  <c r="AJ93" i="76"/>
  <c r="AJ59" i="76"/>
  <c r="AJ79" i="76"/>
  <c r="AJ65" i="76"/>
  <c r="AJ75" i="76"/>
  <c r="AJ85" i="76"/>
  <c r="AJ96" i="76"/>
  <c r="AJ62" i="76"/>
  <c r="AJ71" i="76"/>
  <c r="AJ81" i="76"/>
  <c r="AJ58" i="76"/>
  <c r="AJ64" i="76"/>
  <c r="AJ94" i="76"/>
  <c r="AJ84" i="76"/>
  <c r="AJ54" i="76"/>
  <c r="AJ74" i="76"/>
  <c r="AJ88" i="76"/>
  <c r="AJ67" i="76"/>
  <c r="AJ89" i="76"/>
  <c r="AJ77" i="76"/>
  <c r="AJ56" i="76"/>
  <c r="AL56" i="76"/>
  <c r="AJ69" i="76"/>
  <c r="AJ92" i="76"/>
  <c r="AK92" i="76"/>
  <c r="AI57" i="76"/>
  <c r="AI66" i="76"/>
  <c r="AI76" i="76"/>
  <c r="AI86" i="76"/>
  <c r="AI53" i="76"/>
  <c r="AI63" i="76"/>
  <c r="AI82" i="76"/>
  <c r="AI93" i="76"/>
  <c r="AI59" i="76"/>
  <c r="AI79" i="76"/>
  <c r="AI89" i="76"/>
  <c r="AI56" i="76"/>
  <c r="AI65" i="76"/>
  <c r="AI75" i="76"/>
  <c r="AI71" i="76"/>
  <c r="AI81" i="76"/>
  <c r="AI58" i="76"/>
  <c r="AI67" i="76"/>
  <c r="AI77" i="76"/>
  <c r="AI88" i="76"/>
  <c r="AI54" i="76"/>
  <c r="AI80" i="76"/>
  <c r="AI94" i="76"/>
  <c r="AI96" i="76"/>
  <c r="AI85" i="76"/>
  <c r="AI64" i="76"/>
  <c r="AI74" i="76"/>
  <c r="AI60" i="76"/>
  <c r="AI70" i="76"/>
  <c r="AI90" i="76"/>
  <c r="AJ73" i="76"/>
  <c r="AK54" i="76"/>
  <c r="AK64" i="76"/>
  <c r="AK74" i="76"/>
  <c r="AK94" i="76"/>
  <c r="AK60" i="76"/>
  <c r="AK70" i="76"/>
  <c r="AK80" i="76"/>
  <c r="AK90" i="76"/>
  <c r="AK57" i="76"/>
  <c r="AK66" i="76"/>
  <c r="AK76" i="76"/>
  <c r="AK86" i="76"/>
  <c r="AK53" i="76"/>
  <c r="AK63" i="76"/>
  <c r="AK59" i="76"/>
  <c r="AK89" i="76"/>
  <c r="AK65" i="76"/>
  <c r="AK75" i="76"/>
  <c r="AK85" i="76"/>
  <c r="AK96" i="76"/>
  <c r="AK62" i="76"/>
  <c r="AK93" i="76"/>
  <c r="AK82" i="76"/>
  <c r="AK58" i="76"/>
  <c r="AK81" i="76"/>
  <c r="AK88" i="76"/>
  <c r="AK67" i="76"/>
  <c r="AK77" i="76"/>
  <c r="AK71" i="76"/>
  <c r="AK56" i="76"/>
  <c r="AL58" i="76"/>
  <c r="AL67" i="76"/>
  <c r="AL77" i="76"/>
  <c r="AL54" i="76"/>
  <c r="AL64" i="76"/>
  <c r="AL74" i="76"/>
  <c r="AL94" i="76"/>
  <c r="AL60" i="76"/>
  <c r="AL70" i="76"/>
  <c r="AL80" i="76"/>
  <c r="AL90" i="76"/>
  <c r="AL57" i="76"/>
  <c r="AL66" i="76"/>
  <c r="AL76" i="76"/>
  <c r="AL53" i="76"/>
  <c r="AL63" i="76"/>
  <c r="AL82" i="76"/>
  <c r="AL93" i="76"/>
  <c r="AL59" i="76"/>
  <c r="AL69" i="76"/>
  <c r="AL89" i="76"/>
  <c r="AL71" i="76"/>
  <c r="AL62" i="76"/>
  <c r="AL96" i="76"/>
  <c r="AL52" i="76"/>
  <c r="AL65" i="76"/>
  <c r="AL86" i="76"/>
  <c r="AL92" i="76"/>
  <c r="AL81" i="76"/>
  <c r="AL75" i="76"/>
  <c r="AL85" i="76"/>
  <c r="AK79" i="76"/>
  <c r="AK69" i="76"/>
  <c r="AI69" i="76"/>
  <c r="AI73" i="76"/>
  <c r="AI92" i="76"/>
  <c r="H37" i="18"/>
  <c r="N33" i="80"/>
  <c r="O33" i="80" s="1"/>
  <c r="L33" i="80"/>
  <c r="AD33" i="79"/>
  <c r="AB70" i="71"/>
  <c r="B146" i="71"/>
  <c r="H35" i="71"/>
  <c r="P64" i="31" s="1"/>
  <c r="K37" i="18"/>
  <c r="B180" i="71"/>
  <c r="P62" i="31"/>
  <c r="J33" i="71"/>
  <c r="W107" i="78"/>
  <c r="AS107" i="78" s="1"/>
  <c r="BO107" i="78" s="1"/>
  <c r="CK107" i="78" s="1"/>
  <c r="L107" i="78"/>
  <c r="AH107" i="78" s="1"/>
  <c r="BD107" i="78" s="1"/>
  <c r="BZ107" i="78" s="1"/>
  <c r="W70" i="78"/>
  <c r="AS70" i="78" s="1"/>
  <c r="BO70" i="78" s="1"/>
  <c r="CK70" i="78" s="1"/>
  <c r="L70" i="78"/>
  <c r="AH70" i="78" s="1"/>
  <c r="BD70" i="78" s="1"/>
  <c r="BZ70" i="78" s="1"/>
  <c r="I37" i="18"/>
  <c r="C70" i="71"/>
  <c r="S35" i="71"/>
  <c r="L144" i="71"/>
  <c r="W70" i="71"/>
  <c r="A144" i="71"/>
  <c r="A107" i="71"/>
  <c r="L107" i="71"/>
  <c r="I7" i="11" a="1"/>
  <c r="I8" i="11" s="1"/>
  <c r="H72" i="71" l="1"/>
  <c r="H109" i="71" s="1"/>
  <c r="Q62" i="31"/>
  <c r="J70" i="71"/>
  <c r="J107" i="71" s="1"/>
  <c r="I7" i="11"/>
  <c r="I12" i="11"/>
  <c r="I11" i="11"/>
  <c r="I10" i="11"/>
  <c r="I9" i="11"/>
  <c r="AD7" i="49"/>
  <c r="AB82" i="49"/>
  <c r="Z82" i="49"/>
  <c r="Y82" i="49"/>
  <c r="AD8" i="49"/>
  <c r="AD9" i="49"/>
  <c r="AD10" i="49"/>
  <c r="AD11" i="49"/>
  <c r="AD12" i="49"/>
  <c r="AD13" i="49"/>
  <c r="AD14" i="49"/>
  <c r="AD15" i="49"/>
  <c r="AD16" i="49"/>
  <c r="AD17" i="49"/>
  <c r="AD18" i="49"/>
  <c r="AD19" i="49"/>
  <c r="AD20" i="49"/>
  <c r="AD21" i="49"/>
  <c r="AD22" i="49"/>
  <c r="AD23" i="49"/>
  <c r="AD24" i="49"/>
  <c r="AD25" i="49"/>
  <c r="AD26" i="49"/>
  <c r="AD27" i="49"/>
  <c r="AD28" i="49"/>
  <c r="AD29" i="49"/>
  <c r="AD30" i="49"/>
  <c r="AD31" i="49"/>
  <c r="AD32" i="49"/>
  <c r="AD33" i="49"/>
  <c r="AD34" i="49"/>
  <c r="AD35" i="49"/>
  <c r="AD36" i="49"/>
  <c r="AD37" i="49"/>
  <c r="AD38" i="49"/>
  <c r="AD39" i="49"/>
  <c r="AD40" i="49"/>
  <c r="AD41" i="49"/>
  <c r="AD42" i="49"/>
  <c r="AD43" i="49"/>
  <c r="AD44" i="49"/>
  <c r="AD45" i="49"/>
  <c r="AD46" i="49"/>
  <c r="AD47" i="49"/>
  <c r="AD48" i="49"/>
  <c r="AD49" i="49"/>
  <c r="AD50" i="49"/>
  <c r="AD51" i="49"/>
  <c r="AD52" i="49"/>
  <c r="AD53" i="49"/>
  <c r="AD54" i="49"/>
  <c r="AD55" i="49"/>
  <c r="AD56" i="49"/>
  <c r="AD57" i="49"/>
  <c r="AD58" i="49"/>
  <c r="AD59" i="49"/>
  <c r="AD60" i="49"/>
  <c r="AD61" i="49"/>
  <c r="AD62" i="49"/>
  <c r="AD63" i="49"/>
  <c r="AD64" i="49"/>
  <c r="AD65" i="49"/>
  <c r="AD66" i="49"/>
  <c r="AD67" i="49"/>
  <c r="AD68" i="49"/>
  <c r="AD69" i="49"/>
  <c r="AD70" i="49"/>
  <c r="AD71" i="49"/>
  <c r="AD72" i="49"/>
  <c r="AD73" i="49"/>
  <c r="AD74" i="49"/>
  <c r="AD75" i="49"/>
  <c r="AD76" i="49"/>
  <c r="AD77" i="49"/>
  <c r="AD78" i="49"/>
  <c r="AD79" i="49"/>
  <c r="AD80" i="49"/>
  <c r="AD81" i="49"/>
  <c r="AA8" i="49"/>
  <c r="AC8" i="49" s="1"/>
  <c r="AA9" i="49"/>
  <c r="AC9" i="49" s="1"/>
  <c r="AA10" i="49"/>
  <c r="AC10" i="49" s="1"/>
  <c r="AA11" i="49"/>
  <c r="AC11" i="49" s="1"/>
  <c r="AA12" i="49"/>
  <c r="AC12" i="49" s="1"/>
  <c r="AA13" i="49"/>
  <c r="AC13" i="49" s="1"/>
  <c r="AA14" i="49"/>
  <c r="AC14" i="49" s="1"/>
  <c r="AA15" i="49"/>
  <c r="AC15" i="49" s="1"/>
  <c r="AA16" i="49"/>
  <c r="AC16" i="49" s="1"/>
  <c r="AA17" i="49"/>
  <c r="AC17" i="49" s="1"/>
  <c r="AA18" i="49"/>
  <c r="AC18" i="49" s="1"/>
  <c r="AA19" i="49"/>
  <c r="AC19" i="49" s="1"/>
  <c r="AA20" i="49"/>
  <c r="AC20" i="49" s="1"/>
  <c r="AA21" i="49"/>
  <c r="AC21" i="49" s="1"/>
  <c r="AA22" i="49"/>
  <c r="AC22" i="49" s="1"/>
  <c r="AA23" i="49"/>
  <c r="AC23" i="49" s="1"/>
  <c r="AA24" i="49"/>
  <c r="AC24" i="49" s="1"/>
  <c r="AA25" i="49"/>
  <c r="AC25" i="49" s="1"/>
  <c r="AA26" i="49"/>
  <c r="AC26" i="49" s="1"/>
  <c r="AA27" i="49"/>
  <c r="AC27" i="49" s="1"/>
  <c r="AA28" i="49"/>
  <c r="AC28" i="49" s="1"/>
  <c r="AA29" i="49"/>
  <c r="AC29" i="49" s="1"/>
  <c r="AA30" i="49"/>
  <c r="AC30" i="49" s="1"/>
  <c r="AA31" i="49"/>
  <c r="AC31" i="49" s="1"/>
  <c r="AA32" i="49"/>
  <c r="AC32" i="49" s="1"/>
  <c r="AA33" i="49"/>
  <c r="AC33" i="49" s="1"/>
  <c r="AA34" i="49"/>
  <c r="AC34" i="49" s="1"/>
  <c r="AA35" i="49"/>
  <c r="AC35" i="49" s="1"/>
  <c r="AA36" i="49"/>
  <c r="AC36" i="49" s="1"/>
  <c r="AA37" i="49"/>
  <c r="AC37" i="49" s="1"/>
  <c r="AA38" i="49"/>
  <c r="AC38" i="49" s="1"/>
  <c r="AA39" i="49"/>
  <c r="AC39" i="49" s="1"/>
  <c r="AA40" i="49"/>
  <c r="AC40" i="49" s="1"/>
  <c r="AA41" i="49"/>
  <c r="AC41" i="49" s="1"/>
  <c r="AA42" i="49"/>
  <c r="AC42" i="49" s="1"/>
  <c r="AA43" i="49"/>
  <c r="AC43" i="49" s="1"/>
  <c r="AA44" i="49"/>
  <c r="AC44" i="49" s="1"/>
  <c r="AA45" i="49"/>
  <c r="AC45" i="49" s="1"/>
  <c r="AA46" i="49"/>
  <c r="AC46" i="49" s="1"/>
  <c r="AA47" i="49"/>
  <c r="AC47" i="49" s="1"/>
  <c r="AA48" i="49"/>
  <c r="AC48" i="49" s="1"/>
  <c r="AA49" i="49"/>
  <c r="AC49" i="49" s="1"/>
  <c r="AA50" i="49"/>
  <c r="AC50" i="49" s="1"/>
  <c r="AA51" i="49"/>
  <c r="AC51" i="49" s="1"/>
  <c r="AA52" i="49"/>
  <c r="AC52" i="49" s="1"/>
  <c r="AA53" i="49"/>
  <c r="AC53" i="49" s="1"/>
  <c r="AA54" i="49"/>
  <c r="AC54" i="49" s="1"/>
  <c r="AA55" i="49"/>
  <c r="AC55" i="49" s="1"/>
  <c r="AA56" i="49"/>
  <c r="AC56" i="49" s="1"/>
  <c r="AA57" i="49"/>
  <c r="AC57" i="49" s="1"/>
  <c r="AA58" i="49"/>
  <c r="AC58" i="49" s="1"/>
  <c r="AA59" i="49"/>
  <c r="AC59" i="49" s="1"/>
  <c r="AA60" i="49"/>
  <c r="AC60" i="49" s="1"/>
  <c r="AA61" i="49"/>
  <c r="AC61" i="49" s="1"/>
  <c r="AA62" i="49"/>
  <c r="AC62" i="49" s="1"/>
  <c r="AA63" i="49"/>
  <c r="AC63" i="49" s="1"/>
  <c r="AA64" i="49"/>
  <c r="AC64" i="49" s="1"/>
  <c r="AA65" i="49"/>
  <c r="AC65" i="49" s="1"/>
  <c r="AA66" i="49"/>
  <c r="AC66" i="49" s="1"/>
  <c r="AA67" i="49"/>
  <c r="AC67" i="49" s="1"/>
  <c r="AA68" i="49"/>
  <c r="AC68" i="49" s="1"/>
  <c r="AA69" i="49"/>
  <c r="AC69" i="49" s="1"/>
  <c r="AA70" i="49"/>
  <c r="AC70" i="49" s="1"/>
  <c r="AA71" i="49"/>
  <c r="AC71" i="49" s="1"/>
  <c r="AA72" i="49"/>
  <c r="AC72" i="49" s="1"/>
  <c r="AA73" i="49"/>
  <c r="AC73" i="49" s="1"/>
  <c r="AA74" i="49"/>
  <c r="AC74" i="49" s="1"/>
  <c r="AA75" i="49"/>
  <c r="AC75" i="49" s="1"/>
  <c r="AA76" i="49"/>
  <c r="AC76" i="49" s="1"/>
  <c r="AA77" i="49"/>
  <c r="AC77" i="49" s="1"/>
  <c r="AA78" i="49"/>
  <c r="AC78" i="49" s="1"/>
  <c r="AA79" i="49"/>
  <c r="AC79" i="49" s="1"/>
  <c r="AA80" i="49"/>
  <c r="AC80" i="49" s="1"/>
  <c r="AC81" i="49"/>
  <c r="AA7" i="49"/>
  <c r="AC7" i="49" s="1"/>
  <c r="AD6" i="49"/>
  <c r="X82" i="49"/>
  <c r="X75" i="49"/>
  <c r="X76" i="49"/>
  <c r="X77" i="49"/>
  <c r="X78" i="49"/>
  <c r="X79" i="49"/>
  <c r="X80" i="49"/>
  <c r="X81" i="49"/>
  <c r="X63" i="49"/>
  <c r="X64" i="49"/>
  <c r="X65" i="49"/>
  <c r="X66" i="49"/>
  <c r="X67" i="49"/>
  <c r="X68" i="49"/>
  <c r="X69" i="49"/>
  <c r="X70" i="49"/>
  <c r="X71" i="49"/>
  <c r="X72" i="49"/>
  <c r="X73" i="49"/>
  <c r="X74" i="49"/>
  <c r="X55" i="49"/>
  <c r="X56" i="49"/>
  <c r="X57" i="49"/>
  <c r="X58" i="49"/>
  <c r="X59" i="49"/>
  <c r="X60" i="49"/>
  <c r="X61" i="49"/>
  <c r="X62" i="49"/>
  <c r="X42" i="49"/>
  <c r="X43" i="49"/>
  <c r="X44" i="49"/>
  <c r="X45" i="49"/>
  <c r="X46" i="49"/>
  <c r="X47" i="49"/>
  <c r="X48" i="49"/>
  <c r="X49" i="49"/>
  <c r="X50" i="49"/>
  <c r="X51" i="49"/>
  <c r="X52" i="49"/>
  <c r="X53" i="49"/>
  <c r="X54" i="49"/>
  <c r="X8" i="49"/>
  <c r="X9" i="49"/>
  <c r="X10" i="49"/>
  <c r="X11" i="49"/>
  <c r="X12" i="49"/>
  <c r="X13" i="49"/>
  <c r="X14" i="49"/>
  <c r="X15" i="49"/>
  <c r="X16" i="49"/>
  <c r="X17" i="49"/>
  <c r="X18" i="49"/>
  <c r="X19" i="49"/>
  <c r="X20" i="49"/>
  <c r="X21" i="49"/>
  <c r="X22" i="49"/>
  <c r="X23" i="49"/>
  <c r="X24" i="49"/>
  <c r="X25" i="49"/>
  <c r="X26" i="49"/>
  <c r="X27" i="49"/>
  <c r="X28" i="49"/>
  <c r="X29" i="49"/>
  <c r="X30" i="49"/>
  <c r="X31" i="49"/>
  <c r="X32" i="49"/>
  <c r="X33" i="49"/>
  <c r="X34" i="49"/>
  <c r="X35" i="49"/>
  <c r="X36" i="49"/>
  <c r="X37" i="49"/>
  <c r="X38" i="49"/>
  <c r="X39" i="49"/>
  <c r="X40" i="49"/>
  <c r="X41" i="49"/>
  <c r="X7" i="49"/>
  <c r="I14" i="11" l="1"/>
  <c r="AA82" i="49"/>
  <c r="AC82" i="49" s="1"/>
  <c r="AD82" i="49"/>
  <c r="L163" i="75"/>
  <c r="L154" i="75"/>
  <c r="L155" i="75"/>
  <c r="L156" i="75"/>
  <c r="L157" i="75"/>
  <c r="L158" i="75"/>
  <c r="L159" i="75"/>
  <c r="L160" i="75"/>
  <c r="L161" i="75"/>
  <c r="L153" i="75"/>
  <c r="AF33" i="71" l="1"/>
  <c r="AF70" i="71" s="1"/>
  <c r="AF107" i="71" s="1"/>
  <c r="U33" i="71"/>
  <c r="U70" i="71" s="1"/>
  <c r="U107" i="71" s="1"/>
  <c r="AE9" i="71"/>
  <c r="AE10" i="71"/>
  <c r="AE11" i="71"/>
  <c r="AE12" i="71"/>
  <c r="AE13" i="71"/>
  <c r="AE14" i="71"/>
  <c r="AE15" i="71"/>
  <c r="AE16" i="71"/>
  <c r="AE17" i="71"/>
  <c r="AE18" i="71"/>
  <c r="AE19" i="71"/>
  <c r="AE20" i="71"/>
  <c r="AE21" i="71"/>
  <c r="AE22" i="71"/>
  <c r="AE23" i="71"/>
  <c r="AE24" i="71"/>
  <c r="AE25" i="71"/>
  <c r="AE26" i="71"/>
  <c r="AE27" i="71"/>
  <c r="AE28" i="71"/>
  <c r="AE29" i="71"/>
  <c r="AE30" i="71"/>
  <c r="AE31" i="71"/>
  <c r="AE32" i="71"/>
  <c r="AE8" i="71"/>
  <c r="T9" i="71"/>
  <c r="T10" i="71"/>
  <c r="T11" i="71"/>
  <c r="T12" i="71"/>
  <c r="T13" i="71"/>
  <c r="T14" i="71"/>
  <c r="T15" i="71"/>
  <c r="T16" i="71"/>
  <c r="T17" i="71"/>
  <c r="T18" i="71"/>
  <c r="T19" i="71"/>
  <c r="T20" i="71"/>
  <c r="T21" i="71"/>
  <c r="T22" i="71"/>
  <c r="T23" i="71"/>
  <c r="T24" i="71"/>
  <c r="T25" i="71"/>
  <c r="T26" i="71"/>
  <c r="T27" i="71"/>
  <c r="T28" i="71"/>
  <c r="T29" i="71"/>
  <c r="T30" i="71"/>
  <c r="T31" i="71"/>
  <c r="T32" i="71"/>
  <c r="T8" i="71"/>
  <c r="P62" i="49"/>
  <c r="P60" i="49"/>
  <c r="P59" i="49"/>
  <c r="P58" i="49"/>
  <c r="P57" i="49"/>
  <c r="P56" i="49"/>
  <c r="P55" i="49"/>
  <c r="P54" i="49"/>
  <c r="P53" i="49"/>
  <c r="P52" i="49"/>
  <c r="P51" i="49"/>
  <c r="P50" i="49"/>
  <c r="P49" i="49"/>
  <c r="P48" i="49"/>
  <c r="P47" i="49"/>
  <c r="P46" i="49"/>
  <c r="P45" i="49"/>
  <c r="P44" i="49"/>
  <c r="P43" i="49"/>
  <c r="P42" i="49"/>
  <c r="P41" i="49"/>
  <c r="P40" i="49"/>
  <c r="P39" i="49"/>
  <c r="P38" i="49"/>
  <c r="P37" i="49"/>
  <c r="P36" i="49"/>
  <c r="P33" i="49"/>
  <c r="P31" i="49"/>
  <c r="P30" i="49"/>
  <c r="P29" i="49"/>
  <c r="P28" i="49"/>
  <c r="P27" i="49"/>
  <c r="P26" i="49"/>
  <c r="P25" i="49"/>
  <c r="P24" i="49"/>
  <c r="P23" i="49"/>
  <c r="P22" i="49"/>
  <c r="P21" i="49"/>
  <c r="P20" i="49"/>
  <c r="P19" i="49"/>
  <c r="P18" i="49"/>
  <c r="P17" i="49"/>
  <c r="P16" i="49"/>
  <c r="P15" i="49"/>
  <c r="P14" i="49"/>
  <c r="P13" i="49"/>
  <c r="P12" i="49"/>
  <c r="P11" i="49"/>
  <c r="P10" i="49"/>
  <c r="P9" i="49"/>
  <c r="P8" i="49"/>
  <c r="P7" i="49"/>
  <c r="V60" i="49"/>
  <c r="S60" i="49"/>
  <c r="U60" i="49" s="1"/>
  <c r="V59" i="49"/>
  <c r="S59" i="49"/>
  <c r="U59" i="49" s="1"/>
  <c r="V58" i="49"/>
  <c r="S58" i="49"/>
  <c r="U58" i="49" s="1"/>
  <c r="V57" i="49"/>
  <c r="S57" i="49"/>
  <c r="U57" i="49" s="1"/>
  <c r="V56" i="49"/>
  <c r="S56" i="49"/>
  <c r="U56" i="49" s="1"/>
  <c r="V55" i="49"/>
  <c r="S55" i="49"/>
  <c r="U55" i="49" s="1"/>
  <c r="V54" i="49"/>
  <c r="S54" i="49"/>
  <c r="U54" i="49" s="1"/>
  <c r="V53" i="49"/>
  <c r="S53" i="49"/>
  <c r="U53" i="49" s="1"/>
  <c r="V52" i="49"/>
  <c r="S52" i="49"/>
  <c r="U52" i="49" s="1"/>
  <c r="V51" i="49"/>
  <c r="S51" i="49"/>
  <c r="U51" i="49" s="1"/>
  <c r="V50" i="49"/>
  <c r="S50" i="49"/>
  <c r="U50" i="49" s="1"/>
  <c r="S49" i="49"/>
  <c r="U49" i="49" s="1"/>
  <c r="V48" i="49"/>
  <c r="S48" i="49"/>
  <c r="U48" i="49" s="1"/>
  <c r="V47" i="49"/>
  <c r="S47" i="49"/>
  <c r="U47" i="49" s="1"/>
  <c r="V46" i="49"/>
  <c r="S46" i="49"/>
  <c r="U46" i="49" s="1"/>
  <c r="V45" i="49"/>
  <c r="S45" i="49"/>
  <c r="U45" i="49" s="1"/>
  <c r="V44" i="49"/>
  <c r="S44" i="49"/>
  <c r="U44" i="49" s="1"/>
  <c r="V43" i="49"/>
  <c r="S43" i="49"/>
  <c r="U43" i="49" s="1"/>
  <c r="V42" i="49"/>
  <c r="S42" i="49"/>
  <c r="U42" i="49" s="1"/>
  <c r="V41" i="49"/>
  <c r="S41" i="49"/>
  <c r="U41" i="49" s="1"/>
  <c r="V40" i="49"/>
  <c r="S40" i="49"/>
  <c r="U40" i="49" s="1"/>
  <c r="V39" i="49"/>
  <c r="S39" i="49"/>
  <c r="U39" i="49" s="1"/>
  <c r="V38" i="49"/>
  <c r="S38" i="49"/>
  <c r="U38" i="49" s="1"/>
  <c r="V37" i="49"/>
  <c r="S37" i="49"/>
  <c r="U37" i="49" s="1"/>
  <c r="V36" i="49"/>
  <c r="S36" i="49"/>
  <c r="U36" i="49" s="1"/>
  <c r="V31" i="49"/>
  <c r="S31" i="49"/>
  <c r="U31" i="49" s="1"/>
  <c r="V30" i="49"/>
  <c r="S30" i="49"/>
  <c r="U30" i="49" s="1"/>
  <c r="V29" i="49"/>
  <c r="S29" i="49"/>
  <c r="U29" i="49" s="1"/>
  <c r="V28" i="49"/>
  <c r="S28" i="49"/>
  <c r="U28" i="49" s="1"/>
  <c r="V27" i="49"/>
  <c r="S27" i="49"/>
  <c r="U27" i="49" s="1"/>
  <c r="V26" i="49"/>
  <c r="S26" i="49"/>
  <c r="U26" i="49" s="1"/>
  <c r="V25" i="49"/>
  <c r="S25" i="49"/>
  <c r="U25" i="49" s="1"/>
  <c r="V24" i="49"/>
  <c r="S24" i="49"/>
  <c r="U24" i="49" s="1"/>
  <c r="V23" i="49"/>
  <c r="S23" i="49"/>
  <c r="U23" i="49" s="1"/>
  <c r="V22" i="49"/>
  <c r="S22" i="49"/>
  <c r="U22" i="49" s="1"/>
  <c r="V21" i="49"/>
  <c r="S21" i="49"/>
  <c r="U21" i="49" s="1"/>
  <c r="V20" i="49"/>
  <c r="S20" i="49"/>
  <c r="U20" i="49" s="1"/>
  <c r="V19" i="49"/>
  <c r="S19" i="49"/>
  <c r="U19" i="49" s="1"/>
  <c r="V18" i="49"/>
  <c r="S18" i="49"/>
  <c r="U18" i="49" s="1"/>
  <c r="V17" i="49"/>
  <c r="S17" i="49"/>
  <c r="U17" i="49" s="1"/>
  <c r="V16" i="49"/>
  <c r="S16" i="49"/>
  <c r="U16" i="49" s="1"/>
  <c r="V15" i="49"/>
  <c r="S15" i="49"/>
  <c r="U15" i="49" s="1"/>
  <c r="V14" i="49"/>
  <c r="S14" i="49"/>
  <c r="U14" i="49" s="1"/>
  <c r="V13" i="49"/>
  <c r="S13" i="49"/>
  <c r="U13" i="49" s="1"/>
  <c r="V12" i="49"/>
  <c r="S12" i="49"/>
  <c r="U12" i="49" s="1"/>
  <c r="V11" i="49"/>
  <c r="S11" i="49"/>
  <c r="U11" i="49" s="1"/>
  <c r="V10" i="49"/>
  <c r="S10" i="49"/>
  <c r="U10" i="49" s="1"/>
  <c r="V9" i="49"/>
  <c r="S9" i="49"/>
  <c r="U9" i="49" s="1"/>
  <c r="V8" i="49"/>
  <c r="S8" i="49"/>
  <c r="U8" i="49" s="1"/>
  <c r="V7" i="49"/>
  <c r="S7" i="49"/>
  <c r="U7" i="49" s="1"/>
  <c r="V6" i="49"/>
  <c r="U6" i="49"/>
  <c r="T6" i="49"/>
  <c r="S6" i="49"/>
  <c r="R6" i="49"/>
  <c r="Q6" i="49"/>
  <c r="T8" i="16" l="1" a="1"/>
  <c r="AE8" i="16" a="1"/>
  <c r="T35" i="71"/>
  <c r="AE35" i="71"/>
  <c r="V33" i="49"/>
  <c r="M83" i="75"/>
  <c r="M84" i="75"/>
  <c r="M85" i="75"/>
  <c r="M86" i="75"/>
  <c r="M87" i="75"/>
  <c r="M88" i="75"/>
  <c r="M89" i="75"/>
  <c r="M90" i="75"/>
  <c r="M91" i="75"/>
  <c r="M92" i="75"/>
  <c r="M93" i="75"/>
  <c r="M94" i="75"/>
  <c r="M95" i="75"/>
  <c r="M96" i="75"/>
  <c r="M97" i="75"/>
  <c r="M98" i="75"/>
  <c r="M99" i="75"/>
  <c r="M100" i="75"/>
  <c r="M101" i="75"/>
  <c r="M102" i="75"/>
  <c r="M103" i="75"/>
  <c r="M104" i="75"/>
  <c r="M105" i="75"/>
  <c r="M106" i="75"/>
  <c r="M82" i="75"/>
  <c r="L109" i="75"/>
  <c r="L83" i="75"/>
  <c r="L84" i="75"/>
  <c r="L85" i="75"/>
  <c r="L86" i="75"/>
  <c r="L87" i="75"/>
  <c r="L88" i="75"/>
  <c r="L89" i="75"/>
  <c r="L90" i="75"/>
  <c r="L91" i="75"/>
  <c r="L92" i="75"/>
  <c r="L93" i="75"/>
  <c r="L94" i="75"/>
  <c r="L95" i="75"/>
  <c r="L96" i="75"/>
  <c r="L97" i="75"/>
  <c r="L98" i="75"/>
  <c r="L99" i="75"/>
  <c r="L100" i="75"/>
  <c r="L101" i="75"/>
  <c r="L102" i="75"/>
  <c r="L103" i="75"/>
  <c r="L104" i="75"/>
  <c r="L105" i="75"/>
  <c r="L106" i="75"/>
  <c r="L82" i="75"/>
  <c r="AE8" i="16" l="1"/>
  <c r="AE9" i="16"/>
  <c r="AE15" i="16"/>
  <c r="AE12" i="16"/>
  <c r="AE16" i="16"/>
  <c r="AE14" i="16"/>
  <c r="AE13" i="16"/>
  <c r="AE11" i="16"/>
  <c r="AE10" i="16"/>
  <c r="T8" i="16"/>
  <c r="T14" i="16"/>
  <c r="T15" i="16"/>
  <c r="T13" i="16"/>
  <c r="T12" i="16"/>
  <c r="T10" i="16"/>
  <c r="T11" i="16"/>
  <c r="T9" i="16"/>
  <c r="T16" i="16"/>
  <c r="AB180" i="71"/>
  <c r="AA180" i="71"/>
  <c r="Z180" i="71"/>
  <c r="Y180" i="71"/>
  <c r="X180" i="71"/>
  <c r="AB177" i="71"/>
  <c r="AA177" i="71"/>
  <c r="Z177" i="71"/>
  <c r="Y177" i="71"/>
  <c r="X177" i="71"/>
  <c r="AB176" i="71"/>
  <c r="AA176" i="71"/>
  <c r="Z176" i="71"/>
  <c r="Y176" i="71"/>
  <c r="X176" i="71"/>
  <c r="AB175" i="71"/>
  <c r="AA175" i="71"/>
  <c r="Z175" i="71"/>
  <c r="Y175" i="71"/>
  <c r="X175" i="71"/>
  <c r="AB174" i="71"/>
  <c r="AA174" i="71"/>
  <c r="Z174" i="71"/>
  <c r="Y174" i="71"/>
  <c r="X174" i="71"/>
  <c r="AB173" i="71"/>
  <c r="AA173" i="71"/>
  <c r="Z173" i="71"/>
  <c r="Y173" i="71"/>
  <c r="X173" i="71"/>
  <c r="AB172" i="71"/>
  <c r="AA172" i="71"/>
  <c r="Z172" i="71"/>
  <c r="Y172" i="71"/>
  <c r="X172" i="71"/>
  <c r="AB171" i="71"/>
  <c r="AA171" i="71"/>
  <c r="Z171" i="71"/>
  <c r="Y171" i="71"/>
  <c r="X171" i="71"/>
  <c r="AB170" i="71"/>
  <c r="AA170" i="71"/>
  <c r="Z170" i="71"/>
  <c r="Y170" i="71"/>
  <c r="X170" i="71"/>
  <c r="AB169" i="71"/>
  <c r="AA169" i="71"/>
  <c r="Z169" i="71"/>
  <c r="Y169" i="71"/>
  <c r="X169" i="71"/>
  <c r="AB168" i="71"/>
  <c r="AA168" i="71"/>
  <c r="Z168" i="71"/>
  <c r="Y168" i="71"/>
  <c r="X168" i="71"/>
  <c r="AB167" i="71"/>
  <c r="AA167" i="71"/>
  <c r="Z167" i="71"/>
  <c r="Y167" i="71"/>
  <c r="X167" i="71"/>
  <c r="AB166" i="71"/>
  <c r="AA166" i="71"/>
  <c r="Z166" i="71"/>
  <c r="Y166" i="71"/>
  <c r="X166" i="71"/>
  <c r="AB165" i="71"/>
  <c r="AA165" i="71"/>
  <c r="Z165" i="71"/>
  <c r="Y165" i="71"/>
  <c r="X165" i="71"/>
  <c r="AB164" i="71"/>
  <c r="AA164" i="71"/>
  <c r="Z164" i="71"/>
  <c r="Y164" i="71"/>
  <c r="X164" i="71"/>
  <c r="AB163" i="71"/>
  <c r="AA163" i="71"/>
  <c r="Z163" i="71"/>
  <c r="Y163" i="71"/>
  <c r="X163" i="71"/>
  <c r="AB162" i="71"/>
  <c r="AA162" i="71"/>
  <c r="Z162" i="71"/>
  <c r="Y162" i="71"/>
  <c r="X162" i="71"/>
  <c r="AB161" i="71"/>
  <c r="AA161" i="71"/>
  <c r="Z161" i="71"/>
  <c r="Y161" i="71"/>
  <c r="X161" i="71"/>
  <c r="AB160" i="71"/>
  <c r="AA160" i="71"/>
  <c r="Z160" i="71"/>
  <c r="Y160" i="71"/>
  <c r="X160" i="71"/>
  <c r="AB159" i="71"/>
  <c r="AA159" i="71"/>
  <c r="Z159" i="71"/>
  <c r="Y159" i="71"/>
  <c r="X159" i="71"/>
  <c r="AB158" i="71"/>
  <c r="AA158" i="71"/>
  <c r="Z158" i="71"/>
  <c r="Y158" i="71"/>
  <c r="X158" i="71"/>
  <c r="AB157" i="71"/>
  <c r="AA157" i="71"/>
  <c r="Z157" i="71"/>
  <c r="Y157" i="71"/>
  <c r="X157" i="71"/>
  <c r="AB156" i="71"/>
  <c r="AA156" i="71"/>
  <c r="Z156" i="71"/>
  <c r="Y156" i="71"/>
  <c r="X156" i="71"/>
  <c r="AB155" i="71"/>
  <c r="AA155" i="71"/>
  <c r="Z155" i="71"/>
  <c r="Y155" i="71"/>
  <c r="X155" i="71"/>
  <c r="AB154" i="71"/>
  <c r="AA154" i="71"/>
  <c r="Z154" i="71"/>
  <c r="Y154" i="71"/>
  <c r="X154" i="71"/>
  <c r="AB153" i="71"/>
  <c r="AA153" i="71"/>
  <c r="Z153" i="71"/>
  <c r="Y153" i="71"/>
  <c r="X153" i="71"/>
  <c r="AE151" i="71"/>
  <c r="AD151" i="71"/>
  <c r="AB151" i="71"/>
  <c r="AA151" i="71"/>
  <c r="Z151" i="71"/>
  <c r="Y151" i="71"/>
  <c r="X151" i="71"/>
  <c r="Q180" i="71"/>
  <c r="P180" i="71"/>
  <c r="O180" i="71"/>
  <c r="N180" i="71"/>
  <c r="M180" i="71"/>
  <c r="Q177" i="71"/>
  <c r="P177" i="71"/>
  <c r="O177" i="71"/>
  <c r="N177" i="71"/>
  <c r="M177" i="71"/>
  <c r="Q176" i="71"/>
  <c r="P176" i="71"/>
  <c r="O176" i="71"/>
  <c r="N176" i="71"/>
  <c r="M176" i="71"/>
  <c r="Q175" i="71"/>
  <c r="P175" i="71"/>
  <c r="O175" i="71"/>
  <c r="N175" i="71"/>
  <c r="M175" i="71"/>
  <c r="Q174" i="71"/>
  <c r="P174" i="71"/>
  <c r="O174" i="71"/>
  <c r="N174" i="71"/>
  <c r="M174" i="71"/>
  <c r="Q173" i="71"/>
  <c r="P173" i="71"/>
  <c r="O173" i="71"/>
  <c r="N173" i="71"/>
  <c r="M173" i="71"/>
  <c r="Q172" i="71"/>
  <c r="P172" i="71"/>
  <c r="O172" i="71"/>
  <c r="N172" i="71"/>
  <c r="M172" i="71"/>
  <c r="Q171" i="71"/>
  <c r="P171" i="71"/>
  <c r="O171" i="71"/>
  <c r="N171" i="71"/>
  <c r="M171" i="71"/>
  <c r="Q170" i="71"/>
  <c r="P170" i="71"/>
  <c r="O170" i="71"/>
  <c r="N170" i="71"/>
  <c r="M170" i="71"/>
  <c r="Q169" i="71"/>
  <c r="P169" i="71"/>
  <c r="O169" i="71"/>
  <c r="N169" i="71"/>
  <c r="M169" i="71"/>
  <c r="Q168" i="71"/>
  <c r="P168" i="71"/>
  <c r="O168" i="71"/>
  <c r="N168" i="71"/>
  <c r="M168" i="71"/>
  <c r="Q167" i="71"/>
  <c r="P167" i="71"/>
  <c r="O167" i="71"/>
  <c r="N167" i="71"/>
  <c r="M167" i="71"/>
  <c r="Q166" i="71"/>
  <c r="P166" i="71"/>
  <c r="O166" i="71"/>
  <c r="N166" i="71"/>
  <c r="M166" i="71"/>
  <c r="Q165" i="71"/>
  <c r="P165" i="71"/>
  <c r="O165" i="71"/>
  <c r="N165" i="71"/>
  <c r="M165" i="71"/>
  <c r="Q164" i="71"/>
  <c r="P164" i="71"/>
  <c r="O164" i="71"/>
  <c r="N164" i="71"/>
  <c r="M164" i="71"/>
  <c r="Q163" i="71"/>
  <c r="P163" i="71"/>
  <c r="O163" i="71"/>
  <c r="N163" i="71"/>
  <c r="M163" i="71"/>
  <c r="Q162" i="71"/>
  <c r="P162" i="71"/>
  <c r="O162" i="71"/>
  <c r="N162" i="71"/>
  <c r="M162" i="71"/>
  <c r="Q161" i="71"/>
  <c r="P161" i="71"/>
  <c r="O161" i="71"/>
  <c r="N161" i="71"/>
  <c r="M161" i="71"/>
  <c r="Q160" i="71"/>
  <c r="P160" i="71"/>
  <c r="O160" i="71"/>
  <c r="N160" i="71"/>
  <c r="M160" i="71"/>
  <c r="Q159" i="71"/>
  <c r="P159" i="71"/>
  <c r="O159" i="71"/>
  <c r="N159" i="71"/>
  <c r="M159" i="71"/>
  <c r="Q158" i="71"/>
  <c r="P158" i="71"/>
  <c r="O158" i="71"/>
  <c r="N158" i="71"/>
  <c r="M158" i="71"/>
  <c r="Q157" i="71"/>
  <c r="P157" i="71"/>
  <c r="O157" i="71"/>
  <c r="N157" i="71"/>
  <c r="M157" i="71"/>
  <c r="Q156" i="71"/>
  <c r="P156" i="71"/>
  <c r="O156" i="71"/>
  <c r="N156" i="71"/>
  <c r="M156" i="71"/>
  <c r="Q155" i="71"/>
  <c r="P155" i="71"/>
  <c r="O155" i="71"/>
  <c r="N155" i="71"/>
  <c r="M155" i="71"/>
  <c r="Q154" i="71"/>
  <c r="P154" i="71"/>
  <c r="O154" i="71"/>
  <c r="N154" i="71"/>
  <c r="M154" i="71"/>
  <c r="Q153" i="71"/>
  <c r="P153" i="71"/>
  <c r="O153" i="71"/>
  <c r="N153" i="71"/>
  <c r="M153" i="71"/>
  <c r="T151" i="71"/>
  <c r="S151" i="71"/>
  <c r="Q151" i="71"/>
  <c r="P151" i="71"/>
  <c r="O151" i="71"/>
  <c r="N151" i="71"/>
  <c r="M151" i="71"/>
  <c r="B154" i="71"/>
  <c r="C154" i="71"/>
  <c r="D154" i="71"/>
  <c r="E154" i="71"/>
  <c r="F154" i="71"/>
  <c r="B155" i="71"/>
  <c r="C155" i="71"/>
  <c r="D155" i="71"/>
  <c r="E155" i="71"/>
  <c r="F155" i="71"/>
  <c r="B156" i="71"/>
  <c r="C156" i="71"/>
  <c r="D156" i="71"/>
  <c r="E156" i="71"/>
  <c r="F156" i="71"/>
  <c r="B157" i="71"/>
  <c r="C157" i="71"/>
  <c r="D157" i="71"/>
  <c r="E157" i="71"/>
  <c r="F157" i="71"/>
  <c r="B158" i="71"/>
  <c r="C158" i="71"/>
  <c r="D158" i="71"/>
  <c r="E158" i="71"/>
  <c r="F158" i="71"/>
  <c r="B159" i="71"/>
  <c r="C159" i="71"/>
  <c r="D159" i="71"/>
  <c r="E159" i="71"/>
  <c r="F159" i="71"/>
  <c r="B160" i="71"/>
  <c r="C160" i="71"/>
  <c r="D160" i="71"/>
  <c r="E160" i="71"/>
  <c r="F160" i="71"/>
  <c r="B161" i="71"/>
  <c r="C161" i="71"/>
  <c r="D161" i="71"/>
  <c r="E161" i="71"/>
  <c r="F161" i="71"/>
  <c r="B162" i="71"/>
  <c r="C162" i="71"/>
  <c r="D162" i="71"/>
  <c r="E162" i="71"/>
  <c r="F162" i="71"/>
  <c r="B163" i="71"/>
  <c r="C163" i="71"/>
  <c r="D163" i="71"/>
  <c r="E163" i="71"/>
  <c r="F163" i="71"/>
  <c r="B164" i="71"/>
  <c r="C164" i="71"/>
  <c r="D164" i="71"/>
  <c r="E164" i="71"/>
  <c r="F164" i="71"/>
  <c r="B165" i="71"/>
  <c r="C165" i="71"/>
  <c r="D165" i="71"/>
  <c r="E165" i="71"/>
  <c r="F165" i="71"/>
  <c r="B166" i="71"/>
  <c r="C166" i="71"/>
  <c r="D166" i="71"/>
  <c r="E166" i="71"/>
  <c r="F166" i="71"/>
  <c r="B167" i="71"/>
  <c r="C167" i="71"/>
  <c r="D167" i="71"/>
  <c r="E167" i="71"/>
  <c r="F167" i="71"/>
  <c r="B168" i="71"/>
  <c r="C168" i="71"/>
  <c r="D168" i="71"/>
  <c r="E168" i="71"/>
  <c r="F168" i="71"/>
  <c r="B169" i="71"/>
  <c r="C169" i="71"/>
  <c r="D169" i="71"/>
  <c r="E169" i="71"/>
  <c r="F169" i="71"/>
  <c r="B170" i="71"/>
  <c r="C170" i="71"/>
  <c r="D170" i="71"/>
  <c r="E170" i="71"/>
  <c r="F170" i="71"/>
  <c r="B171" i="71"/>
  <c r="C171" i="71"/>
  <c r="D171" i="71"/>
  <c r="E171" i="71"/>
  <c r="F171" i="71"/>
  <c r="B172" i="71"/>
  <c r="C172" i="71"/>
  <c r="D172" i="71"/>
  <c r="E172" i="71"/>
  <c r="F172" i="71"/>
  <c r="B173" i="71"/>
  <c r="C173" i="71"/>
  <c r="D173" i="71"/>
  <c r="E173" i="71"/>
  <c r="F173" i="71"/>
  <c r="B174" i="71"/>
  <c r="C174" i="71"/>
  <c r="D174" i="71"/>
  <c r="E174" i="71"/>
  <c r="F174" i="71"/>
  <c r="B175" i="71"/>
  <c r="C175" i="71"/>
  <c r="D175" i="71"/>
  <c r="E175" i="71"/>
  <c r="F175" i="71"/>
  <c r="B176" i="71"/>
  <c r="C176" i="71"/>
  <c r="D176" i="71"/>
  <c r="E176" i="71"/>
  <c r="F176" i="71"/>
  <c r="B177" i="71"/>
  <c r="C177" i="71"/>
  <c r="D177" i="71"/>
  <c r="E177" i="71"/>
  <c r="F177" i="71"/>
  <c r="C153" i="71"/>
  <c r="D153" i="71"/>
  <c r="E153" i="71"/>
  <c r="F153" i="71"/>
  <c r="B153" i="71"/>
  <c r="I151" i="71"/>
  <c r="N6" i="75" s="1"/>
  <c r="N81" i="75" s="1"/>
  <c r="H151" i="71"/>
  <c r="M6" i="75" s="1"/>
  <c r="A1" i="75" s="1"/>
  <c r="C151" i="71"/>
  <c r="D151" i="71"/>
  <c r="E151" i="71"/>
  <c r="F151" i="71"/>
  <c r="B151" i="71"/>
  <c r="P36" i="31"/>
  <c r="O64" i="31"/>
  <c r="O53" i="31"/>
  <c r="O54" i="31"/>
  <c r="O55" i="31"/>
  <c r="O56" i="31"/>
  <c r="O57" i="31"/>
  <c r="O58" i="31"/>
  <c r="O59" i="31"/>
  <c r="O60" i="31"/>
  <c r="O61" i="31"/>
  <c r="O65" i="31"/>
  <c r="O38" i="31"/>
  <c r="O39" i="31"/>
  <c r="O40" i="31"/>
  <c r="O41" i="31"/>
  <c r="O42" i="31"/>
  <c r="O43" i="31"/>
  <c r="O44" i="31"/>
  <c r="O45" i="31"/>
  <c r="O46" i="31"/>
  <c r="O47" i="31"/>
  <c r="O48" i="31"/>
  <c r="O49" i="31"/>
  <c r="O50" i="31"/>
  <c r="O51" i="31"/>
  <c r="O52" i="31"/>
  <c r="O37" i="31"/>
  <c r="Q36" i="31"/>
  <c r="P5" i="31"/>
  <c r="I178" i="71" l="1"/>
  <c r="N9" i="75" s="1"/>
  <c r="T178" i="71"/>
  <c r="AD178" i="71"/>
  <c r="AE178" i="71"/>
  <c r="S178" i="71"/>
  <c r="H178" i="71"/>
  <c r="M9" i="75" s="1"/>
  <c r="H177" i="71"/>
  <c r="M10" i="75" s="1"/>
  <c r="M81" i="75"/>
  <c r="A80" i="75" s="1"/>
  <c r="S157" i="71"/>
  <c r="S171" i="71"/>
  <c r="S156" i="71"/>
  <c r="I168" i="71"/>
  <c r="N27" i="75" s="1"/>
  <c r="AD165" i="71"/>
  <c r="AD177" i="71"/>
  <c r="I167" i="71"/>
  <c r="N28" i="75" s="1"/>
  <c r="S162" i="71"/>
  <c r="S174" i="71"/>
  <c r="AD159" i="71"/>
  <c r="AD171" i="71"/>
  <c r="AD168" i="71"/>
  <c r="H154" i="71"/>
  <c r="M49" i="75" s="1"/>
  <c r="I175" i="71"/>
  <c r="N14" i="75" s="1"/>
  <c r="I163" i="71"/>
  <c r="N36" i="75" s="1"/>
  <c r="I156" i="71"/>
  <c r="N45" i="75" s="1"/>
  <c r="S153" i="71"/>
  <c r="I155" i="71"/>
  <c r="N46" i="75" s="1"/>
  <c r="S159" i="71"/>
  <c r="S165" i="71"/>
  <c r="AD156" i="71"/>
  <c r="AD162" i="71"/>
  <c r="T180" i="71"/>
  <c r="AD174" i="71"/>
  <c r="H158" i="71"/>
  <c r="M43" i="75" s="1"/>
  <c r="H176" i="71"/>
  <c r="M13" i="75" s="1"/>
  <c r="S168" i="71"/>
  <c r="I157" i="71"/>
  <c r="N44" i="75" s="1"/>
  <c r="H164" i="71"/>
  <c r="M33" i="75" s="1"/>
  <c r="T176" i="71"/>
  <c r="S154" i="71"/>
  <c r="H165" i="71"/>
  <c r="M32" i="75" s="1"/>
  <c r="I153" i="71"/>
  <c r="N50" i="75" s="1"/>
  <c r="AD153" i="71"/>
  <c r="H175" i="71"/>
  <c r="M14" i="75" s="1"/>
  <c r="H163" i="71"/>
  <c r="M36" i="75" s="1"/>
  <c r="I166" i="71"/>
  <c r="N29" i="75" s="1"/>
  <c r="I154" i="71"/>
  <c r="N49" i="75" s="1"/>
  <c r="H174" i="71"/>
  <c r="M17" i="75" s="1"/>
  <c r="H162" i="71"/>
  <c r="M37" i="75" s="1"/>
  <c r="I177" i="71"/>
  <c r="N10" i="75" s="1"/>
  <c r="I165" i="71"/>
  <c r="N32" i="75" s="1"/>
  <c r="H173" i="71"/>
  <c r="M18" i="75" s="1"/>
  <c r="H161" i="71"/>
  <c r="M38" i="75" s="1"/>
  <c r="I176" i="71"/>
  <c r="N13" i="75" s="1"/>
  <c r="I164" i="71"/>
  <c r="N33" i="75" s="1"/>
  <c r="H172" i="71"/>
  <c r="H160" i="71"/>
  <c r="M39" i="75" s="1"/>
  <c r="H171" i="71"/>
  <c r="M22" i="75" s="1"/>
  <c r="H159" i="71"/>
  <c r="M40" i="75" s="1"/>
  <c r="I174" i="71"/>
  <c r="N17" i="75" s="1"/>
  <c r="I162" i="71"/>
  <c r="N37" i="75" s="1"/>
  <c r="H170" i="71"/>
  <c r="M23" i="75" s="1"/>
  <c r="I173" i="71"/>
  <c r="N18" i="75" s="1"/>
  <c r="I161" i="71"/>
  <c r="N38" i="75" s="1"/>
  <c r="H169" i="71"/>
  <c r="M26" i="75" s="1"/>
  <c r="H157" i="71"/>
  <c r="M44" i="75" s="1"/>
  <c r="I172" i="71"/>
  <c r="I160" i="71"/>
  <c r="N39" i="75" s="1"/>
  <c r="H168" i="71"/>
  <c r="M27" i="75" s="1"/>
  <c r="H156" i="71"/>
  <c r="M45" i="75" s="1"/>
  <c r="I171" i="71"/>
  <c r="N22" i="75" s="1"/>
  <c r="I159" i="71"/>
  <c r="N40" i="75" s="1"/>
  <c r="H153" i="71"/>
  <c r="M50" i="75" s="1"/>
  <c r="H167" i="71"/>
  <c r="M28" i="75" s="1"/>
  <c r="H155" i="71"/>
  <c r="M46" i="75" s="1"/>
  <c r="I170" i="71"/>
  <c r="N23" i="75" s="1"/>
  <c r="I158" i="71"/>
  <c r="N43" i="75" s="1"/>
  <c r="H166" i="71"/>
  <c r="M29" i="75" s="1"/>
  <c r="I169" i="71"/>
  <c r="N26" i="75" s="1"/>
  <c r="AD180" i="71"/>
  <c r="AE180" i="71"/>
  <c r="AE174" i="71"/>
  <c r="AE156" i="71"/>
  <c r="AE159" i="71"/>
  <c r="AE162" i="71"/>
  <c r="AE165" i="71"/>
  <c r="AE168" i="71"/>
  <c r="AE171" i="71"/>
  <c r="AE153" i="71"/>
  <c r="AE177" i="71"/>
  <c r="AD155" i="71"/>
  <c r="AD158" i="71"/>
  <c r="AD161" i="71"/>
  <c r="AD164" i="71"/>
  <c r="AD167" i="71"/>
  <c r="AD170" i="71"/>
  <c r="AD173" i="71"/>
  <c r="AD176" i="71"/>
  <c r="AE155" i="71"/>
  <c r="AE158" i="71"/>
  <c r="AE161" i="71"/>
  <c r="AE164" i="71"/>
  <c r="AE167" i="71"/>
  <c r="AE170" i="71"/>
  <c r="AE173" i="71"/>
  <c r="AE176" i="71"/>
  <c r="AD154" i="71"/>
  <c r="AD157" i="71"/>
  <c r="AD160" i="71"/>
  <c r="AD163" i="71"/>
  <c r="AD166" i="71"/>
  <c r="AD169" i="71"/>
  <c r="AD172" i="71"/>
  <c r="AD175" i="71"/>
  <c r="AE154" i="71"/>
  <c r="AE157" i="71"/>
  <c r="AE160" i="71"/>
  <c r="AE163" i="71"/>
  <c r="AE166" i="71"/>
  <c r="AE169" i="71"/>
  <c r="AE172" i="71"/>
  <c r="AE175" i="71"/>
  <c r="S175" i="71"/>
  <c r="S180" i="71"/>
  <c r="T157" i="71"/>
  <c r="T172" i="71"/>
  <c r="S177" i="71"/>
  <c r="T156" i="71"/>
  <c r="T162" i="71"/>
  <c r="T171" i="71"/>
  <c r="T153" i="71"/>
  <c r="T168" i="71"/>
  <c r="T174" i="71"/>
  <c r="T165" i="71"/>
  <c r="S155" i="71"/>
  <c r="S158" i="71"/>
  <c r="S161" i="71"/>
  <c r="S164" i="71"/>
  <c r="S167" i="71"/>
  <c r="S170" i="71"/>
  <c r="S173" i="71"/>
  <c r="S176" i="71"/>
  <c r="T159" i="71"/>
  <c r="T177" i="71"/>
  <c r="T155" i="71"/>
  <c r="T158" i="71"/>
  <c r="T161" i="71"/>
  <c r="T164" i="71"/>
  <c r="T167" i="71"/>
  <c r="T170" i="71"/>
  <c r="T173" i="71"/>
  <c r="S172" i="71"/>
  <c r="S160" i="71"/>
  <c r="S163" i="71"/>
  <c r="S166" i="71"/>
  <c r="S169" i="71"/>
  <c r="T154" i="71"/>
  <c r="T160" i="71"/>
  <c r="T163" i="71"/>
  <c r="T166" i="71"/>
  <c r="T169" i="71"/>
  <c r="T175" i="71"/>
  <c r="Q18" i="109"/>
  <c r="Q9" i="109"/>
  <c r="Q10" i="109"/>
  <c r="Q11" i="109"/>
  <c r="Q12" i="109"/>
  <c r="Q13" i="109"/>
  <c r="Q14" i="109"/>
  <c r="Q15" i="109"/>
  <c r="Q16" i="109"/>
  <c r="Q8" i="109"/>
  <c r="AD18" i="109"/>
  <c r="AC18" i="109"/>
  <c r="AB18" i="109"/>
  <c r="Y18" i="109"/>
  <c r="X18" i="109"/>
  <c r="W18" i="109"/>
  <c r="T18" i="109"/>
  <c r="S18" i="109"/>
  <c r="R18" i="109"/>
  <c r="AE16" i="109"/>
  <c r="Z16" i="109"/>
  <c r="U16" i="109"/>
  <c r="AE15" i="109"/>
  <c r="Z15" i="109"/>
  <c r="U15" i="109"/>
  <c r="AE14" i="109"/>
  <c r="Z14" i="109"/>
  <c r="U14" i="109"/>
  <c r="AE13" i="109"/>
  <c r="Z13" i="109"/>
  <c r="U13" i="109"/>
  <c r="AE12" i="109"/>
  <c r="Z12" i="109"/>
  <c r="U12" i="109"/>
  <c r="AE11" i="109"/>
  <c r="Z11" i="109"/>
  <c r="U11" i="109"/>
  <c r="AE10" i="109"/>
  <c r="Z10" i="109"/>
  <c r="U10" i="109"/>
  <c r="AE9" i="109"/>
  <c r="Z9" i="109"/>
  <c r="U9" i="109"/>
  <c r="AE8" i="109"/>
  <c r="Z8" i="109"/>
  <c r="U8" i="109"/>
  <c r="O16" i="109"/>
  <c r="O15" i="109"/>
  <c r="O14" i="109"/>
  <c r="O13" i="109"/>
  <c r="O12" i="109"/>
  <c r="O11" i="109"/>
  <c r="O10" i="109"/>
  <c r="O9" i="109"/>
  <c r="O8" i="109"/>
  <c r="J16" i="109"/>
  <c r="J15" i="109"/>
  <c r="J14" i="109"/>
  <c r="J13" i="109"/>
  <c r="J12" i="109"/>
  <c r="J11" i="109"/>
  <c r="J10" i="109"/>
  <c r="J9" i="109"/>
  <c r="J8" i="109"/>
  <c r="N21" i="75" l="1"/>
  <c r="M21" i="75"/>
  <c r="Z18" i="109"/>
  <c r="AE18" i="109"/>
  <c r="U18" i="109"/>
  <c r="B9" i="103"/>
  <c r="B36" i="103"/>
  <c r="AU16" i="109"/>
  <c r="AU15" i="109"/>
  <c r="AU14" i="109"/>
  <c r="AU13" i="109"/>
  <c r="AU12" i="109"/>
  <c r="AU11" i="109"/>
  <c r="AU10" i="109"/>
  <c r="AU9" i="109"/>
  <c r="AU8" i="109"/>
  <c r="AP16" i="109"/>
  <c r="AP15" i="109"/>
  <c r="AP14" i="109"/>
  <c r="AP13" i="109"/>
  <c r="AP12" i="109"/>
  <c r="AP11" i="109"/>
  <c r="AP10" i="109"/>
  <c r="AP9" i="109"/>
  <c r="AP8" i="109"/>
  <c r="AK16" i="109"/>
  <c r="AK15" i="109"/>
  <c r="AK14" i="109"/>
  <c r="AK13" i="109"/>
  <c r="AK12" i="109"/>
  <c r="AK11" i="109"/>
  <c r="AK10" i="109"/>
  <c r="AK9" i="109"/>
  <c r="AK8" i="109"/>
  <c r="AT18" i="109"/>
  <c r="AS18" i="109"/>
  <c r="AR18" i="109"/>
  <c r="AO18" i="109"/>
  <c r="AN18" i="109"/>
  <c r="AM18" i="109"/>
  <c r="AJ18" i="109"/>
  <c r="AI18" i="109"/>
  <c r="AH18" i="109"/>
  <c r="N18" i="109"/>
  <c r="M18" i="109"/>
  <c r="L18" i="109"/>
  <c r="I18" i="109"/>
  <c r="H18" i="109"/>
  <c r="G18" i="109"/>
  <c r="C18" i="109"/>
  <c r="D18" i="109"/>
  <c r="B18" i="109"/>
  <c r="B26" i="109" s="1"/>
  <c r="E8" i="109"/>
  <c r="AU18" i="109" l="1"/>
  <c r="AP18" i="109"/>
  <c r="AP34" i="109" s="1"/>
  <c r="AK18" i="109"/>
  <c r="AK33" i="109" s="1"/>
  <c r="O18" i="109"/>
  <c r="O33" i="109" s="1"/>
  <c r="J45" i="109"/>
  <c r="J18" i="109"/>
  <c r="J26" i="109" s="1"/>
  <c r="J50" i="109"/>
  <c r="E44" i="109"/>
  <c r="E9" i="109"/>
  <c r="O45" i="109" s="1"/>
  <c r="E10" i="109"/>
  <c r="E11" i="109"/>
  <c r="E47" i="109" s="1"/>
  <c r="E12" i="109"/>
  <c r="E13" i="109"/>
  <c r="E14" i="109"/>
  <c r="O50" i="109" s="1"/>
  <c r="E15" i="109"/>
  <c r="O51" i="109" s="1"/>
  <c r="E16" i="109"/>
  <c r="E18" i="109"/>
  <c r="AG18" i="109"/>
  <c r="AG9" i="109"/>
  <c r="AG10" i="109"/>
  <c r="AG11" i="109"/>
  <c r="AG12" i="109"/>
  <c r="AG13" i="109"/>
  <c r="AG14" i="109"/>
  <c r="AG15" i="109"/>
  <c r="AG16" i="109"/>
  <c r="AG8" i="109"/>
  <c r="AT54" i="109"/>
  <c r="AS54" i="109"/>
  <c r="AR54" i="109"/>
  <c r="AO54" i="109"/>
  <c r="N28" i="108" s="1"/>
  <c r="AN54" i="109"/>
  <c r="O28" i="108" s="1"/>
  <c r="AM54" i="109"/>
  <c r="P28" i="108" s="1"/>
  <c r="AJ54" i="109"/>
  <c r="AI54" i="109"/>
  <c r="AH54" i="109"/>
  <c r="AU52" i="109"/>
  <c r="AT52" i="109"/>
  <c r="AS52" i="109"/>
  <c r="AR52" i="109"/>
  <c r="AP52" i="109"/>
  <c r="AO52" i="109"/>
  <c r="N26" i="108" s="1"/>
  <c r="AN52" i="109"/>
  <c r="O26" i="108" s="1"/>
  <c r="AM52" i="109"/>
  <c r="P26" i="108" s="1"/>
  <c r="AK52" i="109"/>
  <c r="AJ52" i="109"/>
  <c r="AI52" i="109"/>
  <c r="AH52" i="109"/>
  <c r="AU51" i="109"/>
  <c r="AT51" i="109"/>
  <c r="AS51" i="109"/>
  <c r="AR51" i="109"/>
  <c r="AP51" i="109"/>
  <c r="AO51" i="109"/>
  <c r="N25" i="108" s="1"/>
  <c r="AN51" i="109"/>
  <c r="O25" i="108" s="1"/>
  <c r="AM51" i="109"/>
  <c r="P25" i="108" s="1"/>
  <c r="AK51" i="109"/>
  <c r="AJ51" i="109"/>
  <c r="AI51" i="109"/>
  <c r="AH51" i="109"/>
  <c r="AU50" i="109"/>
  <c r="AT50" i="109"/>
  <c r="AS50" i="109"/>
  <c r="AR50" i="109"/>
  <c r="AP50" i="109"/>
  <c r="AO50" i="109"/>
  <c r="N24" i="108" s="1"/>
  <c r="AN50" i="109"/>
  <c r="O24" i="108" s="1"/>
  <c r="AM50" i="109"/>
  <c r="P24" i="108" s="1"/>
  <c r="AK50" i="109"/>
  <c r="AJ50" i="109"/>
  <c r="AI50" i="109"/>
  <c r="AH50" i="109"/>
  <c r="AU49" i="109"/>
  <c r="AT49" i="109"/>
  <c r="AS49" i="109"/>
  <c r="AR49" i="109"/>
  <c r="AP49" i="109"/>
  <c r="AO49" i="109"/>
  <c r="N23" i="108" s="1"/>
  <c r="AN49" i="109"/>
  <c r="O23" i="108" s="1"/>
  <c r="AM49" i="109"/>
  <c r="P23" i="108" s="1"/>
  <c r="AK49" i="109"/>
  <c r="AJ49" i="109"/>
  <c r="AI49" i="109"/>
  <c r="AH49" i="109"/>
  <c r="AU48" i="109"/>
  <c r="AT48" i="109"/>
  <c r="AS48" i="109"/>
  <c r="AR48" i="109"/>
  <c r="AP48" i="109"/>
  <c r="AO48" i="109"/>
  <c r="N22" i="108" s="1"/>
  <c r="AN48" i="109"/>
  <c r="O22" i="108" s="1"/>
  <c r="AM48" i="109"/>
  <c r="P22" i="108" s="1"/>
  <c r="AK48" i="109"/>
  <c r="AJ48" i="109"/>
  <c r="AI48" i="109"/>
  <c r="AH48" i="109"/>
  <c r="AU47" i="109"/>
  <c r="AT47" i="109"/>
  <c r="AS47" i="109"/>
  <c r="AR47" i="109"/>
  <c r="AP47" i="109"/>
  <c r="AO47" i="109"/>
  <c r="N21" i="108" s="1"/>
  <c r="AN47" i="109"/>
  <c r="O21" i="108" s="1"/>
  <c r="AM47" i="109"/>
  <c r="P21" i="108" s="1"/>
  <c r="AK47" i="109"/>
  <c r="AJ47" i="109"/>
  <c r="AI47" i="109"/>
  <c r="AH47" i="109"/>
  <c r="AU46" i="109"/>
  <c r="AT46" i="109"/>
  <c r="AS46" i="109"/>
  <c r="AR46" i="109"/>
  <c r="AP46" i="109"/>
  <c r="AO46" i="109"/>
  <c r="N20" i="108" s="1"/>
  <c r="AN46" i="109"/>
  <c r="O20" i="108" s="1"/>
  <c r="AM46" i="109"/>
  <c r="P20" i="108" s="1"/>
  <c r="AK46" i="109"/>
  <c r="AJ46" i="109"/>
  <c r="AI46" i="109"/>
  <c r="AH46" i="109"/>
  <c r="AU45" i="109"/>
  <c r="AT45" i="109"/>
  <c r="AS45" i="109"/>
  <c r="AR45" i="109"/>
  <c r="AP45" i="109"/>
  <c r="AO45" i="109"/>
  <c r="N19" i="108" s="1"/>
  <c r="AN45" i="109"/>
  <c r="O19" i="108" s="1"/>
  <c r="AM45" i="109"/>
  <c r="P19" i="108" s="1"/>
  <c r="AK45" i="109"/>
  <c r="AJ45" i="109"/>
  <c r="AI45" i="109"/>
  <c r="AH45" i="109"/>
  <c r="AU44" i="109"/>
  <c r="AT44" i="109"/>
  <c r="AS44" i="109"/>
  <c r="AR44" i="109"/>
  <c r="AP44" i="109"/>
  <c r="AO44" i="109"/>
  <c r="N18" i="108" s="1"/>
  <c r="AN44" i="109"/>
  <c r="O18" i="108" s="1"/>
  <c r="AM44" i="109"/>
  <c r="P18" i="108" s="1"/>
  <c r="AK44" i="109"/>
  <c r="AJ44" i="109"/>
  <c r="AI44" i="109"/>
  <c r="AH44" i="109"/>
  <c r="AR41" i="109"/>
  <c r="AM41" i="109"/>
  <c r="AH41" i="109"/>
  <c r="AU36" i="109"/>
  <c r="AT36" i="109"/>
  <c r="AS36" i="109"/>
  <c r="AR36" i="109"/>
  <c r="AP36" i="109"/>
  <c r="AO36" i="109"/>
  <c r="AN36" i="109"/>
  <c r="AM36" i="109"/>
  <c r="AJ36" i="109"/>
  <c r="AI36" i="109"/>
  <c r="AH36" i="109"/>
  <c r="AU34" i="109"/>
  <c r="AT34" i="109"/>
  <c r="AS34" i="109"/>
  <c r="AR34" i="109"/>
  <c r="AO34" i="109"/>
  <c r="AN34" i="109"/>
  <c r="AM34" i="109"/>
  <c r="AJ34" i="109"/>
  <c r="AI34" i="109"/>
  <c r="AH34" i="109"/>
  <c r="AU33" i="109"/>
  <c r="AT33" i="109"/>
  <c r="AS33" i="109"/>
  <c r="AR33" i="109"/>
  <c r="AO33" i="109"/>
  <c r="AN33" i="109"/>
  <c r="AM33" i="109"/>
  <c r="AJ33" i="109"/>
  <c r="AI33" i="109"/>
  <c r="AH33" i="109"/>
  <c r="AU32" i="109"/>
  <c r="AT32" i="109"/>
  <c r="AS32" i="109"/>
  <c r="AR32" i="109"/>
  <c r="AP32" i="109"/>
  <c r="AO32" i="109"/>
  <c r="AN32" i="109"/>
  <c r="AM32" i="109"/>
  <c r="AJ32" i="109"/>
  <c r="AI32" i="109"/>
  <c r="AH32" i="109"/>
  <c r="AU31" i="109"/>
  <c r="AT31" i="109"/>
  <c r="AS31" i="109"/>
  <c r="AR31" i="109"/>
  <c r="AO31" i="109"/>
  <c r="AN31" i="109"/>
  <c r="AM31" i="109"/>
  <c r="AJ31" i="109"/>
  <c r="AI31" i="109"/>
  <c r="AH31" i="109"/>
  <c r="AU30" i="109"/>
  <c r="AT30" i="109"/>
  <c r="AS30" i="109"/>
  <c r="AR30" i="109"/>
  <c r="AP30" i="109"/>
  <c r="AO30" i="109"/>
  <c r="AN30" i="109"/>
  <c r="AM30" i="109"/>
  <c r="AJ30" i="109"/>
  <c r="AI30" i="109"/>
  <c r="AH30" i="109"/>
  <c r="AU29" i="109"/>
  <c r="AT29" i="109"/>
  <c r="AS29" i="109"/>
  <c r="AR29" i="109"/>
  <c r="AP29" i="109"/>
  <c r="AO29" i="109"/>
  <c r="AN29" i="109"/>
  <c r="AM29" i="109"/>
  <c r="AJ29" i="109"/>
  <c r="AI29" i="109"/>
  <c r="AH29" i="109"/>
  <c r="AU28" i="109"/>
  <c r="AT28" i="109"/>
  <c r="AS28" i="109"/>
  <c r="AR28" i="109"/>
  <c r="AO28" i="109"/>
  <c r="AN28" i="109"/>
  <c r="AM28" i="109"/>
  <c r="AJ28" i="109"/>
  <c r="AI28" i="109"/>
  <c r="AH28" i="109"/>
  <c r="AU27" i="109"/>
  <c r="AT27" i="109"/>
  <c r="AS27" i="109"/>
  <c r="AR27" i="109"/>
  <c r="AP27" i="109"/>
  <c r="AO27" i="109"/>
  <c r="AN27" i="109"/>
  <c r="AM27" i="109"/>
  <c r="AJ27" i="109"/>
  <c r="AI27" i="109"/>
  <c r="AH27" i="109"/>
  <c r="AU26" i="109"/>
  <c r="AT26" i="109"/>
  <c r="AS26" i="109"/>
  <c r="AR26" i="109"/>
  <c r="AP26" i="109"/>
  <c r="AO26" i="109"/>
  <c r="AN26" i="109"/>
  <c r="AM26" i="109"/>
  <c r="AJ26" i="109"/>
  <c r="AI26" i="109"/>
  <c r="AH26" i="109"/>
  <c r="AR23" i="109"/>
  <c r="AM23" i="109"/>
  <c r="AH23" i="109"/>
  <c r="W54" i="109"/>
  <c r="P43" i="108" s="1"/>
  <c r="U54" i="109"/>
  <c r="T54" i="109"/>
  <c r="W52" i="109"/>
  <c r="P41" i="108" s="1"/>
  <c r="U52" i="109"/>
  <c r="T52" i="109"/>
  <c r="W51" i="109"/>
  <c r="P40" i="108" s="1"/>
  <c r="U51" i="109"/>
  <c r="T51" i="109"/>
  <c r="W50" i="109"/>
  <c r="P39" i="108" s="1"/>
  <c r="U50" i="109"/>
  <c r="T50" i="109"/>
  <c r="Q50" i="109"/>
  <c r="W49" i="109"/>
  <c r="P38" i="108" s="1"/>
  <c r="U49" i="109"/>
  <c r="T49" i="109"/>
  <c r="W48" i="109"/>
  <c r="P37" i="108" s="1"/>
  <c r="U48" i="109"/>
  <c r="T48" i="109"/>
  <c r="W47" i="109"/>
  <c r="P36" i="108" s="1"/>
  <c r="U47" i="109"/>
  <c r="T47" i="109"/>
  <c r="W46" i="109"/>
  <c r="P35" i="108" s="1"/>
  <c r="U46" i="109"/>
  <c r="T46" i="109"/>
  <c r="W45" i="109"/>
  <c r="P34" i="108" s="1"/>
  <c r="U45" i="109"/>
  <c r="T45" i="109"/>
  <c r="W44" i="109"/>
  <c r="P33" i="108" s="1"/>
  <c r="U44" i="109"/>
  <c r="T44" i="109"/>
  <c r="AB41" i="109"/>
  <c r="W41" i="109"/>
  <c r="R41" i="109"/>
  <c r="AB36" i="109"/>
  <c r="Z36" i="109"/>
  <c r="Y36" i="109"/>
  <c r="X36" i="109"/>
  <c r="W36" i="109"/>
  <c r="U36" i="109"/>
  <c r="T36" i="109"/>
  <c r="AB34" i="109"/>
  <c r="Z34" i="109"/>
  <c r="Y34" i="109"/>
  <c r="X34" i="109"/>
  <c r="W34" i="109"/>
  <c r="U34" i="109"/>
  <c r="T34" i="109"/>
  <c r="AB33" i="109"/>
  <c r="Z33" i="109"/>
  <c r="Y33" i="109"/>
  <c r="X33" i="109"/>
  <c r="W33" i="109"/>
  <c r="U33" i="109"/>
  <c r="T33" i="109"/>
  <c r="AB32" i="109"/>
  <c r="Z32" i="109"/>
  <c r="Y32" i="109"/>
  <c r="X32" i="109"/>
  <c r="W32" i="109"/>
  <c r="U32" i="109"/>
  <c r="T32" i="109"/>
  <c r="AB31" i="109"/>
  <c r="Z31" i="109"/>
  <c r="Y31" i="109"/>
  <c r="X31" i="109"/>
  <c r="W31" i="109"/>
  <c r="U31" i="109"/>
  <c r="T31" i="109"/>
  <c r="AB30" i="109"/>
  <c r="Z30" i="109"/>
  <c r="Y30" i="109"/>
  <c r="X30" i="109"/>
  <c r="W30" i="109"/>
  <c r="U30" i="109"/>
  <c r="T30" i="109"/>
  <c r="AB29" i="109"/>
  <c r="Z29" i="109"/>
  <c r="Y29" i="109"/>
  <c r="X29" i="109"/>
  <c r="W29" i="109"/>
  <c r="U29" i="109"/>
  <c r="T29" i="109"/>
  <c r="AB28" i="109"/>
  <c r="Z28" i="109"/>
  <c r="Y28" i="109"/>
  <c r="X28" i="109"/>
  <c r="W28" i="109"/>
  <c r="U28" i="109"/>
  <c r="T28" i="109"/>
  <c r="AB27" i="109"/>
  <c r="Z27" i="109"/>
  <c r="Y27" i="109"/>
  <c r="X27" i="109"/>
  <c r="W27" i="109"/>
  <c r="U27" i="109"/>
  <c r="T27" i="109"/>
  <c r="AB26" i="109"/>
  <c r="Z26" i="109"/>
  <c r="Y26" i="109"/>
  <c r="X26" i="109"/>
  <c r="W26" i="109"/>
  <c r="U26" i="109"/>
  <c r="T26" i="109"/>
  <c r="AB23" i="109"/>
  <c r="W23" i="109"/>
  <c r="R23" i="109"/>
  <c r="AD52" i="109"/>
  <c r="AD51" i="109"/>
  <c r="AD49" i="109"/>
  <c r="AD47" i="109"/>
  <c r="Y46" i="109"/>
  <c r="N35" i="108" s="1"/>
  <c r="AD45" i="109"/>
  <c r="S49" i="109"/>
  <c r="S48" i="109"/>
  <c r="S47" i="109"/>
  <c r="S45" i="109"/>
  <c r="C26" i="109"/>
  <c r="D26" i="109"/>
  <c r="G26" i="109"/>
  <c r="H26" i="109"/>
  <c r="I26" i="109"/>
  <c r="L26" i="109"/>
  <c r="M26" i="109"/>
  <c r="N26" i="109"/>
  <c r="C27" i="109"/>
  <c r="D27" i="109"/>
  <c r="G27" i="109"/>
  <c r="H27" i="109"/>
  <c r="I27" i="109"/>
  <c r="L27" i="109"/>
  <c r="M27" i="109"/>
  <c r="N27" i="109"/>
  <c r="O27" i="109"/>
  <c r="C28" i="109"/>
  <c r="D28" i="109"/>
  <c r="G28" i="109"/>
  <c r="H28" i="109"/>
  <c r="I28" i="109"/>
  <c r="L28" i="109"/>
  <c r="M28" i="109"/>
  <c r="N28" i="109"/>
  <c r="C29" i="109"/>
  <c r="D29" i="109"/>
  <c r="G29" i="109"/>
  <c r="H29" i="109"/>
  <c r="I29" i="109"/>
  <c r="L29" i="109"/>
  <c r="M29" i="109"/>
  <c r="N29" i="109"/>
  <c r="O29" i="109"/>
  <c r="C30" i="109"/>
  <c r="D30" i="109"/>
  <c r="G30" i="109"/>
  <c r="H30" i="109"/>
  <c r="I30" i="109"/>
  <c r="L30" i="109"/>
  <c r="M30" i="109"/>
  <c r="N30" i="109"/>
  <c r="C31" i="109"/>
  <c r="D31" i="109"/>
  <c r="G31" i="109"/>
  <c r="H31" i="109"/>
  <c r="I31" i="109"/>
  <c r="L31" i="109"/>
  <c r="M31" i="109"/>
  <c r="N31" i="109"/>
  <c r="C32" i="109"/>
  <c r="D32" i="109"/>
  <c r="G32" i="109"/>
  <c r="H32" i="109"/>
  <c r="I32" i="109"/>
  <c r="L32" i="109"/>
  <c r="M32" i="109"/>
  <c r="N32" i="109"/>
  <c r="C33" i="109"/>
  <c r="D33" i="109"/>
  <c r="G33" i="109"/>
  <c r="H33" i="109"/>
  <c r="I33" i="109"/>
  <c r="L33" i="109"/>
  <c r="M33" i="109"/>
  <c r="N33" i="109"/>
  <c r="C34" i="109"/>
  <c r="D34" i="109"/>
  <c r="G34" i="109"/>
  <c r="H34" i="109"/>
  <c r="I34" i="109"/>
  <c r="L34" i="109"/>
  <c r="M34" i="109"/>
  <c r="N34" i="109"/>
  <c r="C36" i="109"/>
  <c r="D36" i="109"/>
  <c r="G36" i="109"/>
  <c r="H36" i="109"/>
  <c r="I36" i="109"/>
  <c r="L36" i="109"/>
  <c r="M36" i="109"/>
  <c r="N36" i="109"/>
  <c r="L45" i="109"/>
  <c r="M45" i="109"/>
  <c r="N45" i="109"/>
  <c r="L46" i="109"/>
  <c r="M46" i="109"/>
  <c r="N46" i="109"/>
  <c r="L47" i="109"/>
  <c r="M47" i="109"/>
  <c r="N47" i="109"/>
  <c r="L48" i="109"/>
  <c r="M48" i="109"/>
  <c r="N48" i="109"/>
  <c r="L49" i="109"/>
  <c r="M49" i="109"/>
  <c r="N49" i="109"/>
  <c r="L50" i="109"/>
  <c r="M50" i="109"/>
  <c r="N50" i="109"/>
  <c r="L51" i="109"/>
  <c r="M51" i="109"/>
  <c r="N51" i="109"/>
  <c r="L52" i="109"/>
  <c r="M52" i="109"/>
  <c r="N52" i="109"/>
  <c r="L54" i="109"/>
  <c r="M54" i="109"/>
  <c r="N54" i="109"/>
  <c r="M44" i="109"/>
  <c r="N44" i="109"/>
  <c r="G45" i="109"/>
  <c r="P4" i="108" s="1"/>
  <c r="H45" i="109"/>
  <c r="O4" i="108" s="1"/>
  <c r="I45" i="109"/>
  <c r="N4" i="108" s="1"/>
  <c r="G46" i="109"/>
  <c r="P5" i="108" s="1"/>
  <c r="H46" i="109"/>
  <c r="O5" i="108" s="1"/>
  <c r="I46" i="109"/>
  <c r="N5" i="108" s="1"/>
  <c r="G47" i="109"/>
  <c r="P6" i="108" s="1"/>
  <c r="H47" i="109"/>
  <c r="O6" i="108" s="1"/>
  <c r="I47" i="109"/>
  <c r="N6" i="108" s="1"/>
  <c r="J47" i="109"/>
  <c r="G48" i="109"/>
  <c r="P7" i="108" s="1"/>
  <c r="H48" i="109"/>
  <c r="O7" i="108" s="1"/>
  <c r="I48" i="109"/>
  <c r="N7" i="108" s="1"/>
  <c r="G49" i="109"/>
  <c r="P8" i="108" s="1"/>
  <c r="H49" i="109"/>
  <c r="O8" i="108" s="1"/>
  <c r="I49" i="109"/>
  <c r="N8" i="108" s="1"/>
  <c r="J49" i="109"/>
  <c r="G50" i="109"/>
  <c r="P9" i="108" s="1"/>
  <c r="H50" i="109"/>
  <c r="O9" i="108" s="1"/>
  <c r="I50" i="109"/>
  <c r="N9" i="108" s="1"/>
  <c r="G51" i="109"/>
  <c r="P10" i="108" s="1"/>
  <c r="H51" i="109"/>
  <c r="O10" i="108" s="1"/>
  <c r="I51" i="109"/>
  <c r="N10" i="108" s="1"/>
  <c r="G52" i="109"/>
  <c r="P11" i="108" s="1"/>
  <c r="H52" i="109"/>
  <c r="O11" i="108" s="1"/>
  <c r="I52" i="109"/>
  <c r="N11" i="108" s="1"/>
  <c r="G54" i="109"/>
  <c r="P13" i="108" s="1"/>
  <c r="H54" i="109"/>
  <c r="O13" i="108" s="1"/>
  <c r="I54" i="109"/>
  <c r="N13" i="108" s="1"/>
  <c r="H44" i="109"/>
  <c r="O3" i="108" s="1"/>
  <c r="I44" i="109"/>
  <c r="N3" i="108" s="1"/>
  <c r="P3" i="108"/>
  <c r="B45" i="109"/>
  <c r="C45" i="109"/>
  <c r="D45" i="109"/>
  <c r="B46" i="109"/>
  <c r="C46" i="109"/>
  <c r="D46" i="109"/>
  <c r="B47" i="109"/>
  <c r="C47" i="109"/>
  <c r="D47" i="109"/>
  <c r="B48" i="109"/>
  <c r="C48" i="109"/>
  <c r="D48" i="109"/>
  <c r="B49" i="109"/>
  <c r="C49" i="109"/>
  <c r="D49" i="109"/>
  <c r="B50" i="109"/>
  <c r="C50" i="109"/>
  <c r="D50" i="109"/>
  <c r="B51" i="109"/>
  <c r="C51" i="109"/>
  <c r="D51" i="109"/>
  <c r="E51" i="109"/>
  <c r="B52" i="109"/>
  <c r="C52" i="109"/>
  <c r="D52" i="109"/>
  <c r="B54" i="109"/>
  <c r="C54" i="109"/>
  <c r="D54" i="109"/>
  <c r="C44" i="109"/>
  <c r="D44" i="109"/>
  <c r="B44" i="109"/>
  <c r="L41" i="109"/>
  <c r="G41" i="109"/>
  <c r="B41" i="109"/>
  <c r="L23" i="109"/>
  <c r="G23" i="109"/>
  <c r="B23" i="109"/>
  <c r="A8" i="109"/>
  <c r="AG26" i="109" s="1"/>
  <c r="A9" i="109"/>
  <c r="Q45" i="109" s="1"/>
  <c r="A10" i="109"/>
  <c r="Q46" i="109" s="1"/>
  <c r="A11" i="109"/>
  <c r="AG29" i="109" s="1"/>
  <c r="A12" i="109"/>
  <c r="AG48" i="109" s="1"/>
  <c r="A13" i="109"/>
  <c r="Q49" i="109" s="1"/>
  <c r="A14" i="109"/>
  <c r="AG50" i="109" s="1"/>
  <c r="A15" i="109"/>
  <c r="AG51" i="109" s="1"/>
  <c r="A16" i="109"/>
  <c r="AG52" i="109" s="1"/>
  <c r="A18" i="109"/>
  <c r="AG54" i="109" s="1"/>
  <c r="N1" i="108"/>
  <c r="M38" i="108"/>
  <c r="M19" i="108"/>
  <c r="M13" i="108"/>
  <c r="M43" i="108" s="1"/>
  <c r="M11" i="108"/>
  <c r="M41" i="108" s="1"/>
  <c r="M10" i="108"/>
  <c r="M25" i="108" s="1"/>
  <c r="M9" i="108"/>
  <c r="M24" i="108" s="1"/>
  <c r="M8" i="108"/>
  <c r="M23" i="108" s="1"/>
  <c r="M7" i="108"/>
  <c r="M22" i="108" s="1"/>
  <c r="M6" i="108"/>
  <c r="M36" i="108" s="1"/>
  <c r="M5" i="108"/>
  <c r="M20" i="108" s="1"/>
  <c r="M4" i="108"/>
  <c r="M34" i="108" s="1"/>
  <c r="M3" i="108"/>
  <c r="M18" i="108" s="1"/>
  <c r="M13" i="107"/>
  <c r="W14" i="106"/>
  <c r="M4" i="107"/>
  <c r="M5" i="107"/>
  <c r="M6" i="107"/>
  <c r="M7" i="107"/>
  <c r="M8" i="107"/>
  <c r="M9" i="107"/>
  <c r="M10" i="107"/>
  <c r="M11" i="107"/>
  <c r="M3" i="107"/>
  <c r="W5" i="106"/>
  <c r="W6" i="106"/>
  <c r="W7" i="106"/>
  <c r="W8" i="106"/>
  <c r="W9" i="106"/>
  <c r="W10" i="106"/>
  <c r="W11" i="106"/>
  <c r="W12" i="106"/>
  <c r="W4" i="106"/>
  <c r="W112" i="71"/>
  <c r="W35" i="71"/>
  <c r="W9" i="71"/>
  <c r="W154" i="71" s="1"/>
  <c r="W10" i="71"/>
  <c r="W11" i="71"/>
  <c r="W48" i="71" s="1"/>
  <c r="W12" i="71"/>
  <c r="W13" i="71"/>
  <c r="W158" i="71" s="1"/>
  <c r="W14" i="71"/>
  <c r="W159" i="71" s="1"/>
  <c r="W15" i="71"/>
  <c r="W160" i="71" s="1"/>
  <c r="W16" i="71"/>
  <c r="W161" i="71" s="1"/>
  <c r="W17" i="71"/>
  <c r="W162" i="71" s="1"/>
  <c r="W18" i="71"/>
  <c r="W19" i="71"/>
  <c r="W20" i="71"/>
  <c r="W131" i="71" s="1"/>
  <c r="W21" i="71"/>
  <c r="W166" i="71" s="1"/>
  <c r="W22" i="71"/>
  <c r="W23" i="71"/>
  <c r="W60" i="71" s="1"/>
  <c r="W24" i="71"/>
  <c r="W61" i="71" s="1"/>
  <c r="W25" i="71"/>
  <c r="W170" i="71" s="1"/>
  <c r="W26" i="71"/>
  <c r="W171" i="71" s="1"/>
  <c r="W27" i="71"/>
  <c r="W172" i="71" s="1"/>
  <c r="W28" i="71"/>
  <c r="W173" i="71" s="1"/>
  <c r="W29" i="71"/>
  <c r="W30" i="71"/>
  <c r="W31" i="71"/>
  <c r="W32" i="71"/>
  <c r="W8" i="71"/>
  <c r="AB143" i="71"/>
  <c r="AA143" i="71"/>
  <c r="Z143" i="71"/>
  <c r="Y143" i="71"/>
  <c r="X143" i="71"/>
  <c r="AB142" i="71"/>
  <c r="AA142" i="71"/>
  <c r="Z142" i="71"/>
  <c r="Y142" i="71"/>
  <c r="X142" i="71"/>
  <c r="AB141" i="71"/>
  <c r="AA141" i="71"/>
  <c r="Z141" i="71"/>
  <c r="Y141" i="71"/>
  <c r="X141" i="71"/>
  <c r="AB140" i="71"/>
  <c r="AA140" i="71"/>
  <c r="Z140" i="71"/>
  <c r="Y140" i="71"/>
  <c r="X140" i="71"/>
  <c r="AB139" i="71"/>
  <c r="AA139" i="71"/>
  <c r="Z139" i="71"/>
  <c r="Y139" i="71"/>
  <c r="X139" i="71"/>
  <c r="AB138" i="71"/>
  <c r="AA138" i="71"/>
  <c r="Z138" i="71"/>
  <c r="Y138" i="71"/>
  <c r="X138" i="71"/>
  <c r="AB137" i="71"/>
  <c r="AA137" i="71"/>
  <c r="Z137" i="71"/>
  <c r="Y137" i="71"/>
  <c r="X137" i="71"/>
  <c r="AB136" i="71"/>
  <c r="AA136" i="71"/>
  <c r="Z136" i="71"/>
  <c r="Y136" i="71"/>
  <c r="X136" i="71"/>
  <c r="AB135" i="71"/>
  <c r="AA135" i="71"/>
  <c r="Z135" i="71"/>
  <c r="Y135" i="71"/>
  <c r="X135" i="71"/>
  <c r="AB134" i="71"/>
  <c r="AA134" i="71"/>
  <c r="Z134" i="71"/>
  <c r="Y134" i="71"/>
  <c r="X134" i="71"/>
  <c r="AB133" i="71"/>
  <c r="AA133" i="71"/>
  <c r="Z133" i="71"/>
  <c r="Y133" i="71"/>
  <c r="X133" i="71"/>
  <c r="AB132" i="71"/>
  <c r="AA132" i="71"/>
  <c r="Z132" i="71"/>
  <c r="Y132" i="71"/>
  <c r="X132" i="71"/>
  <c r="AB131" i="71"/>
  <c r="AA131" i="71"/>
  <c r="Z131" i="71"/>
  <c r="Y131" i="71"/>
  <c r="X131" i="71"/>
  <c r="AB130" i="71"/>
  <c r="AA130" i="71"/>
  <c r="Z130" i="71"/>
  <c r="Y130" i="71"/>
  <c r="X130" i="71"/>
  <c r="AB129" i="71"/>
  <c r="AA129" i="71"/>
  <c r="Z129" i="71"/>
  <c r="Y129" i="71"/>
  <c r="X129" i="71"/>
  <c r="AB128" i="71"/>
  <c r="AA128" i="71"/>
  <c r="Z128" i="71"/>
  <c r="Y128" i="71"/>
  <c r="X128" i="71"/>
  <c r="AB127" i="71"/>
  <c r="AA127" i="71"/>
  <c r="Z127" i="71"/>
  <c r="Y127" i="71"/>
  <c r="X127" i="71"/>
  <c r="AB126" i="71"/>
  <c r="AA126" i="71"/>
  <c r="Z126" i="71"/>
  <c r="Y126" i="71"/>
  <c r="X126" i="71"/>
  <c r="AB125" i="71"/>
  <c r="AA125" i="71"/>
  <c r="Z125" i="71"/>
  <c r="Y125" i="71"/>
  <c r="X125" i="71"/>
  <c r="AB124" i="71"/>
  <c r="AA124" i="71"/>
  <c r="Z124" i="71"/>
  <c r="Y124" i="71"/>
  <c r="X124" i="71"/>
  <c r="AB123" i="71"/>
  <c r="AA123" i="71"/>
  <c r="Z123" i="71"/>
  <c r="Y123" i="71"/>
  <c r="X123" i="71"/>
  <c r="AB122" i="71"/>
  <c r="AA122" i="71"/>
  <c r="Z122" i="71"/>
  <c r="Y122" i="71"/>
  <c r="X122" i="71"/>
  <c r="AB121" i="71"/>
  <c r="AA121" i="71"/>
  <c r="Z121" i="71"/>
  <c r="Y121" i="71"/>
  <c r="X121" i="71"/>
  <c r="AB120" i="71"/>
  <c r="AA120" i="71"/>
  <c r="Z120" i="71"/>
  <c r="Y120" i="71"/>
  <c r="X120" i="71"/>
  <c r="AB119" i="71"/>
  <c r="AA119" i="71"/>
  <c r="Z119" i="71"/>
  <c r="Y119" i="71"/>
  <c r="X119" i="71"/>
  <c r="AB117" i="71"/>
  <c r="AA117" i="71"/>
  <c r="Z117" i="71"/>
  <c r="Y117" i="71"/>
  <c r="X117" i="71"/>
  <c r="AB106" i="71"/>
  <c r="AA106" i="71"/>
  <c r="Z106" i="71"/>
  <c r="Y106" i="71"/>
  <c r="X106" i="71"/>
  <c r="AB105" i="71"/>
  <c r="AA105" i="71"/>
  <c r="Z105" i="71"/>
  <c r="Y105" i="71"/>
  <c r="X105" i="71"/>
  <c r="AB104" i="71"/>
  <c r="AA104" i="71"/>
  <c r="Z104" i="71"/>
  <c r="Y104" i="71"/>
  <c r="X104" i="71"/>
  <c r="AB103" i="71"/>
  <c r="AA103" i="71"/>
  <c r="Z103" i="71"/>
  <c r="Y103" i="71"/>
  <c r="X103" i="71"/>
  <c r="AB102" i="71"/>
  <c r="AA102" i="71"/>
  <c r="Z102" i="71"/>
  <c r="Y102" i="71"/>
  <c r="X102" i="71"/>
  <c r="AE101" i="71"/>
  <c r="AB101" i="71"/>
  <c r="AA101" i="71"/>
  <c r="Z101" i="71"/>
  <c r="Y101" i="71"/>
  <c r="X101" i="71"/>
  <c r="AB100" i="71"/>
  <c r="AA100" i="71"/>
  <c r="Z100" i="71"/>
  <c r="Y100" i="71"/>
  <c r="X100" i="71"/>
  <c r="AB99" i="71"/>
  <c r="AA99" i="71"/>
  <c r="Z99" i="71"/>
  <c r="Y99" i="71"/>
  <c r="X99" i="71"/>
  <c r="AB98" i="71"/>
  <c r="AA98" i="71"/>
  <c r="Z98" i="71"/>
  <c r="Y98" i="71"/>
  <c r="X98" i="71"/>
  <c r="AB97" i="71"/>
  <c r="AA97" i="71"/>
  <c r="Z97" i="71"/>
  <c r="Y97" i="71"/>
  <c r="X97" i="71"/>
  <c r="AB96" i="71"/>
  <c r="AA96" i="71"/>
  <c r="Z96" i="71"/>
  <c r="Y96" i="71"/>
  <c r="X96" i="71"/>
  <c r="AB95" i="71"/>
  <c r="AA95" i="71"/>
  <c r="Z95" i="71"/>
  <c r="Y95" i="71"/>
  <c r="X95" i="71"/>
  <c r="AB94" i="71"/>
  <c r="AA94" i="71"/>
  <c r="Z94" i="71"/>
  <c r="Y94" i="71"/>
  <c r="X94" i="71"/>
  <c r="AB93" i="71"/>
  <c r="AA93" i="71"/>
  <c r="Z93" i="71"/>
  <c r="Y93" i="71"/>
  <c r="X93" i="71"/>
  <c r="AB92" i="71"/>
  <c r="AA92" i="71"/>
  <c r="Z92" i="71"/>
  <c r="Y92" i="71"/>
  <c r="X92" i="71"/>
  <c r="AB91" i="71"/>
  <c r="AA91" i="71"/>
  <c r="Z91" i="71"/>
  <c r="Y91" i="71"/>
  <c r="X91" i="71"/>
  <c r="AB90" i="71"/>
  <c r="AA90" i="71"/>
  <c r="Z90" i="71"/>
  <c r="Y90" i="71"/>
  <c r="X90" i="71"/>
  <c r="W90" i="71"/>
  <c r="AB89" i="71"/>
  <c r="AA89" i="71"/>
  <c r="Z89" i="71"/>
  <c r="Y89" i="71"/>
  <c r="X89" i="71"/>
  <c r="AB88" i="71"/>
  <c r="AA88" i="71"/>
  <c r="Z88" i="71"/>
  <c r="Y88" i="71"/>
  <c r="X88" i="71"/>
  <c r="AB87" i="71"/>
  <c r="AA87" i="71"/>
  <c r="Z87" i="71"/>
  <c r="Y87" i="71"/>
  <c r="X87" i="71"/>
  <c r="AB86" i="71"/>
  <c r="AA86" i="71"/>
  <c r="Z86" i="71"/>
  <c r="Y86" i="71"/>
  <c r="X86" i="71"/>
  <c r="AB85" i="71"/>
  <c r="AA85" i="71"/>
  <c r="Z85" i="71"/>
  <c r="Y85" i="71"/>
  <c r="X85" i="71"/>
  <c r="AB84" i="71"/>
  <c r="AA84" i="71"/>
  <c r="Z84" i="71"/>
  <c r="Y84" i="71"/>
  <c r="X84" i="71"/>
  <c r="AB83" i="71"/>
  <c r="AA83" i="71"/>
  <c r="Z83" i="71"/>
  <c r="Y83" i="71"/>
  <c r="X83" i="71"/>
  <c r="AB82" i="71"/>
  <c r="AA82" i="71"/>
  <c r="Z82" i="71"/>
  <c r="Y82" i="71"/>
  <c r="X82" i="71"/>
  <c r="AB80" i="71"/>
  <c r="AA80" i="71"/>
  <c r="Z80" i="71"/>
  <c r="Y80" i="71"/>
  <c r="X80" i="71"/>
  <c r="AA68" i="71"/>
  <c r="Y68" i="71"/>
  <c r="AB65" i="71"/>
  <c r="AA64" i="71"/>
  <c r="Y64" i="71"/>
  <c r="AB61" i="71"/>
  <c r="AA60" i="71"/>
  <c r="Y60" i="71"/>
  <c r="Y58" i="71"/>
  <c r="AB57" i="71"/>
  <c r="AA56" i="71"/>
  <c r="Y56" i="71"/>
  <c r="Y54" i="71"/>
  <c r="AB53" i="71"/>
  <c r="Y53" i="71"/>
  <c r="AA52" i="71"/>
  <c r="Y52" i="71"/>
  <c r="W51" i="71"/>
  <c r="Y50" i="71"/>
  <c r="AB49" i="71"/>
  <c r="Y49" i="71"/>
  <c r="AA48" i="71"/>
  <c r="Y48" i="71"/>
  <c r="Y46" i="71"/>
  <c r="AB45" i="71"/>
  <c r="Y45" i="71"/>
  <c r="AF43" i="71"/>
  <c r="AF80" i="71" s="1"/>
  <c r="AE43" i="71"/>
  <c r="AE80" i="71" s="1"/>
  <c r="AD43" i="71"/>
  <c r="AD80" i="71" s="1"/>
  <c r="AB43" i="71"/>
  <c r="AA43" i="71"/>
  <c r="Z43" i="71"/>
  <c r="Y43" i="71"/>
  <c r="X43" i="71"/>
  <c r="AF42" i="71"/>
  <c r="AF79" i="71" s="1"/>
  <c r="AE42" i="71"/>
  <c r="AE79" i="71" s="1"/>
  <c r="AD42" i="71"/>
  <c r="AD79" i="71" s="1"/>
  <c r="AB146" i="71"/>
  <c r="Z146" i="71"/>
  <c r="Y109" i="71"/>
  <c r="X146" i="71"/>
  <c r="X109" i="71"/>
  <c r="AE106" i="71"/>
  <c r="AD32" i="71"/>
  <c r="AD69" i="71" s="1"/>
  <c r="AD106" i="71" s="1"/>
  <c r="AE68" i="71"/>
  <c r="AD31" i="71"/>
  <c r="AD68" i="71" s="1"/>
  <c r="AD105" i="71" s="1"/>
  <c r="AE67" i="71"/>
  <c r="AD30" i="71"/>
  <c r="AD67" i="71" s="1"/>
  <c r="AD104" i="71" s="1"/>
  <c r="AE66" i="71"/>
  <c r="AD29" i="71"/>
  <c r="AE102" i="71"/>
  <c r="AD28" i="71"/>
  <c r="AD65" i="71" s="1"/>
  <c r="AD102" i="71" s="1"/>
  <c r="AE64" i="71"/>
  <c r="AD27" i="71"/>
  <c r="AE63" i="71"/>
  <c r="AD26" i="71"/>
  <c r="AF26" i="71" s="1"/>
  <c r="AF63" i="71" s="1"/>
  <c r="AF100" i="71" s="1"/>
  <c r="AE62" i="71"/>
  <c r="AD25" i="71"/>
  <c r="AF25" i="71" s="1"/>
  <c r="AF62" i="71" s="1"/>
  <c r="AF99" i="71" s="1"/>
  <c r="AE98" i="71"/>
  <c r="AD24" i="71"/>
  <c r="AD61" i="71" s="1"/>
  <c r="AD98" i="71" s="1"/>
  <c r="AE60" i="71"/>
  <c r="AD23" i="71"/>
  <c r="AE59" i="71"/>
  <c r="AD22" i="71"/>
  <c r="AD59" i="71" s="1"/>
  <c r="AD96" i="71" s="1"/>
  <c r="AE58" i="71"/>
  <c r="AD21" i="71"/>
  <c r="AD58" i="71" s="1"/>
  <c r="AD95" i="71" s="1"/>
  <c r="W95" i="71"/>
  <c r="AE94" i="71"/>
  <c r="AD20" i="71"/>
  <c r="AE56" i="71"/>
  <c r="AD19" i="71"/>
  <c r="AD56" i="71" s="1"/>
  <c r="AD93" i="71" s="1"/>
  <c r="AE55" i="71"/>
  <c r="AD18" i="71"/>
  <c r="AE54" i="71"/>
  <c r="AD17" i="71"/>
  <c r="AF17" i="71" s="1"/>
  <c r="AF54" i="71" s="1"/>
  <c r="AF91" i="71" s="1"/>
  <c r="W91" i="71"/>
  <c r="AE90" i="71"/>
  <c r="AD16" i="71"/>
  <c r="AD53" i="71" s="1"/>
  <c r="AD90" i="71" s="1"/>
  <c r="AE52" i="71"/>
  <c r="AD15" i="71"/>
  <c r="AE51" i="71"/>
  <c r="AD14" i="71"/>
  <c r="AF14" i="71" s="1"/>
  <c r="AF51" i="71" s="1"/>
  <c r="AF88" i="71" s="1"/>
  <c r="AE50" i="71"/>
  <c r="AD13" i="71"/>
  <c r="AF13" i="71" s="1"/>
  <c r="AF50" i="71" s="1"/>
  <c r="AF87" i="71" s="1"/>
  <c r="AE86" i="71"/>
  <c r="AD12" i="71"/>
  <c r="AD49" i="71" s="1"/>
  <c r="AD86" i="71" s="1"/>
  <c r="AE48" i="71"/>
  <c r="AD11" i="71"/>
  <c r="AE47" i="71"/>
  <c r="AD10" i="71"/>
  <c r="AD47" i="71" s="1"/>
  <c r="AD84" i="71" s="1"/>
  <c r="AE46" i="71"/>
  <c r="AD9" i="71"/>
  <c r="W83" i="71"/>
  <c r="AE82" i="71"/>
  <c r="AD8" i="71"/>
  <c r="AD4" i="71"/>
  <c r="L112" i="71"/>
  <c r="L35" i="71"/>
  <c r="L9" i="71"/>
  <c r="L10" i="71"/>
  <c r="L11" i="71"/>
  <c r="L122" i="71" s="1"/>
  <c r="L12" i="71"/>
  <c r="L13" i="71"/>
  <c r="L158" i="71" s="1"/>
  <c r="L14" i="71"/>
  <c r="L159" i="71" s="1"/>
  <c r="L15" i="71"/>
  <c r="L160" i="71" s="1"/>
  <c r="L16" i="71"/>
  <c r="L17" i="71"/>
  <c r="L91" i="71" s="1"/>
  <c r="L18" i="71"/>
  <c r="L19" i="71"/>
  <c r="L164" i="71" s="1"/>
  <c r="L20" i="71"/>
  <c r="L165" i="71" s="1"/>
  <c r="L21" i="71"/>
  <c r="L166" i="71" s="1"/>
  <c r="L22" i="71"/>
  <c r="L23" i="71"/>
  <c r="L24" i="71"/>
  <c r="L25" i="71"/>
  <c r="L170" i="71" s="1"/>
  <c r="L26" i="71"/>
  <c r="L27" i="71"/>
  <c r="L172" i="71" s="1"/>
  <c r="L28" i="71"/>
  <c r="L173" i="71" s="1"/>
  <c r="L29" i="71"/>
  <c r="L103" i="71" s="1"/>
  <c r="L30" i="71"/>
  <c r="L31" i="71"/>
  <c r="L176" i="71" s="1"/>
  <c r="L32" i="71"/>
  <c r="L69" i="71" s="1"/>
  <c r="L8" i="71"/>
  <c r="Q143" i="71"/>
  <c r="P143" i="71"/>
  <c r="O143" i="71"/>
  <c r="N143" i="71"/>
  <c r="M143" i="71"/>
  <c r="Q142" i="71"/>
  <c r="P142" i="71"/>
  <c r="O142" i="71"/>
  <c r="N142" i="71"/>
  <c r="M142" i="71"/>
  <c r="Q141" i="71"/>
  <c r="P141" i="71"/>
  <c r="O141" i="71"/>
  <c r="N141" i="71"/>
  <c r="M141" i="71"/>
  <c r="Q140" i="71"/>
  <c r="P140" i="71"/>
  <c r="O140" i="71"/>
  <c r="N140" i="71"/>
  <c r="M140" i="71"/>
  <c r="Q139" i="71"/>
  <c r="P139" i="71"/>
  <c r="O139" i="71"/>
  <c r="N139" i="71"/>
  <c r="M139" i="71"/>
  <c r="Q138" i="71"/>
  <c r="P138" i="71"/>
  <c r="O138" i="71"/>
  <c r="N138" i="71"/>
  <c r="M138" i="71"/>
  <c r="Q137" i="71"/>
  <c r="P137" i="71"/>
  <c r="O137" i="71"/>
  <c r="N137" i="71"/>
  <c r="M137" i="71"/>
  <c r="Q136" i="71"/>
  <c r="P136" i="71"/>
  <c r="O136" i="71"/>
  <c r="N136" i="71"/>
  <c r="M136" i="71"/>
  <c r="Q135" i="71"/>
  <c r="P135" i="71"/>
  <c r="O135" i="71"/>
  <c r="N135" i="71"/>
  <c r="M135" i="71"/>
  <c r="Q134" i="71"/>
  <c r="P134" i="71"/>
  <c r="O134" i="71"/>
  <c r="N134" i="71"/>
  <c r="M134" i="71"/>
  <c r="Q133" i="71"/>
  <c r="P133" i="71"/>
  <c r="O133" i="71"/>
  <c r="N133" i="71"/>
  <c r="M133" i="71"/>
  <c r="Q132" i="71"/>
  <c r="P132" i="71"/>
  <c r="O132" i="71"/>
  <c r="N132" i="71"/>
  <c r="M132" i="71"/>
  <c r="Q131" i="71"/>
  <c r="P131" i="71"/>
  <c r="O131" i="71"/>
  <c r="N131" i="71"/>
  <c r="M131" i="71"/>
  <c r="Q130" i="71"/>
  <c r="P130" i="71"/>
  <c r="O130" i="71"/>
  <c r="N130" i="71"/>
  <c r="M130" i="71"/>
  <c r="Q129" i="71"/>
  <c r="P129" i="71"/>
  <c r="O129" i="71"/>
  <c r="N129" i="71"/>
  <c r="M129" i="71"/>
  <c r="Q128" i="71"/>
  <c r="P128" i="71"/>
  <c r="O128" i="71"/>
  <c r="N128" i="71"/>
  <c r="M128" i="71"/>
  <c r="Q127" i="71"/>
  <c r="P127" i="71"/>
  <c r="O127" i="71"/>
  <c r="N127" i="71"/>
  <c r="M127" i="71"/>
  <c r="Q126" i="71"/>
  <c r="P126" i="71"/>
  <c r="O126" i="71"/>
  <c r="N126" i="71"/>
  <c r="M126" i="71"/>
  <c r="Q125" i="71"/>
  <c r="P125" i="71"/>
  <c r="O125" i="71"/>
  <c r="N125" i="71"/>
  <c r="M125" i="71"/>
  <c r="Q124" i="71"/>
  <c r="P124" i="71"/>
  <c r="O124" i="71"/>
  <c r="N124" i="71"/>
  <c r="M124" i="71"/>
  <c r="Q123" i="71"/>
  <c r="P123" i="71"/>
  <c r="O123" i="71"/>
  <c r="N123" i="71"/>
  <c r="M123" i="71"/>
  <c r="Q122" i="71"/>
  <c r="P122" i="71"/>
  <c r="O122" i="71"/>
  <c r="N122" i="71"/>
  <c r="M122" i="71"/>
  <c r="Q121" i="71"/>
  <c r="P121" i="71"/>
  <c r="O121" i="71"/>
  <c r="N121" i="71"/>
  <c r="M121" i="71"/>
  <c r="Q120" i="71"/>
  <c r="P120" i="71"/>
  <c r="O120" i="71"/>
  <c r="N120" i="71"/>
  <c r="M120" i="71"/>
  <c r="Q119" i="71"/>
  <c r="P119" i="71"/>
  <c r="O119" i="71"/>
  <c r="N119" i="71"/>
  <c r="M119" i="71"/>
  <c r="Q117" i="71"/>
  <c r="P117" i="71"/>
  <c r="O117" i="71"/>
  <c r="N117" i="71"/>
  <c r="M117" i="71"/>
  <c r="Q106" i="71"/>
  <c r="P106" i="71"/>
  <c r="O106" i="71"/>
  <c r="N106" i="71"/>
  <c r="M106" i="71"/>
  <c r="Q105" i="71"/>
  <c r="P105" i="71"/>
  <c r="O105" i="71"/>
  <c r="N105" i="71"/>
  <c r="M105" i="71"/>
  <c r="Q104" i="71"/>
  <c r="P104" i="71"/>
  <c r="O104" i="71"/>
  <c r="N104" i="71"/>
  <c r="M104" i="71"/>
  <c r="Q103" i="71"/>
  <c r="P103" i="71"/>
  <c r="O103" i="71"/>
  <c r="N103" i="71"/>
  <c r="M103" i="71"/>
  <c r="Q102" i="71"/>
  <c r="P102" i="71"/>
  <c r="O102" i="71"/>
  <c r="N102" i="71"/>
  <c r="M102" i="71"/>
  <c r="Q101" i="71"/>
  <c r="P101" i="71"/>
  <c r="O101" i="71"/>
  <c r="N101" i="71"/>
  <c r="M101" i="71"/>
  <c r="Q100" i="71"/>
  <c r="P100" i="71"/>
  <c r="O100" i="71"/>
  <c r="N100" i="71"/>
  <c r="M100" i="71"/>
  <c r="Q99" i="71"/>
  <c r="P99" i="71"/>
  <c r="O99" i="71"/>
  <c r="N99" i="71"/>
  <c r="M99" i="71"/>
  <c r="Q98" i="71"/>
  <c r="P98" i="71"/>
  <c r="O98" i="71"/>
  <c r="N98" i="71"/>
  <c r="M98" i="71"/>
  <c r="Q97" i="71"/>
  <c r="P97" i="71"/>
  <c r="O97" i="71"/>
  <c r="N97" i="71"/>
  <c r="M97" i="71"/>
  <c r="Q96" i="71"/>
  <c r="P96" i="71"/>
  <c r="O96" i="71"/>
  <c r="N96" i="71"/>
  <c r="M96" i="71"/>
  <c r="Q95" i="71"/>
  <c r="P95" i="71"/>
  <c r="O95" i="71"/>
  <c r="N95" i="71"/>
  <c r="M95" i="71"/>
  <c r="Q94" i="71"/>
  <c r="P94" i="71"/>
  <c r="O94" i="71"/>
  <c r="N94" i="71"/>
  <c r="M94" i="71"/>
  <c r="Q93" i="71"/>
  <c r="P93" i="71"/>
  <c r="O93" i="71"/>
  <c r="N93" i="71"/>
  <c r="M93" i="71"/>
  <c r="Q92" i="71"/>
  <c r="P92" i="71"/>
  <c r="O92" i="71"/>
  <c r="N92" i="71"/>
  <c r="M92" i="71"/>
  <c r="Q91" i="71"/>
  <c r="P91" i="71"/>
  <c r="O91" i="71"/>
  <c r="N91" i="71"/>
  <c r="M91" i="71"/>
  <c r="Q90" i="71"/>
  <c r="P90" i="71"/>
  <c r="O90" i="71"/>
  <c r="N90" i="71"/>
  <c r="M90" i="71"/>
  <c r="Q89" i="71"/>
  <c r="P89" i="71"/>
  <c r="O89" i="71"/>
  <c r="N89" i="71"/>
  <c r="M89" i="71"/>
  <c r="Q88" i="71"/>
  <c r="P88" i="71"/>
  <c r="O88" i="71"/>
  <c r="N88" i="71"/>
  <c r="M88" i="71"/>
  <c r="Q87" i="71"/>
  <c r="P87" i="71"/>
  <c r="O87" i="71"/>
  <c r="N87" i="71"/>
  <c r="M87" i="71"/>
  <c r="Q86" i="71"/>
  <c r="P86" i="71"/>
  <c r="O86" i="71"/>
  <c r="N86" i="71"/>
  <c r="M86" i="71"/>
  <c r="Q85" i="71"/>
  <c r="P85" i="71"/>
  <c r="O85" i="71"/>
  <c r="N85" i="71"/>
  <c r="M85" i="71"/>
  <c r="Q84" i="71"/>
  <c r="P84" i="71"/>
  <c r="O84" i="71"/>
  <c r="N84" i="71"/>
  <c r="M84" i="71"/>
  <c r="Q83" i="71"/>
  <c r="P83" i="71"/>
  <c r="O83" i="71"/>
  <c r="N83" i="71"/>
  <c r="M83" i="71"/>
  <c r="Q82" i="71"/>
  <c r="P82" i="71"/>
  <c r="O82" i="71"/>
  <c r="N82" i="71"/>
  <c r="M82" i="71"/>
  <c r="Q80" i="71"/>
  <c r="P80" i="71"/>
  <c r="O80" i="71"/>
  <c r="N80" i="71"/>
  <c r="M80" i="71"/>
  <c r="L63" i="71"/>
  <c r="L51" i="71"/>
  <c r="U43" i="71"/>
  <c r="U80" i="71" s="1"/>
  <c r="T43" i="71"/>
  <c r="T80" i="71" s="1"/>
  <c r="S43" i="71"/>
  <c r="S80" i="71" s="1"/>
  <c r="Q43" i="71"/>
  <c r="P43" i="71"/>
  <c r="O43" i="71"/>
  <c r="N43" i="71"/>
  <c r="M43" i="71"/>
  <c r="U42" i="71"/>
  <c r="U79" i="71" s="1"/>
  <c r="T42" i="71"/>
  <c r="T79" i="71" s="1"/>
  <c r="S42" i="71"/>
  <c r="S79" i="71" s="1"/>
  <c r="Q72" i="71"/>
  <c r="M68" i="71"/>
  <c r="T106" i="71"/>
  <c r="S32" i="71"/>
  <c r="S69" i="71" s="1"/>
  <c r="S106" i="71" s="1"/>
  <c r="T68" i="71"/>
  <c r="S31" i="71"/>
  <c r="T67" i="71"/>
  <c r="S30" i="71"/>
  <c r="S67" i="71" s="1"/>
  <c r="S104" i="71" s="1"/>
  <c r="T66" i="71"/>
  <c r="S29" i="71"/>
  <c r="S66" i="71" s="1"/>
  <c r="S103" i="71" s="1"/>
  <c r="T102" i="71"/>
  <c r="S28" i="71"/>
  <c r="S65" i="71" s="1"/>
  <c r="S102" i="71" s="1"/>
  <c r="T64" i="71"/>
  <c r="S27" i="71"/>
  <c r="S64" i="71" s="1"/>
  <c r="S101" i="71" s="1"/>
  <c r="T63" i="71"/>
  <c r="S26" i="71"/>
  <c r="S63" i="71" s="1"/>
  <c r="S100" i="71" s="1"/>
  <c r="T62" i="71"/>
  <c r="S25" i="71"/>
  <c r="S62" i="71" s="1"/>
  <c r="S99" i="71" s="1"/>
  <c r="T98" i="71"/>
  <c r="S24" i="71"/>
  <c r="T97" i="71"/>
  <c r="S23" i="71"/>
  <c r="S60" i="71" s="1"/>
  <c r="S97" i="71" s="1"/>
  <c r="T59" i="71"/>
  <c r="S22" i="71"/>
  <c r="S59" i="71" s="1"/>
  <c r="S96" i="71" s="1"/>
  <c r="T58" i="71"/>
  <c r="S21" i="71"/>
  <c r="S58" i="71" s="1"/>
  <c r="S95" i="71" s="1"/>
  <c r="L95" i="71"/>
  <c r="T94" i="71"/>
  <c r="S20" i="71"/>
  <c r="S57" i="71" s="1"/>
  <c r="S94" i="71" s="1"/>
  <c r="T56" i="71"/>
  <c r="S19" i="71"/>
  <c r="S56" i="71" s="1"/>
  <c r="S93" i="71" s="1"/>
  <c r="T55" i="71"/>
  <c r="S18" i="71"/>
  <c r="S55" i="71" s="1"/>
  <c r="S92" i="71" s="1"/>
  <c r="T54" i="71"/>
  <c r="S17" i="71"/>
  <c r="S54" i="71" s="1"/>
  <c r="S91" i="71" s="1"/>
  <c r="T90" i="71"/>
  <c r="S16" i="71"/>
  <c r="S53" i="71" s="1"/>
  <c r="S90" i="71" s="1"/>
  <c r="T52" i="71"/>
  <c r="S15" i="71"/>
  <c r="S52" i="71" s="1"/>
  <c r="S89" i="71" s="1"/>
  <c r="T51" i="71"/>
  <c r="S14" i="71"/>
  <c r="S51" i="71" s="1"/>
  <c r="S88" i="71" s="1"/>
  <c r="L88" i="71"/>
  <c r="T50" i="71"/>
  <c r="S13" i="71"/>
  <c r="S50" i="71" s="1"/>
  <c r="S87" i="71" s="1"/>
  <c r="T86" i="71"/>
  <c r="S12" i="71"/>
  <c r="S49" i="71" s="1"/>
  <c r="S86" i="71" s="1"/>
  <c r="T85" i="71"/>
  <c r="S11" i="71"/>
  <c r="S48" i="71" s="1"/>
  <c r="S85" i="71" s="1"/>
  <c r="T47" i="71"/>
  <c r="S10" i="71"/>
  <c r="S47" i="71" s="1"/>
  <c r="S84" i="71" s="1"/>
  <c r="T46" i="71"/>
  <c r="S9" i="71"/>
  <c r="S46" i="71" s="1"/>
  <c r="S83" i="71" s="1"/>
  <c r="T82" i="71"/>
  <c r="S8" i="71"/>
  <c r="S45" i="71" s="1"/>
  <c r="S82" i="71" s="1"/>
  <c r="S4" i="71"/>
  <c r="Y6" i="16"/>
  <c r="Z6" i="16"/>
  <c r="Z79" i="16" s="1"/>
  <c r="AA6" i="16"/>
  <c r="AA79" i="16" s="1"/>
  <c r="AB6" i="16"/>
  <c r="X6" i="16"/>
  <c r="X79" i="16" s="1"/>
  <c r="W18" i="16"/>
  <c r="W90" i="16" s="1"/>
  <c r="W9" i="16"/>
  <c r="W81" i="16" s="1"/>
  <c r="W10" i="16"/>
  <c r="W82" i="16" s="1"/>
  <c r="W11" i="16"/>
  <c r="W83" i="16" s="1"/>
  <c r="W12" i="16"/>
  <c r="W84" i="16" s="1"/>
  <c r="W13" i="16"/>
  <c r="W85" i="16" s="1"/>
  <c r="W14" i="16"/>
  <c r="W86" i="16" s="1"/>
  <c r="W15" i="16"/>
  <c r="W87" i="16" s="1"/>
  <c r="W16" i="16"/>
  <c r="W8" i="16"/>
  <c r="W80" i="16" s="1"/>
  <c r="AF44" i="16"/>
  <c r="AE44" i="16"/>
  <c r="AD44" i="16"/>
  <c r="AF43" i="16"/>
  <c r="AE43" i="16"/>
  <c r="AD43" i="16"/>
  <c r="AF24" i="16"/>
  <c r="AE24" i="16"/>
  <c r="AD24" i="16"/>
  <c r="AF23" i="16"/>
  <c r="AE23" i="16"/>
  <c r="AD23" i="16"/>
  <c r="W88" i="16"/>
  <c r="N6" i="16"/>
  <c r="O6" i="16"/>
  <c r="P6" i="16"/>
  <c r="P24" i="16" s="1"/>
  <c r="Q6" i="16"/>
  <c r="M6" i="16"/>
  <c r="L18" i="16"/>
  <c r="L90" i="16" s="1"/>
  <c r="L9" i="16"/>
  <c r="L81" i="16" s="1"/>
  <c r="L10" i="16"/>
  <c r="L82" i="16" s="1"/>
  <c r="L11" i="16"/>
  <c r="L83" i="16" s="1"/>
  <c r="L12" i="16"/>
  <c r="L84" i="16" s="1"/>
  <c r="L13" i="16"/>
  <c r="L14" i="16"/>
  <c r="L86" i="16" s="1"/>
  <c r="L15" i="16"/>
  <c r="L87" i="16" s="1"/>
  <c r="L16" i="16"/>
  <c r="L88" i="16" s="1"/>
  <c r="L8" i="16"/>
  <c r="L80" i="16" s="1"/>
  <c r="U44" i="16"/>
  <c r="T44" i="16"/>
  <c r="S44" i="16"/>
  <c r="U43" i="16"/>
  <c r="T43" i="16"/>
  <c r="S43" i="16"/>
  <c r="U24" i="16"/>
  <c r="T24" i="16"/>
  <c r="S24" i="16"/>
  <c r="U23" i="16"/>
  <c r="T23" i="16"/>
  <c r="S23" i="16"/>
  <c r="L85" i="16"/>
  <c r="O54" i="109" l="1"/>
  <c r="W1" i="16"/>
  <c r="W39" i="16" s="1"/>
  <c r="A1" i="108"/>
  <c r="A79" i="108"/>
  <c r="A40" i="108"/>
  <c r="AP33" i="109"/>
  <c r="AP54" i="109"/>
  <c r="AP28" i="109"/>
  <c r="AP31" i="109"/>
  <c r="O34" i="109"/>
  <c r="M79" i="16"/>
  <c r="L57" i="71"/>
  <c r="L131" i="71"/>
  <c r="W87" i="71"/>
  <c r="L68" i="71"/>
  <c r="W63" i="71"/>
  <c r="M35" i="108"/>
  <c r="W88" i="71"/>
  <c r="W99" i="71"/>
  <c r="W100" i="71"/>
  <c r="M28" i="108"/>
  <c r="Q47" i="109"/>
  <c r="W125" i="71"/>
  <c r="M26" i="108"/>
  <c r="Q33" i="109"/>
  <c r="L87" i="71"/>
  <c r="L56" i="71"/>
  <c r="M21" i="108"/>
  <c r="Q44" i="109"/>
  <c r="AG30" i="109"/>
  <c r="AG31" i="109"/>
  <c r="AG32" i="109"/>
  <c r="AG33" i="109"/>
  <c r="AG34" i="109"/>
  <c r="W137" i="71"/>
  <c r="Q30" i="109"/>
  <c r="AG27" i="109"/>
  <c r="AG28" i="109"/>
  <c r="AG44" i="109"/>
  <c r="L99" i="71"/>
  <c r="Q27" i="109"/>
  <c r="Q54" i="109"/>
  <c r="L100" i="71"/>
  <c r="L171" i="71"/>
  <c r="W65" i="71"/>
  <c r="W102" i="71"/>
  <c r="W127" i="71"/>
  <c r="M33" i="108"/>
  <c r="Q26" i="109"/>
  <c r="Q29" i="109"/>
  <c r="Q32" i="109"/>
  <c r="Q36" i="109"/>
  <c r="AG45" i="109"/>
  <c r="W52" i="71"/>
  <c r="AG46" i="109"/>
  <c r="L126" i="71"/>
  <c r="L52" i="71"/>
  <c r="L135" i="71"/>
  <c r="L169" i="71"/>
  <c r="L123" i="71"/>
  <c r="L157" i="71"/>
  <c r="W98" i="71"/>
  <c r="W169" i="71"/>
  <c r="W49" i="71"/>
  <c r="W157" i="71"/>
  <c r="AG47" i="109"/>
  <c r="L134" i="71"/>
  <c r="L168" i="71"/>
  <c r="L48" i="71"/>
  <c r="L156" i="71"/>
  <c r="W126" i="71"/>
  <c r="W134" i="71"/>
  <c r="W168" i="71"/>
  <c r="W122" i="71"/>
  <c r="W156" i="71"/>
  <c r="M40" i="108"/>
  <c r="Q48" i="109"/>
  <c r="Q51" i="109"/>
  <c r="L96" i="71"/>
  <c r="L167" i="71"/>
  <c r="L84" i="71"/>
  <c r="L155" i="71"/>
  <c r="W133" i="71"/>
  <c r="W167" i="71"/>
  <c r="W121" i="71"/>
  <c r="W155" i="71"/>
  <c r="M39" i="108"/>
  <c r="Q28" i="109"/>
  <c r="Q31" i="109"/>
  <c r="Q34" i="109"/>
  <c r="AG49" i="109"/>
  <c r="L64" i="71"/>
  <c r="L45" i="71"/>
  <c r="L153" i="71"/>
  <c r="L83" i="71"/>
  <c r="L154" i="71"/>
  <c r="W64" i="71"/>
  <c r="W119" i="71"/>
  <c r="W153" i="71"/>
  <c r="L53" i="71"/>
  <c r="L161" i="71"/>
  <c r="L65" i="71"/>
  <c r="L143" i="71"/>
  <c r="L177" i="71"/>
  <c r="L109" i="71"/>
  <c r="L180" i="71"/>
  <c r="W53" i="71"/>
  <c r="W135" i="71"/>
  <c r="W106" i="71"/>
  <c r="W177" i="71"/>
  <c r="W57" i="71"/>
  <c r="W165" i="71"/>
  <c r="W109" i="71"/>
  <c r="W180" i="71"/>
  <c r="M37" i="108"/>
  <c r="W68" i="71"/>
  <c r="W176" i="71"/>
  <c r="W56" i="71"/>
  <c r="W164" i="71"/>
  <c r="Q52" i="109"/>
  <c r="L138" i="71"/>
  <c r="L67" i="71"/>
  <c r="L175" i="71"/>
  <c r="L55" i="71"/>
  <c r="L163" i="71"/>
  <c r="W141" i="71"/>
  <c r="W175" i="71"/>
  <c r="W55" i="71"/>
  <c r="W163" i="71"/>
  <c r="AG36" i="109"/>
  <c r="L66" i="71"/>
  <c r="L174" i="71"/>
  <c r="L54" i="71"/>
  <c r="L162" i="71"/>
  <c r="W138" i="71"/>
  <c r="W103" i="71"/>
  <c r="W174" i="71"/>
  <c r="O31" i="109"/>
  <c r="AK26" i="109"/>
  <c r="AK31" i="109"/>
  <c r="AK32" i="109"/>
  <c r="AK34" i="109"/>
  <c r="AK27" i="109"/>
  <c r="AU54" i="109"/>
  <c r="AK29" i="109"/>
  <c r="AF12" i="71"/>
  <c r="AF49" i="71" s="1"/>
  <c r="AF86" i="71" s="1"/>
  <c r="AK36" i="109"/>
  <c r="AK54" i="109"/>
  <c r="AK28" i="109"/>
  <c r="AK30" i="109"/>
  <c r="AF9" i="71"/>
  <c r="AF46" i="71" s="1"/>
  <c r="AF83" i="71" s="1"/>
  <c r="AF18" i="71"/>
  <c r="AF55" i="71" s="1"/>
  <c r="AF92" i="71" s="1"/>
  <c r="AF23" i="71"/>
  <c r="AF60" i="71" s="1"/>
  <c r="AF97" i="71" s="1"/>
  <c r="AE85" i="71"/>
  <c r="AE49" i="71"/>
  <c r="AE57" i="71"/>
  <c r="AF11" i="71"/>
  <c r="AF48" i="71" s="1"/>
  <c r="AF85" i="71" s="1"/>
  <c r="AF15" i="71"/>
  <c r="AF52" i="71" s="1"/>
  <c r="AF89" i="71" s="1"/>
  <c r="AF20" i="71"/>
  <c r="AF57" i="71" s="1"/>
  <c r="AF94" i="71" s="1"/>
  <c r="AF29" i="71"/>
  <c r="AF66" i="71" s="1"/>
  <c r="AF103" i="71" s="1"/>
  <c r="AE65" i="71"/>
  <c r="AE97" i="71"/>
  <c r="AE45" i="71"/>
  <c r="AE93" i="71"/>
  <c r="AF30" i="71"/>
  <c r="AF67" i="71" s="1"/>
  <c r="AF104" i="71" s="1"/>
  <c r="AE69" i="71"/>
  <c r="AF8" i="71"/>
  <c r="AF21" i="71"/>
  <c r="AF58" i="71" s="1"/>
  <c r="AF95" i="71" s="1"/>
  <c r="AE89" i="71"/>
  <c r="AE53" i="71"/>
  <c r="AE61" i="71"/>
  <c r="U24" i="71"/>
  <c r="U61" i="71" s="1"/>
  <c r="U98" i="71" s="1"/>
  <c r="AF27" i="71"/>
  <c r="AF64" i="71" s="1"/>
  <c r="AF101" i="71" s="1"/>
  <c r="AF32" i="71"/>
  <c r="AF69" i="71" s="1"/>
  <c r="AF106" i="71" s="1"/>
  <c r="AE105" i="71"/>
  <c r="T93" i="71"/>
  <c r="U31" i="71"/>
  <c r="U68" i="71" s="1"/>
  <c r="U105" i="71" s="1"/>
  <c r="T89" i="71"/>
  <c r="T105" i="71"/>
  <c r="T101" i="71"/>
  <c r="E30" i="109"/>
  <c r="J34" i="109"/>
  <c r="E29" i="109"/>
  <c r="AD66" i="71"/>
  <c r="AD103" i="71" s="1"/>
  <c r="P79" i="16"/>
  <c r="AD54" i="71"/>
  <c r="AD91" i="71" s="1"/>
  <c r="AD62" i="71"/>
  <c r="AD99" i="71" s="1"/>
  <c r="AD50" i="71"/>
  <c r="AD87" i="71" s="1"/>
  <c r="AD63" i="71"/>
  <c r="AD100" i="71" s="1"/>
  <c r="X87" i="16"/>
  <c r="S61" i="71"/>
  <c r="S98" i="71" s="1"/>
  <c r="AD45" i="71"/>
  <c r="AD82" i="71" s="1"/>
  <c r="AD51" i="71"/>
  <c r="AD88" i="71" s="1"/>
  <c r="AD57" i="71"/>
  <c r="AD94" i="71" s="1"/>
  <c r="E36" i="109"/>
  <c r="E28" i="109"/>
  <c r="O26" i="109"/>
  <c r="O36" i="109"/>
  <c r="O28" i="109"/>
  <c r="O32" i="109"/>
  <c r="O30" i="109"/>
  <c r="E31" i="109"/>
  <c r="O49" i="109"/>
  <c r="E45" i="109"/>
  <c r="J33" i="109"/>
  <c r="J54" i="109"/>
  <c r="J29" i="109"/>
  <c r="J27" i="109"/>
  <c r="E54" i="109"/>
  <c r="J28" i="109"/>
  <c r="J30" i="109"/>
  <c r="J36" i="109"/>
  <c r="J31" i="109"/>
  <c r="J51" i="109"/>
  <c r="E33" i="109"/>
  <c r="E27" i="109"/>
  <c r="O47" i="109"/>
  <c r="J44" i="109"/>
  <c r="O46" i="109"/>
  <c r="E49" i="109"/>
  <c r="E46" i="109"/>
  <c r="E52" i="109"/>
  <c r="J46" i="109"/>
  <c r="E48" i="109"/>
  <c r="J52" i="109"/>
  <c r="N16" i="108"/>
  <c r="Q45" i="71"/>
  <c r="Q46" i="71"/>
  <c r="Q48" i="71"/>
  <c r="Q49" i="71"/>
  <c r="Q64" i="71"/>
  <c r="Q65" i="71"/>
  <c r="U18" i="71"/>
  <c r="U55" i="71" s="1"/>
  <c r="U92" i="71" s="1"/>
  <c r="Q53" i="71"/>
  <c r="Q68" i="71"/>
  <c r="M146" i="71"/>
  <c r="Q56" i="71"/>
  <c r="Q60" i="71"/>
  <c r="U12" i="71"/>
  <c r="U49" i="71" s="1"/>
  <c r="U86" i="71" s="1"/>
  <c r="N31" i="108"/>
  <c r="N49" i="71"/>
  <c r="U9" i="71"/>
  <c r="U46" i="71" s="1"/>
  <c r="U83" i="71" s="1"/>
  <c r="U21" i="71"/>
  <c r="U58" i="71" s="1"/>
  <c r="U95" i="71" s="1"/>
  <c r="N55" i="71"/>
  <c r="S4" i="16"/>
  <c r="S42" i="16" s="1"/>
  <c r="O79" i="16"/>
  <c r="U30" i="71"/>
  <c r="U67" i="71" s="1"/>
  <c r="U104" i="71" s="1"/>
  <c r="N45" i="71"/>
  <c r="N56" i="71"/>
  <c r="Q61" i="71"/>
  <c r="N67" i="71"/>
  <c r="N68" i="71"/>
  <c r="P146" i="71"/>
  <c r="N51" i="71"/>
  <c r="M109" i="71"/>
  <c r="U27" i="71"/>
  <c r="U64" i="71" s="1"/>
  <c r="U101" i="71" s="1"/>
  <c r="S68" i="71"/>
  <c r="S105" i="71" s="1"/>
  <c r="U11" i="71"/>
  <c r="U48" i="71" s="1"/>
  <c r="U85" i="71" s="1"/>
  <c r="N47" i="71"/>
  <c r="N57" i="71"/>
  <c r="N63" i="71"/>
  <c r="U15" i="71"/>
  <c r="U52" i="71" s="1"/>
  <c r="U89" i="71" s="1"/>
  <c r="N52" i="71"/>
  <c r="Q57" i="71"/>
  <c r="Q69" i="71"/>
  <c r="U23" i="71"/>
  <c r="U60" i="71" s="1"/>
  <c r="U97" i="71" s="1"/>
  <c r="N48" i="71"/>
  <c r="Q52" i="71"/>
  <c r="N53" i="71"/>
  <c r="N59" i="71"/>
  <c r="N64" i="71"/>
  <c r="N60" i="71"/>
  <c r="O146" i="71"/>
  <c r="O52" i="109"/>
  <c r="E50" i="109"/>
  <c r="J48" i="109"/>
  <c r="J32" i="109"/>
  <c r="E32" i="109"/>
  <c r="O48" i="109"/>
  <c r="E34" i="109"/>
  <c r="O44" i="109"/>
  <c r="E26" i="109"/>
  <c r="X52" i="109"/>
  <c r="O41" i="108" s="1"/>
  <c r="AD50" i="109"/>
  <c r="Y50" i="109"/>
  <c r="N39" i="108" s="1"/>
  <c r="R48" i="109"/>
  <c r="AB48" i="109"/>
  <c r="S50" i="109"/>
  <c r="AE26" i="109"/>
  <c r="AE44" i="109"/>
  <c r="Z44" i="109"/>
  <c r="Y45" i="109"/>
  <c r="N34" i="108" s="1"/>
  <c r="R51" i="109"/>
  <c r="Y47" i="109"/>
  <c r="N36" i="108" s="1"/>
  <c r="Y49" i="109"/>
  <c r="N38" i="108" s="1"/>
  <c r="AD46" i="109"/>
  <c r="Y51" i="109"/>
  <c r="N40" i="108" s="1"/>
  <c r="Y52" i="109"/>
  <c r="N41" i="108" s="1"/>
  <c r="AB51" i="109"/>
  <c r="A30" i="109"/>
  <c r="A27" i="109"/>
  <c r="A45" i="109"/>
  <c r="A49" i="109"/>
  <c r="A31" i="109"/>
  <c r="A54" i="109"/>
  <c r="A36" i="109"/>
  <c r="A47" i="109"/>
  <c r="A29" i="109"/>
  <c r="A33" i="109"/>
  <c r="A51" i="109"/>
  <c r="A44" i="109"/>
  <c r="A48" i="109"/>
  <c r="A52" i="109"/>
  <c r="A26" i="109"/>
  <c r="A46" i="109"/>
  <c r="A28" i="109"/>
  <c r="A50" i="109"/>
  <c r="A32" i="109"/>
  <c r="A34" i="109"/>
  <c r="W75" i="71"/>
  <c r="W104" i="71"/>
  <c r="W47" i="71"/>
  <c r="W92" i="71"/>
  <c r="W59" i="71"/>
  <c r="W94" i="71"/>
  <c r="W129" i="71"/>
  <c r="W130" i="71"/>
  <c r="W142" i="71"/>
  <c r="W86" i="71"/>
  <c r="W123" i="71"/>
  <c r="W67" i="71"/>
  <c r="W143" i="71"/>
  <c r="W69" i="71"/>
  <c r="W45" i="71"/>
  <c r="W82" i="71"/>
  <c r="X47" i="71"/>
  <c r="X55" i="71"/>
  <c r="Z109" i="71"/>
  <c r="AA81" i="16"/>
  <c r="AD72" i="71"/>
  <c r="AD109" i="71" s="1"/>
  <c r="Y47" i="71"/>
  <c r="AB48" i="71"/>
  <c r="Y51" i="71"/>
  <c r="AB52" i="71"/>
  <c r="Y55" i="71"/>
  <c r="AB56" i="71"/>
  <c r="Y59" i="71"/>
  <c r="AB60" i="71"/>
  <c r="Y63" i="71"/>
  <c r="AB64" i="71"/>
  <c r="Y67" i="71"/>
  <c r="AB68" i="71"/>
  <c r="AE84" i="71"/>
  <c r="AE88" i="71"/>
  <c r="AE92" i="71"/>
  <c r="AE96" i="71"/>
  <c r="AE100" i="71"/>
  <c r="AE104" i="71"/>
  <c r="AA109" i="71"/>
  <c r="AF10" i="71"/>
  <c r="AF47" i="71" s="1"/>
  <c r="AF84" i="71" s="1"/>
  <c r="AF16" i="71"/>
  <c r="AF53" i="71" s="1"/>
  <c r="AF90" i="71" s="1"/>
  <c r="AF19" i="71"/>
  <c r="AF56" i="71" s="1"/>
  <c r="AF93" i="71" s="1"/>
  <c r="AF22" i="71"/>
  <c r="AF59" i="71" s="1"/>
  <c r="AF96" i="71" s="1"/>
  <c r="AF28" i="71"/>
  <c r="AF65" i="71" s="1"/>
  <c r="AF102" i="71" s="1"/>
  <c r="AF31" i="71"/>
  <c r="AF68" i="71" s="1"/>
  <c r="AF105" i="71" s="1"/>
  <c r="AE72" i="71"/>
  <c r="W46" i="71"/>
  <c r="Z47" i="71"/>
  <c r="AD48" i="71"/>
  <c r="AD85" i="71" s="1"/>
  <c r="W50" i="71"/>
  <c r="Z51" i="71"/>
  <c r="AD52" i="71"/>
  <c r="AD89" i="71" s="1"/>
  <c r="W54" i="71"/>
  <c r="Z55" i="71"/>
  <c r="W58" i="71"/>
  <c r="Z59" i="71"/>
  <c r="AD60" i="71"/>
  <c r="AD97" i="71" s="1"/>
  <c r="W62" i="71"/>
  <c r="Z63" i="71"/>
  <c r="AD64" i="71"/>
  <c r="AD101" i="71" s="1"/>
  <c r="W66" i="71"/>
  <c r="Z67" i="71"/>
  <c r="W72" i="71"/>
  <c r="AB109" i="71"/>
  <c r="X63" i="71"/>
  <c r="X82" i="16"/>
  <c r="AA84" i="16"/>
  <c r="X46" i="71"/>
  <c r="AA47" i="71"/>
  <c r="X50" i="71"/>
  <c r="AA51" i="71"/>
  <c r="X54" i="71"/>
  <c r="AA55" i="71"/>
  <c r="X58" i="71"/>
  <c r="AA59" i="71"/>
  <c r="X62" i="71"/>
  <c r="AA63" i="71"/>
  <c r="X66" i="71"/>
  <c r="AA67" i="71"/>
  <c r="X72" i="71"/>
  <c r="W85" i="71"/>
  <c r="W89" i="71"/>
  <c r="W93" i="71"/>
  <c r="W97" i="71"/>
  <c r="W101" i="71"/>
  <c r="W105" i="71"/>
  <c r="X51" i="71"/>
  <c r="X59" i="71"/>
  <c r="X67" i="71"/>
  <c r="W139" i="71"/>
  <c r="X83" i="16"/>
  <c r="Z72" i="16"/>
  <c r="W38" i="71"/>
  <c r="AB47" i="71"/>
  <c r="AB51" i="71"/>
  <c r="AB55" i="71"/>
  <c r="AB59" i="71"/>
  <c r="Y62" i="71"/>
  <c r="AB63" i="71"/>
  <c r="Y66" i="71"/>
  <c r="AB67" i="71"/>
  <c r="Y72" i="71"/>
  <c r="AE83" i="71"/>
  <c r="AE87" i="71"/>
  <c r="AE91" i="71"/>
  <c r="AE95" i="71"/>
  <c r="AE99" i="71"/>
  <c r="AE103" i="71"/>
  <c r="Z46" i="71"/>
  <c r="Z50" i="71"/>
  <c r="Z54" i="71"/>
  <c r="AD55" i="71"/>
  <c r="AD92" i="71" s="1"/>
  <c r="Z58" i="71"/>
  <c r="Z62" i="71"/>
  <c r="Z66" i="71"/>
  <c r="Z72" i="71"/>
  <c r="X84" i="16"/>
  <c r="AE34" i="16"/>
  <c r="X45" i="71"/>
  <c r="AA46" i="71"/>
  <c r="X49" i="71"/>
  <c r="AA50" i="71"/>
  <c r="X53" i="71"/>
  <c r="AA54" i="71"/>
  <c r="X57" i="71"/>
  <c r="AA58" i="71"/>
  <c r="X61" i="71"/>
  <c r="AA62" i="71"/>
  <c r="X65" i="71"/>
  <c r="AA66" i="71"/>
  <c r="X69" i="71"/>
  <c r="AA72" i="71"/>
  <c r="W84" i="71"/>
  <c r="W96" i="71"/>
  <c r="W120" i="71"/>
  <c r="W124" i="71"/>
  <c r="W128" i="71"/>
  <c r="W132" i="71"/>
  <c r="W136" i="71"/>
  <c r="W140" i="71"/>
  <c r="W146" i="71"/>
  <c r="X85" i="16"/>
  <c r="X86" i="16"/>
  <c r="AB46" i="71"/>
  <c r="AB50" i="71"/>
  <c r="AB54" i="71"/>
  <c r="Y57" i="71"/>
  <c r="AB58" i="71"/>
  <c r="Y61" i="71"/>
  <c r="AB62" i="71"/>
  <c r="Y65" i="71"/>
  <c r="AB66" i="71"/>
  <c r="Y69" i="71"/>
  <c r="AB72" i="71"/>
  <c r="AD46" i="71"/>
  <c r="AD83" i="71" s="1"/>
  <c r="Z53" i="71"/>
  <c r="Z57" i="71"/>
  <c r="Z61" i="71"/>
  <c r="Z69" i="71"/>
  <c r="Y146" i="71"/>
  <c r="Z45" i="71"/>
  <c r="Z49" i="71"/>
  <c r="Z65" i="71"/>
  <c r="AA45" i="71"/>
  <c r="X48" i="71"/>
  <c r="AA49" i="71"/>
  <c r="X52" i="71"/>
  <c r="AA53" i="71"/>
  <c r="X56" i="71"/>
  <c r="AA57" i="71"/>
  <c r="X60" i="71"/>
  <c r="AA61" i="71"/>
  <c r="X64" i="71"/>
  <c r="AA65" i="71"/>
  <c r="X68" i="71"/>
  <c r="AA69" i="71"/>
  <c r="AF24" i="71"/>
  <c r="AF61" i="71" s="1"/>
  <c r="AF98" i="71" s="1"/>
  <c r="AB69" i="71"/>
  <c r="AA146" i="71"/>
  <c r="Z48" i="71"/>
  <c r="Z52" i="71"/>
  <c r="Z56" i="71"/>
  <c r="Z60" i="71"/>
  <c r="Z64" i="71"/>
  <c r="Z68" i="71"/>
  <c r="L75" i="71"/>
  <c r="L60" i="71"/>
  <c r="L92" i="71"/>
  <c r="L46" i="71"/>
  <c r="L49" i="71"/>
  <c r="L61" i="71"/>
  <c r="L104" i="71"/>
  <c r="L119" i="71"/>
  <c r="O52" i="71"/>
  <c r="O60" i="71"/>
  <c r="Q146" i="71"/>
  <c r="T45" i="71"/>
  <c r="M47" i="71"/>
  <c r="P48" i="71"/>
  <c r="T49" i="71"/>
  <c r="M51" i="71"/>
  <c r="P52" i="71"/>
  <c r="T53" i="71"/>
  <c r="M55" i="71"/>
  <c r="P56" i="71"/>
  <c r="T57" i="71"/>
  <c r="M59" i="71"/>
  <c r="P60" i="71"/>
  <c r="T61" i="71"/>
  <c r="M63" i="71"/>
  <c r="P64" i="71"/>
  <c r="T65" i="71"/>
  <c r="M67" i="71"/>
  <c r="P68" i="71"/>
  <c r="T69" i="71"/>
  <c r="L82" i="71"/>
  <c r="L86" i="71"/>
  <c r="L90" i="71"/>
  <c r="L94" i="71"/>
  <c r="L98" i="71"/>
  <c r="L102" i="71"/>
  <c r="L106" i="71"/>
  <c r="O109" i="71"/>
  <c r="L121" i="71"/>
  <c r="L125" i="71"/>
  <c r="L127" i="71"/>
  <c r="L129" i="71"/>
  <c r="L133" i="71"/>
  <c r="L137" i="71"/>
  <c r="L139" i="71"/>
  <c r="L141" i="71"/>
  <c r="L47" i="71"/>
  <c r="S72" i="71"/>
  <c r="S109" i="71" s="1"/>
  <c r="T84" i="71"/>
  <c r="T88" i="71"/>
  <c r="T92" i="71"/>
  <c r="T96" i="71"/>
  <c r="T100" i="71"/>
  <c r="T104" i="71"/>
  <c r="P109" i="71"/>
  <c r="M82" i="16"/>
  <c r="U10" i="71"/>
  <c r="U47" i="71" s="1"/>
  <c r="U84" i="71" s="1"/>
  <c r="U13" i="71"/>
  <c r="U50" i="71" s="1"/>
  <c r="U87" i="71" s="1"/>
  <c r="U16" i="71"/>
  <c r="U53" i="71" s="1"/>
  <c r="U90" i="71" s="1"/>
  <c r="U19" i="71"/>
  <c r="U56" i="71" s="1"/>
  <c r="U93" i="71" s="1"/>
  <c r="U22" i="71"/>
  <c r="U59" i="71" s="1"/>
  <c r="U96" i="71" s="1"/>
  <c r="U25" i="71"/>
  <c r="U62" i="71" s="1"/>
  <c r="U99" i="71" s="1"/>
  <c r="U28" i="71"/>
  <c r="U65" i="71" s="1"/>
  <c r="U102" i="71" s="1"/>
  <c r="T72" i="71"/>
  <c r="O47" i="71"/>
  <c r="L50" i="71"/>
  <c r="O51" i="71"/>
  <c r="O55" i="71"/>
  <c r="L58" i="71"/>
  <c r="O59" i="71"/>
  <c r="L62" i="71"/>
  <c r="O63" i="71"/>
  <c r="O67" i="71"/>
  <c r="L72" i="71"/>
  <c r="Q109" i="71"/>
  <c r="M46" i="71"/>
  <c r="P47" i="71"/>
  <c r="T48" i="71"/>
  <c r="M50" i="71"/>
  <c r="P51" i="71"/>
  <c r="M54" i="71"/>
  <c r="P55" i="71"/>
  <c r="M58" i="71"/>
  <c r="P59" i="71"/>
  <c r="T60" i="71"/>
  <c r="M62" i="71"/>
  <c r="P63" i="71"/>
  <c r="M66" i="71"/>
  <c r="P67" i="71"/>
  <c r="M72" i="71"/>
  <c r="L85" i="71"/>
  <c r="L89" i="71"/>
  <c r="L93" i="71"/>
  <c r="L97" i="71"/>
  <c r="L101" i="71"/>
  <c r="L105" i="71"/>
  <c r="L38" i="71"/>
  <c r="N46" i="71"/>
  <c r="Q47" i="71"/>
  <c r="N50" i="71"/>
  <c r="Q51" i="71"/>
  <c r="N54" i="71"/>
  <c r="Q55" i="71"/>
  <c r="N58" i="71"/>
  <c r="Q59" i="71"/>
  <c r="N62" i="71"/>
  <c r="Q63" i="71"/>
  <c r="N66" i="71"/>
  <c r="Q67" i="71"/>
  <c r="N72" i="71"/>
  <c r="T83" i="71"/>
  <c r="T87" i="71"/>
  <c r="T91" i="71"/>
  <c r="T95" i="71"/>
  <c r="T99" i="71"/>
  <c r="T103" i="71"/>
  <c r="L59" i="71"/>
  <c r="O46" i="71"/>
  <c r="O50" i="71"/>
  <c r="O54" i="71"/>
  <c r="O58" i="71"/>
  <c r="O62" i="71"/>
  <c r="O66" i="71"/>
  <c r="O72" i="71"/>
  <c r="U8" i="71"/>
  <c r="U14" i="71"/>
  <c r="U51" i="71" s="1"/>
  <c r="U88" i="71" s="1"/>
  <c r="U17" i="71"/>
  <c r="U54" i="71" s="1"/>
  <c r="U91" i="71" s="1"/>
  <c r="U20" i="71"/>
  <c r="U57" i="71" s="1"/>
  <c r="U94" i="71" s="1"/>
  <c r="U26" i="71"/>
  <c r="U63" i="71" s="1"/>
  <c r="U100" i="71" s="1"/>
  <c r="U29" i="71"/>
  <c r="U66" i="71" s="1"/>
  <c r="U103" i="71" s="1"/>
  <c r="U32" i="71"/>
  <c r="U69" i="71" s="1"/>
  <c r="U106" i="71" s="1"/>
  <c r="M45" i="71"/>
  <c r="P46" i="71"/>
  <c r="M49" i="71"/>
  <c r="P50" i="71"/>
  <c r="M53" i="71"/>
  <c r="P54" i="71"/>
  <c r="M57" i="71"/>
  <c r="P58" i="71"/>
  <c r="M61" i="71"/>
  <c r="P62" i="71"/>
  <c r="M65" i="71"/>
  <c r="P66" i="71"/>
  <c r="M69" i="71"/>
  <c r="P72" i="71"/>
  <c r="L120" i="71"/>
  <c r="L124" i="71"/>
  <c r="L128" i="71"/>
  <c r="L130" i="71"/>
  <c r="L132" i="71"/>
  <c r="L136" i="71"/>
  <c r="L140" i="71"/>
  <c r="L142" i="71"/>
  <c r="L146" i="71"/>
  <c r="Q50" i="71"/>
  <c r="Q54" i="71"/>
  <c r="Q58" i="71"/>
  <c r="N61" i="71"/>
  <c r="Q62" i="71"/>
  <c r="N65" i="71"/>
  <c r="Q66" i="71"/>
  <c r="N69" i="71"/>
  <c r="O48" i="71"/>
  <c r="O56" i="71"/>
  <c r="O64" i="71"/>
  <c r="O68" i="71"/>
  <c r="N109" i="71"/>
  <c r="O45" i="71"/>
  <c r="O49" i="71"/>
  <c r="O53" i="71"/>
  <c r="O57" i="71"/>
  <c r="O61" i="71"/>
  <c r="O65" i="71"/>
  <c r="O69" i="71"/>
  <c r="N146" i="71"/>
  <c r="P45" i="71"/>
  <c r="M48" i="71"/>
  <c r="P49" i="71"/>
  <c r="M52" i="71"/>
  <c r="P53" i="71"/>
  <c r="M56" i="71"/>
  <c r="P57" i="71"/>
  <c r="M60" i="71"/>
  <c r="P61" i="71"/>
  <c r="M64" i="71"/>
  <c r="P65" i="71"/>
  <c r="P69" i="71"/>
  <c r="AB24" i="16"/>
  <c r="Y87" i="16"/>
  <c r="Z88" i="16"/>
  <c r="AA87" i="16"/>
  <c r="X81" i="16"/>
  <c r="AB82" i="16"/>
  <c r="AA48" i="16"/>
  <c r="AB79" i="16"/>
  <c r="Y44" i="16"/>
  <c r="X44" i="16"/>
  <c r="AD79" i="16"/>
  <c r="X47" i="16"/>
  <c r="AA53" i="16"/>
  <c r="Z44" i="16"/>
  <c r="X62" i="16"/>
  <c r="AB54" i="16"/>
  <c r="AE88" i="16" s="1"/>
  <c r="Y62" i="16"/>
  <c r="AA44" i="16"/>
  <c r="AB44" i="16"/>
  <c r="AE79" i="16" s="1"/>
  <c r="Z62" i="16"/>
  <c r="Y72" i="16"/>
  <c r="X24" i="16"/>
  <c r="AA62" i="16"/>
  <c r="Z71" i="16"/>
  <c r="Y24" i="16"/>
  <c r="Z24" i="16"/>
  <c r="AB62" i="16"/>
  <c r="AD4" i="16"/>
  <c r="AA24" i="16"/>
  <c r="Y79" i="16"/>
  <c r="P62" i="16"/>
  <c r="N88" i="16"/>
  <c r="O86" i="16"/>
  <c r="M86" i="16"/>
  <c r="P80" i="16"/>
  <c r="Q82" i="16"/>
  <c r="M72" i="16"/>
  <c r="O64" i="16"/>
  <c r="P66" i="16"/>
  <c r="Q79" i="16"/>
  <c r="M44" i="16"/>
  <c r="S79" i="16"/>
  <c r="Q52" i="16"/>
  <c r="T86" i="16" s="1"/>
  <c r="N44" i="16"/>
  <c r="O44" i="16"/>
  <c r="M62" i="16"/>
  <c r="O52" i="16"/>
  <c r="P44" i="16"/>
  <c r="N62" i="16"/>
  <c r="P46" i="16"/>
  <c r="Q44" i="16"/>
  <c r="T79" i="16" s="1"/>
  <c r="O62" i="16"/>
  <c r="M24" i="16"/>
  <c r="N24" i="16"/>
  <c r="Q62" i="16"/>
  <c r="N70" i="16"/>
  <c r="O24" i="16"/>
  <c r="N79" i="16"/>
  <c r="S86" i="16"/>
  <c r="Q24" i="16"/>
  <c r="AA47" i="16" l="1"/>
  <c r="AF45" i="71"/>
  <c r="AF82" i="71" s="1"/>
  <c r="AF35" i="71"/>
  <c r="AF72" i="71" s="1"/>
  <c r="AF109" i="71" s="1"/>
  <c r="U35" i="71"/>
  <c r="U72" i="71" s="1"/>
  <c r="U109" i="71" s="1"/>
  <c r="X48" i="16"/>
  <c r="Z47" i="16"/>
  <c r="AD83" i="16"/>
  <c r="X71" i="16"/>
  <c r="X49" i="16"/>
  <c r="Z67" i="16"/>
  <c r="X53" i="16"/>
  <c r="AA49" i="16"/>
  <c r="AB52" i="16"/>
  <c r="AE86" i="16" s="1"/>
  <c r="Z54" i="16"/>
  <c r="Z52" i="16"/>
  <c r="X46" i="16"/>
  <c r="AA88" i="16"/>
  <c r="X54" i="16"/>
  <c r="Y54" i="16"/>
  <c r="AA52" i="16"/>
  <c r="AD84" i="16"/>
  <c r="P51" i="16"/>
  <c r="AA50" i="16"/>
  <c r="X50" i="16"/>
  <c r="Y49" i="16"/>
  <c r="M48" i="16"/>
  <c r="Y51" i="16"/>
  <c r="S82" i="16"/>
  <c r="AB46" i="16"/>
  <c r="AE80" i="16" s="1"/>
  <c r="Z48" i="16"/>
  <c r="N47" i="16"/>
  <c r="Y53" i="16"/>
  <c r="Z46" i="16"/>
  <c r="AE109" i="71"/>
  <c r="T27" i="16"/>
  <c r="T28" i="16"/>
  <c r="T34" i="16"/>
  <c r="T31" i="16"/>
  <c r="T33" i="16"/>
  <c r="T30" i="16"/>
  <c r="T32" i="16"/>
  <c r="Z49" i="16"/>
  <c r="AD81" i="16"/>
  <c r="AB49" i="16"/>
  <c r="AE83" i="16" s="1"/>
  <c r="O49" i="16"/>
  <c r="AB47" i="16"/>
  <c r="AE81" i="16" s="1"/>
  <c r="AB53" i="16"/>
  <c r="AE87" i="16" s="1"/>
  <c r="AA51" i="16"/>
  <c r="AB51" i="16"/>
  <c r="AE85" i="16" s="1"/>
  <c r="M46" i="16"/>
  <c r="AA80" i="16"/>
  <c r="AD85" i="16"/>
  <c r="X52" i="16"/>
  <c r="N50" i="16"/>
  <c r="Y52" i="16"/>
  <c r="Y46" i="16"/>
  <c r="M53" i="16"/>
  <c r="Q54" i="16"/>
  <c r="T88" i="16" s="1"/>
  <c r="M51" i="16"/>
  <c r="S83" i="16"/>
  <c r="O50" i="16"/>
  <c r="M47" i="16"/>
  <c r="S80" i="16"/>
  <c r="Q53" i="16"/>
  <c r="T87" i="16" s="1"/>
  <c r="S22" i="16"/>
  <c r="N48" i="16"/>
  <c r="O46" i="16"/>
  <c r="Q46" i="16"/>
  <c r="T80" i="16" s="1"/>
  <c r="Q50" i="16"/>
  <c r="T84" i="16" s="1"/>
  <c r="M50" i="16"/>
  <c r="N49" i="16"/>
  <c r="P54" i="16"/>
  <c r="O53" i="16"/>
  <c r="P52" i="16"/>
  <c r="S81" i="16"/>
  <c r="O48" i="16"/>
  <c r="P53" i="16"/>
  <c r="P50" i="16"/>
  <c r="M54" i="16"/>
  <c r="N46" i="16"/>
  <c r="Q47" i="16"/>
  <c r="T81" i="16" s="1"/>
  <c r="O54" i="16"/>
  <c r="N53" i="16"/>
  <c r="Q51" i="16"/>
  <c r="T85" i="16" s="1"/>
  <c r="P49" i="16"/>
  <c r="N51" i="16"/>
  <c r="S87" i="16"/>
  <c r="S84" i="16"/>
  <c r="O47" i="16"/>
  <c r="AE48" i="109"/>
  <c r="AE30" i="109"/>
  <c r="Z48" i="109"/>
  <c r="Z45" i="109"/>
  <c r="AE45" i="109"/>
  <c r="AE27" i="109"/>
  <c r="AC49" i="109"/>
  <c r="X49" i="109"/>
  <c r="O38" i="108" s="1"/>
  <c r="X44" i="109"/>
  <c r="O33" i="108" s="1"/>
  <c r="AC29" i="109"/>
  <c r="AC44" i="109"/>
  <c r="S51" i="109"/>
  <c r="R45" i="109"/>
  <c r="AB45" i="109"/>
  <c r="R52" i="109"/>
  <c r="AB52" i="109"/>
  <c r="R34" i="109"/>
  <c r="R49" i="109"/>
  <c r="R31" i="109"/>
  <c r="AB49" i="109"/>
  <c r="AE50" i="109"/>
  <c r="AE32" i="109"/>
  <c r="Z50" i="109"/>
  <c r="AD48" i="109"/>
  <c r="AD30" i="109"/>
  <c r="Y48" i="109"/>
  <c r="N37" i="108" s="1"/>
  <c r="AE34" i="109"/>
  <c r="Z52" i="109"/>
  <c r="AE52" i="109"/>
  <c r="AC46" i="109"/>
  <c r="X46" i="109"/>
  <c r="O35" i="108" s="1"/>
  <c r="AE47" i="109"/>
  <c r="AE29" i="109"/>
  <c r="Z47" i="109"/>
  <c r="AC51" i="109"/>
  <c r="X51" i="109"/>
  <c r="O40" i="108" s="1"/>
  <c r="AC48" i="109"/>
  <c r="X48" i="109"/>
  <c r="O37" i="108" s="1"/>
  <c r="S44" i="109"/>
  <c r="S26" i="109"/>
  <c r="R47" i="109"/>
  <c r="AB47" i="109"/>
  <c r="S46" i="109"/>
  <c r="AE46" i="109"/>
  <c r="AE28" i="109"/>
  <c r="Z46" i="109"/>
  <c r="AB44" i="109"/>
  <c r="R44" i="109"/>
  <c r="R26" i="109"/>
  <c r="Y44" i="109"/>
  <c r="N33" i="108" s="1"/>
  <c r="AD26" i="109"/>
  <c r="AD44" i="109"/>
  <c r="AC50" i="109"/>
  <c r="X50" i="109"/>
  <c r="O39" i="108" s="1"/>
  <c r="AE51" i="109"/>
  <c r="AE33" i="109"/>
  <c r="Z51" i="109"/>
  <c r="AE49" i="109"/>
  <c r="AE31" i="109"/>
  <c r="Z49" i="109"/>
  <c r="S52" i="109"/>
  <c r="R46" i="109"/>
  <c r="AB46" i="109"/>
  <c r="X47" i="109"/>
  <c r="O36" i="108" s="1"/>
  <c r="AC47" i="109"/>
  <c r="X45" i="109"/>
  <c r="O34" i="108" s="1"/>
  <c r="AC45" i="109"/>
  <c r="R50" i="109"/>
  <c r="AB50" i="109"/>
  <c r="AE54" i="109"/>
  <c r="Z54" i="109"/>
  <c r="AE36" i="109"/>
  <c r="AC52" i="109"/>
  <c r="AB48" i="16"/>
  <c r="AE82" i="16" s="1"/>
  <c r="AB50" i="16"/>
  <c r="AE84" i="16" s="1"/>
  <c r="AA46" i="16"/>
  <c r="AE28" i="16"/>
  <c r="AE32" i="16"/>
  <c r="AE29" i="16"/>
  <c r="AE26" i="16"/>
  <c r="AE27" i="16"/>
  <c r="AE30" i="16"/>
  <c r="AE33" i="16"/>
  <c r="AA83" i="16"/>
  <c r="Y47" i="16"/>
  <c r="AD82" i="16"/>
  <c r="Y48" i="16"/>
  <c r="AD88" i="16"/>
  <c r="Z68" i="16"/>
  <c r="AD86" i="16"/>
  <c r="AA54" i="16"/>
  <c r="AD80" i="16"/>
  <c r="X51" i="16"/>
  <c r="Z50" i="16"/>
  <c r="Z51" i="16"/>
  <c r="AD87" i="16"/>
  <c r="Z53" i="16"/>
  <c r="Y50" i="16"/>
  <c r="AE31" i="16"/>
  <c r="AA18" i="16"/>
  <c r="AA32" i="16" s="1"/>
  <c r="P47" i="16"/>
  <c r="P48" i="16"/>
  <c r="S88" i="16"/>
  <c r="N54" i="16"/>
  <c r="P18" i="16"/>
  <c r="P90" i="16" s="1"/>
  <c r="U45" i="71"/>
  <c r="U82" i="71" s="1"/>
  <c r="N52" i="16"/>
  <c r="S85" i="16"/>
  <c r="M52" i="16"/>
  <c r="Q48" i="16"/>
  <c r="T82" i="16" s="1"/>
  <c r="O51" i="16"/>
  <c r="Q49" i="16"/>
  <c r="T83" i="16" s="1"/>
  <c r="M49" i="16"/>
  <c r="T109" i="71"/>
  <c r="AA86" i="16"/>
  <c r="Z70" i="16"/>
  <c r="Y68" i="16"/>
  <c r="Z84" i="16"/>
  <c r="AB65" i="16"/>
  <c r="O4" i="107" s="1"/>
  <c r="AA65" i="16"/>
  <c r="AD9" i="16"/>
  <c r="AD27" i="16" s="1"/>
  <c r="AB81" i="16"/>
  <c r="Y82" i="16"/>
  <c r="X66" i="16"/>
  <c r="AB68" i="16"/>
  <c r="O7" i="107" s="1"/>
  <c r="AB84" i="16"/>
  <c r="AD12" i="16"/>
  <c r="AA68" i="16"/>
  <c r="AB80" i="16"/>
  <c r="AD8" i="16"/>
  <c r="AD26" i="16" s="1"/>
  <c r="AB18" i="16"/>
  <c r="AB30" i="16" s="1"/>
  <c r="AB64" i="16"/>
  <c r="O3" i="107" s="1"/>
  <c r="AA64" i="16"/>
  <c r="Z82" i="16"/>
  <c r="Y66" i="16"/>
  <c r="AA82" i="16"/>
  <c r="Z66" i="16"/>
  <c r="AB67" i="16"/>
  <c r="O6" i="107" s="1"/>
  <c r="AB83" i="16"/>
  <c r="AA67" i="16"/>
  <c r="AD11" i="16"/>
  <c r="AD29" i="16" s="1"/>
  <c r="AD42" i="16"/>
  <c r="AD22" i="16"/>
  <c r="Y70" i="16"/>
  <c r="Z86" i="16"/>
  <c r="X18" i="16"/>
  <c r="X26" i="16" s="1"/>
  <c r="X80" i="16"/>
  <c r="Z69" i="16"/>
  <c r="AA85" i="16"/>
  <c r="X88" i="16"/>
  <c r="Y85" i="16"/>
  <c r="X69" i="16"/>
  <c r="AD16" i="16"/>
  <c r="AB72" i="16"/>
  <c r="O11" i="107" s="1"/>
  <c r="AB88" i="16"/>
  <c r="AA72" i="16"/>
  <c r="AB71" i="16"/>
  <c r="O10" i="107" s="1"/>
  <c r="AA71" i="16"/>
  <c r="AB87" i="16"/>
  <c r="AD15" i="16"/>
  <c r="Y64" i="16"/>
  <c r="Z18" i="16"/>
  <c r="Z26" i="16" s="1"/>
  <c r="Z80" i="16"/>
  <c r="X68" i="16"/>
  <c r="Y84" i="16"/>
  <c r="X64" i="16"/>
  <c r="Y18" i="16"/>
  <c r="Y80" i="16"/>
  <c r="AD14" i="16"/>
  <c r="AB86" i="16"/>
  <c r="AB70" i="16"/>
  <c r="O9" i="107" s="1"/>
  <c r="AA70" i="16"/>
  <c r="Z83" i="16"/>
  <c r="Y67" i="16"/>
  <c r="AA66" i="16"/>
  <c r="AB69" i="16"/>
  <c r="O8" i="107" s="1"/>
  <c r="AA69" i="16"/>
  <c r="AD13" i="16"/>
  <c r="AD31" i="16" s="1"/>
  <c r="AB85" i="16"/>
  <c r="X70" i="16"/>
  <c r="Y86" i="16"/>
  <c r="Y65" i="16"/>
  <c r="Z81" i="16"/>
  <c r="X65" i="16"/>
  <c r="Y81" i="16"/>
  <c r="Z85" i="16"/>
  <c r="Y69" i="16"/>
  <c r="Z64" i="16"/>
  <c r="AB66" i="16"/>
  <c r="O5" i="107" s="1"/>
  <c r="Y71" i="16"/>
  <c r="Z87" i="16"/>
  <c r="Y88" i="16"/>
  <c r="X72" i="16"/>
  <c r="Y83" i="16"/>
  <c r="X67" i="16"/>
  <c r="AD10" i="16"/>
  <c r="Z65" i="16"/>
  <c r="Q18" i="16"/>
  <c r="Q32" i="16" s="1"/>
  <c r="Q80" i="16"/>
  <c r="S8" i="16"/>
  <c r="S26" i="16" s="1"/>
  <c r="Q64" i="16"/>
  <c r="P3" i="107" s="1"/>
  <c r="P64" i="16"/>
  <c r="M70" i="16"/>
  <c r="N86" i="16"/>
  <c r="O85" i="16"/>
  <c r="N69" i="16"/>
  <c r="O88" i="16"/>
  <c r="N72" i="16"/>
  <c r="Q83" i="16"/>
  <c r="Q67" i="16"/>
  <c r="P6" i="107" s="1"/>
  <c r="P67" i="16"/>
  <c r="S11" i="16"/>
  <c r="U11" i="16" s="1"/>
  <c r="U29" i="16" s="1"/>
  <c r="P82" i="16"/>
  <c r="O66" i="16"/>
  <c r="N68" i="16"/>
  <c r="O84" i="16"/>
  <c r="Q71" i="16"/>
  <c r="P10" i="107" s="1"/>
  <c r="P71" i="16"/>
  <c r="Q87" i="16"/>
  <c r="S15" i="16"/>
  <c r="N65" i="16"/>
  <c r="O81" i="16"/>
  <c r="M84" i="16"/>
  <c r="N82" i="16"/>
  <c r="M66" i="16"/>
  <c r="O69" i="16"/>
  <c r="P85" i="16"/>
  <c r="N71" i="16"/>
  <c r="O87" i="16"/>
  <c r="M18" i="16"/>
  <c r="M30" i="16" s="1"/>
  <c r="M80" i="16"/>
  <c r="O83" i="16"/>
  <c r="N67" i="16"/>
  <c r="T29" i="16"/>
  <c r="M83" i="16"/>
  <c r="M65" i="16"/>
  <c r="N81" i="16"/>
  <c r="O71" i="16"/>
  <c r="P87" i="16"/>
  <c r="M68" i="16"/>
  <c r="N84" i="16"/>
  <c r="P88" i="16"/>
  <c r="O72" i="16"/>
  <c r="N83" i="16"/>
  <c r="M67" i="16"/>
  <c r="N85" i="16"/>
  <c r="M69" i="16"/>
  <c r="Q84" i="16"/>
  <c r="S12" i="16"/>
  <c r="Q68" i="16"/>
  <c r="P7" i="107" s="1"/>
  <c r="P68" i="16"/>
  <c r="O65" i="16"/>
  <c r="P81" i="16"/>
  <c r="M81" i="16"/>
  <c r="N64" i="16"/>
  <c r="O18" i="16"/>
  <c r="O27" i="16" s="1"/>
  <c r="O80" i="16"/>
  <c r="Q65" i="16"/>
  <c r="P4" i="107" s="1"/>
  <c r="P65" i="16"/>
  <c r="S9" i="16"/>
  <c r="Q81" i="16"/>
  <c r="P84" i="16"/>
  <c r="O68" i="16"/>
  <c r="S14" i="16"/>
  <c r="Q86" i="16"/>
  <c r="Q70" i="16"/>
  <c r="P9" i="107" s="1"/>
  <c r="P70" i="16"/>
  <c r="M88" i="16"/>
  <c r="M71" i="16"/>
  <c r="N87" i="16"/>
  <c r="O82" i="16"/>
  <c r="N66" i="16"/>
  <c r="S16" i="16"/>
  <c r="Q72" i="16"/>
  <c r="P11" i="107" s="1"/>
  <c r="Q88" i="16"/>
  <c r="P72" i="16"/>
  <c r="M87" i="16"/>
  <c r="Q69" i="16"/>
  <c r="P8" i="107" s="1"/>
  <c r="P69" i="16"/>
  <c r="S13" i="16"/>
  <c r="Q85" i="16"/>
  <c r="Q66" i="16"/>
  <c r="P5" i="107" s="1"/>
  <c r="M85" i="16"/>
  <c r="M64" i="16"/>
  <c r="N18" i="16"/>
  <c r="N27" i="16" s="1"/>
  <c r="N80" i="16"/>
  <c r="P86" i="16"/>
  <c r="O70" i="16"/>
  <c r="P83" i="16"/>
  <c r="O67" i="16"/>
  <c r="S10" i="16"/>
  <c r="Z33" i="16" l="1"/>
  <c r="Z27" i="16"/>
  <c r="Z29" i="16"/>
  <c r="AB32" i="16"/>
  <c r="U16" i="16"/>
  <c r="U34" i="16" s="1"/>
  <c r="AF12" i="16"/>
  <c r="AF30" i="16" s="1"/>
  <c r="AB29" i="16"/>
  <c r="AB31" i="16"/>
  <c r="Z31" i="16"/>
  <c r="AA28" i="16"/>
  <c r="AB33" i="16"/>
  <c r="Z28" i="16"/>
  <c r="AF15" i="16"/>
  <c r="AF33" i="16" s="1"/>
  <c r="AF14" i="16"/>
  <c r="AF32" i="16" s="1"/>
  <c r="U13" i="16"/>
  <c r="U31" i="16" s="1"/>
  <c r="T18" i="16"/>
  <c r="T36" i="16" s="1"/>
  <c r="U12" i="16"/>
  <c r="U30" i="16" s="1"/>
  <c r="U9" i="16"/>
  <c r="U27" i="16" s="1"/>
  <c r="U10" i="16"/>
  <c r="U28" i="16" s="1"/>
  <c r="T26" i="16"/>
  <c r="AF9" i="16"/>
  <c r="AF27" i="16" s="1"/>
  <c r="U15" i="16"/>
  <c r="U33" i="16" s="1"/>
  <c r="X34" i="16"/>
  <c r="S29" i="16"/>
  <c r="Q34" i="16"/>
  <c r="S27" i="16"/>
  <c r="N28" i="16"/>
  <c r="S31" i="16"/>
  <c r="N26" i="16"/>
  <c r="N29" i="16"/>
  <c r="N32" i="16"/>
  <c r="AC28" i="109"/>
  <c r="R36" i="109"/>
  <c r="AB54" i="109"/>
  <c r="R54" i="109"/>
  <c r="R30" i="109"/>
  <c r="R33" i="109"/>
  <c r="S54" i="109"/>
  <c r="S36" i="109"/>
  <c r="S27" i="109"/>
  <c r="S30" i="109"/>
  <c r="S32" i="109"/>
  <c r="S29" i="109"/>
  <c r="S31" i="109"/>
  <c r="AC26" i="109"/>
  <c r="AC30" i="109"/>
  <c r="AC31" i="109"/>
  <c r="AC54" i="109"/>
  <c r="AC36" i="109"/>
  <c r="X54" i="109"/>
  <c r="O43" i="108" s="1"/>
  <c r="AC34" i="109"/>
  <c r="AC32" i="109"/>
  <c r="S28" i="109"/>
  <c r="AC33" i="109"/>
  <c r="R27" i="109"/>
  <c r="R28" i="109"/>
  <c r="S33" i="109"/>
  <c r="AC27" i="109"/>
  <c r="R32" i="109"/>
  <c r="S34" i="109"/>
  <c r="AD36" i="109"/>
  <c r="Y54" i="109"/>
  <c r="N43" i="108" s="1"/>
  <c r="AD29" i="109"/>
  <c r="AD54" i="109"/>
  <c r="AD32" i="109"/>
  <c r="AD27" i="109"/>
  <c r="AD28" i="109"/>
  <c r="AD33" i="109"/>
  <c r="AD34" i="109"/>
  <c r="AD31" i="109"/>
  <c r="R29" i="109"/>
  <c r="B31" i="109"/>
  <c r="B29" i="109"/>
  <c r="B33" i="109"/>
  <c r="B32" i="109"/>
  <c r="B27" i="109"/>
  <c r="B36" i="109"/>
  <c r="B34" i="109"/>
  <c r="B28" i="109"/>
  <c r="B30" i="109"/>
  <c r="Y28" i="16"/>
  <c r="X56" i="16"/>
  <c r="Y29" i="16"/>
  <c r="AA31" i="16"/>
  <c r="AF11" i="16"/>
  <c r="AF29" i="16" s="1"/>
  <c r="AF10" i="16"/>
  <c r="AF28" i="16" s="1"/>
  <c r="AD33" i="16"/>
  <c r="AA56" i="16"/>
  <c r="AB56" i="16"/>
  <c r="AE90" i="16" s="1"/>
  <c r="AB27" i="16"/>
  <c r="AE18" i="16"/>
  <c r="AE36" i="16" s="1"/>
  <c r="Y34" i="16"/>
  <c r="Z30" i="16"/>
  <c r="Y56" i="16"/>
  <c r="AD90" i="16"/>
  <c r="AF16" i="16"/>
  <c r="AF34" i="16" s="1"/>
  <c r="AD34" i="16"/>
  <c r="AD32" i="16"/>
  <c r="AF13" i="16"/>
  <c r="AF31" i="16" s="1"/>
  <c r="AB34" i="16"/>
  <c r="AB26" i="16"/>
  <c r="AA26" i="16"/>
  <c r="AA27" i="16"/>
  <c r="AA33" i="16"/>
  <c r="Z56" i="16"/>
  <c r="AA30" i="16"/>
  <c r="AA29" i="16"/>
  <c r="AA90" i="16"/>
  <c r="AA36" i="16"/>
  <c r="AA34" i="16"/>
  <c r="AD28" i="16"/>
  <c r="AD30" i="16"/>
  <c r="S90" i="16"/>
  <c r="N56" i="16"/>
  <c r="S28" i="16"/>
  <c r="P36" i="16"/>
  <c r="P30" i="16"/>
  <c r="O74" i="16"/>
  <c r="M26" i="16"/>
  <c r="O28" i="16"/>
  <c r="P32" i="16"/>
  <c r="O29" i="16"/>
  <c r="M33" i="16"/>
  <c r="P27" i="16"/>
  <c r="P26" i="16"/>
  <c r="O56" i="16"/>
  <c r="P33" i="16"/>
  <c r="P31" i="16"/>
  <c r="P56" i="16"/>
  <c r="Q56" i="16"/>
  <c r="T90" i="16" s="1"/>
  <c r="O34" i="16"/>
  <c r="N30" i="16"/>
  <c r="M56" i="16"/>
  <c r="M34" i="16"/>
  <c r="S33" i="16"/>
  <c r="S30" i="16"/>
  <c r="S34" i="16"/>
  <c r="M31" i="16"/>
  <c r="O26" i="16"/>
  <c r="P34" i="16"/>
  <c r="Q30" i="16"/>
  <c r="O33" i="16"/>
  <c r="O31" i="16"/>
  <c r="Q26" i="16"/>
  <c r="P29" i="16"/>
  <c r="U14" i="16"/>
  <c r="U32" i="16" s="1"/>
  <c r="S32" i="16"/>
  <c r="N31" i="16"/>
  <c r="P28" i="16"/>
  <c r="Y30" i="16"/>
  <c r="Y32" i="16"/>
  <c r="Z90" i="16"/>
  <c r="Z36" i="16"/>
  <c r="Y74" i="16"/>
  <c r="Z34" i="16"/>
  <c r="Z74" i="16"/>
  <c r="X90" i="16"/>
  <c r="X36" i="16"/>
  <c r="X27" i="16"/>
  <c r="X30" i="16"/>
  <c r="X33" i="16"/>
  <c r="X32" i="16"/>
  <c r="X29" i="16"/>
  <c r="X28" i="16"/>
  <c r="X31" i="16"/>
  <c r="Y36" i="16"/>
  <c r="Y90" i="16"/>
  <c r="X74" i="16"/>
  <c r="Y33" i="16"/>
  <c r="Y27" i="16"/>
  <c r="Z32" i="16"/>
  <c r="AB74" i="16"/>
  <c r="O13" i="107" s="1"/>
  <c r="AB90" i="16"/>
  <c r="AA74" i="16"/>
  <c r="AB36" i="16"/>
  <c r="AB28" i="16"/>
  <c r="Y26" i="16"/>
  <c r="Y31" i="16"/>
  <c r="AF8" i="16"/>
  <c r="AF26" i="16" s="1"/>
  <c r="AD18" i="16"/>
  <c r="Q90" i="16"/>
  <c r="Q74" i="16"/>
  <c r="P13" i="107" s="1"/>
  <c r="P74" i="16"/>
  <c r="Q36" i="16"/>
  <c r="Q28" i="16"/>
  <c r="Q31" i="16"/>
  <c r="Q33" i="16"/>
  <c r="O90" i="16"/>
  <c r="N74" i="16"/>
  <c r="O36" i="16"/>
  <c r="O32" i="16"/>
  <c r="U8" i="16"/>
  <c r="U26" i="16" s="1"/>
  <c r="S18" i="16"/>
  <c r="M90" i="16"/>
  <c r="M36" i="16"/>
  <c r="M32" i="16"/>
  <c r="M28" i="16"/>
  <c r="M29" i="16"/>
  <c r="O30" i="16"/>
  <c r="Q29" i="16"/>
  <c r="N90" i="16"/>
  <c r="M74" i="16"/>
  <c r="N36" i="16"/>
  <c r="N34" i="16"/>
  <c r="Q27" i="16"/>
  <c r="M27" i="16"/>
  <c r="N33" i="16"/>
  <c r="U18" i="16" l="1"/>
  <c r="U36" i="16" s="1"/>
  <c r="S36" i="16"/>
  <c r="AF18" i="16"/>
  <c r="AF36" i="16" s="1"/>
  <c r="AD36" i="16"/>
  <c r="O7" i="105"/>
  <c r="N7" i="105"/>
  <c r="A36" i="105"/>
  <c r="A10" i="105"/>
  <c r="A11" i="105"/>
  <c r="A12" i="105"/>
  <c r="A13" i="105"/>
  <c r="A14" i="105"/>
  <c r="A15" i="105"/>
  <c r="A16" i="105"/>
  <c r="A17" i="105"/>
  <c r="A18" i="105"/>
  <c r="A19" i="105"/>
  <c r="A20" i="105"/>
  <c r="A21" i="105"/>
  <c r="A22" i="105"/>
  <c r="A23" i="105"/>
  <c r="A24" i="105"/>
  <c r="A25" i="105"/>
  <c r="A26" i="105"/>
  <c r="A27" i="105"/>
  <c r="A28" i="105"/>
  <c r="A29" i="105"/>
  <c r="A30" i="105"/>
  <c r="A31" i="105"/>
  <c r="A32" i="105"/>
  <c r="A33" i="105"/>
  <c r="A9" i="105"/>
  <c r="A8" i="71"/>
  <c r="A153" i="71" s="1"/>
  <c r="L28" i="105"/>
  <c r="L33" i="105" l="1"/>
  <c r="H33" i="105"/>
  <c r="D33" i="105"/>
  <c r="L32" i="105"/>
  <c r="H32" i="105"/>
  <c r="U32" i="105" s="1"/>
  <c r="D32" i="105"/>
  <c r="T32" i="105" s="1"/>
  <c r="L31" i="105"/>
  <c r="H31" i="105"/>
  <c r="D31" i="105"/>
  <c r="L30" i="105"/>
  <c r="H30" i="105"/>
  <c r="D30" i="105"/>
  <c r="L29" i="105"/>
  <c r="H29" i="105"/>
  <c r="D29" i="105"/>
  <c r="H28" i="105"/>
  <c r="U28" i="105" s="1"/>
  <c r="D28" i="105"/>
  <c r="L27" i="105"/>
  <c r="H27" i="105"/>
  <c r="D27" i="105"/>
  <c r="L26" i="105"/>
  <c r="H26" i="105"/>
  <c r="U26" i="105" s="1"/>
  <c r="D26" i="105"/>
  <c r="L25" i="105"/>
  <c r="H25" i="105"/>
  <c r="D25" i="105"/>
  <c r="L24" i="105"/>
  <c r="H24" i="105"/>
  <c r="D24" i="105"/>
  <c r="L23" i="105"/>
  <c r="H23" i="105"/>
  <c r="D23" i="105"/>
  <c r="L22" i="105"/>
  <c r="H22" i="105"/>
  <c r="D22" i="105"/>
  <c r="T22" i="105" s="1"/>
  <c r="L21" i="105"/>
  <c r="H21" i="105"/>
  <c r="D21" i="105"/>
  <c r="T21" i="105" s="1"/>
  <c r="L20" i="105"/>
  <c r="H20" i="105"/>
  <c r="D20" i="105"/>
  <c r="L19" i="105"/>
  <c r="H19" i="105"/>
  <c r="D19" i="105"/>
  <c r="L18" i="105"/>
  <c r="H18" i="105"/>
  <c r="U18" i="105" s="1"/>
  <c r="D18" i="105"/>
  <c r="L17" i="105"/>
  <c r="H17" i="105"/>
  <c r="D17" i="105"/>
  <c r="L16" i="105"/>
  <c r="H16" i="105"/>
  <c r="D16" i="105"/>
  <c r="T16" i="105" s="1"/>
  <c r="L15" i="105"/>
  <c r="H15" i="105"/>
  <c r="D15" i="105"/>
  <c r="L14" i="105"/>
  <c r="H14" i="105"/>
  <c r="D14" i="105"/>
  <c r="T14" i="105" s="1"/>
  <c r="L13" i="105"/>
  <c r="H13" i="105"/>
  <c r="D13" i="105"/>
  <c r="T13" i="105" s="1"/>
  <c r="L12" i="105"/>
  <c r="H12" i="105"/>
  <c r="D12" i="105"/>
  <c r="L11" i="105"/>
  <c r="H11" i="105"/>
  <c r="D11" i="105"/>
  <c r="L10" i="105"/>
  <c r="H10" i="105"/>
  <c r="U10" i="105" s="1"/>
  <c r="D10" i="105"/>
  <c r="L9" i="105"/>
  <c r="H9" i="105"/>
  <c r="D9" i="105"/>
  <c r="U7" i="105"/>
  <c r="T7" i="105"/>
  <c r="R7" i="105"/>
  <c r="Q7" i="105"/>
  <c r="U11" i="105" l="1"/>
  <c r="U30" i="105"/>
  <c r="U29" i="105"/>
  <c r="T33" i="105"/>
  <c r="U19" i="105"/>
  <c r="U27" i="105"/>
  <c r="T24" i="105"/>
  <c r="U13" i="105"/>
  <c r="U21" i="105"/>
  <c r="T10" i="105"/>
  <c r="U15" i="105"/>
  <c r="T18" i="105"/>
  <c r="U23" i="105"/>
  <c r="T26" i="105"/>
  <c r="T29" i="105"/>
  <c r="U14" i="105"/>
  <c r="T17" i="105"/>
  <c r="U22" i="105"/>
  <c r="T25" i="105"/>
  <c r="U33" i="105"/>
  <c r="L36" i="105"/>
  <c r="U12" i="105"/>
  <c r="T15" i="105"/>
  <c r="U20" i="105"/>
  <c r="T23" i="105"/>
  <c r="U31" i="105"/>
  <c r="T11" i="105"/>
  <c r="U16" i="105"/>
  <c r="T19" i="105"/>
  <c r="U24" i="105"/>
  <c r="T27" i="105"/>
  <c r="T30" i="105"/>
  <c r="T9" i="105"/>
  <c r="D36" i="105"/>
  <c r="U9" i="105"/>
  <c r="H36" i="105"/>
  <c r="T12" i="105"/>
  <c r="U17" i="105"/>
  <c r="T20" i="105"/>
  <c r="U25" i="105"/>
  <c r="T28" i="105"/>
  <c r="T31" i="105"/>
  <c r="A18" i="104"/>
  <c r="A13" i="104"/>
  <c r="A8" i="104"/>
  <c r="B8" i="49"/>
  <c r="C8" i="49"/>
  <c r="E8" i="49"/>
  <c r="B9" i="49"/>
  <c r="C9" i="49"/>
  <c r="E9" i="49"/>
  <c r="B10" i="49"/>
  <c r="C10" i="49"/>
  <c r="E10" i="49"/>
  <c r="B11" i="49"/>
  <c r="C11" i="49"/>
  <c r="E11" i="49"/>
  <c r="B12" i="49"/>
  <c r="C12" i="49"/>
  <c r="E12" i="49"/>
  <c r="B13" i="49"/>
  <c r="C13" i="49"/>
  <c r="E13" i="49"/>
  <c r="B14" i="49"/>
  <c r="C14" i="49"/>
  <c r="E14" i="49"/>
  <c r="B15" i="49"/>
  <c r="C15" i="49"/>
  <c r="E15" i="49"/>
  <c r="B16" i="49"/>
  <c r="C16" i="49"/>
  <c r="E16" i="49"/>
  <c r="B17" i="49"/>
  <c r="C17" i="49"/>
  <c r="E17" i="49"/>
  <c r="B18" i="49"/>
  <c r="C18" i="49"/>
  <c r="E18" i="49"/>
  <c r="B19" i="49"/>
  <c r="C19" i="49"/>
  <c r="E19" i="49"/>
  <c r="B20" i="49"/>
  <c r="C20" i="49"/>
  <c r="E20" i="49"/>
  <c r="B21" i="49"/>
  <c r="C21" i="49"/>
  <c r="E21" i="49"/>
  <c r="B22" i="49"/>
  <c r="C22" i="49"/>
  <c r="E22" i="49"/>
  <c r="B23" i="49"/>
  <c r="C23" i="49"/>
  <c r="E23" i="49"/>
  <c r="B24" i="49"/>
  <c r="C24" i="49"/>
  <c r="E24" i="49"/>
  <c r="B25" i="49"/>
  <c r="C25" i="49"/>
  <c r="E25" i="49"/>
  <c r="B26" i="49"/>
  <c r="C26" i="49"/>
  <c r="E26" i="49"/>
  <c r="B27" i="49"/>
  <c r="C27" i="49"/>
  <c r="E27" i="49"/>
  <c r="B28" i="49"/>
  <c r="C28" i="49"/>
  <c r="E28" i="49"/>
  <c r="B29" i="49"/>
  <c r="C29" i="49"/>
  <c r="E29" i="49"/>
  <c r="B30" i="49"/>
  <c r="C30" i="49"/>
  <c r="E30" i="49"/>
  <c r="B31" i="49"/>
  <c r="C31" i="49"/>
  <c r="E31" i="49"/>
  <c r="E7" i="49"/>
  <c r="C7" i="49"/>
  <c r="B7" i="49"/>
  <c r="A1" i="104" l="1"/>
  <c r="G8" i="49"/>
  <c r="K8" i="49" a="1"/>
  <c r="K14" i="49" s="1"/>
  <c r="M8" i="49" a="1"/>
  <c r="M13" i="49" s="1"/>
  <c r="J8" i="49" a="1"/>
  <c r="J8" i="49" s="1"/>
  <c r="T36" i="105"/>
  <c r="U36" i="105"/>
  <c r="G7" i="49"/>
  <c r="F330" i="104"/>
  <c r="F329" i="104"/>
  <c r="D330" i="104"/>
  <c r="D329" i="104"/>
  <c r="B330" i="104"/>
  <c r="B329" i="104"/>
  <c r="B35" i="104"/>
  <c r="K15" i="49" l="1"/>
  <c r="M15" i="49"/>
  <c r="M16" i="49"/>
  <c r="K8" i="49"/>
  <c r="J14" i="49"/>
  <c r="J16" i="49"/>
  <c r="M8" i="49"/>
  <c r="J13" i="49"/>
  <c r="M14" i="49"/>
  <c r="M9" i="49"/>
  <c r="J10" i="49"/>
  <c r="K12" i="49"/>
  <c r="K9" i="49"/>
  <c r="K10" i="49"/>
  <c r="J11" i="49"/>
  <c r="K11" i="49"/>
  <c r="J9" i="49"/>
  <c r="M12" i="49"/>
  <c r="J12" i="49"/>
  <c r="K16" i="49"/>
  <c r="J15" i="49"/>
  <c r="M10" i="49"/>
  <c r="M11" i="49"/>
  <c r="K13" i="49"/>
  <c r="B30" i="104"/>
  <c r="O554" i="102" l="1"/>
  <c r="N564" i="102"/>
  <c r="X540" i="102"/>
  <c r="W540" i="102"/>
  <c r="V540" i="102"/>
  <c r="X539" i="102"/>
  <c r="W539" i="102"/>
  <c r="V539" i="102"/>
  <c r="S540" i="102"/>
  <c r="R540" i="102"/>
  <c r="Q540" i="102"/>
  <c r="S539" i="102"/>
  <c r="R539" i="102"/>
  <c r="Q539" i="102"/>
  <c r="N540" i="102"/>
  <c r="M540" i="102"/>
  <c r="L540" i="102"/>
  <c r="N539" i="102"/>
  <c r="M539" i="102"/>
  <c r="L539" i="102"/>
  <c r="I540" i="102"/>
  <c r="H540" i="102"/>
  <c r="G540" i="102"/>
  <c r="I539" i="102"/>
  <c r="H539" i="102"/>
  <c r="G539" i="102"/>
  <c r="B540" i="102"/>
  <c r="C540" i="102"/>
  <c r="D540" i="102"/>
  <c r="C539" i="102"/>
  <c r="D539" i="102"/>
  <c r="B539" i="102"/>
  <c r="X536" i="102"/>
  <c r="W536" i="102"/>
  <c r="V536" i="102"/>
  <c r="S536" i="102"/>
  <c r="R536" i="102"/>
  <c r="Q536" i="102"/>
  <c r="N536" i="102"/>
  <c r="M536" i="102"/>
  <c r="L536" i="102"/>
  <c r="I536" i="102"/>
  <c r="H536" i="102"/>
  <c r="G536" i="102"/>
  <c r="D536" i="102"/>
  <c r="C536" i="102"/>
  <c r="B536" i="102"/>
  <c r="Y535" i="102"/>
  <c r="T535" i="102"/>
  <c r="O535" i="102"/>
  <c r="J535" i="102"/>
  <c r="E535" i="102"/>
  <c r="Y534" i="102"/>
  <c r="T534" i="102"/>
  <c r="O534" i="102"/>
  <c r="J534" i="102"/>
  <c r="E534" i="102"/>
  <c r="X531" i="102"/>
  <c r="W531" i="102"/>
  <c r="V531" i="102"/>
  <c r="S531" i="102"/>
  <c r="R531" i="102"/>
  <c r="Q531" i="102"/>
  <c r="N531" i="102"/>
  <c r="M531" i="102"/>
  <c r="L531" i="102"/>
  <c r="I531" i="102"/>
  <c r="H531" i="102"/>
  <c r="G531" i="102"/>
  <c r="D531" i="102"/>
  <c r="C531" i="102"/>
  <c r="B531" i="102"/>
  <c r="Y530" i="102"/>
  <c r="T530" i="102"/>
  <c r="O530" i="102"/>
  <c r="J530" i="102"/>
  <c r="E530" i="102"/>
  <c r="Y529" i="102"/>
  <c r="T529" i="102"/>
  <c r="O529" i="102"/>
  <c r="J529" i="102"/>
  <c r="E529" i="102"/>
  <c r="X526" i="102"/>
  <c r="W526" i="102"/>
  <c r="V526" i="102"/>
  <c r="S526" i="102"/>
  <c r="R526" i="102"/>
  <c r="Q526" i="102"/>
  <c r="N526" i="102"/>
  <c r="M526" i="102"/>
  <c r="L526" i="102"/>
  <c r="I526" i="102"/>
  <c r="H526" i="102"/>
  <c r="G526" i="102"/>
  <c r="D526" i="102"/>
  <c r="C526" i="102"/>
  <c r="B526" i="102"/>
  <c r="Y525" i="102"/>
  <c r="T525" i="102"/>
  <c r="O525" i="102"/>
  <c r="J525" i="102"/>
  <c r="E525" i="102"/>
  <c r="Y524" i="102"/>
  <c r="T524" i="102"/>
  <c r="O524" i="102"/>
  <c r="J524" i="102"/>
  <c r="E524" i="102"/>
  <c r="X521" i="102"/>
  <c r="W521" i="102"/>
  <c r="V521" i="102"/>
  <c r="S521" i="102"/>
  <c r="R521" i="102"/>
  <c r="Q521" i="102"/>
  <c r="N521" i="102"/>
  <c r="M521" i="102"/>
  <c r="L521" i="102"/>
  <c r="I521" i="102"/>
  <c r="H521" i="102"/>
  <c r="G521" i="102"/>
  <c r="D521" i="102"/>
  <c r="C521" i="102"/>
  <c r="B521" i="102"/>
  <c r="Y520" i="102"/>
  <c r="T520" i="102"/>
  <c r="O520" i="102"/>
  <c r="J520" i="102"/>
  <c r="E520" i="102"/>
  <c r="Y519" i="102"/>
  <c r="T519" i="102"/>
  <c r="O519" i="102"/>
  <c r="J519" i="102"/>
  <c r="E519" i="102"/>
  <c r="X486" i="102"/>
  <c r="W486" i="102"/>
  <c r="V486" i="102"/>
  <c r="S486" i="102"/>
  <c r="R486" i="102"/>
  <c r="Q486" i="102"/>
  <c r="N486" i="102"/>
  <c r="M486" i="102"/>
  <c r="L486" i="102"/>
  <c r="I486" i="102"/>
  <c r="H486" i="102"/>
  <c r="G486" i="102"/>
  <c r="D486" i="102"/>
  <c r="C486" i="102"/>
  <c r="B486" i="102"/>
  <c r="Y485" i="102"/>
  <c r="T485" i="102"/>
  <c r="O485" i="102"/>
  <c r="J485" i="102"/>
  <c r="E485" i="102"/>
  <c r="Y484" i="102"/>
  <c r="T484" i="102"/>
  <c r="O484" i="102"/>
  <c r="J484" i="102"/>
  <c r="E484" i="102"/>
  <c r="X476" i="102"/>
  <c r="W476" i="102"/>
  <c r="V476" i="102"/>
  <c r="S476" i="102"/>
  <c r="R476" i="102"/>
  <c r="Q476" i="102"/>
  <c r="N476" i="102"/>
  <c r="M476" i="102"/>
  <c r="L476" i="102"/>
  <c r="I476" i="102"/>
  <c r="H476" i="102"/>
  <c r="G476" i="102"/>
  <c r="D476" i="102"/>
  <c r="C476" i="102"/>
  <c r="B476" i="102"/>
  <c r="Y475" i="102"/>
  <c r="T475" i="102"/>
  <c r="O475" i="102"/>
  <c r="J475" i="102"/>
  <c r="E475" i="102"/>
  <c r="Y474" i="102"/>
  <c r="T474" i="102"/>
  <c r="O474" i="102"/>
  <c r="J474" i="102"/>
  <c r="E474" i="102"/>
  <c r="X465" i="102"/>
  <c r="W465" i="102"/>
  <c r="V465" i="102"/>
  <c r="X464" i="102"/>
  <c r="W464" i="102"/>
  <c r="V464" i="102"/>
  <c r="S465" i="102"/>
  <c r="R465" i="102"/>
  <c r="Q465" i="102"/>
  <c r="S464" i="102"/>
  <c r="R464" i="102"/>
  <c r="Q464" i="102"/>
  <c r="N465" i="102"/>
  <c r="M465" i="102"/>
  <c r="L465" i="102"/>
  <c r="N464" i="102"/>
  <c r="M464" i="102"/>
  <c r="L464" i="102"/>
  <c r="I465" i="102"/>
  <c r="H465" i="102"/>
  <c r="G465" i="102"/>
  <c r="I464" i="102"/>
  <c r="H464" i="102"/>
  <c r="G464" i="102"/>
  <c r="B465" i="102"/>
  <c r="C465" i="102"/>
  <c r="D465" i="102"/>
  <c r="C464" i="102"/>
  <c r="D464" i="102"/>
  <c r="B464" i="102"/>
  <c r="X461" i="102"/>
  <c r="W461" i="102"/>
  <c r="V461" i="102"/>
  <c r="S461" i="102"/>
  <c r="R461" i="102"/>
  <c r="Q461" i="102"/>
  <c r="N461" i="102"/>
  <c r="M461" i="102"/>
  <c r="L461" i="102"/>
  <c r="I461" i="102"/>
  <c r="H461" i="102"/>
  <c r="G461" i="102"/>
  <c r="D461" i="102"/>
  <c r="C461" i="102"/>
  <c r="B461" i="102"/>
  <c r="Y460" i="102"/>
  <c r="T460" i="102"/>
  <c r="O460" i="102"/>
  <c r="J460" i="102"/>
  <c r="E460" i="102"/>
  <c r="Y459" i="102"/>
  <c r="T459" i="102"/>
  <c r="O459" i="102"/>
  <c r="J459" i="102"/>
  <c r="E459" i="102"/>
  <c r="X456" i="102"/>
  <c r="W456" i="102"/>
  <c r="V456" i="102"/>
  <c r="S456" i="102"/>
  <c r="R456" i="102"/>
  <c r="Q456" i="102"/>
  <c r="N456" i="102"/>
  <c r="M456" i="102"/>
  <c r="L456" i="102"/>
  <c r="I456" i="102"/>
  <c r="H456" i="102"/>
  <c r="G456" i="102"/>
  <c r="D456" i="102"/>
  <c r="C456" i="102"/>
  <c r="B456" i="102"/>
  <c r="Y455" i="102"/>
  <c r="T455" i="102"/>
  <c r="O455" i="102"/>
  <c r="J455" i="102"/>
  <c r="E455" i="102"/>
  <c r="Y454" i="102"/>
  <c r="T454" i="102"/>
  <c r="O454" i="102"/>
  <c r="J454" i="102"/>
  <c r="E454" i="102"/>
  <c r="X451" i="102"/>
  <c r="W451" i="102"/>
  <c r="V451" i="102"/>
  <c r="S451" i="102"/>
  <c r="R451" i="102"/>
  <c r="Q451" i="102"/>
  <c r="N451" i="102"/>
  <c r="M451" i="102"/>
  <c r="L451" i="102"/>
  <c r="I451" i="102"/>
  <c r="H451" i="102"/>
  <c r="G451" i="102"/>
  <c r="D451" i="102"/>
  <c r="C451" i="102"/>
  <c r="B451" i="102"/>
  <c r="Y450" i="102"/>
  <c r="T450" i="102"/>
  <c r="O450" i="102"/>
  <c r="J450" i="102"/>
  <c r="E450" i="102"/>
  <c r="Y449" i="102"/>
  <c r="T449" i="102"/>
  <c r="O449" i="102"/>
  <c r="J449" i="102"/>
  <c r="E449" i="102"/>
  <c r="X446" i="102"/>
  <c r="W446" i="102"/>
  <c r="V446" i="102"/>
  <c r="S446" i="102"/>
  <c r="R446" i="102"/>
  <c r="Q446" i="102"/>
  <c r="N446" i="102"/>
  <c r="M446" i="102"/>
  <c r="L446" i="102"/>
  <c r="I446" i="102"/>
  <c r="H446" i="102"/>
  <c r="G446" i="102"/>
  <c r="D446" i="102"/>
  <c r="C446" i="102"/>
  <c r="B446" i="102"/>
  <c r="Y445" i="102"/>
  <c r="T445" i="102"/>
  <c r="O445" i="102"/>
  <c r="J445" i="102"/>
  <c r="E445" i="102"/>
  <c r="Y444" i="102"/>
  <c r="T444" i="102"/>
  <c r="O444" i="102"/>
  <c r="J444" i="102"/>
  <c r="E444" i="102"/>
  <c r="X441" i="102"/>
  <c r="W441" i="102"/>
  <c r="V441" i="102"/>
  <c r="S441" i="102"/>
  <c r="R441" i="102"/>
  <c r="Q441" i="102"/>
  <c r="N441" i="102"/>
  <c r="M441" i="102"/>
  <c r="L441" i="102"/>
  <c r="I441" i="102"/>
  <c r="H441" i="102"/>
  <c r="G441" i="102"/>
  <c r="D441" i="102"/>
  <c r="C441" i="102"/>
  <c r="B441" i="102"/>
  <c r="Y440" i="102"/>
  <c r="T440" i="102"/>
  <c r="O440" i="102"/>
  <c r="J440" i="102"/>
  <c r="E440" i="102"/>
  <c r="Y439" i="102"/>
  <c r="T439" i="102"/>
  <c r="O439" i="102"/>
  <c r="J439" i="102"/>
  <c r="E439" i="102"/>
  <c r="X436" i="102"/>
  <c r="W436" i="102"/>
  <c r="V436" i="102"/>
  <c r="S436" i="102"/>
  <c r="R436" i="102"/>
  <c r="Q436" i="102"/>
  <c r="N436" i="102"/>
  <c r="M436" i="102"/>
  <c r="L436" i="102"/>
  <c r="I436" i="102"/>
  <c r="H436" i="102"/>
  <c r="G436" i="102"/>
  <c r="D436" i="102"/>
  <c r="C436" i="102"/>
  <c r="B436" i="102"/>
  <c r="Y435" i="102"/>
  <c r="T435" i="102"/>
  <c r="O435" i="102"/>
  <c r="J435" i="102"/>
  <c r="E435" i="102"/>
  <c r="Y434" i="102"/>
  <c r="T434" i="102"/>
  <c r="O434" i="102"/>
  <c r="J434" i="102"/>
  <c r="E434" i="102"/>
  <c r="X425" i="102"/>
  <c r="W425" i="102"/>
  <c r="V425" i="102"/>
  <c r="X424" i="102"/>
  <c r="W424" i="102"/>
  <c r="V424" i="102"/>
  <c r="S425" i="102"/>
  <c r="R425" i="102"/>
  <c r="Q425" i="102"/>
  <c r="S424" i="102"/>
  <c r="R424" i="102"/>
  <c r="Q424" i="102"/>
  <c r="N425" i="102"/>
  <c r="M425" i="102"/>
  <c r="L425" i="102"/>
  <c r="N424" i="102"/>
  <c r="M424" i="102"/>
  <c r="L424" i="102"/>
  <c r="I425" i="102"/>
  <c r="H425" i="102"/>
  <c r="G425" i="102"/>
  <c r="I424" i="102"/>
  <c r="H424" i="102"/>
  <c r="G424" i="102"/>
  <c r="B425" i="102"/>
  <c r="C425" i="102"/>
  <c r="D425" i="102"/>
  <c r="C424" i="102"/>
  <c r="D424" i="102"/>
  <c r="B424" i="102"/>
  <c r="X421" i="102"/>
  <c r="W421" i="102"/>
  <c r="V421" i="102"/>
  <c r="S421" i="102"/>
  <c r="R421" i="102"/>
  <c r="Q421" i="102"/>
  <c r="N421" i="102"/>
  <c r="M421" i="102"/>
  <c r="L421" i="102"/>
  <c r="I421" i="102"/>
  <c r="H421" i="102"/>
  <c r="G421" i="102"/>
  <c r="D421" i="102"/>
  <c r="C421" i="102"/>
  <c r="B421" i="102"/>
  <c r="Y420" i="102"/>
  <c r="T420" i="102"/>
  <c r="O420" i="102"/>
  <c r="J420" i="102"/>
  <c r="E420" i="102"/>
  <c r="Y419" i="102"/>
  <c r="T419" i="102"/>
  <c r="O419" i="102"/>
  <c r="J419" i="102"/>
  <c r="E419" i="102"/>
  <c r="X416" i="102"/>
  <c r="W416" i="102"/>
  <c r="V416" i="102"/>
  <c r="S416" i="102"/>
  <c r="R416" i="102"/>
  <c r="Q416" i="102"/>
  <c r="N416" i="102"/>
  <c r="M416" i="102"/>
  <c r="L416" i="102"/>
  <c r="I416" i="102"/>
  <c r="H416" i="102"/>
  <c r="G416" i="102"/>
  <c r="D416" i="102"/>
  <c r="C416" i="102"/>
  <c r="B416" i="102"/>
  <c r="Y415" i="102"/>
  <c r="T415" i="102"/>
  <c r="O415" i="102"/>
  <c r="J415" i="102"/>
  <c r="E415" i="102"/>
  <c r="Y414" i="102"/>
  <c r="T414" i="102"/>
  <c r="O414" i="102"/>
  <c r="J414" i="102"/>
  <c r="E414" i="102"/>
  <c r="X411" i="102"/>
  <c r="W411" i="102"/>
  <c r="V411" i="102"/>
  <c r="S411" i="102"/>
  <c r="R411" i="102"/>
  <c r="Q411" i="102"/>
  <c r="N411" i="102"/>
  <c r="M411" i="102"/>
  <c r="L411" i="102"/>
  <c r="I411" i="102"/>
  <c r="H411" i="102"/>
  <c r="G411" i="102"/>
  <c r="D411" i="102"/>
  <c r="C411" i="102"/>
  <c r="B411" i="102"/>
  <c r="Y410" i="102"/>
  <c r="T410" i="102"/>
  <c r="O410" i="102"/>
  <c r="J410" i="102"/>
  <c r="E410" i="102"/>
  <c r="Y409" i="102"/>
  <c r="T409" i="102"/>
  <c r="O409" i="102"/>
  <c r="J409" i="102"/>
  <c r="E409" i="102"/>
  <c r="X406" i="102"/>
  <c r="W406" i="102"/>
  <c r="V406" i="102"/>
  <c r="S406" i="102"/>
  <c r="R406" i="102"/>
  <c r="Q406" i="102"/>
  <c r="N406" i="102"/>
  <c r="M406" i="102"/>
  <c r="L406" i="102"/>
  <c r="I406" i="102"/>
  <c r="H406" i="102"/>
  <c r="G406" i="102"/>
  <c r="D406" i="102"/>
  <c r="C406" i="102"/>
  <c r="B406" i="102"/>
  <c r="Y405" i="102"/>
  <c r="T405" i="102"/>
  <c r="O405" i="102"/>
  <c r="J405" i="102"/>
  <c r="E405" i="102"/>
  <c r="Y404" i="102"/>
  <c r="T404" i="102"/>
  <c r="O404" i="102"/>
  <c r="J404" i="102"/>
  <c r="E404" i="102"/>
  <c r="X401" i="102"/>
  <c r="W401" i="102"/>
  <c r="V401" i="102"/>
  <c r="S401" i="102"/>
  <c r="R401" i="102"/>
  <c r="Q401" i="102"/>
  <c r="N401" i="102"/>
  <c r="M401" i="102"/>
  <c r="L401" i="102"/>
  <c r="I401" i="102"/>
  <c r="H401" i="102"/>
  <c r="G401" i="102"/>
  <c r="D401" i="102"/>
  <c r="C401" i="102"/>
  <c r="B401" i="102"/>
  <c r="Y400" i="102"/>
  <c r="T400" i="102"/>
  <c r="O400" i="102"/>
  <c r="J400" i="102"/>
  <c r="E400" i="102"/>
  <c r="Y399" i="102"/>
  <c r="T399" i="102"/>
  <c r="O399" i="102"/>
  <c r="J399" i="102"/>
  <c r="E399" i="102"/>
  <c r="X396" i="102"/>
  <c r="W396" i="102"/>
  <c r="V396" i="102"/>
  <c r="S396" i="102"/>
  <c r="R396" i="102"/>
  <c r="Q396" i="102"/>
  <c r="N396" i="102"/>
  <c r="M396" i="102"/>
  <c r="L396" i="102"/>
  <c r="I396" i="102"/>
  <c r="H396" i="102"/>
  <c r="G396" i="102"/>
  <c r="D396" i="102"/>
  <c r="C396" i="102"/>
  <c r="B396" i="102"/>
  <c r="Y395" i="102"/>
  <c r="T395" i="102"/>
  <c r="O395" i="102"/>
  <c r="J395" i="102"/>
  <c r="E395" i="102"/>
  <c r="Y394" i="102"/>
  <c r="T394" i="102"/>
  <c r="O394" i="102"/>
  <c r="J394" i="102"/>
  <c r="E394" i="102"/>
  <c r="X391" i="102"/>
  <c r="W391" i="102"/>
  <c r="V391" i="102"/>
  <c r="S391" i="102"/>
  <c r="R391" i="102"/>
  <c r="Q391" i="102"/>
  <c r="N391" i="102"/>
  <c r="M391" i="102"/>
  <c r="L391" i="102"/>
  <c r="I391" i="102"/>
  <c r="H391" i="102"/>
  <c r="G391" i="102"/>
  <c r="D391" i="102"/>
  <c r="C391" i="102"/>
  <c r="B391" i="102"/>
  <c r="Y390" i="102"/>
  <c r="T390" i="102"/>
  <c r="O390" i="102"/>
  <c r="J390" i="102"/>
  <c r="E390" i="102"/>
  <c r="Y389" i="102"/>
  <c r="T389" i="102"/>
  <c r="O389" i="102"/>
  <c r="J389" i="102"/>
  <c r="E389" i="102"/>
  <c r="E379" i="102"/>
  <c r="X381" i="102"/>
  <c r="W381" i="102"/>
  <c r="V381" i="102"/>
  <c r="S381" i="102"/>
  <c r="R381" i="102"/>
  <c r="Q381" i="102"/>
  <c r="N381" i="102"/>
  <c r="M381" i="102"/>
  <c r="L381" i="102"/>
  <c r="I381" i="102"/>
  <c r="H381" i="102"/>
  <c r="G381" i="102"/>
  <c r="D381" i="102"/>
  <c r="C381" i="102"/>
  <c r="B381" i="102"/>
  <c r="Y380" i="102"/>
  <c r="T380" i="102"/>
  <c r="O380" i="102"/>
  <c r="J380" i="102"/>
  <c r="E380" i="102"/>
  <c r="Y379" i="102"/>
  <c r="T379" i="102"/>
  <c r="O379" i="102"/>
  <c r="J379" i="102"/>
  <c r="X565" i="102"/>
  <c r="W565" i="102"/>
  <c r="V565" i="102"/>
  <c r="S565" i="102"/>
  <c r="R565" i="102"/>
  <c r="Q565" i="102"/>
  <c r="N565" i="102"/>
  <c r="M565" i="102"/>
  <c r="L565" i="102"/>
  <c r="I565" i="102"/>
  <c r="H565" i="102"/>
  <c r="G565" i="102"/>
  <c r="D565" i="102"/>
  <c r="C565" i="102"/>
  <c r="B565" i="102"/>
  <c r="X564" i="102"/>
  <c r="W564" i="102"/>
  <c r="V564" i="102"/>
  <c r="S564" i="102"/>
  <c r="R564" i="102"/>
  <c r="Q564" i="102"/>
  <c r="M564" i="102"/>
  <c r="L564" i="102"/>
  <c r="I564" i="102"/>
  <c r="H564" i="102"/>
  <c r="G564" i="102"/>
  <c r="D564" i="102"/>
  <c r="C564" i="102"/>
  <c r="B564" i="102"/>
  <c r="X561" i="102"/>
  <c r="W561" i="102"/>
  <c r="V561" i="102"/>
  <c r="S561" i="102"/>
  <c r="R561" i="102"/>
  <c r="Q561" i="102"/>
  <c r="N561" i="102"/>
  <c r="M561" i="102"/>
  <c r="L561" i="102"/>
  <c r="I561" i="102"/>
  <c r="H561" i="102"/>
  <c r="G561" i="102"/>
  <c r="D561" i="102"/>
  <c r="C561" i="102"/>
  <c r="B561" i="102"/>
  <c r="Y560" i="102"/>
  <c r="T560" i="102"/>
  <c r="O560" i="102"/>
  <c r="J560" i="102"/>
  <c r="E560" i="102"/>
  <c r="Y559" i="102"/>
  <c r="T559" i="102"/>
  <c r="O559" i="102"/>
  <c r="J559" i="102"/>
  <c r="E559" i="102"/>
  <c r="X556" i="102"/>
  <c r="W556" i="102"/>
  <c r="V556" i="102"/>
  <c r="S556" i="102"/>
  <c r="R556" i="102"/>
  <c r="Q556" i="102"/>
  <c r="N556" i="102"/>
  <c r="M556" i="102"/>
  <c r="L556" i="102"/>
  <c r="I556" i="102"/>
  <c r="H556" i="102"/>
  <c r="G556" i="102"/>
  <c r="D556" i="102"/>
  <c r="C556" i="102"/>
  <c r="B556" i="102"/>
  <c r="Y555" i="102"/>
  <c r="T555" i="102"/>
  <c r="O555" i="102"/>
  <c r="J555" i="102"/>
  <c r="E555" i="102"/>
  <c r="Y554" i="102"/>
  <c r="T554" i="102"/>
  <c r="J554" i="102"/>
  <c r="E554" i="102"/>
  <c r="X551" i="102"/>
  <c r="W551" i="102"/>
  <c r="V551" i="102"/>
  <c r="S551" i="102"/>
  <c r="R551" i="102"/>
  <c r="Q551" i="102"/>
  <c r="N551" i="102"/>
  <c r="M551" i="102"/>
  <c r="L551" i="102"/>
  <c r="I551" i="102"/>
  <c r="H551" i="102"/>
  <c r="G551" i="102"/>
  <c r="D551" i="102"/>
  <c r="C551" i="102"/>
  <c r="B551" i="102"/>
  <c r="Y550" i="102"/>
  <c r="T550" i="102"/>
  <c r="O550" i="102"/>
  <c r="J550" i="102"/>
  <c r="E550" i="102"/>
  <c r="Y549" i="102"/>
  <c r="T549" i="102"/>
  <c r="O549" i="102"/>
  <c r="J549" i="102"/>
  <c r="E549" i="102"/>
  <c r="X510" i="102"/>
  <c r="W510" i="102"/>
  <c r="V510" i="102"/>
  <c r="S510" i="102"/>
  <c r="R510" i="102"/>
  <c r="Q510" i="102"/>
  <c r="N510" i="102"/>
  <c r="M510" i="102"/>
  <c r="L510" i="102"/>
  <c r="I510" i="102"/>
  <c r="H510" i="102"/>
  <c r="G510" i="102"/>
  <c r="D510" i="102"/>
  <c r="C510" i="102"/>
  <c r="B510" i="102"/>
  <c r="X509" i="102"/>
  <c r="W509" i="102"/>
  <c r="V509" i="102"/>
  <c r="S509" i="102"/>
  <c r="R509" i="102"/>
  <c r="Q509" i="102"/>
  <c r="N509" i="102"/>
  <c r="M509" i="102"/>
  <c r="L509" i="102"/>
  <c r="I509" i="102"/>
  <c r="H509" i="102"/>
  <c r="G509" i="102"/>
  <c r="D509" i="102"/>
  <c r="C509" i="102"/>
  <c r="B509" i="102"/>
  <c r="X506" i="102"/>
  <c r="W506" i="102"/>
  <c r="V506" i="102"/>
  <c r="S506" i="102"/>
  <c r="R506" i="102"/>
  <c r="Q506" i="102"/>
  <c r="N506" i="102"/>
  <c r="M506" i="102"/>
  <c r="L506" i="102"/>
  <c r="I506" i="102"/>
  <c r="H506" i="102"/>
  <c r="G506" i="102"/>
  <c r="D506" i="102"/>
  <c r="C506" i="102"/>
  <c r="B506" i="102"/>
  <c r="Y505" i="102"/>
  <c r="T505" i="102"/>
  <c r="O505" i="102"/>
  <c r="J505" i="102"/>
  <c r="E505" i="102"/>
  <c r="Y504" i="102"/>
  <c r="T504" i="102"/>
  <c r="O504" i="102"/>
  <c r="J504" i="102"/>
  <c r="E504" i="102"/>
  <c r="X501" i="102"/>
  <c r="W501" i="102"/>
  <c r="V501" i="102"/>
  <c r="S501" i="102"/>
  <c r="R501" i="102"/>
  <c r="Q501" i="102"/>
  <c r="N501" i="102"/>
  <c r="M501" i="102"/>
  <c r="L501" i="102"/>
  <c r="I501" i="102"/>
  <c r="H501" i="102"/>
  <c r="G501" i="102"/>
  <c r="D501" i="102"/>
  <c r="C501" i="102"/>
  <c r="B501" i="102"/>
  <c r="Y500" i="102"/>
  <c r="T500" i="102"/>
  <c r="O500" i="102"/>
  <c r="J500" i="102"/>
  <c r="E500" i="102"/>
  <c r="Y499" i="102"/>
  <c r="T499" i="102"/>
  <c r="O499" i="102"/>
  <c r="J499" i="102"/>
  <c r="E499" i="102"/>
  <c r="X496" i="102"/>
  <c r="W496" i="102"/>
  <c r="V496" i="102"/>
  <c r="S496" i="102"/>
  <c r="R496" i="102"/>
  <c r="Q496" i="102"/>
  <c r="N496" i="102"/>
  <c r="M496" i="102"/>
  <c r="L496" i="102"/>
  <c r="I496" i="102"/>
  <c r="H496" i="102"/>
  <c r="G496" i="102"/>
  <c r="D496" i="102"/>
  <c r="C496" i="102"/>
  <c r="B496" i="102"/>
  <c r="Y495" i="102"/>
  <c r="T495" i="102"/>
  <c r="O495" i="102"/>
  <c r="J495" i="102"/>
  <c r="E495" i="102"/>
  <c r="Y494" i="102"/>
  <c r="T494" i="102"/>
  <c r="O494" i="102"/>
  <c r="J494" i="102"/>
  <c r="E494" i="102"/>
  <c r="X370" i="102"/>
  <c r="W370" i="102"/>
  <c r="V370" i="102"/>
  <c r="B313" i="104" s="1"/>
  <c r="S370" i="102"/>
  <c r="R370" i="102"/>
  <c r="Q370" i="102"/>
  <c r="N370" i="102"/>
  <c r="M370" i="102"/>
  <c r="L370" i="102"/>
  <c r="I370" i="102"/>
  <c r="H370" i="102"/>
  <c r="G370" i="102"/>
  <c r="D370" i="102"/>
  <c r="C370" i="102"/>
  <c r="B370" i="102"/>
  <c r="X369" i="102"/>
  <c r="W369" i="102"/>
  <c r="V369" i="102"/>
  <c r="S369" i="102"/>
  <c r="R369" i="102"/>
  <c r="Q369" i="102"/>
  <c r="N369" i="102"/>
  <c r="M369" i="102"/>
  <c r="L369" i="102"/>
  <c r="I369" i="102"/>
  <c r="H369" i="102"/>
  <c r="G369" i="102"/>
  <c r="D369" i="102"/>
  <c r="C369" i="102"/>
  <c r="B369" i="102"/>
  <c r="X366" i="102"/>
  <c r="W366" i="102"/>
  <c r="V366" i="102"/>
  <c r="S366" i="102"/>
  <c r="R366" i="102"/>
  <c r="Q366" i="102"/>
  <c r="N366" i="102"/>
  <c r="M366" i="102"/>
  <c r="L366" i="102"/>
  <c r="I366" i="102"/>
  <c r="H366" i="102"/>
  <c r="G366" i="102"/>
  <c r="D366" i="102"/>
  <c r="C366" i="102"/>
  <c r="B366" i="102"/>
  <c r="Y365" i="102"/>
  <c r="T365" i="102"/>
  <c r="O365" i="102"/>
  <c r="J365" i="102"/>
  <c r="E365" i="102"/>
  <c r="Y364" i="102"/>
  <c r="T364" i="102"/>
  <c r="O364" i="102"/>
  <c r="J364" i="102"/>
  <c r="E364" i="102"/>
  <c r="X361" i="102"/>
  <c r="W361" i="102"/>
  <c r="V361" i="102"/>
  <c r="S361" i="102"/>
  <c r="R361" i="102"/>
  <c r="Q361" i="102"/>
  <c r="N361" i="102"/>
  <c r="M361" i="102"/>
  <c r="L361" i="102"/>
  <c r="I361" i="102"/>
  <c r="H361" i="102"/>
  <c r="G361" i="102"/>
  <c r="D361" i="102"/>
  <c r="C361" i="102"/>
  <c r="B361" i="102"/>
  <c r="Y360" i="102"/>
  <c r="T360" i="102"/>
  <c r="O360" i="102"/>
  <c r="J360" i="102"/>
  <c r="E360" i="102"/>
  <c r="Y359" i="102"/>
  <c r="T359" i="102"/>
  <c r="O359" i="102"/>
  <c r="J359" i="102"/>
  <c r="E359" i="102"/>
  <c r="X356" i="102"/>
  <c r="W356" i="102"/>
  <c r="V356" i="102"/>
  <c r="S356" i="102"/>
  <c r="R356" i="102"/>
  <c r="Q356" i="102"/>
  <c r="N356" i="102"/>
  <c r="M356" i="102"/>
  <c r="L356" i="102"/>
  <c r="I356" i="102"/>
  <c r="H356" i="102"/>
  <c r="G356" i="102"/>
  <c r="D356" i="102"/>
  <c r="C356" i="102"/>
  <c r="B356" i="102"/>
  <c r="Y355" i="102"/>
  <c r="T355" i="102"/>
  <c r="O355" i="102"/>
  <c r="J355" i="102"/>
  <c r="E355" i="102"/>
  <c r="Y354" i="102"/>
  <c r="T354" i="102"/>
  <c r="O354" i="102"/>
  <c r="J354" i="102"/>
  <c r="E354" i="102"/>
  <c r="X345" i="102"/>
  <c r="W345" i="102"/>
  <c r="V345" i="102"/>
  <c r="S345" i="102"/>
  <c r="R345" i="102"/>
  <c r="Q345" i="102"/>
  <c r="N345" i="102"/>
  <c r="M345" i="102"/>
  <c r="L345" i="102"/>
  <c r="I345" i="102"/>
  <c r="H345" i="102"/>
  <c r="G345" i="102"/>
  <c r="D345" i="102"/>
  <c r="C345" i="102"/>
  <c r="B345" i="102"/>
  <c r="X344" i="102"/>
  <c r="W344" i="102"/>
  <c r="V344" i="102"/>
  <c r="S344" i="102"/>
  <c r="R344" i="102"/>
  <c r="Q344" i="102"/>
  <c r="N344" i="102"/>
  <c r="M344" i="102"/>
  <c r="L344" i="102"/>
  <c r="I344" i="102"/>
  <c r="H344" i="102"/>
  <c r="G344" i="102"/>
  <c r="D344" i="102"/>
  <c r="C344" i="102"/>
  <c r="B344" i="102"/>
  <c r="X341" i="102"/>
  <c r="W341" i="102"/>
  <c r="V341" i="102"/>
  <c r="S341" i="102"/>
  <c r="R341" i="102"/>
  <c r="Q341" i="102"/>
  <c r="N341" i="102"/>
  <c r="M341" i="102"/>
  <c r="L341" i="102"/>
  <c r="I341" i="102"/>
  <c r="H341" i="102"/>
  <c r="G341" i="102"/>
  <c r="D341" i="102"/>
  <c r="C341" i="102"/>
  <c r="B341" i="102"/>
  <c r="Y340" i="102"/>
  <c r="T340" i="102"/>
  <c r="O340" i="102"/>
  <c r="J340" i="102"/>
  <c r="E340" i="102"/>
  <c r="Y339" i="102"/>
  <c r="T339" i="102"/>
  <c r="O339" i="102"/>
  <c r="J339" i="102"/>
  <c r="E339" i="102"/>
  <c r="X336" i="102"/>
  <c r="W336" i="102"/>
  <c r="V336" i="102"/>
  <c r="S336" i="102"/>
  <c r="R336" i="102"/>
  <c r="Q336" i="102"/>
  <c r="N336" i="102"/>
  <c r="M336" i="102"/>
  <c r="L336" i="102"/>
  <c r="I336" i="102"/>
  <c r="H336" i="102"/>
  <c r="G336" i="102"/>
  <c r="D336" i="102"/>
  <c r="C336" i="102"/>
  <c r="B336" i="102"/>
  <c r="Y335" i="102"/>
  <c r="T335" i="102"/>
  <c r="O335" i="102"/>
  <c r="J335" i="102"/>
  <c r="E335" i="102"/>
  <c r="Y334" i="102"/>
  <c r="T334" i="102"/>
  <c r="O334" i="102"/>
  <c r="J334" i="102"/>
  <c r="E334" i="102"/>
  <c r="X331" i="102"/>
  <c r="W331" i="102"/>
  <c r="V331" i="102"/>
  <c r="S331" i="102"/>
  <c r="R331" i="102"/>
  <c r="Q331" i="102"/>
  <c r="N331" i="102"/>
  <c r="M331" i="102"/>
  <c r="L331" i="102"/>
  <c r="I331" i="102"/>
  <c r="H331" i="102"/>
  <c r="G331" i="102"/>
  <c r="D331" i="102"/>
  <c r="C331" i="102"/>
  <c r="B331" i="102"/>
  <c r="Y330" i="102"/>
  <c r="T330" i="102"/>
  <c r="O330" i="102"/>
  <c r="J330" i="102"/>
  <c r="E330" i="102"/>
  <c r="Y329" i="102"/>
  <c r="T329" i="102"/>
  <c r="O329" i="102"/>
  <c r="J329" i="102"/>
  <c r="E329" i="102"/>
  <c r="X320" i="102"/>
  <c r="W320" i="102"/>
  <c r="V320" i="102"/>
  <c r="S320" i="102"/>
  <c r="R320" i="102"/>
  <c r="Q320" i="102"/>
  <c r="N320" i="102"/>
  <c r="M320" i="102"/>
  <c r="L320" i="102"/>
  <c r="I320" i="102"/>
  <c r="H320" i="102"/>
  <c r="G320" i="102"/>
  <c r="D320" i="102"/>
  <c r="C320" i="102"/>
  <c r="B320" i="102"/>
  <c r="X319" i="102"/>
  <c r="W319" i="102"/>
  <c r="V319" i="102"/>
  <c r="S319" i="102"/>
  <c r="R319" i="102"/>
  <c r="Q319" i="102"/>
  <c r="N319" i="102"/>
  <c r="M319" i="102"/>
  <c r="L319" i="102"/>
  <c r="I319" i="102"/>
  <c r="H319" i="102"/>
  <c r="G319" i="102"/>
  <c r="D319" i="102"/>
  <c r="C319" i="102"/>
  <c r="B319" i="102"/>
  <c r="X316" i="102"/>
  <c r="W316" i="102"/>
  <c r="V316" i="102"/>
  <c r="S316" i="102"/>
  <c r="R316" i="102"/>
  <c r="Q316" i="102"/>
  <c r="N316" i="102"/>
  <c r="M316" i="102"/>
  <c r="L316" i="102"/>
  <c r="I316" i="102"/>
  <c r="H316" i="102"/>
  <c r="G316" i="102"/>
  <c r="D316" i="102"/>
  <c r="C316" i="102"/>
  <c r="B316" i="102"/>
  <c r="Y315" i="102"/>
  <c r="T315" i="102"/>
  <c r="O315" i="102"/>
  <c r="J315" i="102"/>
  <c r="E315" i="102"/>
  <c r="Y314" i="102"/>
  <c r="T314" i="102"/>
  <c r="O314" i="102"/>
  <c r="J314" i="102"/>
  <c r="E314" i="102"/>
  <c r="X311" i="102"/>
  <c r="W311" i="102"/>
  <c r="V311" i="102"/>
  <c r="S311" i="102"/>
  <c r="R311" i="102"/>
  <c r="Q311" i="102"/>
  <c r="N311" i="102"/>
  <c r="M311" i="102"/>
  <c r="L311" i="102"/>
  <c r="I311" i="102"/>
  <c r="H311" i="102"/>
  <c r="G311" i="102"/>
  <c r="D311" i="102"/>
  <c r="C311" i="102"/>
  <c r="B311" i="102"/>
  <c r="Y310" i="102"/>
  <c r="T310" i="102"/>
  <c r="O310" i="102"/>
  <c r="J310" i="102"/>
  <c r="E310" i="102"/>
  <c r="Y309" i="102"/>
  <c r="T309" i="102"/>
  <c r="O309" i="102"/>
  <c r="J309" i="102"/>
  <c r="E309" i="102"/>
  <c r="X306" i="102"/>
  <c r="W306" i="102"/>
  <c r="V306" i="102"/>
  <c r="S306" i="102"/>
  <c r="R306" i="102"/>
  <c r="Q306" i="102"/>
  <c r="N306" i="102"/>
  <c r="M306" i="102"/>
  <c r="L306" i="102"/>
  <c r="I306" i="102"/>
  <c r="H306" i="102"/>
  <c r="G306" i="102"/>
  <c r="D306" i="102"/>
  <c r="C306" i="102"/>
  <c r="B306" i="102"/>
  <c r="Y305" i="102"/>
  <c r="T305" i="102"/>
  <c r="O305" i="102"/>
  <c r="J305" i="102"/>
  <c r="E305" i="102"/>
  <c r="Y304" i="102"/>
  <c r="T304" i="102"/>
  <c r="O304" i="102"/>
  <c r="J304" i="102"/>
  <c r="E304" i="102"/>
  <c r="X295" i="102"/>
  <c r="W295" i="102"/>
  <c r="V295" i="102"/>
  <c r="X294" i="102"/>
  <c r="W294" i="102"/>
  <c r="V294" i="102"/>
  <c r="S295" i="102"/>
  <c r="R295" i="102"/>
  <c r="Q295" i="102"/>
  <c r="S294" i="102"/>
  <c r="R294" i="102"/>
  <c r="Q294" i="102"/>
  <c r="N295" i="102"/>
  <c r="M295" i="102"/>
  <c r="L295" i="102"/>
  <c r="N294" i="102"/>
  <c r="M294" i="102"/>
  <c r="L294" i="102"/>
  <c r="I295" i="102"/>
  <c r="H295" i="102"/>
  <c r="G295" i="102"/>
  <c r="I294" i="102"/>
  <c r="H294" i="102"/>
  <c r="G294" i="102"/>
  <c r="B295" i="102"/>
  <c r="C295" i="102"/>
  <c r="D295" i="102"/>
  <c r="C294" i="102"/>
  <c r="D294" i="102"/>
  <c r="B294" i="102"/>
  <c r="X291" i="102"/>
  <c r="W291" i="102"/>
  <c r="V291" i="102"/>
  <c r="S291" i="102"/>
  <c r="R291" i="102"/>
  <c r="Q291" i="102"/>
  <c r="N291" i="102"/>
  <c r="M291" i="102"/>
  <c r="L291" i="102"/>
  <c r="I291" i="102"/>
  <c r="H291" i="102"/>
  <c r="G291" i="102"/>
  <c r="D291" i="102"/>
  <c r="C291" i="102"/>
  <c r="B291" i="102"/>
  <c r="Y290" i="102"/>
  <c r="T290" i="102"/>
  <c r="O290" i="102"/>
  <c r="J290" i="102"/>
  <c r="E290" i="102"/>
  <c r="Y289" i="102"/>
  <c r="T289" i="102"/>
  <c r="O289" i="102"/>
  <c r="J289" i="102"/>
  <c r="E289" i="102"/>
  <c r="X286" i="102"/>
  <c r="W286" i="102"/>
  <c r="V286" i="102"/>
  <c r="S286" i="102"/>
  <c r="R286" i="102"/>
  <c r="Q286" i="102"/>
  <c r="N286" i="102"/>
  <c r="M286" i="102"/>
  <c r="L286" i="102"/>
  <c r="I286" i="102"/>
  <c r="H286" i="102"/>
  <c r="G286" i="102"/>
  <c r="D286" i="102"/>
  <c r="C286" i="102"/>
  <c r="B286" i="102"/>
  <c r="Y285" i="102"/>
  <c r="T285" i="102"/>
  <c r="O285" i="102"/>
  <c r="J285" i="102"/>
  <c r="E285" i="102"/>
  <c r="Y284" i="102"/>
  <c r="T284" i="102"/>
  <c r="O284" i="102"/>
  <c r="J284" i="102"/>
  <c r="E284" i="102"/>
  <c r="X275" i="102"/>
  <c r="W275" i="102"/>
  <c r="V275" i="102"/>
  <c r="X274" i="102"/>
  <c r="W274" i="102"/>
  <c r="V274" i="102"/>
  <c r="S275" i="102"/>
  <c r="R275" i="102"/>
  <c r="Q275" i="102"/>
  <c r="S274" i="102"/>
  <c r="R274" i="102"/>
  <c r="Q274" i="102"/>
  <c r="N275" i="102"/>
  <c r="M275" i="102"/>
  <c r="L275" i="102"/>
  <c r="N274" i="102"/>
  <c r="M274" i="102"/>
  <c r="L274" i="102"/>
  <c r="I275" i="102"/>
  <c r="H275" i="102"/>
  <c r="G275" i="102"/>
  <c r="I274" i="102"/>
  <c r="H274" i="102"/>
  <c r="G274" i="102"/>
  <c r="B275" i="102"/>
  <c r="C275" i="102"/>
  <c r="D275" i="102"/>
  <c r="C274" i="102"/>
  <c r="D274" i="102"/>
  <c r="B274" i="102"/>
  <c r="X271" i="102"/>
  <c r="W271" i="102"/>
  <c r="V271" i="102"/>
  <c r="S271" i="102"/>
  <c r="R271" i="102"/>
  <c r="Q271" i="102"/>
  <c r="N271" i="102"/>
  <c r="M271" i="102"/>
  <c r="L271" i="102"/>
  <c r="I271" i="102"/>
  <c r="H271" i="102"/>
  <c r="G271" i="102"/>
  <c r="D271" i="102"/>
  <c r="C271" i="102"/>
  <c r="B271" i="102"/>
  <c r="Y270" i="102"/>
  <c r="T270" i="102"/>
  <c r="O270" i="102"/>
  <c r="J270" i="102"/>
  <c r="E270" i="102"/>
  <c r="Y269" i="102"/>
  <c r="T269" i="102"/>
  <c r="O269" i="102"/>
  <c r="J269" i="102"/>
  <c r="E269" i="102"/>
  <c r="X266" i="102"/>
  <c r="W266" i="102"/>
  <c r="V266" i="102"/>
  <c r="S266" i="102"/>
  <c r="R266" i="102"/>
  <c r="Q266" i="102"/>
  <c r="N266" i="102"/>
  <c r="M266" i="102"/>
  <c r="L266" i="102"/>
  <c r="I266" i="102"/>
  <c r="H266" i="102"/>
  <c r="G266" i="102"/>
  <c r="D266" i="102"/>
  <c r="C266" i="102"/>
  <c r="B266" i="102"/>
  <c r="Y265" i="102"/>
  <c r="T265" i="102"/>
  <c r="O265" i="102"/>
  <c r="J265" i="102"/>
  <c r="E265" i="102"/>
  <c r="Y264" i="102"/>
  <c r="T264" i="102"/>
  <c r="O264" i="102"/>
  <c r="J264" i="102"/>
  <c r="E264" i="102"/>
  <c r="X261" i="102"/>
  <c r="W261" i="102"/>
  <c r="V261" i="102"/>
  <c r="S261" i="102"/>
  <c r="R261" i="102"/>
  <c r="Q261" i="102"/>
  <c r="N261" i="102"/>
  <c r="M261" i="102"/>
  <c r="L261" i="102"/>
  <c r="I261" i="102"/>
  <c r="H261" i="102"/>
  <c r="G261" i="102"/>
  <c r="D261" i="102"/>
  <c r="C261" i="102"/>
  <c r="B261" i="102"/>
  <c r="Y260" i="102"/>
  <c r="T260" i="102"/>
  <c r="O260" i="102"/>
  <c r="J260" i="102"/>
  <c r="E260" i="102"/>
  <c r="Y259" i="102"/>
  <c r="T259" i="102"/>
  <c r="O259" i="102"/>
  <c r="J259" i="102"/>
  <c r="E259" i="102"/>
  <c r="X256" i="102"/>
  <c r="W256" i="102"/>
  <c r="V256" i="102"/>
  <c r="S256" i="102"/>
  <c r="R256" i="102"/>
  <c r="Q256" i="102"/>
  <c r="N256" i="102"/>
  <c r="M256" i="102"/>
  <c r="L256" i="102"/>
  <c r="I256" i="102"/>
  <c r="H256" i="102"/>
  <c r="G256" i="102"/>
  <c r="D256" i="102"/>
  <c r="C256" i="102"/>
  <c r="B256" i="102"/>
  <c r="Y255" i="102"/>
  <c r="T255" i="102"/>
  <c r="O255" i="102"/>
  <c r="J255" i="102"/>
  <c r="E255" i="102"/>
  <c r="Y254" i="102"/>
  <c r="T254" i="102"/>
  <c r="O254" i="102"/>
  <c r="J254" i="102"/>
  <c r="E254" i="102"/>
  <c r="X251" i="102"/>
  <c r="W251" i="102"/>
  <c r="V251" i="102"/>
  <c r="S251" i="102"/>
  <c r="R251" i="102"/>
  <c r="Q251" i="102"/>
  <c r="N251" i="102"/>
  <c r="M251" i="102"/>
  <c r="L251" i="102"/>
  <c r="I251" i="102"/>
  <c r="H251" i="102"/>
  <c r="G251" i="102"/>
  <c r="D251" i="102"/>
  <c r="C251" i="102"/>
  <c r="B251" i="102"/>
  <c r="Y250" i="102"/>
  <c r="T250" i="102"/>
  <c r="O250" i="102"/>
  <c r="J250" i="102"/>
  <c r="E250" i="102"/>
  <c r="Y249" i="102"/>
  <c r="T249" i="102"/>
  <c r="O249" i="102"/>
  <c r="J249" i="102"/>
  <c r="E249" i="102"/>
  <c r="B239" i="102"/>
  <c r="B236" i="102"/>
  <c r="E234" i="102"/>
  <c r="X240" i="102"/>
  <c r="W240" i="102"/>
  <c r="V240" i="102"/>
  <c r="S240" i="102"/>
  <c r="R240" i="102"/>
  <c r="Q240" i="102"/>
  <c r="N240" i="102"/>
  <c r="M240" i="102"/>
  <c r="L240" i="102"/>
  <c r="I240" i="102"/>
  <c r="H240" i="102"/>
  <c r="G240" i="102"/>
  <c r="D240" i="102"/>
  <c r="C240" i="102"/>
  <c r="B240" i="102"/>
  <c r="X239" i="102"/>
  <c r="W239" i="102"/>
  <c r="V239" i="102"/>
  <c r="S239" i="102"/>
  <c r="R239" i="102"/>
  <c r="Q239" i="102"/>
  <c r="N239" i="102"/>
  <c r="M239" i="102"/>
  <c r="L239" i="102"/>
  <c r="I239" i="102"/>
  <c r="H239" i="102"/>
  <c r="G239" i="102"/>
  <c r="D239" i="102"/>
  <c r="C239" i="102"/>
  <c r="X236" i="102"/>
  <c r="W236" i="102"/>
  <c r="V236" i="102"/>
  <c r="S236" i="102"/>
  <c r="R236" i="102"/>
  <c r="Q236" i="102"/>
  <c r="N236" i="102"/>
  <c r="M236" i="102"/>
  <c r="L236" i="102"/>
  <c r="I236" i="102"/>
  <c r="H236" i="102"/>
  <c r="G236" i="102"/>
  <c r="D236" i="102"/>
  <c r="C236" i="102"/>
  <c r="Y235" i="102"/>
  <c r="T235" i="102"/>
  <c r="O235" i="102"/>
  <c r="J235" i="102"/>
  <c r="E235" i="102"/>
  <c r="Y234" i="102"/>
  <c r="T234" i="102"/>
  <c r="O234" i="102"/>
  <c r="J234" i="102"/>
  <c r="X231" i="102"/>
  <c r="W231" i="102"/>
  <c r="V231" i="102"/>
  <c r="S231" i="102"/>
  <c r="R231" i="102"/>
  <c r="Q231" i="102"/>
  <c r="N231" i="102"/>
  <c r="M231" i="102"/>
  <c r="L231" i="102"/>
  <c r="I231" i="102"/>
  <c r="H231" i="102"/>
  <c r="G231" i="102"/>
  <c r="D231" i="102"/>
  <c r="C231" i="102"/>
  <c r="B231" i="102"/>
  <c r="Y230" i="102"/>
  <c r="T230" i="102"/>
  <c r="O230" i="102"/>
  <c r="J230" i="102"/>
  <c r="E230" i="102"/>
  <c r="Y229" i="102"/>
  <c r="T229" i="102"/>
  <c r="O229" i="102"/>
  <c r="J229" i="102"/>
  <c r="E229" i="102"/>
  <c r="X226" i="102"/>
  <c r="W226" i="102"/>
  <c r="V226" i="102"/>
  <c r="S226" i="102"/>
  <c r="R226" i="102"/>
  <c r="Q226" i="102"/>
  <c r="N226" i="102"/>
  <c r="M226" i="102"/>
  <c r="L226" i="102"/>
  <c r="I226" i="102"/>
  <c r="H226" i="102"/>
  <c r="G226" i="102"/>
  <c r="D226" i="102"/>
  <c r="C226" i="102"/>
  <c r="B226" i="102"/>
  <c r="Y225" i="102"/>
  <c r="T225" i="102"/>
  <c r="O225" i="102"/>
  <c r="J225" i="102"/>
  <c r="E225" i="102"/>
  <c r="Y224" i="102"/>
  <c r="T224" i="102"/>
  <c r="O224" i="102"/>
  <c r="J224" i="102"/>
  <c r="E224" i="102"/>
  <c r="X215" i="102"/>
  <c r="W215" i="102"/>
  <c r="V215" i="102"/>
  <c r="S215" i="102"/>
  <c r="R215" i="102"/>
  <c r="Q215" i="102"/>
  <c r="N215" i="102"/>
  <c r="M215" i="102"/>
  <c r="L215" i="102"/>
  <c r="I215" i="102"/>
  <c r="H215" i="102"/>
  <c r="G215" i="102"/>
  <c r="D215" i="102"/>
  <c r="C215" i="102"/>
  <c r="B215" i="102"/>
  <c r="X214" i="102"/>
  <c r="W214" i="102"/>
  <c r="V214" i="102"/>
  <c r="S214" i="102"/>
  <c r="R214" i="102"/>
  <c r="Q214" i="102"/>
  <c r="N214" i="102"/>
  <c r="M214" i="102"/>
  <c r="L214" i="102"/>
  <c r="I214" i="102"/>
  <c r="H214" i="102"/>
  <c r="G214" i="102"/>
  <c r="D214" i="102"/>
  <c r="C214" i="102"/>
  <c r="B214" i="102"/>
  <c r="X211" i="102"/>
  <c r="W211" i="102"/>
  <c r="V211" i="102"/>
  <c r="S211" i="102"/>
  <c r="R211" i="102"/>
  <c r="Q211" i="102"/>
  <c r="N211" i="102"/>
  <c r="M211" i="102"/>
  <c r="L211" i="102"/>
  <c r="I211" i="102"/>
  <c r="H211" i="102"/>
  <c r="G211" i="102"/>
  <c r="D211" i="102"/>
  <c r="C211" i="102"/>
  <c r="B211" i="102"/>
  <c r="Y210" i="102"/>
  <c r="T210" i="102"/>
  <c r="O210" i="102"/>
  <c r="J210" i="102"/>
  <c r="E210" i="102"/>
  <c r="Y209" i="102"/>
  <c r="T209" i="102"/>
  <c r="O209" i="102"/>
  <c r="J209" i="102"/>
  <c r="E209" i="102"/>
  <c r="X206" i="102"/>
  <c r="W206" i="102"/>
  <c r="V206" i="102"/>
  <c r="S206" i="102"/>
  <c r="R206" i="102"/>
  <c r="Q206" i="102"/>
  <c r="N206" i="102"/>
  <c r="M206" i="102"/>
  <c r="L206" i="102"/>
  <c r="I206" i="102"/>
  <c r="H206" i="102"/>
  <c r="G206" i="102"/>
  <c r="D206" i="102"/>
  <c r="C206" i="102"/>
  <c r="B206" i="102"/>
  <c r="Y205" i="102"/>
  <c r="T205" i="102"/>
  <c r="O205" i="102"/>
  <c r="J205" i="102"/>
  <c r="E205" i="102"/>
  <c r="Y204" i="102"/>
  <c r="T204" i="102"/>
  <c r="O204" i="102"/>
  <c r="J204" i="102"/>
  <c r="E204" i="102"/>
  <c r="X201" i="102"/>
  <c r="W201" i="102"/>
  <c r="V201" i="102"/>
  <c r="S201" i="102"/>
  <c r="R201" i="102"/>
  <c r="Q201" i="102"/>
  <c r="N201" i="102"/>
  <c r="M201" i="102"/>
  <c r="L201" i="102"/>
  <c r="I201" i="102"/>
  <c r="H201" i="102"/>
  <c r="G201" i="102"/>
  <c r="D201" i="102"/>
  <c r="C201" i="102"/>
  <c r="B201" i="102"/>
  <c r="Y200" i="102"/>
  <c r="T200" i="102"/>
  <c r="O200" i="102"/>
  <c r="J200" i="102"/>
  <c r="E200" i="102"/>
  <c r="Y199" i="102"/>
  <c r="T199" i="102"/>
  <c r="O199" i="102"/>
  <c r="J199" i="102"/>
  <c r="E199" i="102"/>
  <c r="B189" i="102"/>
  <c r="X190" i="102"/>
  <c r="W190" i="102"/>
  <c r="V190" i="102"/>
  <c r="S190" i="102"/>
  <c r="R190" i="102"/>
  <c r="Q190" i="102"/>
  <c r="N190" i="102"/>
  <c r="M190" i="102"/>
  <c r="L190" i="102"/>
  <c r="I190" i="102"/>
  <c r="H190" i="102"/>
  <c r="G190" i="102"/>
  <c r="D190" i="102"/>
  <c r="C190" i="102"/>
  <c r="B190" i="102"/>
  <c r="X189" i="102"/>
  <c r="W189" i="102"/>
  <c r="V189" i="102"/>
  <c r="S189" i="102"/>
  <c r="R189" i="102"/>
  <c r="Q189" i="102"/>
  <c r="N189" i="102"/>
  <c r="M189" i="102"/>
  <c r="L189" i="102"/>
  <c r="I189" i="102"/>
  <c r="H189" i="102"/>
  <c r="G189" i="102"/>
  <c r="D189" i="102"/>
  <c r="C189" i="102"/>
  <c r="X186" i="102"/>
  <c r="W186" i="102"/>
  <c r="V186" i="102"/>
  <c r="S186" i="102"/>
  <c r="R186" i="102"/>
  <c r="Q186" i="102"/>
  <c r="N186" i="102"/>
  <c r="M186" i="102"/>
  <c r="L186" i="102"/>
  <c r="I186" i="102"/>
  <c r="H186" i="102"/>
  <c r="G186" i="102"/>
  <c r="D186" i="102"/>
  <c r="C186" i="102"/>
  <c r="B186" i="102"/>
  <c r="Y185" i="102"/>
  <c r="T185" i="102"/>
  <c r="O185" i="102"/>
  <c r="J185" i="102"/>
  <c r="E185" i="102"/>
  <c r="Y184" i="102"/>
  <c r="T184" i="102"/>
  <c r="O184" i="102"/>
  <c r="J184" i="102"/>
  <c r="E184" i="102"/>
  <c r="X181" i="102"/>
  <c r="W181" i="102"/>
  <c r="V181" i="102"/>
  <c r="S181" i="102"/>
  <c r="R181" i="102"/>
  <c r="Q181" i="102"/>
  <c r="N181" i="102"/>
  <c r="M181" i="102"/>
  <c r="L181" i="102"/>
  <c r="I181" i="102"/>
  <c r="H181" i="102"/>
  <c r="G181" i="102"/>
  <c r="D181" i="102"/>
  <c r="C181" i="102"/>
  <c r="B181" i="102"/>
  <c r="Y180" i="102"/>
  <c r="T180" i="102"/>
  <c r="O180" i="102"/>
  <c r="J180" i="102"/>
  <c r="E180" i="102"/>
  <c r="Y179" i="102"/>
  <c r="T179" i="102"/>
  <c r="O179" i="102"/>
  <c r="J179" i="102"/>
  <c r="E179" i="102"/>
  <c r="X176" i="102"/>
  <c r="W176" i="102"/>
  <c r="V176" i="102"/>
  <c r="S176" i="102"/>
  <c r="R176" i="102"/>
  <c r="Q176" i="102"/>
  <c r="N176" i="102"/>
  <c r="M176" i="102"/>
  <c r="L176" i="102"/>
  <c r="I176" i="102"/>
  <c r="H176" i="102"/>
  <c r="G176" i="102"/>
  <c r="D176" i="102"/>
  <c r="C176" i="102"/>
  <c r="B176" i="102"/>
  <c r="Y175" i="102"/>
  <c r="T175" i="102"/>
  <c r="O175" i="102"/>
  <c r="J175" i="102"/>
  <c r="E175" i="102"/>
  <c r="Y174" i="102"/>
  <c r="T174" i="102"/>
  <c r="O174" i="102"/>
  <c r="J174" i="102"/>
  <c r="E174" i="102"/>
  <c r="X166" i="102"/>
  <c r="W166" i="102"/>
  <c r="V166" i="102"/>
  <c r="S166" i="102"/>
  <c r="R166" i="102"/>
  <c r="Q166" i="102"/>
  <c r="N166" i="102"/>
  <c r="M166" i="102"/>
  <c r="L166" i="102"/>
  <c r="I166" i="102"/>
  <c r="H166" i="102"/>
  <c r="G166" i="102"/>
  <c r="D166" i="102"/>
  <c r="C166" i="102"/>
  <c r="B166" i="102"/>
  <c r="Y165" i="102"/>
  <c r="T165" i="102"/>
  <c r="O165" i="102"/>
  <c r="J165" i="102"/>
  <c r="E165" i="102"/>
  <c r="Y164" i="102"/>
  <c r="T164" i="102"/>
  <c r="O164" i="102"/>
  <c r="J164" i="102"/>
  <c r="E164" i="102"/>
  <c r="X155" i="102"/>
  <c r="W155" i="102"/>
  <c r="V155" i="102"/>
  <c r="X154" i="102"/>
  <c r="W154" i="102"/>
  <c r="V154" i="102"/>
  <c r="S155" i="102"/>
  <c r="R155" i="102"/>
  <c r="Q155" i="102"/>
  <c r="S154" i="102"/>
  <c r="R154" i="102"/>
  <c r="Q154" i="102"/>
  <c r="N155" i="102"/>
  <c r="M155" i="102"/>
  <c r="L155" i="102"/>
  <c r="N154" i="102"/>
  <c r="M154" i="102"/>
  <c r="L154" i="102"/>
  <c r="I155" i="102"/>
  <c r="H155" i="102"/>
  <c r="G155" i="102"/>
  <c r="I154" i="102"/>
  <c r="H154" i="102"/>
  <c r="G154" i="102"/>
  <c r="B155" i="102"/>
  <c r="C155" i="102"/>
  <c r="D155" i="102"/>
  <c r="C154" i="102"/>
  <c r="D154" i="102"/>
  <c r="B154" i="102"/>
  <c r="B151" i="102"/>
  <c r="X151" i="102"/>
  <c r="W151" i="102"/>
  <c r="V151" i="102"/>
  <c r="S151" i="102"/>
  <c r="R151" i="102"/>
  <c r="Q151" i="102"/>
  <c r="N151" i="102"/>
  <c r="M151" i="102"/>
  <c r="L151" i="102"/>
  <c r="I151" i="102"/>
  <c r="H151" i="102"/>
  <c r="G151" i="102"/>
  <c r="D151" i="102"/>
  <c r="C151" i="102"/>
  <c r="Y150" i="102"/>
  <c r="T150" i="102"/>
  <c r="O150" i="102"/>
  <c r="J150" i="102"/>
  <c r="E150" i="102"/>
  <c r="Y149" i="102"/>
  <c r="T149" i="102"/>
  <c r="O149" i="102"/>
  <c r="J149" i="102"/>
  <c r="E149" i="102"/>
  <c r="X146" i="102"/>
  <c r="W146" i="102"/>
  <c r="V146" i="102"/>
  <c r="S146" i="102"/>
  <c r="R146" i="102"/>
  <c r="Q146" i="102"/>
  <c r="N146" i="102"/>
  <c r="M146" i="102"/>
  <c r="L146" i="102"/>
  <c r="I146" i="102"/>
  <c r="H146" i="102"/>
  <c r="G146" i="102"/>
  <c r="D146" i="102"/>
  <c r="C146" i="102"/>
  <c r="B146" i="102"/>
  <c r="Y145" i="102"/>
  <c r="T145" i="102"/>
  <c r="O145" i="102"/>
  <c r="J145" i="102"/>
  <c r="E145" i="102"/>
  <c r="Y144" i="102"/>
  <c r="T144" i="102"/>
  <c r="O144" i="102"/>
  <c r="J144" i="102"/>
  <c r="E144" i="102"/>
  <c r="X141" i="102"/>
  <c r="W141" i="102"/>
  <c r="V141" i="102"/>
  <c r="S141" i="102"/>
  <c r="R141" i="102"/>
  <c r="Q141" i="102"/>
  <c r="N141" i="102"/>
  <c r="M141" i="102"/>
  <c r="L141" i="102"/>
  <c r="I141" i="102"/>
  <c r="H141" i="102"/>
  <c r="G141" i="102"/>
  <c r="D141" i="102"/>
  <c r="C141" i="102"/>
  <c r="B141" i="102"/>
  <c r="Y140" i="102"/>
  <c r="T140" i="102"/>
  <c r="O140" i="102"/>
  <c r="J140" i="102"/>
  <c r="E140" i="102"/>
  <c r="Y139" i="102"/>
  <c r="T139" i="102"/>
  <c r="O139" i="102"/>
  <c r="J139" i="102"/>
  <c r="E139" i="102"/>
  <c r="X136" i="102"/>
  <c r="W136" i="102"/>
  <c r="V136" i="102"/>
  <c r="S136" i="102"/>
  <c r="R136" i="102"/>
  <c r="Q136" i="102"/>
  <c r="N136" i="102"/>
  <c r="M136" i="102"/>
  <c r="L136" i="102"/>
  <c r="I136" i="102"/>
  <c r="H136" i="102"/>
  <c r="G136" i="102"/>
  <c r="D136" i="102"/>
  <c r="C136" i="102"/>
  <c r="B136" i="102"/>
  <c r="Y135" i="102"/>
  <c r="T135" i="102"/>
  <c r="O135" i="102"/>
  <c r="J135" i="102"/>
  <c r="E135" i="102"/>
  <c r="Y134" i="102"/>
  <c r="T134" i="102"/>
  <c r="O134" i="102"/>
  <c r="J134" i="102"/>
  <c r="E134" i="102"/>
  <c r="X131" i="102"/>
  <c r="W131" i="102"/>
  <c r="V131" i="102"/>
  <c r="S131" i="102"/>
  <c r="R131" i="102"/>
  <c r="Q131" i="102"/>
  <c r="N131" i="102"/>
  <c r="M131" i="102"/>
  <c r="L131" i="102"/>
  <c r="I131" i="102"/>
  <c r="H131" i="102"/>
  <c r="G131" i="102"/>
  <c r="D131" i="102"/>
  <c r="C131" i="102"/>
  <c r="B131" i="102"/>
  <c r="Y130" i="102"/>
  <c r="T130" i="102"/>
  <c r="O130" i="102"/>
  <c r="J130" i="102"/>
  <c r="E130" i="102"/>
  <c r="Y129" i="102"/>
  <c r="T129" i="102"/>
  <c r="O129" i="102"/>
  <c r="J129" i="102"/>
  <c r="E129" i="102"/>
  <c r="X126" i="102"/>
  <c r="W126" i="102"/>
  <c r="V126" i="102"/>
  <c r="S126" i="102"/>
  <c r="R126" i="102"/>
  <c r="Q126" i="102"/>
  <c r="N126" i="102"/>
  <c r="M126" i="102"/>
  <c r="L126" i="102"/>
  <c r="I126" i="102"/>
  <c r="H126" i="102"/>
  <c r="G126" i="102"/>
  <c r="D126" i="102"/>
  <c r="C126" i="102"/>
  <c r="B126" i="102"/>
  <c r="Y125" i="102"/>
  <c r="T125" i="102"/>
  <c r="O125" i="102"/>
  <c r="J125" i="102"/>
  <c r="E125" i="102"/>
  <c r="Y124" i="102"/>
  <c r="T124" i="102"/>
  <c r="O124" i="102"/>
  <c r="J124" i="102"/>
  <c r="E124" i="102"/>
  <c r="X121" i="102"/>
  <c r="W121" i="102"/>
  <c r="V121" i="102"/>
  <c r="S121" i="102"/>
  <c r="R121" i="102"/>
  <c r="Q121" i="102"/>
  <c r="N121" i="102"/>
  <c r="M121" i="102"/>
  <c r="L121" i="102"/>
  <c r="I121" i="102"/>
  <c r="H121" i="102"/>
  <c r="G121" i="102"/>
  <c r="D121" i="102"/>
  <c r="C121" i="102"/>
  <c r="B121" i="102"/>
  <c r="Y120" i="102"/>
  <c r="T120" i="102"/>
  <c r="O120" i="102"/>
  <c r="J120" i="102"/>
  <c r="E120" i="102"/>
  <c r="Y119" i="102"/>
  <c r="T119" i="102"/>
  <c r="O119" i="102"/>
  <c r="J119" i="102"/>
  <c r="E119" i="102"/>
  <c r="X116" i="102"/>
  <c r="W116" i="102"/>
  <c r="V116" i="102"/>
  <c r="S116" i="102"/>
  <c r="R116" i="102"/>
  <c r="Q116" i="102"/>
  <c r="N116" i="102"/>
  <c r="M116" i="102"/>
  <c r="L116" i="102"/>
  <c r="I116" i="102"/>
  <c r="H116" i="102"/>
  <c r="G116" i="102"/>
  <c r="D116" i="102"/>
  <c r="C116" i="102"/>
  <c r="B116" i="102"/>
  <c r="Y115" i="102"/>
  <c r="T115" i="102"/>
  <c r="O115" i="102"/>
  <c r="J115" i="102"/>
  <c r="E115" i="102"/>
  <c r="Y114" i="102"/>
  <c r="T114" i="102"/>
  <c r="O114" i="102"/>
  <c r="J114" i="102"/>
  <c r="E114" i="102"/>
  <c r="X111" i="102"/>
  <c r="W111" i="102"/>
  <c r="V111" i="102"/>
  <c r="S111" i="102"/>
  <c r="R111" i="102"/>
  <c r="Q111" i="102"/>
  <c r="N111" i="102"/>
  <c r="M111" i="102"/>
  <c r="L111" i="102"/>
  <c r="I111" i="102"/>
  <c r="H111" i="102"/>
  <c r="G111" i="102"/>
  <c r="D111" i="102"/>
  <c r="C111" i="102"/>
  <c r="B111" i="102"/>
  <c r="Y110" i="102"/>
  <c r="T110" i="102"/>
  <c r="O110" i="102"/>
  <c r="J110" i="102"/>
  <c r="E110" i="102"/>
  <c r="Y109" i="102"/>
  <c r="T109" i="102"/>
  <c r="O109" i="102"/>
  <c r="J109" i="102"/>
  <c r="E109" i="102"/>
  <c r="X106" i="102"/>
  <c r="W106" i="102"/>
  <c r="V106" i="102"/>
  <c r="S106" i="102"/>
  <c r="R106" i="102"/>
  <c r="Q106" i="102"/>
  <c r="N106" i="102"/>
  <c r="M106" i="102"/>
  <c r="L106" i="102"/>
  <c r="I106" i="102"/>
  <c r="H106" i="102"/>
  <c r="G106" i="102"/>
  <c r="D106" i="102"/>
  <c r="C106" i="102"/>
  <c r="B106" i="102"/>
  <c r="Y105" i="102"/>
  <c r="T105" i="102"/>
  <c r="O105" i="102"/>
  <c r="J105" i="102"/>
  <c r="E105" i="102"/>
  <c r="Y104" i="102"/>
  <c r="T104" i="102"/>
  <c r="O104" i="102"/>
  <c r="J104" i="102"/>
  <c r="E104" i="102"/>
  <c r="X101" i="102"/>
  <c r="W101" i="102"/>
  <c r="V101" i="102"/>
  <c r="S101" i="102"/>
  <c r="R101" i="102"/>
  <c r="Q101" i="102"/>
  <c r="N101" i="102"/>
  <c r="M101" i="102"/>
  <c r="L101" i="102"/>
  <c r="I101" i="102"/>
  <c r="H101" i="102"/>
  <c r="G101" i="102"/>
  <c r="D101" i="102"/>
  <c r="C101" i="102"/>
  <c r="B101" i="102"/>
  <c r="Y100" i="102"/>
  <c r="T100" i="102"/>
  <c r="O100" i="102"/>
  <c r="J100" i="102"/>
  <c r="E100" i="102"/>
  <c r="Y99" i="102"/>
  <c r="T99" i="102"/>
  <c r="O99" i="102"/>
  <c r="J99" i="102"/>
  <c r="E99" i="102"/>
  <c r="X96" i="102"/>
  <c r="W96" i="102"/>
  <c r="V96" i="102"/>
  <c r="S96" i="102"/>
  <c r="R96" i="102"/>
  <c r="Q96" i="102"/>
  <c r="N96" i="102"/>
  <c r="M96" i="102"/>
  <c r="L96" i="102"/>
  <c r="I96" i="102"/>
  <c r="H96" i="102"/>
  <c r="G96" i="102"/>
  <c r="D96" i="102"/>
  <c r="C96" i="102"/>
  <c r="B96" i="102"/>
  <c r="Y95" i="102"/>
  <c r="T95" i="102"/>
  <c r="O95" i="102"/>
  <c r="J95" i="102"/>
  <c r="E95" i="102"/>
  <c r="Y94" i="102"/>
  <c r="T94" i="102"/>
  <c r="O94" i="102"/>
  <c r="J94" i="102"/>
  <c r="E94" i="102"/>
  <c r="X91" i="102"/>
  <c r="W91" i="102"/>
  <c r="V91" i="102"/>
  <c r="S91" i="102"/>
  <c r="R91" i="102"/>
  <c r="Q91" i="102"/>
  <c r="N91" i="102"/>
  <c r="M91" i="102"/>
  <c r="L91" i="102"/>
  <c r="I91" i="102"/>
  <c r="H91" i="102"/>
  <c r="G91" i="102"/>
  <c r="D91" i="102"/>
  <c r="C91" i="102"/>
  <c r="B91" i="102"/>
  <c r="Y90" i="102"/>
  <c r="T90" i="102"/>
  <c r="O90" i="102"/>
  <c r="J90" i="102"/>
  <c r="E90" i="102"/>
  <c r="Y89" i="102"/>
  <c r="T89" i="102"/>
  <c r="O89" i="102"/>
  <c r="J89" i="102"/>
  <c r="E89" i="102"/>
  <c r="X86" i="102"/>
  <c r="W86" i="102"/>
  <c r="V86" i="102"/>
  <c r="S86" i="102"/>
  <c r="R86" i="102"/>
  <c r="Q86" i="102"/>
  <c r="N86" i="102"/>
  <c r="M86" i="102"/>
  <c r="L86" i="102"/>
  <c r="I86" i="102"/>
  <c r="H86" i="102"/>
  <c r="G86" i="102"/>
  <c r="D86" i="102"/>
  <c r="C86" i="102"/>
  <c r="B86" i="102"/>
  <c r="Y85" i="102"/>
  <c r="T85" i="102"/>
  <c r="O85" i="102"/>
  <c r="J85" i="102"/>
  <c r="E85" i="102"/>
  <c r="Y84" i="102"/>
  <c r="T84" i="102"/>
  <c r="O84" i="102"/>
  <c r="J84" i="102"/>
  <c r="E84" i="102"/>
  <c r="X81" i="102"/>
  <c r="W81" i="102"/>
  <c r="V81" i="102"/>
  <c r="S81" i="102"/>
  <c r="R81" i="102"/>
  <c r="Q81" i="102"/>
  <c r="N81" i="102"/>
  <c r="M81" i="102"/>
  <c r="L81" i="102"/>
  <c r="I81" i="102"/>
  <c r="H81" i="102"/>
  <c r="G81" i="102"/>
  <c r="D81" i="102"/>
  <c r="C81" i="102"/>
  <c r="B81" i="102"/>
  <c r="Y80" i="102"/>
  <c r="T80" i="102"/>
  <c r="O80" i="102"/>
  <c r="J80" i="102"/>
  <c r="E80" i="102"/>
  <c r="Y79" i="102"/>
  <c r="T79" i="102"/>
  <c r="O79" i="102"/>
  <c r="J79" i="102"/>
  <c r="E79" i="102"/>
  <c r="X76" i="102"/>
  <c r="W76" i="102"/>
  <c r="V76" i="102"/>
  <c r="S76" i="102"/>
  <c r="R76" i="102"/>
  <c r="Q76" i="102"/>
  <c r="N76" i="102"/>
  <c r="M76" i="102"/>
  <c r="L76" i="102"/>
  <c r="I76" i="102"/>
  <c r="H76" i="102"/>
  <c r="G76" i="102"/>
  <c r="D76" i="102"/>
  <c r="C76" i="102"/>
  <c r="B76" i="102"/>
  <c r="Y75" i="102"/>
  <c r="T75" i="102"/>
  <c r="O75" i="102"/>
  <c r="J75" i="102"/>
  <c r="E75" i="102"/>
  <c r="Y74" i="102"/>
  <c r="T74" i="102"/>
  <c r="O74" i="102"/>
  <c r="J74" i="102"/>
  <c r="E74" i="102"/>
  <c r="X65" i="102"/>
  <c r="W65" i="102"/>
  <c r="V65" i="102"/>
  <c r="X64" i="102"/>
  <c r="W64" i="102"/>
  <c r="V64" i="102"/>
  <c r="S65" i="102"/>
  <c r="R65" i="102"/>
  <c r="Q65" i="102"/>
  <c r="S64" i="102"/>
  <c r="R64" i="102"/>
  <c r="Q64" i="102"/>
  <c r="N65" i="102"/>
  <c r="M65" i="102"/>
  <c r="L65" i="102"/>
  <c r="N64" i="102"/>
  <c r="M64" i="102"/>
  <c r="L64" i="102"/>
  <c r="I65" i="102"/>
  <c r="H65" i="102"/>
  <c r="G65" i="102"/>
  <c r="I64" i="102"/>
  <c r="H64" i="102"/>
  <c r="G64" i="102"/>
  <c r="B65" i="102"/>
  <c r="C65" i="102"/>
  <c r="D65" i="102"/>
  <c r="C64" i="102"/>
  <c r="D64" i="102"/>
  <c r="B64" i="102"/>
  <c r="X61" i="102"/>
  <c r="W61" i="102"/>
  <c r="V61" i="102"/>
  <c r="S61" i="102"/>
  <c r="R61" i="102"/>
  <c r="Q61" i="102"/>
  <c r="N61" i="102"/>
  <c r="M61" i="102"/>
  <c r="L61" i="102"/>
  <c r="I61" i="102"/>
  <c r="H61" i="102"/>
  <c r="G61" i="102"/>
  <c r="D61" i="102"/>
  <c r="C61" i="102"/>
  <c r="B61" i="102"/>
  <c r="Y60" i="102"/>
  <c r="T60" i="102"/>
  <c r="O60" i="102"/>
  <c r="J60" i="102"/>
  <c r="E60" i="102"/>
  <c r="Y59" i="102"/>
  <c r="T59" i="102"/>
  <c r="O59" i="102"/>
  <c r="J59" i="102"/>
  <c r="E59" i="102"/>
  <c r="X56" i="102"/>
  <c r="W56" i="102"/>
  <c r="V56" i="102"/>
  <c r="S56" i="102"/>
  <c r="R56" i="102"/>
  <c r="Q56" i="102"/>
  <c r="N56" i="102"/>
  <c r="M56" i="102"/>
  <c r="L56" i="102"/>
  <c r="I56" i="102"/>
  <c r="H56" i="102"/>
  <c r="G56" i="102"/>
  <c r="D56" i="102"/>
  <c r="C56" i="102"/>
  <c r="B56" i="102"/>
  <c r="Y55" i="102"/>
  <c r="T55" i="102"/>
  <c r="O55" i="102"/>
  <c r="J55" i="102"/>
  <c r="E55" i="102"/>
  <c r="Y54" i="102"/>
  <c r="T54" i="102"/>
  <c r="O54" i="102"/>
  <c r="J54" i="102"/>
  <c r="E54" i="102"/>
  <c r="X51" i="102"/>
  <c r="W51" i="102"/>
  <c r="V51" i="102"/>
  <c r="S51" i="102"/>
  <c r="R51" i="102"/>
  <c r="Q51" i="102"/>
  <c r="N51" i="102"/>
  <c r="M51" i="102"/>
  <c r="L51" i="102"/>
  <c r="I51" i="102"/>
  <c r="H51" i="102"/>
  <c r="G51" i="102"/>
  <c r="D51" i="102"/>
  <c r="C51" i="102"/>
  <c r="B51" i="102"/>
  <c r="Y50" i="102"/>
  <c r="T50" i="102"/>
  <c r="O50" i="102"/>
  <c r="J50" i="102"/>
  <c r="E50" i="102"/>
  <c r="Y49" i="102"/>
  <c r="T49" i="102"/>
  <c r="O49" i="102"/>
  <c r="J49" i="102"/>
  <c r="E49" i="102"/>
  <c r="X40" i="102"/>
  <c r="W40" i="102"/>
  <c r="V40" i="102"/>
  <c r="X39" i="102"/>
  <c r="W39" i="102"/>
  <c r="V39" i="102"/>
  <c r="S40" i="102"/>
  <c r="R40" i="102"/>
  <c r="Q40" i="102"/>
  <c r="S39" i="102"/>
  <c r="R39" i="102"/>
  <c r="Q39" i="102"/>
  <c r="N40" i="102"/>
  <c r="M40" i="102"/>
  <c r="L40" i="102"/>
  <c r="N39" i="102"/>
  <c r="M39" i="102"/>
  <c r="L39" i="102"/>
  <c r="I40" i="102"/>
  <c r="H40" i="102"/>
  <c r="G40" i="102"/>
  <c r="I39" i="102"/>
  <c r="H39" i="102"/>
  <c r="G39" i="102"/>
  <c r="B40" i="102"/>
  <c r="C40" i="102"/>
  <c r="D40" i="102"/>
  <c r="C39" i="102"/>
  <c r="D39" i="102"/>
  <c r="B39" i="102"/>
  <c r="X36" i="102"/>
  <c r="W36" i="102"/>
  <c r="V36" i="102"/>
  <c r="S36" i="102"/>
  <c r="R36" i="102"/>
  <c r="Q36" i="102"/>
  <c r="N36" i="102"/>
  <c r="M36" i="102"/>
  <c r="L36" i="102"/>
  <c r="I36" i="102"/>
  <c r="H36" i="102"/>
  <c r="G36" i="102"/>
  <c r="D36" i="102"/>
  <c r="C36" i="102"/>
  <c r="B36" i="102"/>
  <c r="Y35" i="102"/>
  <c r="T35" i="102"/>
  <c r="O35" i="102"/>
  <c r="J35" i="102"/>
  <c r="E35" i="102"/>
  <c r="Y34" i="102"/>
  <c r="T34" i="102"/>
  <c r="O34" i="102"/>
  <c r="J34" i="102"/>
  <c r="E34" i="102"/>
  <c r="X31" i="102"/>
  <c r="W31" i="102"/>
  <c r="V31" i="102"/>
  <c r="S31" i="102"/>
  <c r="R31" i="102"/>
  <c r="Q31" i="102"/>
  <c r="N31" i="102"/>
  <c r="M31" i="102"/>
  <c r="L31" i="102"/>
  <c r="I31" i="102"/>
  <c r="H31" i="102"/>
  <c r="G31" i="102"/>
  <c r="D31" i="102"/>
  <c r="C31" i="102"/>
  <c r="B31" i="102"/>
  <c r="Y30" i="102"/>
  <c r="T30" i="102"/>
  <c r="O30" i="102"/>
  <c r="J30" i="102"/>
  <c r="E30" i="102"/>
  <c r="Y29" i="102"/>
  <c r="T29" i="102"/>
  <c r="O29" i="102"/>
  <c r="J29" i="102"/>
  <c r="E29" i="102"/>
  <c r="X21" i="102"/>
  <c r="W21" i="102"/>
  <c r="V21" i="102"/>
  <c r="S21" i="102"/>
  <c r="R21" i="102"/>
  <c r="Q21" i="102"/>
  <c r="N21" i="102"/>
  <c r="M21" i="102"/>
  <c r="L21" i="102"/>
  <c r="I21" i="102"/>
  <c r="H21" i="102"/>
  <c r="G21" i="102"/>
  <c r="D21" i="102"/>
  <c r="C21" i="102"/>
  <c r="B21" i="102"/>
  <c r="Y20" i="102"/>
  <c r="T20" i="102"/>
  <c r="O20" i="102"/>
  <c r="J20" i="102"/>
  <c r="E20" i="102"/>
  <c r="Y19" i="102"/>
  <c r="T19" i="102"/>
  <c r="O19" i="102"/>
  <c r="J19" i="102"/>
  <c r="E19" i="102"/>
  <c r="X11" i="102"/>
  <c r="W11" i="102"/>
  <c r="V11" i="102"/>
  <c r="Y10" i="102"/>
  <c r="Y9" i="102"/>
  <c r="S11" i="102"/>
  <c r="R11" i="102"/>
  <c r="Q11" i="102"/>
  <c r="T10" i="102"/>
  <c r="T9" i="102"/>
  <c r="N11" i="102"/>
  <c r="M11" i="102"/>
  <c r="L11" i="102"/>
  <c r="O10" i="102"/>
  <c r="O9" i="102"/>
  <c r="I11" i="102"/>
  <c r="H11" i="102"/>
  <c r="G11" i="102"/>
  <c r="J10" i="102"/>
  <c r="J9" i="102"/>
  <c r="C11" i="102"/>
  <c r="D11" i="102"/>
  <c r="B11" i="102"/>
  <c r="E10" i="102"/>
  <c r="E9" i="102"/>
  <c r="J251" i="102" l="1"/>
  <c r="O425" i="102"/>
  <c r="Y425" i="102"/>
  <c r="O506" i="102"/>
  <c r="X426" i="102"/>
  <c r="T201" i="102"/>
  <c r="H66" i="102"/>
  <c r="G276" i="102"/>
  <c r="S41" i="102"/>
  <c r="E539" i="102"/>
  <c r="T39" i="102"/>
  <c r="O131" i="102"/>
  <c r="V321" i="102"/>
  <c r="T31" i="102"/>
  <c r="X156" i="102"/>
  <c r="Y155" i="102"/>
  <c r="J190" i="102"/>
  <c r="E206" i="102"/>
  <c r="E274" i="102"/>
  <c r="H241" i="102"/>
  <c r="N276" i="102"/>
  <c r="S566" i="102"/>
  <c r="N566" i="102"/>
  <c r="D41" i="102"/>
  <c r="W41" i="102"/>
  <c r="C66" i="102"/>
  <c r="Y76" i="102"/>
  <c r="Q156" i="102"/>
  <c r="J306" i="102"/>
  <c r="E496" i="102"/>
  <c r="T565" i="102"/>
  <c r="T381" i="102"/>
  <c r="O396" i="102"/>
  <c r="C41" i="102"/>
  <c r="X41" i="102"/>
  <c r="E214" i="102"/>
  <c r="T215" i="102"/>
  <c r="C276" i="102"/>
  <c r="Q41" i="102"/>
  <c r="E151" i="102"/>
  <c r="B156" i="102"/>
  <c r="W296" i="102"/>
  <c r="H321" i="102"/>
  <c r="I566" i="102"/>
  <c r="D156" i="102"/>
  <c r="T166" i="102"/>
  <c r="V241" i="102"/>
  <c r="O286" i="102"/>
  <c r="C296" i="102"/>
  <c r="I321" i="102"/>
  <c r="O536" i="102"/>
  <c r="N541" i="102"/>
  <c r="Y295" i="102"/>
  <c r="O56" i="102"/>
  <c r="M276" i="102"/>
  <c r="J401" i="102"/>
  <c r="E416" i="102"/>
  <c r="T11" i="102"/>
  <c r="E176" i="102"/>
  <c r="O236" i="102"/>
  <c r="Q296" i="102"/>
  <c r="T425" i="102"/>
  <c r="L511" i="102"/>
  <c r="M41" i="102"/>
  <c r="E56" i="102"/>
  <c r="S66" i="102"/>
  <c r="J81" i="102"/>
  <c r="J186" i="102"/>
  <c r="H276" i="102"/>
  <c r="O561" i="102"/>
  <c r="O416" i="102"/>
  <c r="N466" i="102"/>
  <c r="J146" i="102"/>
  <c r="J151" i="102"/>
  <c r="Y540" i="102"/>
  <c r="E36" i="102"/>
  <c r="M541" i="102"/>
  <c r="O39" i="102"/>
  <c r="O186" i="102"/>
  <c r="E465" i="102"/>
  <c r="L296" i="102"/>
  <c r="T316" i="102"/>
  <c r="B511" i="102"/>
  <c r="G466" i="102"/>
  <c r="Y451" i="102"/>
  <c r="R541" i="102"/>
  <c r="T261" i="102"/>
  <c r="O291" i="102"/>
  <c r="T465" i="102"/>
  <c r="J11" i="102"/>
  <c r="Y21" i="102"/>
  <c r="E39" i="102"/>
  <c r="I41" i="102"/>
  <c r="V41" i="102"/>
  <c r="E51" i="102"/>
  <c r="T101" i="102"/>
  <c r="E106" i="102"/>
  <c r="O116" i="102"/>
  <c r="M156" i="102"/>
  <c r="M191" i="102"/>
  <c r="E190" i="102"/>
  <c r="O201" i="102"/>
  <c r="I216" i="102"/>
  <c r="W216" i="102"/>
  <c r="O215" i="102"/>
  <c r="E240" i="102"/>
  <c r="E236" i="102"/>
  <c r="J256" i="102"/>
  <c r="T266" i="102"/>
  <c r="E271" i="102"/>
  <c r="E294" i="102"/>
  <c r="Y294" i="102"/>
  <c r="O316" i="102"/>
  <c r="E320" i="102"/>
  <c r="L346" i="102"/>
  <c r="X346" i="102"/>
  <c r="I371" i="102"/>
  <c r="W371" i="102"/>
  <c r="H511" i="102"/>
  <c r="H566" i="102"/>
  <c r="W566" i="102"/>
  <c r="T406" i="102"/>
  <c r="O421" i="102"/>
  <c r="C426" i="102"/>
  <c r="X541" i="102"/>
  <c r="Y186" i="102"/>
  <c r="B466" i="102"/>
  <c r="Y64" i="102"/>
  <c r="E76" i="102"/>
  <c r="T189" i="102"/>
  <c r="E201" i="102"/>
  <c r="E215" i="102"/>
  <c r="O231" i="102"/>
  <c r="T239" i="102"/>
  <c r="T331" i="102"/>
  <c r="E336" i="102"/>
  <c r="E356" i="102"/>
  <c r="O366" i="102"/>
  <c r="B371" i="102"/>
  <c r="E565" i="102"/>
  <c r="E381" i="102"/>
  <c r="O391" i="102"/>
  <c r="Y401" i="102"/>
  <c r="J406" i="102"/>
  <c r="J424" i="102"/>
  <c r="N426" i="102"/>
  <c r="O436" i="102"/>
  <c r="T451" i="102"/>
  <c r="T456" i="102"/>
  <c r="T461" i="102"/>
  <c r="G41" i="102"/>
  <c r="R296" i="102"/>
  <c r="H426" i="102"/>
  <c r="O36" i="102"/>
  <c r="J56" i="102"/>
  <c r="X66" i="102"/>
  <c r="E86" i="102"/>
  <c r="O86" i="102"/>
  <c r="O96" i="102"/>
  <c r="Y106" i="102"/>
  <c r="J111" i="102"/>
  <c r="O136" i="102"/>
  <c r="Y146" i="102"/>
  <c r="Y151" i="102"/>
  <c r="Y166" i="102"/>
  <c r="J176" i="102"/>
  <c r="Y275" i="102"/>
  <c r="I426" i="102"/>
  <c r="Y424" i="102"/>
  <c r="E436" i="102"/>
  <c r="Y456" i="102"/>
  <c r="J461" i="102"/>
  <c r="E65" i="102"/>
  <c r="Y65" i="102"/>
  <c r="J76" i="102"/>
  <c r="Y189" i="102"/>
  <c r="J201" i="102"/>
  <c r="T211" i="102"/>
  <c r="J215" i="102"/>
  <c r="E251" i="102"/>
  <c r="E275" i="102"/>
  <c r="T295" i="102"/>
  <c r="Y306" i="102"/>
  <c r="Y311" i="102"/>
  <c r="J316" i="102"/>
  <c r="Y345" i="102"/>
  <c r="J356" i="102"/>
  <c r="O401" i="102"/>
  <c r="Y416" i="102"/>
  <c r="D426" i="102"/>
  <c r="J425" i="102"/>
  <c r="J231" i="102"/>
  <c r="X371" i="102"/>
  <c r="E11" i="102"/>
  <c r="C191" i="102"/>
  <c r="C321" i="102"/>
  <c r="E155" i="102"/>
  <c r="M566" i="102"/>
  <c r="Y526" i="102"/>
  <c r="Y11" i="102"/>
  <c r="J21" i="102"/>
  <c r="Y39" i="102"/>
  <c r="T61" i="102"/>
  <c r="O101" i="102"/>
  <c r="Y111" i="102"/>
  <c r="Y121" i="102"/>
  <c r="J126" i="102"/>
  <c r="O141" i="102"/>
  <c r="J189" i="102"/>
  <c r="Y190" i="102"/>
  <c r="T206" i="102"/>
  <c r="T226" i="102"/>
  <c r="E231" i="102"/>
  <c r="G241" i="102"/>
  <c r="S241" i="102"/>
  <c r="O256" i="102"/>
  <c r="Y261" i="102"/>
  <c r="Y266" i="102"/>
  <c r="J271" i="102"/>
  <c r="Y274" i="102"/>
  <c r="J331" i="102"/>
  <c r="D346" i="102"/>
  <c r="R346" i="102"/>
  <c r="E366" i="102"/>
  <c r="C371" i="102"/>
  <c r="Q371" i="102"/>
  <c r="T496" i="102"/>
  <c r="E501" i="102"/>
  <c r="E509" i="102"/>
  <c r="T510" i="102"/>
  <c r="E551" i="102"/>
  <c r="E556" i="102"/>
  <c r="E564" i="102"/>
  <c r="E391" i="102"/>
  <c r="J465" i="102"/>
  <c r="X466" i="102"/>
  <c r="E486" i="102"/>
  <c r="T486" i="102"/>
  <c r="E521" i="102"/>
  <c r="O531" i="102"/>
  <c r="Y536" i="102"/>
  <c r="O539" i="102"/>
  <c r="S541" i="102"/>
  <c r="N321" i="102"/>
  <c r="J501" i="102"/>
  <c r="W511" i="102"/>
  <c r="N346" i="102"/>
  <c r="D241" i="102"/>
  <c r="L276" i="102"/>
  <c r="I296" i="102"/>
  <c r="M511" i="102"/>
  <c r="D541" i="102"/>
  <c r="M66" i="102"/>
  <c r="Y81" i="102"/>
  <c r="T91" i="102"/>
  <c r="O151" i="102"/>
  <c r="G156" i="102"/>
  <c r="N156" i="102"/>
  <c r="W276" i="102"/>
  <c r="M296" i="102"/>
  <c r="T366" i="102"/>
  <c r="J370" i="102"/>
  <c r="E506" i="102"/>
  <c r="T509" i="102"/>
  <c r="T551" i="102"/>
  <c r="E561" i="102"/>
  <c r="E441" i="102"/>
  <c r="Y461" i="102"/>
  <c r="D466" i="102"/>
  <c r="R466" i="102"/>
  <c r="Y465" i="102"/>
  <c r="J476" i="102"/>
  <c r="T521" i="102"/>
  <c r="I511" i="102"/>
  <c r="J556" i="102"/>
  <c r="O31" i="102"/>
  <c r="M216" i="102"/>
  <c r="M371" i="102"/>
  <c r="E31" i="102"/>
  <c r="D321" i="102"/>
  <c r="E40" i="102"/>
  <c r="J65" i="102"/>
  <c r="W66" i="102"/>
  <c r="Y91" i="102"/>
  <c r="J96" i="102"/>
  <c r="J136" i="102"/>
  <c r="E141" i="102"/>
  <c r="T146" i="102"/>
  <c r="T151" i="102"/>
  <c r="H156" i="102"/>
  <c r="O155" i="102"/>
  <c r="T155" i="102"/>
  <c r="O176" i="102"/>
  <c r="I191" i="102"/>
  <c r="S216" i="102"/>
  <c r="G296" i="102"/>
  <c r="N296" i="102"/>
  <c r="Y316" i="102"/>
  <c r="O320" i="102"/>
  <c r="Y336" i="102"/>
  <c r="Y356" i="102"/>
  <c r="Y370" i="102"/>
  <c r="T506" i="102"/>
  <c r="T561" i="102"/>
  <c r="E401" i="102"/>
  <c r="J416" i="102"/>
  <c r="T421" i="102"/>
  <c r="W426" i="102"/>
  <c r="J436" i="102"/>
  <c r="O464" i="102"/>
  <c r="S466" i="102"/>
  <c r="Y476" i="102"/>
  <c r="J486" i="102"/>
  <c r="G541" i="102"/>
  <c r="E306" i="102"/>
  <c r="T121" i="102"/>
  <c r="E331" i="102"/>
  <c r="B346" i="102"/>
  <c r="E186" i="102"/>
  <c r="R241" i="102"/>
  <c r="R321" i="102"/>
  <c r="T64" i="102"/>
  <c r="T76" i="102"/>
  <c r="Y126" i="102"/>
  <c r="Y131" i="102"/>
  <c r="Y136" i="102"/>
  <c r="J141" i="102"/>
  <c r="V156" i="102"/>
  <c r="E166" i="102"/>
  <c r="O181" i="102"/>
  <c r="X191" i="102"/>
  <c r="H216" i="102"/>
  <c r="T231" i="102"/>
  <c r="L241" i="102"/>
  <c r="X241" i="102"/>
  <c r="T256" i="102"/>
  <c r="O271" i="102"/>
  <c r="D276" i="102"/>
  <c r="J286" i="102"/>
  <c r="H296" i="102"/>
  <c r="O311" i="102"/>
  <c r="O319" i="102"/>
  <c r="Y341" i="102"/>
  <c r="O345" i="102"/>
  <c r="Y361" i="102"/>
  <c r="J366" i="102"/>
  <c r="G511" i="102"/>
  <c r="S511" i="102"/>
  <c r="E536" i="102"/>
  <c r="T540" i="102"/>
  <c r="I541" i="102"/>
  <c r="E21" i="102"/>
  <c r="Y36" i="102"/>
  <c r="T40" i="102"/>
  <c r="Y56" i="102"/>
  <c r="E64" i="102"/>
  <c r="T136" i="102"/>
  <c r="T275" i="102"/>
  <c r="D296" i="102"/>
  <c r="J295" i="102"/>
  <c r="O424" i="102"/>
  <c r="S426" i="102"/>
  <c r="Y436" i="102"/>
  <c r="J441" i="102"/>
  <c r="E456" i="102"/>
  <c r="N41" i="102"/>
  <c r="R41" i="102"/>
  <c r="O51" i="102"/>
  <c r="Y61" i="102"/>
  <c r="E189" i="102"/>
  <c r="T251" i="102"/>
  <c r="E256" i="102"/>
  <c r="O261" i="102"/>
  <c r="O266" i="102"/>
  <c r="O496" i="102"/>
  <c r="Y506" i="102"/>
  <c r="Y561" i="102"/>
  <c r="O565" i="102"/>
  <c r="O381" i="102"/>
  <c r="Y391" i="102"/>
  <c r="J396" i="102"/>
  <c r="E406" i="102"/>
  <c r="O411" i="102"/>
  <c r="O526" i="102"/>
  <c r="C541" i="102"/>
  <c r="J540" i="102"/>
  <c r="T539" i="102"/>
  <c r="O40" i="102"/>
  <c r="E261" i="102"/>
  <c r="Y446" i="102"/>
  <c r="S156" i="102"/>
  <c r="O226" i="102"/>
  <c r="B241" i="102"/>
  <c r="N241" i="102"/>
  <c r="R276" i="102"/>
  <c r="E295" i="102"/>
  <c r="N511" i="102"/>
  <c r="B426" i="102"/>
  <c r="E424" i="102"/>
  <c r="J451" i="102"/>
  <c r="J456" i="102"/>
  <c r="Y441" i="102"/>
  <c r="E540" i="102"/>
  <c r="O126" i="102"/>
  <c r="O154" i="102"/>
  <c r="L156" i="102"/>
  <c r="J31" i="102"/>
  <c r="T36" i="102"/>
  <c r="T56" i="102"/>
  <c r="O61" i="102"/>
  <c r="G66" i="102"/>
  <c r="N66" i="102"/>
  <c r="J86" i="102"/>
  <c r="E96" i="102"/>
  <c r="O106" i="102"/>
  <c r="Y116" i="102"/>
  <c r="J121" i="102"/>
  <c r="T126" i="102"/>
  <c r="E131" i="102"/>
  <c r="T186" i="102"/>
  <c r="D191" i="102"/>
  <c r="R191" i="102"/>
  <c r="O211" i="102"/>
  <c r="N216" i="102"/>
  <c r="O274" i="102"/>
  <c r="J311" i="102"/>
  <c r="Y319" i="102"/>
  <c r="T336" i="102"/>
  <c r="T341" i="102"/>
  <c r="G346" i="102"/>
  <c r="S346" i="102"/>
  <c r="J345" i="102"/>
  <c r="D371" i="102"/>
  <c r="R371" i="102"/>
  <c r="C511" i="102"/>
  <c r="C566" i="102"/>
  <c r="Q566" i="102"/>
  <c r="E464" i="102"/>
  <c r="I466" i="102"/>
  <c r="Y464" i="102"/>
  <c r="E476" i="102"/>
  <c r="J531" i="102"/>
  <c r="O11" i="102"/>
  <c r="O239" i="102"/>
  <c r="E461" i="102"/>
  <c r="O21" i="102"/>
  <c r="J40" i="102"/>
  <c r="Y40" i="102"/>
  <c r="J51" i="102"/>
  <c r="T96" i="102"/>
  <c r="E126" i="102"/>
  <c r="O166" i="102"/>
  <c r="Y181" i="102"/>
  <c r="S191" i="102"/>
  <c r="C216" i="102"/>
  <c r="Q216" i="102"/>
  <c r="O251" i="102"/>
  <c r="S276" i="102"/>
  <c r="Y291" i="102"/>
  <c r="O306" i="102"/>
  <c r="X321" i="102"/>
  <c r="Y331" i="102"/>
  <c r="H346" i="102"/>
  <c r="V346" i="102"/>
  <c r="T361" i="102"/>
  <c r="G371" i="102"/>
  <c r="S371" i="102"/>
  <c r="Y406" i="102"/>
  <c r="J411" i="102"/>
  <c r="E421" i="102"/>
  <c r="J536" i="102"/>
  <c r="Y539" i="102"/>
  <c r="T21" i="102"/>
  <c r="L41" i="102"/>
  <c r="Y51" i="102"/>
  <c r="O65" i="102"/>
  <c r="O76" i="102"/>
  <c r="T86" i="102"/>
  <c r="E91" i="102"/>
  <c r="Y101" i="102"/>
  <c r="J116" i="102"/>
  <c r="T141" i="102"/>
  <c r="E146" i="102"/>
  <c r="Y176" i="102"/>
  <c r="J181" i="102"/>
  <c r="N191" i="102"/>
  <c r="T190" i="102"/>
  <c r="O206" i="102"/>
  <c r="Y211" i="102"/>
  <c r="O214" i="102"/>
  <c r="X216" i="102"/>
  <c r="Y226" i="102"/>
  <c r="Y231" i="102"/>
  <c r="J236" i="102"/>
  <c r="Y236" i="102"/>
  <c r="I241" i="102"/>
  <c r="Y239" i="102"/>
  <c r="O240" i="102"/>
  <c r="Y271" i="102"/>
  <c r="Y286" i="102"/>
  <c r="J291" i="102"/>
  <c r="S296" i="102"/>
  <c r="T311" i="102"/>
  <c r="G321" i="102"/>
  <c r="S321" i="102"/>
  <c r="J320" i="102"/>
  <c r="Y320" i="102"/>
  <c r="E341" i="102"/>
  <c r="E344" i="102"/>
  <c r="T344" i="102"/>
  <c r="T345" i="102"/>
  <c r="T356" i="102"/>
  <c r="E361" i="102"/>
  <c r="E369" i="102"/>
  <c r="N371" i="102"/>
  <c r="T370" i="102"/>
  <c r="O501" i="102"/>
  <c r="O509" i="102"/>
  <c r="X511" i="102"/>
  <c r="O551" i="102"/>
  <c r="O556" i="102"/>
  <c r="O564" i="102"/>
  <c r="X566" i="102"/>
  <c r="Y396" i="102"/>
  <c r="T401" i="102"/>
  <c r="O406" i="102"/>
  <c r="Y411" i="102"/>
  <c r="T416" i="102"/>
  <c r="M426" i="102"/>
  <c r="J446" i="102"/>
  <c r="O461" i="102"/>
  <c r="T476" i="102"/>
  <c r="O521" i="102"/>
  <c r="Y531" i="102"/>
  <c r="T536" i="102"/>
  <c r="W541" i="102"/>
  <c r="I66" i="102"/>
  <c r="R66" i="102"/>
  <c r="O81" i="102"/>
  <c r="E101" i="102"/>
  <c r="T106" i="102"/>
  <c r="O111" i="102"/>
  <c r="W156" i="102"/>
  <c r="H191" i="102"/>
  <c r="E211" i="102"/>
  <c r="D216" i="102"/>
  <c r="R216" i="102"/>
  <c r="E226" i="102"/>
  <c r="E239" i="102"/>
  <c r="T240" i="102"/>
  <c r="E266" i="102"/>
  <c r="I276" i="102"/>
  <c r="E286" i="102"/>
  <c r="M321" i="102"/>
  <c r="J336" i="102"/>
  <c r="J341" i="102"/>
  <c r="I346" i="102"/>
  <c r="Y344" i="102"/>
  <c r="H371" i="102"/>
  <c r="Y369" i="102"/>
  <c r="J496" i="102"/>
  <c r="D511" i="102"/>
  <c r="R511" i="102"/>
  <c r="J510" i="102"/>
  <c r="D566" i="102"/>
  <c r="R566" i="102"/>
  <c r="J565" i="102"/>
  <c r="J381" i="102"/>
  <c r="T391" i="102"/>
  <c r="E396" i="102"/>
  <c r="E411" i="102"/>
  <c r="J421" i="102"/>
  <c r="O441" i="102"/>
  <c r="O446" i="102"/>
  <c r="O451" i="102"/>
  <c r="Y486" i="102"/>
  <c r="T526" i="102"/>
  <c r="E531" i="102"/>
  <c r="T51" i="102"/>
  <c r="E61" i="102"/>
  <c r="O64" i="102"/>
  <c r="T81" i="102"/>
  <c r="Y86" i="102"/>
  <c r="J91" i="102"/>
  <c r="Y96" i="102"/>
  <c r="J101" i="102"/>
  <c r="T111" i="102"/>
  <c r="E116" i="102"/>
  <c r="O121" i="102"/>
  <c r="T131" i="102"/>
  <c r="Y141" i="102"/>
  <c r="E154" i="102"/>
  <c r="T176" i="102"/>
  <c r="E181" i="102"/>
  <c r="W191" i="102"/>
  <c r="O190" i="102"/>
  <c r="Y201" i="102"/>
  <c r="J206" i="102"/>
  <c r="J214" i="102"/>
  <c r="Y215" i="102"/>
  <c r="Y256" i="102"/>
  <c r="J261" i="102"/>
  <c r="T271" i="102"/>
  <c r="J275" i="102"/>
  <c r="T286" i="102"/>
  <c r="E291" i="102"/>
  <c r="T306" i="102"/>
  <c r="E311" i="102"/>
  <c r="E319" i="102"/>
  <c r="O331" i="102"/>
  <c r="O336" i="102"/>
  <c r="O356" i="102"/>
  <c r="J361" i="102"/>
  <c r="Y366" i="102"/>
  <c r="L371" i="102"/>
  <c r="Y496" i="102"/>
  <c r="T501" i="102"/>
  <c r="Y510" i="102"/>
  <c r="J551" i="102"/>
  <c r="T556" i="102"/>
  <c r="J564" i="102"/>
  <c r="Y565" i="102"/>
  <c r="Y381" i="102"/>
  <c r="T396" i="102"/>
  <c r="T411" i="102"/>
  <c r="Y421" i="102"/>
  <c r="T424" i="102"/>
  <c r="T436" i="102"/>
  <c r="T441" i="102"/>
  <c r="O456" i="102"/>
  <c r="O476" i="102"/>
  <c r="J521" i="102"/>
  <c r="E526" i="102"/>
  <c r="T531" i="102"/>
  <c r="Y31" i="102"/>
  <c r="J36" i="102"/>
  <c r="H41" i="102"/>
  <c r="J61" i="102"/>
  <c r="T65" i="102"/>
  <c r="E81" i="102"/>
  <c r="O91" i="102"/>
  <c r="J106" i="102"/>
  <c r="E111" i="102"/>
  <c r="T116" i="102"/>
  <c r="E121" i="102"/>
  <c r="J131" i="102"/>
  <c r="E136" i="102"/>
  <c r="O146" i="102"/>
  <c r="I156" i="102"/>
  <c r="R156" i="102"/>
  <c r="J166" i="102"/>
  <c r="T181" i="102"/>
  <c r="O189" i="102"/>
  <c r="Y206" i="102"/>
  <c r="J211" i="102"/>
  <c r="Y214" i="102"/>
  <c r="J226" i="102"/>
  <c r="T236" i="102"/>
  <c r="J240" i="102"/>
  <c r="Y240" i="102"/>
  <c r="Y251" i="102"/>
  <c r="J266" i="102"/>
  <c r="Q276" i="102"/>
  <c r="X276" i="102"/>
  <c r="T291" i="102"/>
  <c r="X296" i="102"/>
  <c r="E316" i="102"/>
  <c r="T319" i="102"/>
  <c r="T320" i="102"/>
  <c r="O341" i="102"/>
  <c r="O344" i="102"/>
  <c r="E345" i="102"/>
  <c r="O361" i="102"/>
  <c r="O369" i="102"/>
  <c r="Y501" i="102"/>
  <c r="J506" i="102"/>
  <c r="Y509" i="102"/>
  <c r="Y551" i="102"/>
  <c r="Y556" i="102"/>
  <c r="J561" i="102"/>
  <c r="Y564" i="102"/>
  <c r="J391" i="102"/>
  <c r="R426" i="102"/>
  <c r="E446" i="102"/>
  <c r="T446" i="102"/>
  <c r="E451" i="102"/>
  <c r="H466" i="102"/>
  <c r="O465" i="102"/>
  <c r="O486" i="102"/>
  <c r="Y521" i="102"/>
  <c r="J526" i="102"/>
  <c r="H541" i="102"/>
  <c r="O540" i="102"/>
  <c r="Q541" i="102"/>
  <c r="J539" i="102"/>
  <c r="B541" i="102"/>
  <c r="V541" i="102"/>
  <c r="L541" i="102"/>
  <c r="V466" i="102"/>
  <c r="T464" i="102"/>
  <c r="L466" i="102"/>
  <c r="Q466" i="102"/>
  <c r="J464" i="102"/>
  <c r="C466" i="102"/>
  <c r="M466" i="102"/>
  <c r="W466" i="102"/>
  <c r="G426" i="102"/>
  <c r="E425" i="102"/>
  <c r="V426" i="102"/>
  <c r="Q426" i="102"/>
  <c r="L426" i="102"/>
  <c r="G566" i="102"/>
  <c r="T564" i="102"/>
  <c r="B566" i="102"/>
  <c r="L566" i="102"/>
  <c r="V566" i="102"/>
  <c r="J509" i="102"/>
  <c r="O510" i="102"/>
  <c r="V511" i="102"/>
  <c r="Q511" i="102"/>
  <c r="E510" i="102"/>
  <c r="J369" i="102"/>
  <c r="T369" i="102"/>
  <c r="E370" i="102"/>
  <c r="O370" i="102"/>
  <c r="V371" i="102"/>
  <c r="Q346" i="102"/>
  <c r="J344" i="102"/>
  <c r="C346" i="102"/>
  <c r="M346" i="102"/>
  <c r="W346" i="102"/>
  <c r="Q321" i="102"/>
  <c r="J319" i="102"/>
  <c r="B321" i="102"/>
  <c r="L321" i="102"/>
  <c r="W321" i="102"/>
  <c r="O294" i="102"/>
  <c r="J294" i="102"/>
  <c r="T294" i="102"/>
  <c r="O295" i="102"/>
  <c r="V296" i="102"/>
  <c r="B296" i="102"/>
  <c r="J274" i="102"/>
  <c r="T274" i="102"/>
  <c r="O275" i="102"/>
  <c r="V276" i="102"/>
  <c r="B276" i="102"/>
  <c r="Q241" i="102"/>
  <c r="J239" i="102"/>
  <c r="M241" i="102"/>
  <c r="C241" i="102"/>
  <c r="W241" i="102"/>
  <c r="G216" i="102"/>
  <c r="T214" i="102"/>
  <c r="B216" i="102"/>
  <c r="L216" i="102"/>
  <c r="V216" i="102"/>
  <c r="G191" i="102"/>
  <c r="B191" i="102"/>
  <c r="L191" i="102"/>
  <c r="Q191" i="102"/>
  <c r="V191" i="102"/>
  <c r="Y154" i="102"/>
  <c r="J155" i="102"/>
  <c r="C156" i="102"/>
  <c r="J154" i="102"/>
  <c r="T154" i="102"/>
  <c r="D66" i="102"/>
  <c r="J64" i="102"/>
  <c r="B66" i="102"/>
  <c r="V66" i="102"/>
  <c r="L66" i="102"/>
  <c r="Q66" i="102"/>
  <c r="J39" i="102"/>
  <c r="B41" i="102"/>
  <c r="N1294" i="103"/>
  <c r="M1294" i="103"/>
  <c r="L1294" i="103"/>
  <c r="I1294" i="103"/>
  <c r="H1294" i="103"/>
  <c r="G1294" i="103"/>
  <c r="D1294" i="103"/>
  <c r="C1294" i="103"/>
  <c r="B1294" i="103"/>
  <c r="O1292" i="103"/>
  <c r="J1292" i="103"/>
  <c r="E1292" i="103"/>
  <c r="O1291" i="103"/>
  <c r="J1291" i="103"/>
  <c r="E1291" i="103"/>
  <c r="O1290" i="103"/>
  <c r="J1290" i="103"/>
  <c r="E1290" i="103"/>
  <c r="O1289" i="103"/>
  <c r="J1289" i="103"/>
  <c r="E1289" i="103"/>
  <c r="O1288" i="103"/>
  <c r="J1288" i="103"/>
  <c r="E1288" i="103"/>
  <c r="O1287" i="103"/>
  <c r="J1287" i="103"/>
  <c r="E1287" i="103"/>
  <c r="O1286" i="103"/>
  <c r="J1286" i="103"/>
  <c r="E1286" i="103"/>
  <c r="O1285" i="103"/>
  <c r="J1285" i="103"/>
  <c r="E1285" i="103"/>
  <c r="O1284" i="103"/>
  <c r="J1284" i="103"/>
  <c r="E1284" i="103"/>
  <c r="O1282" i="103"/>
  <c r="J1282" i="103"/>
  <c r="E1282" i="103"/>
  <c r="L1281" i="103"/>
  <c r="G1281" i="103"/>
  <c r="B1281" i="103"/>
  <c r="N1277" i="103"/>
  <c r="M1277" i="103"/>
  <c r="L1277" i="103"/>
  <c r="I1277" i="103"/>
  <c r="H1277" i="103"/>
  <c r="G1277" i="103"/>
  <c r="D1277" i="103"/>
  <c r="C1277" i="103"/>
  <c r="B1277" i="103"/>
  <c r="O1275" i="103"/>
  <c r="J1275" i="103"/>
  <c r="E1275" i="103"/>
  <c r="O1274" i="103"/>
  <c r="J1274" i="103"/>
  <c r="E1274" i="103"/>
  <c r="O1273" i="103"/>
  <c r="J1273" i="103"/>
  <c r="E1273" i="103"/>
  <c r="O1272" i="103"/>
  <c r="J1272" i="103"/>
  <c r="E1272" i="103"/>
  <c r="O1271" i="103"/>
  <c r="J1271" i="103"/>
  <c r="E1271" i="103"/>
  <c r="O1270" i="103"/>
  <c r="J1270" i="103"/>
  <c r="E1270" i="103"/>
  <c r="O1269" i="103"/>
  <c r="J1269" i="103"/>
  <c r="E1269" i="103"/>
  <c r="O1268" i="103"/>
  <c r="J1268" i="103"/>
  <c r="E1268" i="103"/>
  <c r="O1267" i="103"/>
  <c r="J1267" i="103"/>
  <c r="E1267" i="103"/>
  <c r="O1265" i="103"/>
  <c r="J1265" i="103"/>
  <c r="E1265" i="103"/>
  <c r="L1264" i="103"/>
  <c r="G1264" i="103"/>
  <c r="B1264" i="103"/>
  <c r="N1260" i="103"/>
  <c r="M1260" i="103"/>
  <c r="L1260" i="103"/>
  <c r="I1260" i="103"/>
  <c r="H1260" i="103"/>
  <c r="G1260" i="103"/>
  <c r="D1260" i="103"/>
  <c r="C1260" i="103"/>
  <c r="B1260" i="103"/>
  <c r="O1258" i="103"/>
  <c r="J1258" i="103"/>
  <c r="E1258" i="103"/>
  <c r="O1257" i="103"/>
  <c r="J1257" i="103"/>
  <c r="E1257" i="103"/>
  <c r="O1256" i="103"/>
  <c r="J1256" i="103"/>
  <c r="E1256" i="103"/>
  <c r="O1255" i="103"/>
  <c r="J1255" i="103"/>
  <c r="E1255" i="103"/>
  <c r="O1254" i="103"/>
  <c r="J1254" i="103"/>
  <c r="E1254" i="103"/>
  <c r="O1253" i="103"/>
  <c r="J1253" i="103"/>
  <c r="E1253" i="103"/>
  <c r="O1252" i="103"/>
  <c r="J1252" i="103"/>
  <c r="E1252" i="103"/>
  <c r="O1251" i="103"/>
  <c r="J1251" i="103"/>
  <c r="E1251" i="103"/>
  <c r="O1250" i="103"/>
  <c r="J1250" i="103"/>
  <c r="E1250" i="103"/>
  <c r="O1248" i="103"/>
  <c r="J1248" i="103"/>
  <c r="E1248" i="103"/>
  <c r="L1247" i="103"/>
  <c r="G1247" i="103"/>
  <c r="B1247" i="103"/>
  <c r="N1243" i="103"/>
  <c r="M1243" i="103"/>
  <c r="L1243" i="103"/>
  <c r="I1243" i="103"/>
  <c r="H1243" i="103"/>
  <c r="G1243" i="103"/>
  <c r="D1243" i="103"/>
  <c r="C1243" i="103"/>
  <c r="B1243" i="103"/>
  <c r="O1241" i="103"/>
  <c r="J1241" i="103"/>
  <c r="E1241" i="103"/>
  <c r="O1240" i="103"/>
  <c r="J1240" i="103"/>
  <c r="E1240" i="103"/>
  <c r="O1239" i="103"/>
  <c r="J1239" i="103"/>
  <c r="E1239" i="103"/>
  <c r="O1238" i="103"/>
  <c r="J1238" i="103"/>
  <c r="E1238" i="103"/>
  <c r="O1237" i="103"/>
  <c r="J1237" i="103"/>
  <c r="E1237" i="103"/>
  <c r="O1236" i="103"/>
  <c r="J1236" i="103"/>
  <c r="E1236" i="103"/>
  <c r="O1235" i="103"/>
  <c r="J1235" i="103"/>
  <c r="E1235" i="103"/>
  <c r="O1234" i="103"/>
  <c r="J1234" i="103"/>
  <c r="E1234" i="103"/>
  <c r="O1233" i="103"/>
  <c r="J1233" i="103"/>
  <c r="E1233" i="103"/>
  <c r="O1231" i="103"/>
  <c r="J1231" i="103"/>
  <c r="E1231" i="103"/>
  <c r="L1230" i="103"/>
  <c r="G1230" i="103"/>
  <c r="B1230" i="103"/>
  <c r="N1226" i="103"/>
  <c r="M1226" i="103"/>
  <c r="L1226" i="103"/>
  <c r="I1226" i="103"/>
  <c r="H1226" i="103"/>
  <c r="G1226" i="103"/>
  <c r="D1226" i="103"/>
  <c r="C1226" i="103"/>
  <c r="B1226" i="103"/>
  <c r="O1224" i="103"/>
  <c r="J1224" i="103"/>
  <c r="E1224" i="103"/>
  <c r="O1223" i="103"/>
  <c r="J1223" i="103"/>
  <c r="E1223" i="103"/>
  <c r="O1222" i="103"/>
  <c r="J1222" i="103"/>
  <c r="E1222" i="103"/>
  <c r="O1221" i="103"/>
  <c r="J1221" i="103"/>
  <c r="E1221" i="103"/>
  <c r="O1220" i="103"/>
  <c r="J1220" i="103"/>
  <c r="E1220" i="103"/>
  <c r="O1219" i="103"/>
  <c r="J1219" i="103"/>
  <c r="E1219" i="103"/>
  <c r="O1218" i="103"/>
  <c r="J1218" i="103"/>
  <c r="E1218" i="103"/>
  <c r="O1217" i="103"/>
  <c r="J1217" i="103"/>
  <c r="E1217" i="103"/>
  <c r="O1216" i="103"/>
  <c r="J1216" i="103"/>
  <c r="E1216" i="103"/>
  <c r="O1214" i="103"/>
  <c r="J1214" i="103"/>
  <c r="E1214" i="103"/>
  <c r="L1213" i="103"/>
  <c r="G1213" i="103"/>
  <c r="B1213" i="103"/>
  <c r="N1209" i="103"/>
  <c r="M1209" i="103"/>
  <c r="L1209" i="103"/>
  <c r="I1209" i="103"/>
  <c r="H1209" i="103"/>
  <c r="G1209" i="103"/>
  <c r="D1209" i="103"/>
  <c r="C1209" i="103"/>
  <c r="B1209" i="103"/>
  <c r="O1207" i="103"/>
  <c r="J1207" i="103"/>
  <c r="E1207" i="103"/>
  <c r="O1206" i="103"/>
  <c r="J1206" i="103"/>
  <c r="E1206" i="103"/>
  <c r="O1205" i="103"/>
  <c r="J1205" i="103"/>
  <c r="E1205" i="103"/>
  <c r="O1204" i="103"/>
  <c r="J1204" i="103"/>
  <c r="E1204" i="103"/>
  <c r="O1203" i="103"/>
  <c r="J1203" i="103"/>
  <c r="E1203" i="103"/>
  <c r="O1202" i="103"/>
  <c r="J1202" i="103"/>
  <c r="E1202" i="103"/>
  <c r="O1201" i="103"/>
  <c r="J1201" i="103"/>
  <c r="E1201" i="103"/>
  <c r="O1200" i="103"/>
  <c r="J1200" i="103"/>
  <c r="E1200" i="103"/>
  <c r="O1199" i="103"/>
  <c r="J1199" i="103"/>
  <c r="E1199" i="103"/>
  <c r="O1197" i="103"/>
  <c r="J1197" i="103"/>
  <c r="E1197" i="103"/>
  <c r="L1196" i="103"/>
  <c r="G1196" i="103"/>
  <c r="B1196" i="103"/>
  <c r="N1192" i="103"/>
  <c r="M1192" i="103"/>
  <c r="L1192" i="103"/>
  <c r="I1192" i="103"/>
  <c r="H1192" i="103"/>
  <c r="G1192" i="103"/>
  <c r="D1192" i="103"/>
  <c r="C1192" i="103"/>
  <c r="B1192" i="103"/>
  <c r="O1190" i="103"/>
  <c r="J1190" i="103"/>
  <c r="E1190" i="103"/>
  <c r="O1189" i="103"/>
  <c r="J1189" i="103"/>
  <c r="E1189" i="103"/>
  <c r="O1188" i="103"/>
  <c r="J1188" i="103"/>
  <c r="E1188" i="103"/>
  <c r="O1187" i="103"/>
  <c r="J1187" i="103"/>
  <c r="E1187" i="103"/>
  <c r="O1186" i="103"/>
  <c r="J1186" i="103"/>
  <c r="E1186" i="103"/>
  <c r="O1185" i="103"/>
  <c r="J1185" i="103"/>
  <c r="E1185" i="103"/>
  <c r="O1184" i="103"/>
  <c r="J1184" i="103"/>
  <c r="E1184" i="103"/>
  <c r="O1183" i="103"/>
  <c r="J1183" i="103"/>
  <c r="E1183" i="103"/>
  <c r="O1182" i="103"/>
  <c r="J1182" i="103"/>
  <c r="E1182" i="103"/>
  <c r="O1180" i="103"/>
  <c r="J1180" i="103"/>
  <c r="E1180" i="103"/>
  <c r="L1179" i="103"/>
  <c r="G1179" i="103"/>
  <c r="B1179" i="103"/>
  <c r="N1175" i="103"/>
  <c r="M1175" i="103"/>
  <c r="L1175" i="103"/>
  <c r="I1175" i="103"/>
  <c r="H1175" i="103"/>
  <c r="G1175" i="103"/>
  <c r="D1175" i="103"/>
  <c r="C1175" i="103"/>
  <c r="B1175" i="103"/>
  <c r="O1173" i="103"/>
  <c r="J1173" i="103"/>
  <c r="E1173" i="103"/>
  <c r="O1172" i="103"/>
  <c r="J1172" i="103"/>
  <c r="E1172" i="103"/>
  <c r="O1171" i="103"/>
  <c r="J1171" i="103"/>
  <c r="E1171" i="103"/>
  <c r="O1170" i="103"/>
  <c r="J1170" i="103"/>
  <c r="E1170" i="103"/>
  <c r="O1169" i="103"/>
  <c r="J1169" i="103"/>
  <c r="E1169" i="103"/>
  <c r="O1168" i="103"/>
  <c r="J1168" i="103"/>
  <c r="E1168" i="103"/>
  <c r="O1167" i="103"/>
  <c r="J1167" i="103"/>
  <c r="E1167" i="103"/>
  <c r="O1166" i="103"/>
  <c r="J1166" i="103"/>
  <c r="E1166" i="103"/>
  <c r="O1165" i="103"/>
  <c r="J1165" i="103"/>
  <c r="E1165" i="103"/>
  <c r="O1163" i="103"/>
  <c r="J1163" i="103"/>
  <c r="E1163" i="103"/>
  <c r="L1162" i="103"/>
  <c r="G1162" i="103"/>
  <c r="B1162" i="103"/>
  <c r="N1158" i="103"/>
  <c r="M1158" i="103"/>
  <c r="L1158" i="103"/>
  <c r="I1158" i="103"/>
  <c r="H1158" i="103"/>
  <c r="G1158" i="103"/>
  <c r="D1158" i="103"/>
  <c r="C1158" i="103"/>
  <c r="B1158" i="103"/>
  <c r="O1156" i="103"/>
  <c r="J1156" i="103"/>
  <c r="E1156" i="103"/>
  <c r="O1155" i="103"/>
  <c r="J1155" i="103"/>
  <c r="E1155" i="103"/>
  <c r="O1154" i="103"/>
  <c r="J1154" i="103"/>
  <c r="E1154" i="103"/>
  <c r="O1153" i="103"/>
  <c r="J1153" i="103"/>
  <c r="E1153" i="103"/>
  <c r="O1152" i="103"/>
  <c r="J1152" i="103"/>
  <c r="E1152" i="103"/>
  <c r="O1151" i="103"/>
  <c r="J1151" i="103"/>
  <c r="E1151" i="103"/>
  <c r="O1150" i="103"/>
  <c r="J1150" i="103"/>
  <c r="E1150" i="103"/>
  <c r="O1149" i="103"/>
  <c r="J1149" i="103"/>
  <c r="E1149" i="103"/>
  <c r="O1148" i="103"/>
  <c r="J1148" i="103"/>
  <c r="E1148" i="103"/>
  <c r="O1146" i="103"/>
  <c r="J1146" i="103"/>
  <c r="E1146" i="103"/>
  <c r="L1145" i="103"/>
  <c r="G1145" i="103"/>
  <c r="B1145" i="103"/>
  <c r="N1141" i="103"/>
  <c r="M1141" i="103"/>
  <c r="L1141" i="103"/>
  <c r="I1141" i="103"/>
  <c r="H1141" i="103"/>
  <c r="G1141" i="103"/>
  <c r="D1141" i="103"/>
  <c r="C1141" i="103"/>
  <c r="B1141" i="103"/>
  <c r="O1139" i="103"/>
  <c r="J1139" i="103"/>
  <c r="E1139" i="103"/>
  <c r="O1138" i="103"/>
  <c r="J1138" i="103"/>
  <c r="E1138" i="103"/>
  <c r="O1137" i="103"/>
  <c r="J1137" i="103"/>
  <c r="E1137" i="103"/>
  <c r="O1136" i="103"/>
  <c r="J1136" i="103"/>
  <c r="E1136" i="103"/>
  <c r="O1135" i="103"/>
  <c r="J1135" i="103"/>
  <c r="E1135" i="103"/>
  <c r="O1134" i="103"/>
  <c r="J1134" i="103"/>
  <c r="E1134" i="103"/>
  <c r="O1133" i="103"/>
  <c r="J1133" i="103"/>
  <c r="E1133" i="103"/>
  <c r="O1132" i="103"/>
  <c r="J1132" i="103"/>
  <c r="E1132" i="103"/>
  <c r="O1131" i="103"/>
  <c r="J1131" i="103"/>
  <c r="E1131" i="103"/>
  <c r="O1129" i="103"/>
  <c r="J1129" i="103"/>
  <c r="E1129" i="103"/>
  <c r="L1128" i="103"/>
  <c r="G1128" i="103"/>
  <c r="B1128" i="103"/>
  <c r="N1124" i="103"/>
  <c r="M1124" i="103"/>
  <c r="L1124" i="103"/>
  <c r="I1124" i="103"/>
  <c r="H1124" i="103"/>
  <c r="G1124" i="103"/>
  <c r="D1124" i="103"/>
  <c r="C1124" i="103"/>
  <c r="B1124" i="103"/>
  <c r="O1122" i="103"/>
  <c r="J1122" i="103"/>
  <c r="E1122" i="103"/>
  <c r="O1121" i="103"/>
  <c r="J1121" i="103"/>
  <c r="E1121" i="103"/>
  <c r="O1120" i="103"/>
  <c r="J1120" i="103"/>
  <c r="E1120" i="103"/>
  <c r="O1119" i="103"/>
  <c r="J1119" i="103"/>
  <c r="E1119" i="103"/>
  <c r="O1118" i="103"/>
  <c r="J1118" i="103"/>
  <c r="E1118" i="103"/>
  <c r="O1117" i="103"/>
  <c r="J1117" i="103"/>
  <c r="E1117" i="103"/>
  <c r="O1116" i="103"/>
  <c r="J1116" i="103"/>
  <c r="E1116" i="103"/>
  <c r="O1115" i="103"/>
  <c r="J1115" i="103"/>
  <c r="E1115" i="103"/>
  <c r="O1114" i="103"/>
  <c r="J1114" i="103"/>
  <c r="E1114" i="103"/>
  <c r="O1112" i="103"/>
  <c r="J1112" i="103"/>
  <c r="E1112" i="103"/>
  <c r="L1111" i="103"/>
  <c r="G1111" i="103"/>
  <c r="B1111" i="103"/>
  <c r="N1107" i="103"/>
  <c r="M1107" i="103"/>
  <c r="L1107" i="103"/>
  <c r="I1107" i="103"/>
  <c r="H1107" i="103"/>
  <c r="G1107" i="103"/>
  <c r="D1107" i="103"/>
  <c r="C1107" i="103"/>
  <c r="B1107" i="103"/>
  <c r="O1105" i="103"/>
  <c r="J1105" i="103"/>
  <c r="E1105" i="103"/>
  <c r="O1104" i="103"/>
  <c r="J1104" i="103"/>
  <c r="E1104" i="103"/>
  <c r="O1103" i="103"/>
  <c r="J1103" i="103"/>
  <c r="E1103" i="103"/>
  <c r="O1102" i="103"/>
  <c r="J1102" i="103"/>
  <c r="E1102" i="103"/>
  <c r="O1101" i="103"/>
  <c r="J1101" i="103"/>
  <c r="E1101" i="103"/>
  <c r="O1100" i="103"/>
  <c r="J1100" i="103"/>
  <c r="E1100" i="103"/>
  <c r="O1099" i="103"/>
  <c r="J1099" i="103"/>
  <c r="E1099" i="103"/>
  <c r="O1098" i="103"/>
  <c r="J1098" i="103"/>
  <c r="E1098" i="103"/>
  <c r="O1097" i="103"/>
  <c r="J1097" i="103"/>
  <c r="E1097" i="103"/>
  <c r="O1095" i="103"/>
  <c r="J1095" i="103"/>
  <c r="E1095" i="103"/>
  <c r="L1094" i="103"/>
  <c r="G1094" i="103"/>
  <c r="B1094" i="103"/>
  <c r="N1090" i="103"/>
  <c r="M1090" i="103"/>
  <c r="L1090" i="103"/>
  <c r="I1090" i="103"/>
  <c r="H1090" i="103"/>
  <c r="G1090" i="103"/>
  <c r="D1090" i="103"/>
  <c r="C1090" i="103"/>
  <c r="B1090" i="103"/>
  <c r="O1088" i="103"/>
  <c r="J1088" i="103"/>
  <c r="E1088" i="103"/>
  <c r="O1087" i="103"/>
  <c r="J1087" i="103"/>
  <c r="E1087" i="103"/>
  <c r="O1086" i="103"/>
  <c r="J1086" i="103"/>
  <c r="E1086" i="103"/>
  <c r="O1085" i="103"/>
  <c r="J1085" i="103"/>
  <c r="E1085" i="103"/>
  <c r="O1084" i="103"/>
  <c r="J1084" i="103"/>
  <c r="E1084" i="103"/>
  <c r="O1083" i="103"/>
  <c r="J1083" i="103"/>
  <c r="E1083" i="103"/>
  <c r="O1082" i="103"/>
  <c r="J1082" i="103"/>
  <c r="E1082" i="103"/>
  <c r="O1081" i="103"/>
  <c r="J1081" i="103"/>
  <c r="E1081" i="103"/>
  <c r="O1080" i="103"/>
  <c r="J1080" i="103"/>
  <c r="E1080" i="103"/>
  <c r="O1078" i="103"/>
  <c r="J1078" i="103"/>
  <c r="E1078" i="103"/>
  <c r="L1077" i="103"/>
  <c r="G1077" i="103"/>
  <c r="B1077" i="103"/>
  <c r="N1073" i="103"/>
  <c r="M1073" i="103"/>
  <c r="L1073" i="103"/>
  <c r="I1073" i="103"/>
  <c r="H1073" i="103"/>
  <c r="G1073" i="103"/>
  <c r="D1073" i="103"/>
  <c r="C1073" i="103"/>
  <c r="B1073" i="103"/>
  <c r="O1071" i="103"/>
  <c r="J1071" i="103"/>
  <c r="E1071" i="103"/>
  <c r="O1070" i="103"/>
  <c r="J1070" i="103"/>
  <c r="E1070" i="103"/>
  <c r="O1069" i="103"/>
  <c r="J1069" i="103"/>
  <c r="E1069" i="103"/>
  <c r="O1068" i="103"/>
  <c r="J1068" i="103"/>
  <c r="E1068" i="103"/>
  <c r="O1067" i="103"/>
  <c r="J1067" i="103"/>
  <c r="E1067" i="103"/>
  <c r="O1066" i="103"/>
  <c r="J1066" i="103"/>
  <c r="E1066" i="103"/>
  <c r="O1065" i="103"/>
  <c r="J1065" i="103"/>
  <c r="E1065" i="103"/>
  <c r="O1064" i="103"/>
  <c r="J1064" i="103"/>
  <c r="E1064" i="103"/>
  <c r="O1063" i="103"/>
  <c r="J1063" i="103"/>
  <c r="E1063" i="103"/>
  <c r="O1061" i="103"/>
  <c r="J1061" i="103"/>
  <c r="E1061" i="103"/>
  <c r="L1060" i="103"/>
  <c r="G1060" i="103"/>
  <c r="B1060" i="103"/>
  <c r="N1056" i="103"/>
  <c r="M1056" i="103"/>
  <c r="L1056" i="103"/>
  <c r="I1056" i="103"/>
  <c r="H1056" i="103"/>
  <c r="G1056" i="103"/>
  <c r="D1056" i="103"/>
  <c r="C1056" i="103"/>
  <c r="B1056" i="103"/>
  <c r="O1054" i="103"/>
  <c r="J1054" i="103"/>
  <c r="E1054" i="103"/>
  <c r="O1053" i="103"/>
  <c r="J1053" i="103"/>
  <c r="E1053" i="103"/>
  <c r="O1052" i="103"/>
  <c r="J1052" i="103"/>
  <c r="E1052" i="103"/>
  <c r="O1051" i="103"/>
  <c r="J1051" i="103"/>
  <c r="E1051" i="103"/>
  <c r="O1050" i="103"/>
  <c r="J1050" i="103"/>
  <c r="E1050" i="103"/>
  <c r="O1049" i="103"/>
  <c r="J1049" i="103"/>
  <c r="E1049" i="103"/>
  <c r="O1048" i="103"/>
  <c r="J1048" i="103"/>
  <c r="E1048" i="103"/>
  <c r="O1047" i="103"/>
  <c r="J1047" i="103"/>
  <c r="E1047" i="103"/>
  <c r="O1046" i="103"/>
  <c r="J1046" i="103"/>
  <c r="E1046" i="103"/>
  <c r="O1044" i="103"/>
  <c r="J1044" i="103"/>
  <c r="E1044" i="103"/>
  <c r="L1043" i="103"/>
  <c r="G1043" i="103"/>
  <c r="B1043" i="103"/>
  <c r="N1039" i="103"/>
  <c r="M1039" i="103"/>
  <c r="L1039" i="103"/>
  <c r="I1039" i="103"/>
  <c r="H1039" i="103"/>
  <c r="G1039" i="103"/>
  <c r="D1039" i="103"/>
  <c r="C1039" i="103"/>
  <c r="B1039" i="103"/>
  <c r="O1037" i="103"/>
  <c r="J1037" i="103"/>
  <c r="E1037" i="103"/>
  <c r="O1036" i="103"/>
  <c r="J1036" i="103"/>
  <c r="E1036" i="103"/>
  <c r="O1035" i="103"/>
  <c r="J1035" i="103"/>
  <c r="E1035" i="103"/>
  <c r="O1034" i="103"/>
  <c r="J1034" i="103"/>
  <c r="E1034" i="103"/>
  <c r="O1033" i="103"/>
  <c r="J1033" i="103"/>
  <c r="E1033" i="103"/>
  <c r="O1032" i="103"/>
  <c r="J1032" i="103"/>
  <c r="E1032" i="103"/>
  <c r="O1031" i="103"/>
  <c r="J1031" i="103"/>
  <c r="E1031" i="103"/>
  <c r="O1030" i="103"/>
  <c r="J1030" i="103"/>
  <c r="E1030" i="103"/>
  <c r="O1029" i="103"/>
  <c r="J1029" i="103"/>
  <c r="E1029" i="103"/>
  <c r="O1027" i="103"/>
  <c r="J1027" i="103"/>
  <c r="E1027" i="103"/>
  <c r="L1026" i="103"/>
  <c r="G1026" i="103"/>
  <c r="B1026" i="103"/>
  <c r="N1022" i="103"/>
  <c r="M1022" i="103"/>
  <c r="L1022" i="103"/>
  <c r="I1022" i="103"/>
  <c r="H1022" i="103"/>
  <c r="G1022" i="103"/>
  <c r="D1022" i="103"/>
  <c r="C1022" i="103"/>
  <c r="B1022" i="103"/>
  <c r="O1020" i="103"/>
  <c r="J1020" i="103"/>
  <c r="E1020" i="103"/>
  <c r="O1019" i="103"/>
  <c r="J1019" i="103"/>
  <c r="E1019" i="103"/>
  <c r="O1018" i="103"/>
  <c r="J1018" i="103"/>
  <c r="E1018" i="103"/>
  <c r="O1017" i="103"/>
  <c r="J1017" i="103"/>
  <c r="E1017" i="103"/>
  <c r="O1016" i="103"/>
  <c r="J1016" i="103"/>
  <c r="E1016" i="103"/>
  <c r="O1015" i="103"/>
  <c r="J1015" i="103"/>
  <c r="E1015" i="103"/>
  <c r="O1014" i="103"/>
  <c r="J1014" i="103"/>
  <c r="E1014" i="103"/>
  <c r="O1013" i="103"/>
  <c r="J1013" i="103"/>
  <c r="E1013" i="103"/>
  <c r="O1012" i="103"/>
  <c r="J1012" i="103"/>
  <c r="E1012" i="103"/>
  <c r="O1010" i="103"/>
  <c r="J1010" i="103"/>
  <c r="E1010" i="103"/>
  <c r="L1009" i="103"/>
  <c r="G1009" i="103"/>
  <c r="B1009" i="103"/>
  <c r="N1005" i="103"/>
  <c r="M1005" i="103"/>
  <c r="L1005" i="103"/>
  <c r="I1005" i="103"/>
  <c r="H1005" i="103"/>
  <c r="G1005" i="103"/>
  <c r="D1005" i="103"/>
  <c r="C1005" i="103"/>
  <c r="B1005" i="103"/>
  <c r="O1003" i="103"/>
  <c r="J1003" i="103"/>
  <c r="E1003" i="103"/>
  <c r="O1002" i="103"/>
  <c r="J1002" i="103"/>
  <c r="E1002" i="103"/>
  <c r="O1001" i="103"/>
  <c r="J1001" i="103"/>
  <c r="E1001" i="103"/>
  <c r="O1000" i="103"/>
  <c r="J1000" i="103"/>
  <c r="E1000" i="103"/>
  <c r="O999" i="103"/>
  <c r="J999" i="103"/>
  <c r="E999" i="103"/>
  <c r="O998" i="103"/>
  <c r="J998" i="103"/>
  <c r="E998" i="103"/>
  <c r="O997" i="103"/>
  <c r="J997" i="103"/>
  <c r="E997" i="103"/>
  <c r="O996" i="103"/>
  <c r="J996" i="103"/>
  <c r="E996" i="103"/>
  <c r="O995" i="103"/>
  <c r="J995" i="103"/>
  <c r="E995" i="103"/>
  <c r="O993" i="103"/>
  <c r="J993" i="103"/>
  <c r="E993" i="103"/>
  <c r="L992" i="103"/>
  <c r="G992" i="103"/>
  <c r="B992" i="103"/>
  <c r="N988" i="103"/>
  <c r="M988" i="103"/>
  <c r="L988" i="103"/>
  <c r="I988" i="103"/>
  <c r="H988" i="103"/>
  <c r="G988" i="103"/>
  <c r="D988" i="103"/>
  <c r="C988" i="103"/>
  <c r="B988" i="103"/>
  <c r="O986" i="103"/>
  <c r="J986" i="103"/>
  <c r="E986" i="103"/>
  <c r="O985" i="103"/>
  <c r="J985" i="103"/>
  <c r="E985" i="103"/>
  <c r="O984" i="103"/>
  <c r="J984" i="103"/>
  <c r="E984" i="103"/>
  <c r="O983" i="103"/>
  <c r="J983" i="103"/>
  <c r="E983" i="103"/>
  <c r="O982" i="103"/>
  <c r="J982" i="103"/>
  <c r="E982" i="103"/>
  <c r="O981" i="103"/>
  <c r="J981" i="103"/>
  <c r="E981" i="103"/>
  <c r="O980" i="103"/>
  <c r="J980" i="103"/>
  <c r="E980" i="103"/>
  <c r="O979" i="103"/>
  <c r="J979" i="103"/>
  <c r="E979" i="103"/>
  <c r="O978" i="103"/>
  <c r="J978" i="103"/>
  <c r="E978" i="103"/>
  <c r="O976" i="103"/>
  <c r="J976" i="103"/>
  <c r="E976" i="103"/>
  <c r="L975" i="103"/>
  <c r="G975" i="103"/>
  <c r="B975" i="103"/>
  <c r="N971" i="103"/>
  <c r="M971" i="103"/>
  <c r="L971" i="103"/>
  <c r="I971" i="103"/>
  <c r="H971" i="103"/>
  <c r="G971" i="103"/>
  <c r="D971" i="103"/>
  <c r="C971" i="103"/>
  <c r="B971" i="103"/>
  <c r="O969" i="103"/>
  <c r="J969" i="103"/>
  <c r="E969" i="103"/>
  <c r="O968" i="103"/>
  <c r="J968" i="103"/>
  <c r="E968" i="103"/>
  <c r="O967" i="103"/>
  <c r="J967" i="103"/>
  <c r="E967" i="103"/>
  <c r="O966" i="103"/>
  <c r="J966" i="103"/>
  <c r="E966" i="103"/>
  <c r="O965" i="103"/>
  <c r="J965" i="103"/>
  <c r="E965" i="103"/>
  <c r="O964" i="103"/>
  <c r="J964" i="103"/>
  <c r="E964" i="103"/>
  <c r="O963" i="103"/>
  <c r="J963" i="103"/>
  <c r="E963" i="103"/>
  <c r="O962" i="103"/>
  <c r="J962" i="103"/>
  <c r="E962" i="103"/>
  <c r="O961" i="103"/>
  <c r="J961" i="103"/>
  <c r="E961" i="103"/>
  <c r="O959" i="103"/>
  <c r="J959" i="103"/>
  <c r="E959" i="103"/>
  <c r="L958" i="103"/>
  <c r="G958" i="103"/>
  <c r="B958" i="103"/>
  <c r="N954" i="103"/>
  <c r="M954" i="103"/>
  <c r="L954" i="103"/>
  <c r="I954" i="103"/>
  <c r="H954" i="103"/>
  <c r="G954" i="103"/>
  <c r="D954" i="103"/>
  <c r="C954" i="103"/>
  <c r="B954" i="103"/>
  <c r="O952" i="103"/>
  <c r="J952" i="103"/>
  <c r="E952" i="103"/>
  <c r="O951" i="103"/>
  <c r="J951" i="103"/>
  <c r="E951" i="103"/>
  <c r="O950" i="103"/>
  <c r="J950" i="103"/>
  <c r="E950" i="103"/>
  <c r="O949" i="103"/>
  <c r="J949" i="103"/>
  <c r="E949" i="103"/>
  <c r="O948" i="103"/>
  <c r="J948" i="103"/>
  <c r="E948" i="103"/>
  <c r="O947" i="103"/>
  <c r="J947" i="103"/>
  <c r="E947" i="103"/>
  <c r="O946" i="103"/>
  <c r="J946" i="103"/>
  <c r="E946" i="103"/>
  <c r="O945" i="103"/>
  <c r="J945" i="103"/>
  <c r="E945" i="103"/>
  <c r="O944" i="103"/>
  <c r="J944" i="103"/>
  <c r="E944" i="103"/>
  <c r="O942" i="103"/>
  <c r="J942" i="103"/>
  <c r="E942" i="103"/>
  <c r="L941" i="103"/>
  <c r="G941" i="103"/>
  <c r="B941" i="103"/>
  <c r="N937" i="103"/>
  <c r="M937" i="103"/>
  <c r="L937" i="103"/>
  <c r="I937" i="103"/>
  <c r="H937" i="103"/>
  <c r="G937" i="103"/>
  <c r="D937" i="103"/>
  <c r="C937" i="103"/>
  <c r="B937" i="103"/>
  <c r="O935" i="103"/>
  <c r="J935" i="103"/>
  <c r="E935" i="103"/>
  <c r="O934" i="103"/>
  <c r="J934" i="103"/>
  <c r="E934" i="103"/>
  <c r="O933" i="103"/>
  <c r="J933" i="103"/>
  <c r="E933" i="103"/>
  <c r="O932" i="103"/>
  <c r="J932" i="103"/>
  <c r="E932" i="103"/>
  <c r="O931" i="103"/>
  <c r="J931" i="103"/>
  <c r="E931" i="103"/>
  <c r="O930" i="103"/>
  <c r="J930" i="103"/>
  <c r="E930" i="103"/>
  <c r="O929" i="103"/>
  <c r="J929" i="103"/>
  <c r="E929" i="103"/>
  <c r="O928" i="103"/>
  <c r="J928" i="103"/>
  <c r="E928" i="103"/>
  <c r="O927" i="103"/>
  <c r="J927" i="103"/>
  <c r="E927" i="103"/>
  <c r="O925" i="103"/>
  <c r="J925" i="103"/>
  <c r="E925" i="103"/>
  <c r="L924" i="103"/>
  <c r="G924" i="103"/>
  <c r="B924" i="103"/>
  <c r="N920" i="103"/>
  <c r="M920" i="103"/>
  <c r="L920" i="103"/>
  <c r="I920" i="103"/>
  <c r="H920" i="103"/>
  <c r="G920" i="103"/>
  <c r="D920" i="103"/>
  <c r="C920" i="103"/>
  <c r="B920" i="103"/>
  <c r="O918" i="103"/>
  <c r="J918" i="103"/>
  <c r="E918" i="103"/>
  <c r="O917" i="103"/>
  <c r="J917" i="103"/>
  <c r="E917" i="103"/>
  <c r="O916" i="103"/>
  <c r="J916" i="103"/>
  <c r="E916" i="103"/>
  <c r="O915" i="103"/>
  <c r="J915" i="103"/>
  <c r="E915" i="103"/>
  <c r="O914" i="103"/>
  <c r="J914" i="103"/>
  <c r="E914" i="103"/>
  <c r="O913" i="103"/>
  <c r="J913" i="103"/>
  <c r="E913" i="103"/>
  <c r="O912" i="103"/>
  <c r="J912" i="103"/>
  <c r="E912" i="103"/>
  <c r="O911" i="103"/>
  <c r="J911" i="103"/>
  <c r="E911" i="103"/>
  <c r="O910" i="103"/>
  <c r="J910" i="103"/>
  <c r="E910" i="103"/>
  <c r="O908" i="103"/>
  <c r="J908" i="103"/>
  <c r="E908" i="103"/>
  <c r="L907" i="103"/>
  <c r="G907" i="103"/>
  <c r="B907" i="103"/>
  <c r="N903" i="103"/>
  <c r="M903" i="103"/>
  <c r="L903" i="103"/>
  <c r="I903" i="103"/>
  <c r="H903" i="103"/>
  <c r="G903" i="103"/>
  <c r="D903" i="103"/>
  <c r="C903" i="103"/>
  <c r="B903" i="103"/>
  <c r="O901" i="103"/>
  <c r="J901" i="103"/>
  <c r="E901" i="103"/>
  <c r="O900" i="103"/>
  <c r="J900" i="103"/>
  <c r="E900" i="103"/>
  <c r="O899" i="103"/>
  <c r="J899" i="103"/>
  <c r="E899" i="103"/>
  <c r="O898" i="103"/>
  <c r="J898" i="103"/>
  <c r="E898" i="103"/>
  <c r="O897" i="103"/>
  <c r="J897" i="103"/>
  <c r="E897" i="103"/>
  <c r="O896" i="103"/>
  <c r="J896" i="103"/>
  <c r="E896" i="103"/>
  <c r="O895" i="103"/>
  <c r="J895" i="103"/>
  <c r="E895" i="103"/>
  <c r="O894" i="103"/>
  <c r="J894" i="103"/>
  <c r="E894" i="103"/>
  <c r="O893" i="103"/>
  <c r="J893" i="103"/>
  <c r="E893" i="103"/>
  <c r="O891" i="103"/>
  <c r="J891" i="103"/>
  <c r="E891" i="103"/>
  <c r="L890" i="103"/>
  <c r="G890" i="103"/>
  <c r="B890" i="103"/>
  <c r="N886" i="103"/>
  <c r="M886" i="103"/>
  <c r="L886" i="103"/>
  <c r="I886" i="103"/>
  <c r="H886" i="103"/>
  <c r="G886" i="103"/>
  <c r="D886" i="103"/>
  <c r="C886" i="103"/>
  <c r="B886" i="103"/>
  <c r="O884" i="103"/>
  <c r="J884" i="103"/>
  <c r="E884" i="103"/>
  <c r="O883" i="103"/>
  <c r="J883" i="103"/>
  <c r="E883" i="103"/>
  <c r="O882" i="103"/>
  <c r="J882" i="103"/>
  <c r="E882" i="103"/>
  <c r="O881" i="103"/>
  <c r="J881" i="103"/>
  <c r="E881" i="103"/>
  <c r="O880" i="103"/>
  <c r="J880" i="103"/>
  <c r="E880" i="103"/>
  <c r="O879" i="103"/>
  <c r="J879" i="103"/>
  <c r="E879" i="103"/>
  <c r="O878" i="103"/>
  <c r="J878" i="103"/>
  <c r="E878" i="103"/>
  <c r="O877" i="103"/>
  <c r="J877" i="103"/>
  <c r="E877" i="103"/>
  <c r="O876" i="103"/>
  <c r="J876" i="103"/>
  <c r="E876" i="103"/>
  <c r="O874" i="103"/>
  <c r="J874" i="103"/>
  <c r="E874" i="103"/>
  <c r="L873" i="103"/>
  <c r="G873" i="103"/>
  <c r="B873" i="103"/>
  <c r="N869" i="103"/>
  <c r="M869" i="103"/>
  <c r="L869" i="103"/>
  <c r="I869" i="103"/>
  <c r="H869" i="103"/>
  <c r="G869" i="103"/>
  <c r="D869" i="103"/>
  <c r="C869" i="103"/>
  <c r="B869" i="103"/>
  <c r="O867" i="103"/>
  <c r="J867" i="103"/>
  <c r="E867" i="103"/>
  <c r="O866" i="103"/>
  <c r="J866" i="103"/>
  <c r="E866" i="103"/>
  <c r="O865" i="103"/>
  <c r="J865" i="103"/>
  <c r="E865" i="103"/>
  <c r="O864" i="103"/>
  <c r="J864" i="103"/>
  <c r="E864" i="103"/>
  <c r="O863" i="103"/>
  <c r="J863" i="103"/>
  <c r="E863" i="103"/>
  <c r="O862" i="103"/>
  <c r="J862" i="103"/>
  <c r="E862" i="103"/>
  <c r="O861" i="103"/>
  <c r="J861" i="103"/>
  <c r="E861" i="103"/>
  <c r="O860" i="103"/>
  <c r="J860" i="103"/>
  <c r="E860" i="103"/>
  <c r="O859" i="103"/>
  <c r="J859" i="103"/>
  <c r="E859" i="103"/>
  <c r="O857" i="103"/>
  <c r="J857" i="103"/>
  <c r="E857" i="103"/>
  <c r="L856" i="103"/>
  <c r="G856" i="103"/>
  <c r="B856" i="103"/>
  <c r="N852" i="103"/>
  <c r="M852" i="103"/>
  <c r="L852" i="103"/>
  <c r="I852" i="103"/>
  <c r="H852" i="103"/>
  <c r="G852" i="103"/>
  <c r="D852" i="103"/>
  <c r="C852" i="103"/>
  <c r="B852" i="103"/>
  <c r="O850" i="103"/>
  <c r="J850" i="103"/>
  <c r="E850" i="103"/>
  <c r="O849" i="103"/>
  <c r="J849" i="103"/>
  <c r="E849" i="103"/>
  <c r="O848" i="103"/>
  <c r="J848" i="103"/>
  <c r="E848" i="103"/>
  <c r="O847" i="103"/>
  <c r="J847" i="103"/>
  <c r="E847" i="103"/>
  <c r="O846" i="103"/>
  <c r="J846" i="103"/>
  <c r="E846" i="103"/>
  <c r="O845" i="103"/>
  <c r="J845" i="103"/>
  <c r="E845" i="103"/>
  <c r="O844" i="103"/>
  <c r="J844" i="103"/>
  <c r="E844" i="103"/>
  <c r="O843" i="103"/>
  <c r="J843" i="103"/>
  <c r="E843" i="103"/>
  <c r="O842" i="103"/>
  <c r="J842" i="103"/>
  <c r="E842" i="103"/>
  <c r="O840" i="103"/>
  <c r="J840" i="103"/>
  <c r="E840" i="103"/>
  <c r="L839" i="103"/>
  <c r="G839" i="103"/>
  <c r="B839" i="103"/>
  <c r="N835" i="103"/>
  <c r="M835" i="103"/>
  <c r="L835" i="103"/>
  <c r="I835" i="103"/>
  <c r="H835" i="103"/>
  <c r="G835" i="103"/>
  <c r="D835" i="103"/>
  <c r="C835" i="103"/>
  <c r="B835" i="103"/>
  <c r="O833" i="103"/>
  <c r="J833" i="103"/>
  <c r="E833" i="103"/>
  <c r="O832" i="103"/>
  <c r="J832" i="103"/>
  <c r="E832" i="103"/>
  <c r="O831" i="103"/>
  <c r="J831" i="103"/>
  <c r="E831" i="103"/>
  <c r="O830" i="103"/>
  <c r="J830" i="103"/>
  <c r="E830" i="103"/>
  <c r="O829" i="103"/>
  <c r="J829" i="103"/>
  <c r="E829" i="103"/>
  <c r="O828" i="103"/>
  <c r="J828" i="103"/>
  <c r="E828" i="103"/>
  <c r="O827" i="103"/>
  <c r="J827" i="103"/>
  <c r="E827" i="103"/>
  <c r="O826" i="103"/>
  <c r="J826" i="103"/>
  <c r="E826" i="103"/>
  <c r="O825" i="103"/>
  <c r="J825" i="103"/>
  <c r="E825" i="103"/>
  <c r="O823" i="103"/>
  <c r="J823" i="103"/>
  <c r="E823" i="103"/>
  <c r="L822" i="103"/>
  <c r="G822" i="103"/>
  <c r="B822" i="103"/>
  <c r="N818" i="103"/>
  <c r="M818" i="103"/>
  <c r="L818" i="103"/>
  <c r="I818" i="103"/>
  <c r="H818" i="103"/>
  <c r="G818" i="103"/>
  <c r="D818" i="103"/>
  <c r="C818" i="103"/>
  <c r="B818" i="103"/>
  <c r="O816" i="103"/>
  <c r="J816" i="103"/>
  <c r="E816" i="103"/>
  <c r="O815" i="103"/>
  <c r="J815" i="103"/>
  <c r="E815" i="103"/>
  <c r="O814" i="103"/>
  <c r="J814" i="103"/>
  <c r="E814" i="103"/>
  <c r="O813" i="103"/>
  <c r="J813" i="103"/>
  <c r="E813" i="103"/>
  <c r="O812" i="103"/>
  <c r="J812" i="103"/>
  <c r="E812" i="103"/>
  <c r="O811" i="103"/>
  <c r="J811" i="103"/>
  <c r="E811" i="103"/>
  <c r="O810" i="103"/>
  <c r="J810" i="103"/>
  <c r="E810" i="103"/>
  <c r="O809" i="103"/>
  <c r="J809" i="103"/>
  <c r="E809" i="103"/>
  <c r="O808" i="103"/>
  <c r="J808" i="103"/>
  <c r="E808" i="103"/>
  <c r="O806" i="103"/>
  <c r="J806" i="103"/>
  <c r="E806" i="103"/>
  <c r="L805" i="103"/>
  <c r="G805" i="103"/>
  <c r="B805" i="103"/>
  <c r="N801" i="103"/>
  <c r="M801" i="103"/>
  <c r="L801" i="103"/>
  <c r="I801" i="103"/>
  <c r="H801" i="103"/>
  <c r="G801" i="103"/>
  <c r="D801" i="103"/>
  <c r="C801" i="103"/>
  <c r="B801" i="103"/>
  <c r="O799" i="103"/>
  <c r="J799" i="103"/>
  <c r="E799" i="103"/>
  <c r="O798" i="103"/>
  <c r="J798" i="103"/>
  <c r="E798" i="103"/>
  <c r="O797" i="103"/>
  <c r="J797" i="103"/>
  <c r="E797" i="103"/>
  <c r="O796" i="103"/>
  <c r="J796" i="103"/>
  <c r="E796" i="103"/>
  <c r="O795" i="103"/>
  <c r="J795" i="103"/>
  <c r="E795" i="103"/>
  <c r="O794" i="103"/>
  <c r="J794" i="103"/>
  <c r="E794" i="103"/>
  <c r="O793" i="103"/>
  <c r="J793" i="103"/>
  <c r="E793" i="103"/>
  <c r="O792" i="103"/>
  <c r="J792" i="103"/>
  <c r="E792" i="103"/>
  <c r="O791" i="103"/>
  <c r="J791" i="103"/>
  <c r="E791" i="103"/>
  <c r="O789" i="103"/>
  <c r="J789" i="103"/>
  <c r="E789" i="103"/>
  <c r="L788" i="103"/>
  <c r="G788" i="103"/>
  <c r="B788" i="103"/>
  <c r="N784" i="103"/>
  <c r="M784" i="103"/>
  <c r="L784" i="103"/>
  <c r="I784" i="103"/>
  <c r="H784" i="103"/>
  <c r="G784" i="103"/>
  <c r="D784" i="103"/>
  <c r="C784" i="103"/>
  <c r="B784" i="103"/>
  <c r="O782" i="103"/>
  <c r="J782" i="103"/>
  <c r="E782" i="103"/>
  <c r="O781" i="103"/>
  <c r="J781" i="103"/>
  <c r="E781" i="103"/>
  <c r="O780" i="103"/>
  <c r="J780" i="103"/>
  <c r="E780" i="103"/>
  <c r="O779" i="103"/>
  <c r="J779" i="103"/>
  <c r="E779" i="103"/>
  <c r="O778" i="103"/>
  <c r="J778" i="103"/>
  <c r="E778" i="103"/>
  <c r="O777" i="103"/>
  <c r="J777" i="103"/>
  <c r="E777" i="103"/>
  <c r="O776" i="103"/>
  <c r="J776" i="103"/>
  <c r="E776" i="103"/>
  <c r="O775" i="103"/>
  <c r="J775" i="103"/>
  <c r="E775" i="103"/>
  <c r="O774" i="103"/>
  <c r="J774" i="103"/>
  <c r="E774" i="103"/>
  <c r="O772" i="103"/>
  <c r="J772" i="103"/>
  <c r="E772" i="103"/>
  <c r="L771" i="103"/>
  <c r="G771" i="103"/>
  <c r="B771" i="103"/>
  <c r="N767" i="103"/>
  <c r="M767" i="103"/>
  <c r="L767" i="103"/>
  <c r="I767" i="103"/>
  <c r="H767" i="103"/>
  <c r="G767" i="103"/>
  <c r="D767" i="103"/>
  <c r="C767" i="103"/>
  <c r="B767" i="103"/>
  <c r="O765" i="103"/>
  <c r="J765" i="103"/>
  <c r="E765" i="103"/>
  <c r="O764" i="103"/>
  <c r="J764" i="103"/>
  <c r="E764" i="103"/>
  <c r="O763" i="103"/>
  <c r="J763" i="103"/>
  <c r="E763" i="103"/>
  <c r="O762" i="103"/>
  <c r="J762" i="103"/>
  <c r="E762" i="103"/>
  <c r="O761" i="103"/>
  <c r="J761" i="103"/>
  <c r="E761" i="103"/>
  <c r="O760" i="103"/>
  <c r="J760" i="103"/>
  <c r="E760" i="103"/>
  <c r="O759" i="103"/>
  <c r="J759" i="103"/>
  <c r="E759" i="103"/>
  <c r="O758" i="103"/>
  <c r="J758" i="103"/>
  <c r="E758" i="103"/>
  <c r="O757" i="103"/>
  <c r="J757" i="103"/>
  <c r="E757" i="103"/>
  <c r="O755" i="103"/>
  <c r="J755" i="103"/>
  <c r="E755" i="103"/>
  <c r="L754" i="103"/>
  <c r="G754" i="103"/>
  <c r="B754" i="103"/>
  <c r="N750" i="103"/>
  <c r="M750" i="103"/>
  <c r="L750" i="103"/>
  <c r="I750" i="103"/>
  <c r="H750" i="103"/>
  <c r="G750" i="103"/>
  <c r="D750" i="103"/>
  <c r="C750" i="103"/>
  <c r="B750" i="103"/>
  <c r="O748" i="103"/>
  <c r="J748" i="103"/>
  <c r="E748" i="103"/>
  <c r="O747" i="103"/>
  <c r="J747" i="103"/>
  <c r="E747" i="103"/>
  <c r="O746" i="103"/>
  <c r="J746" i="103"/>
  <c r="E746" i="103"/>
  <c r="O745" i="103"/>
  <c r="J745" i="103"/>
  <c r="E745" i="103"/>
  <c r="O744" i="103"/>
  <c r="J744" i="103"/>
  <c r="E744" i="103"/>
  <c r="O743" i="103"/>
  <c r="J743" i="103"/>
  <c r="E743" i="103"/>
  <c r="O742" i="103"/>
  <c r="J742" i="103"/>
  <c r="E742" i="103"/>
  <c r="O741" i="103"/>
  <c r="J741" i="103"/>
  <c r="E741" i="103"/>
  <c r="O740" i="103"/>
  <c r="J740" i="103"/>
  <c r="E740" i="103"/>
  <c r="O738" i="103"/>
  <c r="J738" i="103"/>
  <c r="E738" i="103"/>
  <c r="L737" i="103"/>
  <c r="G737" i="103"/>
  <c r="B737" i="103"/>
  <c r="N733" i="103"/>
  <c r="M733" i="103"/>
  <c r="L733" i="103"/>
  <c r="I733" i="103"/>
  <c r="H733" i="103"/>
  <c r="G733" i="103"/>
  <c r="D733" i="103"/>
  <c r="C733" i="103"/>
  <c r="B733" i="103"/>
  <c r="O731" i="103"/>
  <c r="J731" i="103"/>
  <c r="E731" i="103"/>
  <c r="O730" i="103"/>
  <c r="J730" i="103"/>
  <c r="E730" i="103"/>
  <c r="O729" i="103"/>
  <c r="J729" i="103"/>
  <c r="E729" i="103"/>
  <c r="O728" i="103"/>
  <c r="J728" i="103"/>
  <c r="E728" i="103"/>
  <c r="O727" i="103"/>
  <c r="J727" i="103"/>
  <c r="E727" i="103"/>
  <c r="O726" i="103"/>
  <c r="J726" i="103"/>
  <c r="E726" i="103"/>
  <c r="O725" i="103"/>
  <c r="J725" i="103"/>
  <c r="E725" i="103"/>
  <c r="O724" i="103"/>
  <c r="J724" i="103"/>
  <c r="E724" i="103"/>
  <c r="O723" i="103"/>
  <c r="J723" i="103"/>
  <c r="E723" i="103"/>
  <c r="O721" i="103"/>
  <c r="J721" i="103"/>
  <c r="E721" i="103"/>
  <c r="L720" i="103"/>
  <c r="G720" i="103"/>
  <c r="B720" i="103"/>
  <c r="N716" i="103"/>
  <c r="M716" i="103"/>
  <c r="L716" i="103"/>
  <c r="I716" i="103"/>
  <c r="H716" i="103"/>
  <c r="G716" i="103"/>
  <c r="D716" i="103"/>
  <c r="C716" i="103"/>
  <c r="B716" i="103"/>
  <c r="O714" i="103"/>
  <c r="J714" i="103"/>
  <c r="E714" i="103"/>
  <c r="O713" i="103"/>
  <c r="J713" i="103"/>
  <c r="E713" i="103"/>
  <c r="O712" i="103"/>
  <c r="J712" i="103"/>
  <c r="E712" i="103"/>
  <c r="O711" i="103"/>
  <c r="J711" i="103"/>
  <c r="E711" i="103"/>
  <c r="O710" i="103"/>
  <c r="J710" i="103"/>
  <c r="E710" i="103"/>
  <c r="O709" i="103"/>
  <c r="J709" i="103"/>
  <c r="E709" i="103"/>
  <c r="O708" i="103"/>
  <c r="J708" i="103"/>
  <c r="E708" i="103"/>
  <c r="O707" i="103"/>
  <c r="J707" i="103"/>
  <c r="E707" i="103"/>
  <c r="O706" i="103"/>
  <c r="J706" i="103"/>
  <c r="E706" i="103"/>
  <c r="O704" i="103"/>
  <c r="J704" i="103"/>
  <c r="E704" i="103"/>
  <c r="L703" i="103"/>
  <c r="G703" i="103"/>
  <c r="B703" i="103"/>
  <c r="N699" i="103"/>
  <c r="M699" i="103"/>
  <c r="L699" i="103"/>
  <c r="I699" i="103"/>
  <c r="H699" i="103"/>
  <c r="G699" i="103"/>
  <c r="D699" i="103"/>
  <c r="C699" i="103"/>
  <c r="B699" i="103"/>
  <c r="O697" i="103"/>
  <c r="J697" i="103"/>
  <c r="E697" i="103"/>
  <c r="O696" i="103"/>
  <c r="J696" i="103"/>
  <c r="E696" i="103"/>
  <c r="O695" i="103"/>
  <c r="J695" i="103"/>
  <c r="E695" i="103"/>
  <c r="O694" i="103"/>
  <c r="J694" i="103"/>
  <c r="E694" i="103"/>
  <c r="O693" i="103"/>
  <c r="J693" i="103"/>
  <c r="E693" i="103"/>
  <c r="O692" i="103"/>
  <c r="J692" i="103"/>
  <c r="E692" i="103"/>
  <c r="O691" i="103"/>
  <c r="J691" i="103"/>
  <c r="E691" i="103"/>
  <c r="O690" i="103"/>
  <c r="J690" i="103"/>
  <c r="E690" i="103"/>
  <c r="O689" i="103"/>
  <c r="J689" i="103"/>
  <c r="E689" i="103"/>
  <c r="O687" i="103"/>
  <c r="J687" i="103"/>
  <c r="E687" i="103"/>
  <c r="L686" i="103"/>
  <c r="G686" i="103"/>
  <c r="B686" i="103"/>
  <c r="N682" i="103"/>
  <c r="M682" i="103"/>
  <c r="L682" i="103"/>
  <c r="I682" i="103"/>
  <c r="H682" i="103"/>
  <c r="G682" i="103"/>
  <c r="D682" i="103"/>
  <c r="C682" i="103"/>
  <c r="B682" i="103"/>
  <c r="O680" i="103"/>
  <c r="J680" i="103"/>
  <c r="E680" i="103"/>
  <c r="O679" i="103"/>
  <c r="J679" i="103"/>
  <c r="E679" i="103"/>
  <c r="O678" i="103"/>
  <c r="J678" i="103"/>
  <c r="E678" i="103"/>
  <c r="O677" i="103"/>
  <c r="J677" i="103"/>
  <c r="E677" i="103"/>
  <c r="O676" i="103"/>
  <c r="J676" i="103"/>
  <c r="E676" i="103"/>
  <c r="O675" i="103"/>
  <c r="J675" i="103"/>
  <c r="E675" i="103"/>
  <c r="O674" i="103"/>
  <c r="J674" i="103"/>
  <c r="E674" i="103"/>
  <c r="O673" i="103"/>
  <c r="J673" i="103"/>
  <c r="E673" i="103"/>
  <c r="O672" i="103"/>
  <c r="J672" i="103"/>
  <c r="E672" i="103"/>
  <c r="O670" i="103"/>
  <c r="J670" i="103"/>
  <c r="E670" i="103"/>
  <c r="L669" i="103"/>
  <c r="G669" i="103"/>
  <c r="B669" i="103"/>
  <c r="N665" i="103"/>
  <c r="M665" i="103"/>
  <c r="L665" i="103"/>
  <c r="I665" i="103"/>
  <c r="H665" i="103"/>
  <c r="G665" i="103"/>
  <c r="D665" i="103"/>
  <c r="C665" i="103"/>
  <c r="B665" i="103"/>
  <c r="O663" i="103"/>
  <c r="J663" i="103"/>
  <c r="E663" i="103"/>
  <c r="O662" i="103"/>
  <c r="J662" i="103"/>
  <c r="E662" i="103"/>
  <c r="O661" i="103"/>
  <c r="J661" i="103"/>
  <c r="E661" i="103"/>
  <c r="O660" i="103"/>
  <c r="J660" i="103"/>
  <c r="E660" i="103"/>
  <c r="O659" i="103"/>
  <c r="J659" i="103"/>
  <c r="E659" i="103"/>
  <c r="O658" i="103"/>
  <c r="J658" i="103"/>
  <c r="E658" i="103"/>
  <c r="O657" i="103"/>
  <c r="J657" i="103"/>
  <c r="E657" i="103"/>
  <c r="O656" i="103"/>
  <c r="J656" i="103"/>
  <c r="E656" i="103"/>
  <c r="O655" i="103"/>
  <c r="J655" i="103"/>
  <c r="E655" i="103"/>
  <c r="O653" i="103"/>
  <c r="J653" i="103"/>
  <c r="E653" i="103"/>
  <c r="L652" i="103"/>
  <c r="G652" i="103"/>
  <c r="B652" i="103"/>
  <c r="N648" i="103"/>
  <c r="M648" i="103"/>
  <c r="L648" i="103"/>
  <c r="I648" i="103"/>
  <c r="H648" i="103"/>
  <c r="G648" i="103"/>
  <c r="D648" i="103"/>
  <c r="C648" i="103"/>
  <c r="B648" i="103"/>
  <c r="O646" i="103"/>
  <c r="J646" i="103"/>
  <c r="E646" i="103"/>
  <c r="O645" i="103"/>
  <c r="J645" i="103"/>
  <c r="E645" i="103"/>
  <c r="O644" i="103"/>
  <c r="J644" i="103"/>
  <c r="E644" i="103"/>
  <c r="O643" i="103"/>
  <c r="J643" i="103"/>
  <c r="E643" i="103"/>
  <c r="O642" i="103"/>
  <c r="J642" i="103"/>
  <c r="E642" i="103"/>
  <c r="O641" i="103"/>
  <c r="J641" i="103"/>
  <c r="E641" i="103"/>
  <c r="O640" i="103"/>
  <c r="J640" i="103"/>
  <c r="E640" i="103"/>
  <c r="O639" i="103"/>
  <c r="J639" i="103"/>
  <c r="E639" i="103"/>
  <c r="O638" i="103"/>
  <c r="J638" i="103"/>
  <c r="E638" i="103"/>
  <c r="O636" i="103"/>
  <c r="J636" i="103"/>
  <c r="E636" i="103"/>
  <c r="L635" i="103"/>
  <c r="G635" i="103"/>
  <c r="B635" i="103"/>
  <c r="N631" i="103"/>
  <c r="M631" i="103"/>
  <c r="L631" i="103"/>
  <c r="I631" i="103"/>
  <c r="H631" i="103"/>
  <c r="G631" i="103"/>
  <c r="D631" i="103"/>
  <c r="C631" i="103"/>
  <c r="B631" i="103"/>
  <c r="O629" i="103"/>
  <c r="J629" i="103"/>
  <c r="E629" i="103"/>
  <c r="O628" i="103"/>
  <c r="J628" i="103"/>
  <c r="E628" i="103"/>
  <c r="O627" i="103"/>
  <c r="J627" i="103"/>
  <c r="E627" i="103"/>
  <c r="O626" i="103"/>
  <c r="J626" i="103"/>
  <c r="E626" i="103"/>
  <c r="O625" i="103"/>
  <c r="J625" i="103"/>
  <c r="E625" i="103"/>
  <c r="O624" i="103"/>
  <c r="J624" i="103"/>
  <c r="E624" i="103"/>
  <c r="O623" i="103"/>
  <c r="J623" i="103"/>
  <c r="E623" i="103"/>
  <c r="O622" i="103"/>
  <c r="J622" i="103"/>
  <c r="E622" i="103"/>
  <c r="O621" i="103"/>
  <c r="J621" i="103"/>
  <c r="E621" i="103"/>
  <c r="O619" i="103"/>
  <c r="J619" i="103"/>
  <c r="E619" i="103"/>
  <c r="L618" i="103"/>
  <c r="G618" i="103"/>
  <c r="B618" i="103"/>
  <c r="N614" i="103"/>
  <c r="M614" i="103"/>
  <c r="L614" i="103"/>
  <c r="I614" i="103"/>
  <c r="H614" i="103"/>
  <c r="G614" i="103"/>
  <c r="D614" i="103"/>
  <c r="C614" i="103"/>
  <c r="B614" i="103"/>
  <c r="O612" i="103"/>
  <c r="J612" i="103"/>
  <c r="E612" i="103"/>
  <c r="O611" i="103"/>
  <c r="J611" i="103"/>
  <c r="E611" i="103"/>
  <c r="O610" i="103"/>
  <c r="J610" i="103"/>
  <c r="E610" i="103"/>
  <c r="O609" i="103"/>
  <c r="J609" i="103"/>
  <c r="E609" i="103"/>
  <c r="O608" i="103"/>
  <c r="J608" i="103"/>
  <c r="E608" i="103"/>
  <c r="O607" i="103"/>
  <c r="J607" i="103"/>
  <c r="E607" i="103"/>
  <c r="O606" i="103"/>
  <c r="J606" i="103"/>
  <c r="E606" i="103"/>
  <c r="O605" i="103"/>
  <c r="J605" i="103"/>
  <c r="E605" i="103"/>
  <c r="O604" i="103"/>
  <c r="J604" i="103"/>
  <c r="E604" i="103"/>
  <c r="O602" i="103"/>
  <c r="J602" i="103"/>
  <c r="E602" i="103"/>
  <c r="L601" i="103"/>
  <c r="G601" i="103"/>
  <c r="B601" i="103"/>
  <c r="N597" i="103"/>
  <c r="M597" i="103"/>
  <c r="L597" i="103"/>
  <c r="I597" i="103"/>
  <c r="H597" i="103"/>
  <c r="G597" i="103"/>
  <c r="D597" i="103"/>
  <c r="C597" i="103"/>
  <c r="B597" i="103"/>
  <c r="O595" i="103"/>
  <c r="J595" i="103"/>
  <c r="E595" i="103"/>
  <c r="O594" i="103"/>
  <c r="J594" i="103"/>
  <c r="E594" i="103"/>
  <c r="O593" i="103"/>
  <c r="J593" i="103"/>
  <c r="E593" i="103"/>
  <c r="O592" i="103"/>
  <c r="J592" i="103"/>
  <c r="E592" i="103"/>
  <c r="O591" i="103"/>
  <c r="J591" i="103"/>
  <c r="E591" i="103"/>
  <c r="O590" i="103"/>
  <c r="J590" i="103"/>
  <c r="E590" i="103"/>
  <c r="O589" i="103"/>
  <c r="J589" i="103"/>
  <c r="E589" i="103"/>
  <c r="O588" i="103"/>
  <c r="J588" i="103"/>
  <c r="E588" i="103"/>
  <c r="O587" i="103"/>
  <c r="J587" i="103"/>
  <c r="E587" i="103"/>
  <c r="O585" i="103"/>
  <c r="J585" i="103"/>
  <c r="E585" i="103"/>
  <c r="L584" i="103"/>
  <c r="G584" i="103"/>
  <c r="B584" i="103"/>
  <c r="N580" i="103"/>
  <c r="M580" i="103"/>
  <c r="L580" i="103"/>
  <c r="I580" i="103"/>
  <c r="H580" i="103"/>
  <c r="G580" i="103"/>
  <c r="D580" i="103"/>
  <c r="C580" i="103"/>
  <c r="B580" i="103"/>
  <c r="O578" i="103"/>
  <c r="J578" i="103"/>
  <c r="E578" i="103"/>
  <c r="O577" i="103"/>
  <c r="J577" i="103"/>
  <c r="E577" i="103"/>
  <c r="O576" i="103"/>
  <c r="J576" i="103"/>
  <c r="E576" i="103"/>
  <c r="O575" i="103"/>
  <c r="J575" i="103"/>
  <c r="E575" i="103"/>
  <c r="O574" i="103"/>
  <c r="J574" i="103"/>
  <c r="E574" i="103"/>
  <c r="O573" i="103"/>
  <c r="J573" i="103"/>
  <c r="E573" i="103"/>
  <c r="O572" i="103"/>
  <c r="J572" i="103"/>
  <c r="E572" i="103"/>
  <c r="O571" i="103"/>
  <c r="J571" i="103"/>
  <c r="E571" i="103"/>
  <c r="O570" i="103"/>
  <c r="J570" i="103"/>
  <c r="E570" i="103"/>
  <c r="O568" i="103"/>
  <c r="J568" i="103"/>
  <c r="E568" i="103"/>
  <c r="L567" i="103"/>
  <c r="G567" i="103"/>
  <c r="B567" i="103"/>
  <c r="N563" i="103"/>
  <c r="M563" i="103"/>
  <c r="L563" i="103"/>
  <c r="I563" i="103"/>
  <c r="H563" i="103"/>
  <c r="G563" i="103"/>
  <c r="D563" i="103"/>
  <c r="C563" i="103"/>
  <c r="B563" i="103"/>
  <c r="O561" i="103"/>
  <c r="J561" i="103"/>
  <c r="E561" i="103"/>
  <c r="O560" i="103"/>
  <c r="J560" i="103"/>
  <c r="E560" i="103"/>
  <c r="O559" i="103"/>
  <c r="J559" i="103"/>
  <c r="E559" i="103"/>
  <c r="O558" i="103"/>
  <c r="J558" i="103"/>
  <c r="E558" i="103"/>
  <c r="O557" i="103"/>
  <c r="J557" i="103"/>
  <c r="E557" i="103"/>
  <c r="O556" i="103"/>
  <c r="J556" i="103"/>
  <c r="E556" i="103"/>
  <c r="O555" i="103"/>
  <c r="J555" i="103"/>
  <c r="E555" i="103"/>
  <c r="O554" i="103"/>
  <c r="J554" i="103"/>
  <c r="E554" i="103"/>
  <c r="O553" i="103"/>
  <c r="J553" i="103"/>
  <c r="E553" i="103"/>
  <c r="O551" i="103"/>
  <c r="J551" i="103"/>
  <c r="E551" i="103"/>
  <c r="L550" i="103"/>
  <c r="G550" i="103"/>
  <c r="B550" i="103"/>
  <c r="N546" i="103"/>
  <c r="M546" i="103"/>
  <c r="L546" i="103"/>
  <c r="I546" i="103"/>
  <c r="H546" i="103"/>
  <c r="G546" i="103"/>
  <c r="D546" i="103"/>
  <c r="C546" i="103"/>
  <c r="B546" i="103"/>
  <c r="O544" i="103"/>
  <c r="J544" i="103"/>
  <c r="E544" i="103"/>
  <c r="O543" i="103"/>
  <c r="J543" i="103"/>
  <c r="E543" i="103"/>
  <c r="O542" i="103"/>
  <c r="J542" i="103"/>
  <c r="E542" i="103"/>
  <c r="O541" i="103"/>
  <c r="J541" i="103"/>
  <c r="E541" i="103"/>
  <c r="O540" i="103"/>
  <c r="J540" i="103"/>
  <c r="E540" i="103"/>
  <c r="O539" i="103"/>
  <c r="J539" i="103"/>
  <c r="E539" i="103"/>
  <c r="O538" i="103"/>
  <c r="J538" i="103"/>
  <c r="E538" i="103"/>
  <c r="O537" i="103"/>
  <c r="J537" i="103"/>
  <c r="E537" i="103"/>
  <c r="O536" i="103"/>
  <c r="J536" i="103"/>
  <c r="E536" i="103"/>
  <c r="O534" i="103"/>
  <c r="J534" i="103"/>
  <c r="E534" i="103"/>
  <c r="L533" i="103"/>
  <c r="G533" i="103"/>
  <c r="B533" i="103"/>
  <c r="N529" i="103"/>
  <c r="M529" i="103"/>
  <c r="L529" i="103"/>
  <c r="I529" i="103"/>
  <c r="H529" i="103"/>
  <c r="G529" i="103"/>
  <c r="D529" i="103"/>
  <c r="C529" i="103"/>
  <c r="B529" i="103"/>
  <c r="O527" i="103"/>
  <c r="J527" i="103"/>
  <c r="E527" i="103"/>
  <c r="O526" i="103"/>
  <c r="J526" i="103"/>
  <c r="E526" i="103"/>
  <c r="O525" i="103"/>
  <c r="J525" i="103"/>
  <c r="E525" i="103"/>
  <c r="O524" i="103"/>
  <c r="J524" i="103"/>
  <c r="E524" i="103"/>
  <c r="O523" i="103"/>
  <c r="J523" i="103"/>
  <c r="E523" i="103"/>
  <c r="O522" i="103"/>
  <c r="J522" i="103"/>
  <c r="E522" i="103"/>
  <c r="O521" i="103"/>
  <c r="J521" i="103"/>
  <c r="E521" i="103"/>
  <c r="O520" i="103"/>
  <c r="J520" i="103"/>
  <c r="E520" i="103"/>
  <c r="O519" i="103"/>
  <c r="J519" i="103"/>
  <c r="E519" i="103"/>
  <c r="O517" i="103"/>
  <c r="J517" i="103"/>
  <c r="E517" i="103"/>
  <c r="L516" i="103"/>
  <c r="G516" i="103"/>
  <c r="B516" i="103"/>
  <c r="N512" i="103"/>
  <c r="M512" i="103"/>
  <c r="L512" i="103"/>
  <c r="I512" i="103"/>
  <c r="H512" i="103"/>
  <c r="G512" i="103"/>
  <c r="D512" i="103"/>
  <c r="C512" i="103"/>
  <c r="B512" i="103"/>
  <c r="O510" i="103"/>
  <c r="J510" i="103"/>
  <c r="E510" i="103"/>
  <c r="O509" i="103"/>
  <c r="J509" i="103"/>
  <c r="E509" i="103"/>
  <c r="O508" i="103"/>
  <c r="J508" i="103"/>
  <c r="E508" i="103"/>
  <c r="O507" i="103"/>
  <c r="J507" i="103"/>
  <c r="E507" i="103"/>
  <c r="O506" i="103"/>
  <c r="J506" i="103"/>
  <c r="E506" i="103"/>
  <c r="O505" i="103"/>
  <c r="J505" i="103"/>
  <c r="E505" i="103"/>
  <c r="O504" i="103"/>
  <c r="J504" i="103"/>
  <c r="E504" i="103"/>
  <c r="O503" i="103"/>
  <c r="J503" i="103"/>
  <c r="E503" i="103"/>
  <c r="O502" i="103"/>
  <c r="J502" i="103"/>
  <c r="E502" i="103"/>
  <c r="O500" i="103"/>
  <c r="J500" i="103"/>
  <c r="E500" i="103"/>
  <c r="L499" i="103"/>
  <c r="G499" i="103"/>
  <c r="B499" i="103"/>
  <c r="N495" i="103"/>
  <c r="M495" i="103"/>
  <c r="L495" i="103"/>
  <c r="I495" i="103"/>
  <c r="H495" i="103"/>
  <c r="G495" i="103"/>
  <c r="D495" i="103"/>
  <c r="C495" i="103"/>
  <c r="B495" i="103"/>
  <c r="O493" i="103"/>
  <c r="J493" i="103"/>
  <c r="E493" i="103"/>
  <c r="O492" i="103"/>
  <c r="J492" i="103"/>
  <c r="E492" i="103"/>
  <c r="O491" i="103"/>
  <c r="J491" i="103"/>
  <c r="E491" i="103"/>
  <c r="O490" i="103"/>
  <c r="J490" i="103"/>
  <c r="E490" i="103"/>
  <c r="O489" i="103"/>
  <c r="J489" i="103"/>
  <c r="E489" i="103"/>
  <c r="O488" i="103"/>
  <c r="J488" i="103"/>
  <c r="E488" i="103"/>
  <c r="O487" i="103"/>
  <c r="J487" i="103"/>
  <c r="E487" i="103"/>
  <c r="O486" i="103"/>
  <c r="J486" i="103"/>
  <c r="E486" i="103"/>
  <c r="O485" i="103"/>
  <c r="J485" i="103"/>
  <c r="E485" i="103"/>
  <c r="O483" i="103"/>
  <c r="J483" i="103"/>
  <c r="E483" i="103"/>
  <c r="L482" i="103"/>
  <c r="G482" i="103"/>
  <c r="B482" i="103"/>
  <c r="N478" i="103"/>
  <c r="M478" i="103"/>
  <c r="L478" i="103"/>
  <c r="I478" i="103"/>
  <c r="H478" i="103"/>
  <c r="G478" i="103"/>
  <c r="D478" i="103"/>
  <c r="C478" i="103"/>
  <c r="B478" i="103"/>
  <c r="O476" i="103"/>
  <c r="J476" i="103"/>
  <c r="E476" i="103"/>
  <c r="O475" i="103"/>
  <c r="J475" i="103"/>
  <c r="E475" i="103"/>
  <c r="O474" i="103"/>
  <c r="J474" i="103"/>
  <c r="E474" i="103"/>
  <c r="O473" i="103"/>
  <c r="J473" i="103"/>
  <c r="E473" i="103"/>
  <c r="O472" i="103"/>
  <c r="J472" i="103"/>
  <c r="E472" i="103"/>
  <c r="O471" i="103"/>
  <c r="J471" i="103"/>
  <c r="E471" i="103"/>
  <c r="O470" i="103"/>
  <c r="J470" i="103"/>
  <c r="E470" i="103"/>
  <c r="O469" i="103"/>
  <c r="J469" i="103"/>
  <c r="E469" i="103"/>
  <c r="O468" i="103"/>
  <c r="J468" i="103"/>
  <c r="E468" i="103"/>
  <c r="O466" i="103"/>
  <c r="J466" i="103"/>
  <c r="E466" i="103"/>
  <c r="L465" i="103"/>
  <c r="G465" i="103"/>
  <c r="B465" i="103"/>
  <c r="N461" i="103"/>
  <c r="M461" i="103"/>
  <c r="L461" i="103"/>
  <c r="I461" i="103"/>
  <c r="H461" i="103"/>
  <c r="G461" i="103"/>
  <c r="D461" i="103"/>
  <c r="C461" i="103"/>
  <c r="B461" i="103"/>
  <c r="O459" i="103"/>
  <c r="J459" i="103"/>
  <c r="E459" i="103"/>
  <c r="O458" i="103"/>
  <c r="J458" i="103"/>
  <c r="E458" i="103"/>
  <c r="O457" i="103"/>
  <c r="J457" i="103"/>
  <c r="E457" i="103"/>
  <c r="O456" i="103"/>
  <c r="J456" i="103"/>
  <c r="E456" i="103"/>
  <c r="O455" i="103"/>
  <c r="J455" i="103"/>
  <c r="E455" i="103"/>
  <c r="O454" i="103"/>
  <c r="J454" i="103"/>
  <c r="E454" i="103"/>
  <c r="O453" i="103"/>
  <c r="J453" i="103"/>
  <c r="E453" i="103"/>
  <c r="O452" i="103"/>
  <c r="J452" i="103"/>
  <c r="E452" i="103"/>
  <c r="O451" i="103"/>
  <c r="J451" i="103"/>
  <c r="E451" i="103"/>
  <c r="O449" i="103"/>
  <c r="J449" i="103"/>
  <c r="E449" i="103"/>
  <c r="L448" i="103"/>
  <c r="G448" i="103"/>
  <c r="B448" i="103"/>
  <c r="N444" i="103"/>
  <c r="M444" i="103"/>
  <c r="L444" i="103"/>
  <c r="I444" i="103"/>
  <c r="H444" i="103"/>
  <c r="G444" i="103"/>
  <c r="D444" i="103"/>
  <c r="C444" i="103"/>
  <c r="B444" i="103"/>
  <c r="O442" i="103"/>
  <c r="J442" i="103"/>
  <c r="E442" i="103"/>
  <c r="O441" i="103"/>
  <c r="J441" i="103"/>
  <c r="E441" i="103"/>
  <c r="O440" i="103"/>
  <c r="J440" i="103"/>
  <c r="E440" i="103"/>
  <c r="O439" i="103"/>
  <c r="J439" i="103"/>
  <c r="E439" i="103"/>
  <c r="O438" i="103"/>
  <c r="J438" i="103"/>
  <c r="E438" i="103"/>
  <c r="O437" i="103"/>
  <c r="J437" i="103"/>
  <c r="E437" i="103"/>
  <c r="O436" i="103"/>
  <c r="J436" i="103"/>
  <c r="E436" i="103"/>
  <c r="O435" i="103"/>
  <c r="J435" i="103"/>
  <c r="E435" i="103"/>
  <c r="O434" i="103"/>
  <c r="J434" i="103"/>
  <c r="E434" i="103"/>
  <c r="O432" i="103"/>
  <c r="J432" i="103"/>
  <c r="E432" i="103"/>
  <c r="L431" i="103"/>
  <c r="G431" i="103"/>
  <c r="B431" i="103"/>
  <c r="N427" i="103"/>
  <c r="M427" i="103"/>
  <c r="L427" i="103"/>
  <c r="I427" i="103"/>
  <c r="H427" i="103"/>
  <c r="G427" i="103"/>
  <c r="D427" i="103"/>
  <c r="C427" i="103"/>
  <c r="B427" i="103"/>
  <c r="O425" i="103"/>
  <c r="J425" i="103"/>
  <c r="E425" i="103"/>
  <c r="O424" i="103"/>
  <c r="J424" i="103"/>
  <c r="E424" i="103"/>
  <c r="O423" i="103"/>
  <c r="J423" i="103"/>
  <c r="E423" i="103"/>
  <c r="O422" i="103"/>
  <c r="J422" i="103"/>
  <c r="E422" i="103"/>
  <c r="O421" i="103"/>
  <c r="J421" i="103"/>
  <c r="E421" i="103"/>
  <c r="O420" i="103"/>
  <c r="J420" i="103"/>
  <c r="E420" i="103"/>
  <c r="O419" i="103"/>
  <c r="J419" i="103"/>
  <c r="E419" i="103"/>
  <c r="O418" i="103"/>
  <c r="J418" i="103"/>
  <c r="E418" i="103"/>
  <c r="O417" i="103"/>
  <c r="J417" i="103"/>
  <c r="E417" i="103"/>
  <c r="O415" i="103"/>
  <c r="J415" i="103"/>
  <c r="E415" i="103"/>
  <c r="L414" i="103"/>
  <c r="G414" i="103"/>
  <c r="B414" i="103"/>
  <c r="N410" i="103"/>
  <c r="M410" i="103"/>
  <c r="L410" i="103"/>
  <c r="I410" i="103"/>
  <c r="H410" i="103"/>
  <c r="G410" i="103"/>
  <c r="D410" i="103"/>
  <c r="C410" i="103"/>
  <c r="B410" i="103"/>
  <c r="O408" i="103"/>
  <c r="J408" i="103"/>
  <c r="E408" i="103"/>
  <c r="O407" i="103"/>
  <c r="J407" i="103"/>
  <c r="E407" i="103"/>
  <c r="O406" i="103"/>
  <c r="J406" i="103"/>
  <c r="E406" i="103"/>
  <c r="O405" i="103"/>
  <c r="J405" i="103"/>
  <c r="E405" i="103"/>
  <c r="O404" i="103"/>
  <c r="J404" i="103"/>
  <c r="E404" i="103"/>
  <c r="O403" i="103"/>
  <c r="J403" i="103"/>
  <c r="E403" i="103"/>
  <c r="O402" i="103"/>
  <c r="J402" i="103"/>
  <c r="E402" i="103"/>
  <c r="O401" i="103"/>
  <c r="J401" i="103"/>
  <c r="E401" i="103"/>
  <c r="O400" i="103"/>
  <c r="J400" i="103"/>
  <c r="E400" i="103"/>
  <c r="O398" i="103"/>
  <c r="J398" i="103"/>
  <c r="E398" i="103"/>
  <c r="L397" i="103"/>
  <c r="G397" i="103"/>
  <c r="B397" i="103"/>
  <c r="N393" i="103"/>
  <c r="M393" i="103"/>
  <c r="L393" i="103"/>
  <c r="I393" i="103"/>
  <c r="H393" i="103"/>
  <c r="G393" i="103"/>
  <c r="D393" i="103"/>
  <c r="C393" i="103"/>
  <c r="B393" i="103"/>
  <c r="O391" i="103"/>
  <c r="J391" i="103"/>
  <c r="E391" i="103"/>
  <c r="O390" i="103"/>
  <c r="J390" i="103"/>
  <c r="E390" i="103"/>
  <c r="O389" i="103"/>
  <c r="J389" i="103"/>
  <c r="E389" i="103"/>
  <c r="O388" i="103"/>
  <c r="J388" i="103"/>
  <c r="E388" i="103"/>
  <c r="O387" i="103"/>
  <c r="J387" i="103"/>
  <c r="E387" i="103"/>
  <c r="O386" i="103"/>
  <c r="J386" i="103"/>
  <c r="E386" i="103"/>
  <c r="O385" i="103"/>
  <c r="J385" i="103"/>
  <c r="E385" i="103"/>
  <c r="O384" i="103"/>
  <c r="J384" i="103"/>
  <c r="E384" i="103"/>
  <c r="O383" i="103"/>
  <c r="J383" i="103"/>
  <c r="E383" i="103"/>
  <c r="O381" i="103"/>
  <c r="J381" i="103"/>
  <c r="E381" i="103"/>
  <c r="L380" i="103"/>
  <c r="G380" i="103"/>
  <c r="B380" i="103"/>
  <c r="N376" i="103"/>
  <c r="M376" i="103"/>
  <c r="L376" i="103"/>
  <c r="I376" i="103"/>
  <c r="H376" i="103"/>
  <c r="G376" i="103"/>
  <c r="D376" i="103"/>
  <c r="C376" i="103"/>
  <c r="B376" i="103"/>
  <c r="O374" i="103"/>
  <c r="J374" i="103"/>
  <c r="E374" i="103"/>
  <c r="O373" i="103"/>
  <c r="J373" i="103"/>
  <c r="E373" i="103"/>
  <c r="O372" i="103"/>
  <c r="J372" i="103"/>
  <c r="E372" i="103"/>
  <c r="O371" i="103"/>
  <c r="J371" i="103"/>
  <c r="E371" i="103"/>
  <c r="O370" i="103"/>
  <c r="J370" i="103"/>
  <c r="E370" i="103"/>
  <c r="O369" i="103"/>
  <c r="J369" i="103"/>
  <c r="E369" i="103"/>
  <c r="O368" i="103"/>
  <c r="J368" i="103"/>
  <c r="E368" i="103"/>
  <c r="O367" i="103"/>
  <c r="J367" i="103"/>
  <c r="E367" i="103"/>
  <c r="O366" i="103"/>
  <c r="J366" i="103"/>
  <c r="E366" i="103"/>
  <c r="O364" i="103"/>
  <c r="J364" i="103"/>
  <c r="E364" i="103"/>
  <c r="L363" i="103"/>
  <c r="G363" i="103"/>
  <c r="B363" i="103"/>
  <c r="N359" i="103"/>
  <c r="M359" i="103"/>
  <c r="L359" i="103"/>
  <c r="I359" i="103"/>
  <c r="H359" i="103"/>
  <c r="G359" i="103"/>
  <c r="D359" i="103"/>
  <c r="C359" i="103"/>
  <c r="B359" i="103"/>
  <c r="O357" i="103"/>
  <c r="J357" i="103"/>
  <c r="E357" i="103"/>
  <c r="O356" i="103"/>
  <c r="J356" i="103"/>
  <c r="E356" i="103"/>
  <c r="O355" i="103"/>
  <c r="J355" i="103"/>
  <c r="E355" i="103"/>
  <c r="O354" i="103"/>
  <c r="J354" i="103"/>
  <c r="E354" i="103"/>
  <c r="O353" i="103"/>
  <c r="J353" i="103"/>
  <c r="E353" i="103"/>
  <c r="O352" i="103"/>
  <c r="J352" i="103"/>
  <c r="E352" i="103"/>
  <c r="O351" i="103"/>
  <c r="J351" i="103"/>
  <c r="E351" i="103"/>
  <c r="O350" i="103"/>
  <c r="J350" i="103"/>
  <c r="E350" i="103"/>
  <c r="O349" i="103"/>
  <c r="J349" i="103"/>
  <c r="E349" i="103"/>
  <c r="O347" i="103"/>
  <c r="J347" i="103"/>
  <c r="E347" i="103"/>
  <c r="L346" i="103"/>
  <c r="G346" i="103"/>
  <c r="B346" i="103"/>
  <c r="N342" i="103"/>
  <c r="M342" i="103"/>
  <c r="L342" i="103"/>
  <c r="I342" i="103"/>
  <c r="H342" i="103"/>
  <c r="G342" i="103"/>
  <c r="D342" i="103"/>
  <c r="C342" i="103"/>
  <c r="B342" i="103"/>
  <c r="O340" i="103"/>
  <c r="J340" i="103"/>
  <c r="E340" i="103"/>
  <c r="O339" i="103"/>
  <c r="J339" i="103"/>
  <c r="E339" i="103"/>
  <c r="O338" i="103"/>
  <c r="J338" i="103"/>
  <c r="E338" i="103"/>
  <c r="O337" i="103"/>
  <c r="J337" i="103"/>
  <c r="E337" i="103"/>
  <c r="O336" i="103"/>
  <c r="J336" i="103"/>
  <c r="E336" i="103"/>
  <c r="O335" i="103"/>
  <c r="J335" i="103"/>
  <c r="E335" i="103"/>
  <c r="O334" i="103"/>
  <c r="J334" i="103"/>
  <c r="E334" i="103"/>
  <c r="O333" i="103"/>
  <c r="J333" i="103"/>
  <c r="E333" i="103"/>
  <c r="O332" i="103"/>
  <c r="J332" i="103"/>
  <c r="E332" i="103"/>
  <c r="O330" i="103"/>
  <c r="J330" i="103"/>
  <c r="E330" i="103"/>
  <c r="L329" i="103"/>
  <c r="G329" i="103"/>
  <c r="B329" i="103"/>
  <c r="N325" i="103"/>
  <c r="M325" i="103"/>
  <c r="L325" i="103"/>
  <c r="I325" i="103"/>
  <c r="H325" i="103"/>
  <c r="G325" i="103"/>
  <c r="D325" i="103"/>
  <c r="C325" i="103"/>
  <c r="B325" i="103"/>
  <c r="O323" i="103"/>
  <c r="J323" i="103"/>
  <c r="E323" i="103"/>
  <c r="O322" i="103"/>
  <c r="J322" i="103"/>
  <c r="E322" i="103"/>
  <c r="O321" i="103"/>
  <c r="J321" i="103"/>
  <c r="E321" i="103"/>
  <c r="O320" i="103"/>
  <c r="J320" i="103"/>
  <c r="E320" i="103"/>
  <c r="O319" i="103"/>
  <c r="J319" i="103"/>
  <c r="E319" i="103"/>
  <c r="O318" i="103"/>
  <c r="J318" i="103"/>
  <c r="E318" i="103"/>
  <c r="O317" i="103"/>
  <c r="J317" i="103"/>
  <c r="E317" i="103"/>
  <c r="O316" i="103"/>
  <c r="J316" i="103"/>
  <c r="E316" i="103"/>
  <c r="O315" i="103"/>
  <c r="J315" i="103"/>
  <c r="E315" i="103"/>
  <c r="O313" i="103"/>
  <c r="J313" i="103"/>
  <c r="E313" i="103"/>
  <c r="L312" i="103"/>
  <c r="G312" i="103"/>
  <c r="B312" i="103"/>
  <c r="N308" i="103"/>
  <c r="M308" i="103"/>
  <c r="L308" i="103"/>
  <c r="I308" i="103"/>
  <c r="H308" i="103"/>
  <c r="G308" i="103"/>
  <c r="D308" i="103"/>
  <c r="C308" i="103"/>
  <c r="B308" i="103"/>
  <c r="O306" i="103"/>
  <c r="J306" i="103"/>
  <c r="E306" i="103"/>
  <c r="O305" i="103"/>
  <c r="J305" i="103"/>
  <c r="E305" i="103"/>
  <c r="O304" i="103"/>
  <c r="J304" i="103"/>
  <c r="E304" i="103"/>
  <c r="O303" i="103"/>
  <c r="J303" i="103"/>
  <c r="E303" i="103"/>
  <c r="O302" i="103"/>
  <c r="J302" i="103"/>
  <c r="E302" i="103"/>
  <c r="O301" i="103"/>
  <c r="J301" i="103"/>
  <c r="E301" i="103"/>
  <c r="O300" i="103"/>
  <c r="J300" i="103"/>
  <c r="E300" i="103"/>
  <c r="O299" i="103"/>
  <c r="J299" i="103"/>
  <c r="E299" i="103"/>
  <c r="O298" i="103"/>
  <c r="J298" i="103"/>
  <c r="E298" i="103"/>
  <c r="O296" i="103"/>
  <c r="J296" i="103"/>
  <c r="E296" i="103"/>
  <c r="L295" i="103"/>
  <c r="G295" i="103"/>
  <c r="B295" i="103"/>
  <c r="N291" i="103"/>
  <c r="M291" i="103"/>
  <c r="L291" i="103"/>
  <c r="I291" i="103"/>
  <c r="H291" i="103"/>
  <c r="G291" i="103"/>
  <c r="D291" i="103"/>
  <c r="C291" i="103"/>
  <c r="B291" i="103"/>
  <c r="O289" i="103"/>
  <c r="J289" i="103"/>
  <c r="E289" i="103"/>
  <c r="O288" i="103"/>
  <c r="J288" i="103"/>
  <c r="E288" i="103"/>
  <c r="O287" i="103"/>
  <c r="J287" i="103"/>
  <c r="E287" i="103"/>
  <c r="O286" i="103"/>
  <c r="J286" i="103"/>
  <c r="E286" i="103"/>
  <c r="O285" i="103"/>
  <c r="J285" i="103"/>
  <c r="E285" i="103"/>
  <c r="O284" i="103"/>
  <c r="J284" i="103"/>
  <c r="E284" i="103"/>
  <c r="O283" i="103"/>
  <c r="J283" i="103"/>
  <c r="E283" i="103"/>
  <c r="O282" i="103"/>
  <c r="J282" i="103"/>
  <c r="E282" i="103"/>
  <c r="O281" i="103"/>
  <c r="J281" i="103"/>
  <c r="E281" i="103"/>
  <c r="O279" i="103"/>
  <c r="J279" i="103"/>
  <c r="E279" i="103"/>
  <c r="L278" i="103"/>
  <c r="G278" i="103"/>
  <c r="B278" i="103"/>
  <c r="N274" i="103"/>
  <c r="M274" i="103"/>
  <c r="L274" i="103"/>
  <c r="I274" i="103"/>
  <c r="H274" i="103"/>
  <c r="G274" i="103"/>
  <c r="D274" i="103"/>
  <c r="C274" i="103"/>
  <c r="B274" i="103"/>
  <c r="O272" i="103"/>
  <c r="J272" i="103"/>
  <c r="E272" i="103"/>
  <c r="O271" i="103"/>
  <c r="J271" i="103"/>
  <c r="E271" i="103"/>
  <c r="O270" i="103"/>
  <c r="J270" i="103"/>
  <c r="E270" i="103"/>
  <c r="O269" i="103"/>
  <c r="J269" i="103"/>
  <c r="E269" i="103"/>
  <c r="O268" i="103"/>
  <c r="J268" i="103"/>
  <c r="E268" i="103"/>
  <c r="O267" i="103"/>
  <c r="J267" i="103"/>
  <c r="E267" i="103"/>
  <c r="O266" i="103"/>
  <c r="J266" i="103"/>
  <c r="E266" i="103"/>
  <c r="O265" i="103"/>
  <c r="J265" i="103"/>
  <c r="E265" i="103"/>
  <c r="O264" i="103"/>
  <c r="J264" i="103"/>
  <c r="E264" i="103"/>
  <c r="O262" i="103"/>
  <c r="J262" i="103"/>
  <c r="E262" i="103"/>
  <c r="L261" i="103"/>
  <c r="G261" i="103"/>
  <c r="B261" i="103"/>
  <c r="N257" i="103"/>
  <c r="M257" i="103"/>
  <c r="L257" i="103"/>
  <c r="I257" i="103"/>
  <c r="H257" i="103"/>
  <c r="G257" i="103"/>
  <c r="D257" i="103"/>
  <c r="C257" i="103"/>
  <c r="B257" i="103"/>
  <c r="O255" i="103"/>
  <c r="J255" i="103"/>
  <c r="E255" i="103"/>
  <c r="O254" i="103"/>
  <c r="J254" i="103"/>
  <c r="E254" i="103"/>
  <c r="O253" i="103"/>
  <c r="J253" i="103"/>
  <c r="E253" i="103"/>
  <c r="O252" i="103"/>
  <c r="J252" i="103"/>
  <c r="E252" i="103"/>
  <c r="O251" i="103"/>
  <c r="J251" i="103"/>
  <c r="E251" i="103"/>
  <c r="O250" i="103"/>
  <c r="J250" i="103"/>
  <c r="E250" i="103"/>
  <c r="O249" i="103"/>
  <c r="J249" i="103"/>
  <c r="E249" i="103"/>
  <c r="O248" i="103"/>
  <c r="J248" i="103"/>
  <c r="E248" i="103"/>
  <c r="O247" i="103"/>
  <c r="J247" i="103"/>
  <c r="E247" i="103"/>
  <c r="O245" i="103"/>
  <c r="J245" i="103"/>
  <c r="E245" i="103"/>
  <c r="L244" i="103"/>
  <c r="G244" i="103"/>
  <c r="B244" i="103"/>
  <c r="N240" i="103"/>
  <c r="M240" i="103"/>
  <c r="L240" i="103"/>
  <c r="I240" i="103"/>
  <c r="H240" i="103"/>
  <c r="G240" i="103"/>
  <c r="D240" i="103"/>
  <c r="C240" i="103"/>
  <c r="B240" i="103"/>
  <c r="O238" i="103"/>
  <c r="J238" i="103"/>
  <c r="E238" i="103"/>
  <c r="O237" i="103"/>
  <c r="J237" i="103"/>
  <c r="E237" i="103"/>
  <c r="O236" i="103"/>
  <c r="J236" i="103"/>
  <c r="E236" i="103"/>
  <c r="O235" i="103"/>
  <c r="J235" i="103"/>
  <c r="E235" i="103"/>
  <c r="O234" i="103"/>
  <c r="J234" i="103"/>
  <c r="E234" i="103"/>
  <c r="O233" i="103"/>
  <c r="J233" i="103"/>
  <c r="E233" i="103"/>
  <c r="O232" i="103"/>
  <c r="J232" i="103"/>
  <c r="E232" i="103"/>
  <c r="O231" i="103"/>
  <c r="J231" i="103"/>
  <c r="E231" i="103"/>
  <c r="O230" i="103"/>
  <c r="J230" i="103"/>
  <c r="E230" i="103"/>
  <c r="O228" i="103"/>
  <c r="J228" i="103"/>
  <c r="E228" i="103"/>
  <c r="L227" i="103"/>
  <c r="G227" i="103"/>
  <c r="B227" i="103"/>
  <c r="N223" i="103"/>
  <c r="M223" i="103"/>
  <c r="L223" i="103"/>
  <c r="I223" i="103"/>
  <c r="H223" i="103"/>
  <c r="G223" i="103"/>
  <c r="D223" i="103"/>
  <c r="C223" i="103"/>
  <c r="B223" i="103"/>
  <c r="O221" i="103"/>
  <c r="J221" i="103"/>
  <c r="E221" i="103"/>
  <c r="O220" i="103"/>
  <c r="J220" i="103"/>
  <c r="E220" i="103"/>
  <c r="O219" i="103"/>
  <c r="J219" i="103"/>
  <c r="E219" i="103"/>
  <c r="O218" i="103"/>
  <c r="J218" i="103"/>
  <c r="E218" i="103"/>
  <c r="O217" i="103"/>
  <c r="J217" i="103"/>
  <c r="E217" i="103"/>
  <c r="O216" i="103"/>
  <c r="J216" i="103"/>
  <c r="E216" i="103"/>
  <c r="O215" i="103"/>
  <c r="J215" i="103"/>
  <c r="E215" i="103"/>
  <c r="O214" i="103"/>
  <c r="J214" i="103"/>
  <c r="E214" i="103"/>
  <c r="O213" i="103"/>
  <c r="J213" i="103"/>
  <c r="E213" i="103"/>
  <c r="O211" i="103"/>
  <c r="J211" i="103"/>
  <c r="E211" i="103"/>
  <c r="L210" i="103"/>
  <c r="G210" i="103"/>
  <c r="B210" i="103"/>
  <c r="N206" i="103"/>
  <c r="M206" i="103"/>
  <c r="L206" i="103"/>
  <c r="I206" i="103"/>
  <c r="H206" i="103"/>
  <c r="G206" i="103"/>
  <c r="D206" i="103"/>
  <c r="C206" i="103"/>
  <c r="B206" i="103"/>
  <c r="O204" i="103"/>
  <c r="J204" i="103"/>
  <c r="E204" i="103"/>
  <c r="O203" i="103"/>
  <c r="J203" i="103"/>
  <c r="E203" i="103"/>
  <c r="O202" i="103"/>
  <c r="J202" i="103"/>
  <c r="E202" i="103"/>
  <c r="O201" i="103"/>
  <c r="J201" i="103"/>
  <c r="E201" i="103"/>
  <c r="O200" i="103"/>
  <c r="J200" i="103"/>
  <c r="E200" i="103"/>
  <c r="O199" i="103"/>
  <c r="J199" i="103"/>
  <c r="E199" i="103"/>
  <c r="O198" i="103"/>
  <c r="J198" i="103"/>
  <c r="E198" i="103"/>
  <c r="O197" i="103"/>
  <c r="J197" i="103"/>
  <c r="E197" i="103"/>
  <c r="O196" i="103"/>
  <c r="J196" i="103"/>
  <c r="E196" i="103"/>
  <c r="O194" i="103"/>
  <c r="J194" i="103"/>
  <c r="E194" i="103"/>
  <c r="L193" i="103"/>
  <c r="G193" i="103"/>
  <c r="B193" i="103"/>
  <c r="N189" i="103"/>
  <c r="M189" i="103"/>
  <c r="L189" i="103"/>
  <c r="I189" i="103"/>
  <c r="H189" i="103"/>
  <c r="G189" i="103"/>
  <c r="D189" i="103"/>
  <c r="C189" i="103"/>
  <c r="B189" i="103"/>
  <c r="O187" i="103"/>
  <c r="J187" i="103"/>
  <c r="E187" i="103"/>
  <c r="O186" i="103"/>
  <c r="J186" i="103"/>
  <c r="E186" i="103"/>
  <c r="O185" i="103"/>
  <c r="J185" i="103"/>
  <c r="E185" i="103"/>
  <c r="O184" i="103"/>
  <c r="J184" i="103"/>
  <c r="E184" i="103"/>
  <c r="O183" i="103"/>
  <c r="J183" i="103"/>
  <c r="E183" i="103"/>
  <c r="O182" i="103"/>
  <c r="J182" i="103"/>
  <c r="E182" i="103"/>
  <c r="O181" i="103"/>
  <c r="J181" i="103"/>
  <c r="E181" i="103"/>
  <c r="O180" i="103"/>
  <c r="J180" i="103"/>
  <c r="E180" i="103"/>
  <c r="O179" i="103"/>
  <c r="J179" i="103"/>
  <c r="E179" i="103"/>
  <c r="O177" i="103"/>
  <c r="J177" i="103"/>
  <c r="E177" i="103"/>
  <c r="L176" i="103"/>
  <c r="G176" i="103"/>
  <c r="B176" i="103"/>
  <c r="N172" i="103"/>
  <c r="M172" i="103"/>
  <c r="L172" i="103"/>
  <c r="I172" i="103"/>
  <c r="H172" i="103"/>
  <c r="G172" i="103"/>
  <c r="D172" i="103"/>
  <c r="C172" i="103"/>
  <c r="B172" i="103"/>
  <c r="O170" i="103"/>
  <c r="J170" i="103"/>
  <c r="E170" i="103"/>
  <c r="O169" i="103"/>
  <c r="J169" i="103"/>
  <c r="E169" i="103"/>
  <c r="O168" i="103"/>
  <c r="J168" i="103"/>
  <c r="E168" i="103"/>
  <c r="O167" i="103"/>
  <c r="J167" i="103"/>
  <c r="E167" i="103"/>
  <c r="O166" i="103"/>
  <c r="J166" i="103"/>
  <c r="E166" i="103"/>
  <c r="O165" i="103"/>
  <c r="J165" i="103"/>
  <c r="E165" i="103"/>
  <c r="O164" i="103"/>
  <c r="J164" i="103"/>
  <c r="E164" i="103"/>
  <c r="O163" i="103"/>
  <c r="J163" i="103"/>
  <c r="E163" i="103"/>
  <c r="O162" i="103"/>
  <c r="J162" i="103"/>
  <c r="E162" i="103"/>
  <c r="O160" i="103"/>
  <c r="J160" i="103"/>
  <c r="E160" i="103"/>
  <c r="L159" i="103"/>
  <c r="G159" i="103"/>
  <c r="B159" i="103"/>
  <c r="N155" i="103"/>
  <c r="M155" i="103"/>
  <c r="L155" i="103"/>
  <c r="I155" i="103"/>
  <c r="H155" i="103"/>
  <c r="G155" i="103"/>
  <c r="D155" i="103"/>
  <c r="C155" i="103"/>
  <c r="B155" i="103"/>
  <c r="O153" i="103"/>
  <c r="J153" i="103"/>
  <c r="E153" i="103"/>
  <c r="O152" i="103"/>
  <c r="J152" i="103"/>
  <c r="E152" i="103"/>
  <c r="O151" i="103"/>
  <c r="J151" i="103"/>
  <c r="E151" i="103"/>
  <c r="O150" i="103"/>
  <c r="J150" i="103"/>
  <c r="E150" i="103"/>
  <c r="O149" i="103"/>
  <c r="J149" i="103"/>
  <c r="E149" i="103"/>
  <c r="O148" i="103"/>
  <c r="J148" i="103"/>
  <c r="E148" i="103"/>
  <c r="O147" i="103"/>
  <c r="J147" i="103"/>
  <c r="E147" i="103"/>
  <c r="O146" i="103"/>
  <c r="J146" i="103"/>
  <c r="E146" i="103"/>
  <c r="O145" i="103"/>
  <c r="J145" i="103"/>
  <c r="E145" i="103"/>
  <c r="O143" i="103"/>
  <c r="J143" i="103"/>
  <c r="E143" i="103"/>
  <c r="L142" i="103"/>
  <c r="G142" i="103"/>
  <c r="B142" i="103"/>
  <c r="N138" i="103"/>
  <c r="M138" i="103"/>
  <c r="L138" i="103"/>
  <c r="I138" i="103"/>
  <c r="H138" i="103"/>
  <c r="G138" i="103"/>
  <c r="D138" i="103"/>
  <c r="C138" i="103"/>
  <c r="B138" i="103"/>
  <c r="O136" i="103"/>
  <c r="J136" i="103"/>
  <c r="E136" i="103"/>
  <c r="O135" i="103"/>
  <c r="J135" i="103"/>
  <c r="E135" i="103"/>
  <c r="O134" i="103"/>
  <c r="J134" i="103"/>
  <c r="E134" i="103"/>
  <c r="O133" i="103"/>
  <c r="J133" i="103"/>
  <c r="E133" i="103"/>
  <c r="O132" i="103"/>
  <c r="J132" i="103"/>
  <c r="E132" i="103"/>
  <c r="O131" i="103"/>
  <c r="J131" i="103"/>
  <c r="E131" i="103"/>
  <c r="O130" i="103"/>
  <c r="J130" i="103"/>
  <c r="E130" i="103"/>
  <c r="O129" i="103"/>
  <c r="J129" i="103"/>
  <c r="E129" i="103"/>
  <c r="O128" i="103"/>
  <c r="J128" i="103"/>
  <c r="E128" i="103"/>
  <c r="O126" i="103"/>
  <c r="J126" i="103"/>
  <c r="E126" i="103"/>
  <c r="L125" i="103"/>
  <c r="G125" i="103"/>
  <c r="B125" i="103"/>
  <c r="N121" i="103"/>
  <c r="M121" i="103"/>
  <c r="L121" i="103"/>
  <c r="I121" i="103"/>
  <c r="H121" i="103"/>
  <c r="G121" i="103"/>
  <c r="D121" i="103"/>
  <c r="C121" i="103"/>
  <c r="B121" i="103"/>
  <c r="O119" i="103"/>
  <c r="J119" i="103"/>
  <c r="E119" i="103"/>
  <c r="O118" i="103"/>
  <c r="J118" i="103"/>
  <c r="E118" i="103"/>
  <c r="O117" i="103"/>
  <c r="J117" i="103"/>
  <c r="E117" i="103"/>
  <c r="O116" i="103"/>
  <c r="J116" i="103"/>
  <c r="E116" i="103"/>
  <c r="O115" i="103"/>
  <c r="J115" i="103"/>
  <c r="E115" i="103"/>
  <c r="O114" i="103"/>
  <c r="J114" i="103"/>
  <c r="E114" i="103"/>
  <c r="O113" i="103"/>
  <c r="J113" i="103"/>
  <c r="E113" i="103"/>
  <c r="O112" i="103"/>
  <c r="J112" i="103"/>
  <c r="E112" i="103"/>
  <c r="O111" i="103"/>
  <c r="J111" i="103"/>
  <c r="E111" i="103"/>
  <c r="O109" i="103"/>
  <c r="J109" i="103"/>
  <c r="E109" i="103"/>
  <c r="L108" i="103"/>
  <c r="G108" i="103"/>
  <c r="B108" i="103"/>
  <c r="N104" i="103"/>
  <c r="M104" i="103"/>
  <c r="L104" i="103"/>
  <c r="I104" i="103"/>
  <c r="H104" i="103"/>
  <c r="G104" i="103"/>
  <c r="D104" i="103"/>
  <c r="C104" i="103"/>
  <c r="B104" i="103"/>
  <c r="O102" i="103"/>
  <c r="J102" i="103"/>
  <c r="E102" i="103"/>
  <c r="O101" i="103"/>
  <c r="J101" i="103"/>
  <c r="E101" i="103"/>
  <c r="O100" i="103"/>
  <c r="J100" i="103"/>
  <c r="E100" i="103"/>
  <c r="O99" i="103"/>
  <c r="J99" i="103"/>
  <c r="E99" i="103"/>
  <c r="O98" i="103"/>
  <c r="J98" i="103"/>
  <c r="E98" i="103"/>
  <c r="O97" i="103"/>
  <c r="J97" i="103"/>
  <c r="E97" i="103"/>
  <c r="O96" i="103"/>
  <c r="J96" i="103"/>
  <c r="E96" i="103"/>
  <c r="O95" i="103"/>
  <c r="J95" i="103"/>
  <c r="E95" i="103"/>
  <c r="O94" i="103"/>
  <c r="J94" i="103"/>
  <c r="E94" i="103"/>
  <c r="O92" i="103"/>
  <c r="J92" i="103"/>
  <c r="E92" i="103"/>
  <c r="L91" i="103"/>
  <c r="G91" i="103"/>
  <c r="B91" i="103"/>
  <c r="N87" i="103"/>
  <c r="M87" i="103"/>
  <c r="L87" i="103"/>
  <c r="I87" i="103"/>
  <c r="H87" i="103"/>
  <c r="G87" i="103"/>
  <c r="D87" i="103"/>
  <c r="C87" i="103"/>
  <c r="B87" i="103"/>
  <c r="O85" i="103"/>
  <c r="J85" i="103"/>
  <c r="E85" i="103"/>
  <c r="O84" i="103"/>
  <c r="J84" i="103"/>
  <c r="E84" i="103"/>
  <c r="O83" i="103"/>
  <c r="J83" i="103"/>
  <c r="E83" i="103"/>
  <c r="O82" i="103"/>
  <c r="J82" i="103"/>
  <c r="E82" i="103"/>
  <c r="O81" i="103"/>
  <c r="J81" i="103"/>
  <c r="E81" i="103"/>
  <c r="O80" i="103"/>
  <c r="J80" i="103"/>
  <c r="E80" i="103"/>
  <c r="O79" i="103"/>
  <c r="J79" i="103"/>
  <c r="E79" i="103"/>
  <c r="O78" i="103"/>
  <c r="J78" i="103"/>
  <c r="E78" i="103"/>
  <c r="O77" i="103"/>
  <c r="J77" i="103"/>
  <c r="E77" i="103"/>
  <c r="O75" i="103"/>
  <c r="J75" i="103"/>
  <c r="E75" i="103"/>
  <c r="L74" i="103"/>
  <c r="G74" i="103"/>
  <c r="B74" i="103"/>
  <c r="N70" i="103"/>
  <c r="M70" i="103"/>
  <c r="L70" i="103"/>
  <c r="I70" i="103"/>
  <c r="H70" i="103"/>
  <c r="G70" i="103"/>
  <c r="D70" i="103"/>
  <c r="C70" i="103"/>
  <c r="B70" i="103"/>
  <c r="O68" i="103"/>
  <c r="J68" i="103"/>
  <c r="E68" i="103"/>
  <c r="O67" i="103"/>
  <c r="J67" i="103"/>
  <c r="E67" i="103"/>
  <c r="O66" i="103"/>
  <c r="J66" i="103"/>
  <c r="E66" i="103"/>
  <c r="O65" i="103"/>
  <c r="J65" i="103"/>
  <c r="E65" i="103"/>
  <c r="O64" i="103"/>
  <c r="J64" i="103"/>
  <c r="E64" i="103"/>
  <c r="O63" i="103"/>
  <c r="J63" i="103"/>
  <c r="E63" i="103"/>
  <c r="O62" i="103"/>
  <c r="J62" i="103"/>
  <c r="E62" i="103"/>
  <c r="O61" i="103"/>
  <c r="J61" i="103"/>
  <c r="E61" i="103"/>
  <c r="O60" i="103"/>
  <c r="J60" i="103"/>
  <c r="E60" i="103"/>
  <c r="O58" i="103"/>
  <c r="J58" i="103"/>
  <c r="E58" i="103"/>
  <c r="L57" i="103"/>
  <c r="G57" i="103"/>
  <c r="B57" i="103"/>
  <c r="N53" i="103"/>
  <c r="M53" i="103"/>
  <c r="L53" i="103"/>
  <c r="I53" i="103"/>
  <c r="H53" i="103"/>
  <c r="G53" i="103"/>
  <c r="D53" i="103"/>
  <c r="C53" i="103"/>
  <c r="B53" i="103"/>
  <c r="O51" i="103"/>
  <c r="J51" i="103"/>
  <c r="E51" i="103"/>
  <c r="O50" i="103"/>
  <c r="J50" i="103"/>
  <c r="E50" i="103"/>
  <c r="O49" i="103"/>
  <c r="J49" i="103"/>
  <c r="E49" i="103"/>
  <c r="O48" i="103"/>
  <c r="J48" i="103"/>
  <c r="E48" i="103"/>
  <c r="O47" i="103"/>
  <c r="J47" i="103"/>
  <c r="E47" i="103"/>
  <c r="O46" i="103"/>
  <c r="J46" i="103"/>
  <c r="E46" i="103"/>
  <c r="O45" i="103"/>
  <c r="J45" i="103"/>
  <c r="E45" i="103"/>
  <c r="O44" i="103"/>
  <c r="J44" i="103"/>
  <c r="E44" i="103"/>
  <c r="O43" i="103"/>
  <c r="J43" i="103"/>
  <c r="E43" i="103"/>
  <c r="O41" i="103"/>
  <c r="J41" i="103"/>
  <c r="E41" i="103"/>
  <c r="L40" i="103"/>
  <c r="G40" i="103"/>
  <c r="B40" i="103"/>
  <c r="J30" i="103"/>
  <c r="C36" i="103"/>
  <c r="D36" i="103"/>
  <c r="G36" i="103"/>
  <c r="H36" i="103"/>
  <c r="I36" i="103"/>
  <c r="L36" i="103"/>
  <c r="M36" i="103"/>
  <c r="N36" i="103"/>
  <c r="J566" i="102" l="1"/>
  <c r="E276" i="102"/>
  <c r="Y156" i="102"/>
  <c r="E41" i="102"/>
  <c r="E321" i="102"/>
  <c r="E241" i="102"/>
  <c r="J466" i="102"/>
  <c r="T156" i="102"/>
  <c r="J321" i="102"/>
  <c r="E296" i="102"/>
  <c r="Y41" i="102"/>
  <c r="E156" i="102"/>
  <c r="T216" i="102"/>
  <c r="O541" i="102"/>
  <c r="J66" i="102"/>
  <c r="E426" i="102"/>
  <c r="T321" i="102"/>
  <c r="J426" i="102"/>
  <c r="J276" i="102"/>
  <c r="E511" i="102"/>
  <c r="T371" i="102"/>
  <c r="J511" i="102"/>
  <c r="T41" i="102"/>
  <c r="O276" i="102"/>
  <c r="J156" i="102"/>
  <c r="J41" i="102"/>
  <c r="J216" i="102"/>
  <c r="O511" i="102"/>
  <c r="T296" i="102"/>
  <c r="O156" i="102"/>
  <c r="J541" i="102"/>
  <c r="Y191" i="102"/>
  <c r="Y276" i="102"/>
  <c r="O566" i="102"/>
  <c r="J296" i="102"/>
  <c r="O296" i="102"/>
  <c r="E346" i="102"/>
  <c r="E371" i="102"/>
  <c r="O191" i="102"/>
  <c r="O41" i="102"/>
  <c r="O426" i="102"/>
  <c r="J241" i="102"/>
  <c r="O371" i="102"/>
  <c r="Y371" i="102"/>
  <c r="T241" i="102"/>
  <c r="Y296" i="102"/>
  <c r="O321" i="102"/>
  <c r="T346" i="102"/>
  <c r="T511" i="102"/>
  <c r="E566" i="102"/>
  <c r="E466" i="102"/>
  <c r="Y66" i="102"/>
  <c r="E191" i="102"/>
  <c r="Y241" i="102"/>
  <c r="T426" i="102"/>
  <c r="Y346" i="102"/>
  <c r="E66" i="102"/>
  <c r="O346" i="102"/>
  <c r="Y426" i="102"/>
  <c r="T466" i="102"/>
  <c r="T541" i="102"/>
  <c r="J346" i="102"/>
  <c r="O66" i="102"/>
  <c r="Y216" i="102"/>
  <c r="Y566" i="102"/>
  <c r="T276" i="102"/>
  <c r="J371" i="102"/>
  <c r="T66" i="102"/>
  <c r="T191" i="102"/>
  <c r="Y321" i="102"/>
  <c r="O241" i="102"/>
  <c r="Y511" i="102"/>
  <c r="Y466" i="102"/>
  <c r="O216" i="102"/>
  <c r="O466" i="102"/>
  <c r="Y541" i="102"/>
  <c r="T566" i="102"/>
  <c r="J191" i="102"/>
  <c r="E216" i="102"/>
  <c r="E541" i="102"/>
  <c r="E546" i="103"/>
  <c r="O580" i="103"/>
  <c r="J631" i="103"/>
  <c r="E682" i="103"/>
  <c r="O682" i="103"/>
  <c r="O716" i="103"/>
  <c r="J767" i="103"/>
  <c r="E818" i="103"/>
  <c r="O818" i="103"/>
  <c r="O852" i="103"/>
  <c r="J903" i="103"/>
  <c r="E954" i="103"/>
  <c r="O988" i="103"/>
  <c r="E1090" i="103"/>
  <c r="J1175" i="103"/>
  <c r="E1226" i="103"/>
  <c r="O1260" i="103"/>
  <c r="E53" i="103"/>
  <c r="O70" i="103"/>
  <c r="J410" i="103"/>
  <c r="O359" i="103"/>
  <c r="E529" i="103"/>
  <c r="O87" i="103"/>
  <c r="E461" i="103"/>
  <c r="J138" i="103"/>
  <c r="E189" i="103"/>
  <c r="E325" i="103"/>
  <c r="E240" i="103"/>
  <c r="E376" i="103"/>
  <c r="J546" i="103"/>
  <c r="J818" i="103"/>
  <c r="J1090" i="103"/>
  <c r="O1243" i="103"/>
  <c r="E1277" i="103"/>
  <c r="O53" i="103"/>
  <c r="J376" i="103"/>
  <c r="O461" i="103"/>
  <c r="O886" i="103"/>
  <c r="E1192" i="103"/>
  <c r="O1226" i="103"/>
  <c r="J240" i="103"/>
  <c r="J291" i="103"/>
  <c r="J427" i="103"/>
  <c r="J648" i="103"/>
  <c r="O733" i="103"/>
  <c r="O869" i="103"/>
  <c r="E1107" i="103"/>
  <c r="O1277" i="103"/>
  <c r="J70" i="103"/>
  <c r="E121" i="103"/>
  <c r="J206" i="103"/>
  <c r="E257" i="103"/>
  <c r="O291" i="103"/>
  <c r="J342" i="103"/>
  <c r="E393" i="103"/>
  <c r="O427" i="103"/>
  <c r="J478" i="103"/>
  <c r="J563" i="103"/>
  <c r="E614" i="103"/>
  <c r="O648" i="103"/>
  <c r="J699" i="103"/>
  <c r="E750" i="103"/>
  <c r="O784" i="103"/>
  <c r="J835" i="103"/>
  <c r="O920" i="103"/>
  <c r="J971" i="103"/>
  <c r="E1022" i="103"/>
  <c r="O1056" i="103"/>
  <c r="J1107" i="103"/>
  <c r="E1124" i="103"/>
  <c r="O1124" i="103"/>
  <c r="E1158" i="103"/>
  <c r="O1192" i="103"/>
  <c r="J1243" i="103"/>
  <c r="E1294" i="103"/>
  <c r="J53" i="103"/>
  <c r="E70" i="103"/>
  <c r="J325" i="103"/>
  <c r="E869" i="103"/>
  <c r="O1022" i="103"/>
  <c r="E1243" i="103"/>
  <c r="E155" i="103"/>
  <c r="E291" i="103"/>
  <c r="J512" i="103"/>
  <c r="E648" i="103"/>
  <c r="J733" i="103"/>
  <c r="E886" i="103"/>
  <c r="E1056" i="103"/>
  <c r="E206" i="103"/>
  <c r="O240" i="103"/>
  <c r="O376" i="103"/>
  <c r="E478" i="103"/>
  <c r="O495" i="103"/>
  <c r="J614" i="103"/>
  <c r="J920" i="103"/>
  <c r="E971" i="103"/>
  <c r="O1141" i="103"/>
  <c r="J121" i="103"/>
  <c r="E172" i="103"/>
  <c r="O206" i="103"/>
  <c r="J257" i="103"/>
  <c r="E308" i="103"/>
  <c r="O342" i="103"/>
  <c r="J393" i="103"/>
  <c r="E444" i="103"/>
  <c r="O478" i="103"/>
  <c r="J529" i="103"/>
  <c r="O563" i="103"/>
  <c r="E665" i="103"/>
  <c r="O699" i="103"/>
  <c r="J750" i="103"/>
  <c r="E801" i="103"/>
  <c r="O835" i="103"/>
  <c r="J869" i="103"/>
  <c r="J886" i="103"/>
  <c r="E937" i="103"/>
  <c r="O971" i="103"/>
  <c r="J1022" i="103"/>
  <c r="E1073" i="103"/>
  <c r="O1107" i="103"/>
  <c r="E1209" i="103"/>
  <c r="J1294" i="103"/>
  <c r="O138" i="103"/>
  <c r="O274" i="103"/>
  <c r="J461" i="103"/>
  <c r="E512" i="103"/>
  <c r="E733" i="103"/>
  <c r="J1039" i="103"/>
  <c r="J1226" i="103"/>
  <c r="E427" i="103"/>
  <c r="O1090" i="103"/>
  <c r="J1277" i="103"/>
  <c r="E563" i="103"/>
  <c r="J1005" i="103"/>
  <c r="J1192" i="103"/>
  <c r="O121" i="103"/>
  <c r="J172" i="103"/>
  <c r="E223" i="103"/>
  <c r="O223" i="103"/>
  <c r="J274" i="103"/>
  <c r="J308" i="103"/>
  <c r="E359" i="103"/>
  <c r="J444" i="103"/>
  <c r="E495" i="103"/>
  <c r="O512" i="103"/>
  <c r="E580" i="103"/>
  <c r="O597" i="103"/>
  <c r="O614" i="103"/>
  <c r="J665" i="103"/>
  <c r="E716" i="103"/>
  <c r="O750" i="103"/>
  <c r="J801" i="103"/>
  <c r="E852" i="103"/>
  <c r="J937" i="103"/>
  <c r="E988" i="103"/>
  <c r="J1073" i="103"/>
  <c r="O1158" i="103"/>
  <c r="J1158" i="103"/>
  <c r="J1209" i="103"/>
  <c r="E1260" i="103"/>
  <c r="O1294" i="103"/>
  <c r="J189" i="103"/>
  <c r="O257" i="103"/>
  <c r="O393" i="103"/>
  <c r="O410" i="103"/>
  <c r="E597" i="103"/>
  <c r="O631" i="103"/>
  <c r="J682" i="103"/>
  <c r="O767" i="103"/>
  <c r="O903" i="103"/>
  <c r="J954" i="103"/>
  <c r="E1005" i="103"/>
  <c r="O1039" i="103"/>
  <c r="E1141" i="103"/>
  <c r="O1175" i="103"/>
  <c r="J104" i="103"/>
  <c r="O189" i="103"/>
  <c r="O325" i="103"/>
  <c r="O529" i="103"/>
  <c r="O546" i="103"/>
  <c r="J597" i="103"/>
  <c r="E784" i="103"/>
  <c r="E920" i="103"/>
  <c r="O954" i="103"/>
  <c r="J1141" i="103"/>
  <c r="J155" i="103"/>
  <c r="E342" i="103"/>
  <c r="E699" i="103"/>
  <c r="J784" i="103"/>
  <c r="E835" i="103"/>
  <c r="O1005" i="103"/>
  <c r="J1056" i="103"/>
  <c r="E87" i="103"/>
  <c r="J87" i="103"/>
  <c r="E104" i="103"/>
  <c r="O104" i="103"/>
  <c r="E138" i="103"/>
  <c r="O155" i="103"/>
  <c r="O172" i="103"/>
  <c r="J223" i="103"/>
  <c r="E274" i="103"/>
  <c r="O308" i="103"/>
  <c r="J359" i="103"/>
  <c r="E410" i="103"/>
  <c r="O444" i="103"/>
  <c r="J495" i="103"/>
  <c r="J580" i="103"/>
  <c r="E631" i="103"/>
  <c r="O665" i="103"/>
  <c r="J716" i="103"/>
  <c r="E767" i="103"/>
  <c r="O801" i="103"/>
  <c r="J852" i="103"/>
  <c r="E903" i="103"/>
  <c r="O937" i="103"/>
  <c r="J988" i="103"/>
  <c r="E1039" i="103"/>
  <c r="O1073" i="103"/>
  <c r="J1124" i="103"/>
  <c r="E1175" i="103"/>
  <c r="O1209" i="103"/>
  <c r="J1260" i="103"/>
  <c r="D134" i="101"/>
  <c r="H47" i="101" l="1"/>
  <c r="L706" i="101"/>
  <c r="B716" i="101"/>
  <c r="K699" i="101"/>
  <c r="J699" i="101"/>
  <c r="G699" i="101"/>
  <c r="F699" i="101"/>
  <c r="C699" i="101"/>
  <c r="B699" i="101"/>
  <c r="L697" i="101"/>
  <c r="H697" i="101"/>
  <c r="D697" i="101"/>
  <c r="L696" i="101"/>
  <c r="H696" i="101"/>
  <c r="D696" i="101"/>
  <c r="L695" i="101"/>
  <c r="H695" i="101"/>
  <c r="D695" i="101"/>
  <c r="L694" i="101"/>
  <c r="H694" i="101"/>
  <c r="D694" i="101"/>
  <c r="L693" i="101"/>
  <c r="H693" i="101"/>
  <c r="D693" i="101"/>
  <c r="L692" i="101"/>
  <c r="H692" i="101"/>
  <c r="D692" i="101"/>
  <c r="L691" i="101"/>
  <c r="H691" i="101"/>
  <c r="D691" i="101"/>
  <c r="L690" i="101"/>
  <c r="H690" i="101"/>
  <c r="D690" i="101"/>
  <c r="L689" i="101"/>
  <c r="H689" i="101"/>
  <c r="D689" i="101"/>
  <c r="K682" i="101"/>
  <c r="J682" i="101"/>
  <c r="G682" i="101"/>
  <c r="F682" i="101"/>
  <c r="C682" i="101"/>
  <c r="B682" i="101"/>
  <c r="L680" i="101"/>
  <c r="H680" i="101"/>
  <c r="D680" i="101"/>
  <c r="L679" i="101"/>
  <c r="H679" i="101"/>
  <c r="D679" i="101"/>
  <c r="L678" i="101"/>
  <c r="H678" i="101"/>
  <c r="D678" i="101"/>
  <c r="L677" i="101"/>
  <c r="H677" i="101"/>
  <c r="D677" i="101"/>
  <c r="L676" i="101"/>
  <c r="H676" i="101"/>
  <c r="D676" i="101"/>
  <c r="L675" i="101"/>
  <c r="H675" i="101"/>
  <c r="D675" i="101"/>
  <c r="L674" i="101"/>
  <c r="H674" i="101"/>
  <c r="D674" i="101"/>
  <c r="L673" i="101"/>
  <c r="H673" i="101"/>
  <c r="D673" i="101"/>
  <c r="L672" i="101"/>
  <c r="H672" i="101"/>
  <c r="D672" i="101"/>
  <c r="K665" i="101"/>
  <c r="J665" i="101"/>
  <c r="G665" i="101"/>
  <c r="F665" i="101"/>
  <c r="C665" i="101"/>
  <c r="B665" i="101"/>
  <c r="L663" i="101"/>
  <c r="H663" i="101"/>
  <c r="D663" i="101"/>
  <c r="L662" i="101"/>
  <c r="H662" i="101"/>
  <c r="D662" i="101"/>
  <c r="L661" i="101"/>
  <c r="H661" i="101"/>
  <c r="D661" i="101"/>
  <c r="L660" i="101"/>
  <c r="H660" i="101"/>
  <c r="D660" i="101"/>
  <c r="L659" i="101"/>
  <c r="H659" i="101"/>
  <c r="D659" i="101"/>
  <c r="L658" i="101"/>
  <c r="H658" i="101"/>
  <c r="D658" i="101"/>
  <c r="L657" i="101"/>
  <c r="H657" i="101"/>
  <c r="D657" i="101"/>
  <c r="L656" i="101"/>
  <c r="H656" i="101"/>
  <c r="D656" i="101"/>
  <c r="L655" i="101"/>
  <c r="H655" i="101"/>
  <c r="D655" i="101"/>
  <c r="K648" i="101"/>
  <c r="J648" i="101"/>
  <c r="G648" i="101"/>
  <c r="F648" i="101"/>
  <c r="C648" i="101"/>
  <c r="B648" i="101"/>
  <c r="L646" i="101"/>
  <c r="H646" i="101"/>
  <c r="D646" i="101"/>
  <c r="L645" i="101"/>
  <c r="H645" i="101"/>
  <c r="D645" i="101"/>
  <c r="L644" i="101"/>
  <c r="H644" i="101"/>
  <c r="D644" i="101"/>
  <c r="L643" i="101"/>
  <c r="H643" i="101"/>
  <c r="D643" i="101"/>
  <c r="L642" i="101"/>
  <c r="H642" i="101"/>
  <c r="D642" i="101"/>
  <c r="L641" i="101"/>
  <c r="H641" i="101"/>
  <c r="D641" i="101"/>
  <c r="L640" i="101"/>
  <c r="H640" i="101"/>
  <c r="D640" i="101"/>
  <c r="L639" i="101"/>
  <c r="H639" i="101"/>
  <c r="D639" i="101"/>
  <c r="L638" i="101"/>
  <c r="H638" i="101"/>
  <c r="D638" i="101"/>
  <c r="K631" i="101"/>
  <c r="J631" i="101"/>
  <c r="G631" i="101"/>
  <c r="F631" i="101"/>
  <c r="C631" i="101"/>
  <c r="B631" i="101"/>
  <c r="L629" i="101"/>
  <c r="H629" i="101"/>
  <c r="D629" i="101"/>
  <c r="L628" i="101"/>
  <c r="H628" i="101"/>
  <c r="D628" i="101"/>
  <c r="L627" i="101"/>
  <c r="H627" i="101"/>
  <c r="D627" i="101"/>
  <c r="L626" i="101"/>
  <c r="H626" i="101"/>
  <c r="D626" i="101"/>
  <c r="L625" i="101"/>
  <c r="H625" i="101"/>
  <c r="D625" i="101"/>
  <c r="L624" i="101"/>
  <c r="H624" i="101"/>
  <c r="D624" i="101"/>
  <c r="L623" i="101"/>
  <c r="H623" i="101"/>
  <c r="D623" i="101"/>
  <c r="L622" i="101"/>
  <c r="H622" i="101"/>
  <c r="D622" i="101"/>
  <c r="L621" i="101"/>
  <c r="H621" i="101"/>
  <c r="D621" i="101"/>
  <c r="K614" i="101"/>
  <c r="J614" i="101"/>
  <c r="G614" i="101"/>
  <c r="F614" i="101"/>
  <c r="C614" i="101"/>
  <c r="B614" i="101"/>
  <c r="L612" i="101"/>
  <c r="H612" i="101"/>
  <c r="D612" i="101"/>
  <c r="L611" i="101"/>
  <c r="H611" i="101"/>
  <c r="D611" i="101"/>
  <c r="L610" i="101"/>
  <c r="H610" i="101"/>
  <c r="D610" i="101"/>
  <c r="L609" i="101"/>
  <c r="H609" i="101"/>
  <c r="D609" i="101"/>
  <c r="L608" i="101"/>
  <c r="H608" i="101"/>
  <c r="D608" i="101"/>
  <c r="L607" i="101"/>
  <c r="H607" i="101"/>
  <c r="D607" i="101"/>
  <c r="L606" i="101"/>
  <c r="H606" i="101"/>
  <c r="D606" i="101"/>
  <c r="L605" i="101"/>
  <c r="H605" i="101"/>
  <c r="D605" i="101"/>
  <c r="L604" i="101"/>
  <c r="H604" i="101"/>
  <c r="D604" i="101"/>
  <c r="K597" i="101"/>
  <c r="J597" i="101"/>
  <c r="G597" i="101"/>
  <c r="F597" i="101"/>
  <c r="C597" i="101"/>
  <c r="B597" i="101"/>
  <c r="L595" i="101"/>
  <c r="H595" i="101"/>
  <c r="D595" i="101"/>
  <c r="L594" i="101"/>
  <c r="H594" i="101"/>
  <c r="D594" i="101"/>
  <c r="L593" i="101"/>
  <c r="H593" i="101"/>
  <c r="D593" i="101"/>
  <c r="L592" i="101"/>
  <c r="H592" i="101"/>
  <c r="D592" i="101"/>
  <c r="L591" i="101"/>
  <c r="H591" i="101"/>
  <c r="D591" i="101"/>
  <c r="L590" i="101"/>
  <c r="H590" i="101"/>
  <c r="D590" i="101"/>
  <c r="L589" i="101"/>
  <c r="H589" i="101"/>
  <c r="D589" i="101"/>
  <c r="L588" i="101"/>
  <c r="H588" i="101"/>
  <c r="D588" i="101"/>
  <c r="L587" i="101"/>
  <c r="H587" i="101"/>
  <c r="D587" i="101"/>
  <c r="K580" i="101"/>
  <c r="J580" i="101"/>
  <c r="G580" i="101"/>
  <c r="F580" i="101"/>
  <c r="C580" i="101"/>
  <c r="B580" i="101"/>
  <c r="L578" i="101"/>
  <c r="H578" i="101"/>
  <c r="D578" i="101"/>
  <c r="L577" i="101"/>
  <c r="H577" i="101"/>
  <c r="D577" i="101"/>
  <c r="L576" i="101"/>
  <c r="H576" i="101"/>
  <c r="D576" i="101"/>
  <c r="L575" i="101"/>
  <c r="H575" i="101"/>
  <c r="D575" i="101"/>
  <c r="L574" i="101"/>
  <c r="H574" i="101"/>
  <c r="D574" i="101"/>
  <c r="L573" i="101"/>
  <c r="H573" i="101"/>
  <c r="D573" i="101"/>
  <c r="L572" i="101"/>
  <c r="H572" i="101"/>
  <c r="D572" i="101"/>
  <c r="L571" i="101"/>
  <c r="H571" i="101"/>
  <c r="D571" i="101"/>
  <c r="L570" i="101"/>
  <c r="H570" i="101"/>
  <c r="D570" i="101"/>
  <c r="K563" i="101"/>
  <c r="J563" i="101"/>
  <c r="G563" i="101"/>
  <c r="F563" i="101"/>
  <c r="C563" i="101"/>
  <c r="B563" i="101"/>
  <c r="L561" i="101"/>
  <c r="H561" i="101"/>
  <c r="D561" i="101"/>
  <c r="L560" i="101"/>
  <c r="H560" i="101"/>
  <c r="D560" i="101"/>
  <c r="L559" i="101"/>
  <c r="H559" i="101"/>
  <c r="D559" i="101"/>
  <c r="L558" i="101"/>
  <c r="H558" i="101"/>
  <c r="D558" i="101"/>
  <c r="L557" i="101"/>
  <c r="H557" i="101"/>
  <c r="D557" i="101"/>
  <c r="L556" i="101"/>
  <c r="H556" i="101"/>
  <c r="D556" i="101"/>
  <c r="L555" i="101"/>
  <c r="H555" i="101"/>
  <c r="D555" i="101"/>
  <c r="L554" i="101"/>
  <c r="H554" i="101"/>
  <c r="D554" i="101"/>
  <c r="L553" i="101"/>
  <c r="H553" i="101"/>
  <c r="D553" i="101"/>
  <c r="K546" i="101"/>
  <c r="J546" i="101"/>
  <c r="G546" i="101"/>
  <c r="F546" i="101"/>
  <c r="C546" i="101"/>
  <c r="B546" i="101"/>
  <c r="L544" i="101"/>
  <c r="H544" i="101"/>
  <c r="D544" i="101"/>
  <c r="L543" i="101"/>
  <c r="H543" i="101"/>
  <c r="D543" i="101"/>
  <c r="L542" i="101"/>
  <c r="H542" i="101"/>
  <c r="D542" i="101"/>
  <c r="L541" i="101"/>
  <c r="H541" i="101"/>
  <c r="D541" i="101"/>
  <c r="L540" i="101"/>
  <c r="H540" i="101"/>
  <c r="D540" i="101"/>
  <c r="L539" i="101"/>
  <c r="H539" i="101"/>
  <c r="D539" i="101"/>
  <c r="L538" i="101"/>
  <c r="H538" i="101"/>
  <c r="D538" i="101"/>
  <c r="L537" i="101"/>
  <c r="H537" i="101"/>
  <c r="D537" i="101"/>
  <c r="L536" i="101"/>
  <c r="H536" i="101"/>
  <c r="D536" i="101"/>
  <c r="K529" i="101"/>
  <c r="J529" i="101"/>
  <c r="G529" i="101"/>
  <c r="F529" i="101"/>
  <c r="C529" i="101"/>
  <c r="B529" i="101"/>
  <c r="L527" i="101"/>
  <c r="H527" i="101"/>
  <c r="D527" i="101"/>
  <c r="L526" i="101"/>
  <c r="H526" i="101"/>
  <c r="D526" i="101"/>
  <c r="L525" i="101"/>
  <c r="H525" i="101"/>
  <c r="D525" i="101"/>
  <c r="L524" i="101"/>
  <c r="H524" i="101"/>
  <c r="D524" i="101"/>
  <c r="L523" i="101"/>
  <c r="H523" i="101"/>
  <c r="D523" i="101"/>
  <c r="L522" i="101"/>
  <c r="H522" i="101"/>
  <c r="D522" i="101"/>
  <c r="L521" i="101"/>
  <c r="H521" i="101"/>
  <c r="D521" i="101"/>
  <c r="L520" i="101"/>
  <c r="H520" i="101"/>
  <c r="D520" i="101"/>
  <c r="L519" i="101"/>
  <c r="H519" i="101"/>
  <c r="D519" i="101"/>
  <c r="K512" i="101"/>
  <c r="J512" i="101"/>
  <c r="G512" i="101"/>
  <c r="F512" i="101"/>
  <c r="C512" i="101"/>
  <c r="B512" i="101"/>
  <c r="L510" i="101"/>
  <c r="H510" i="101"/>
  <c r="D510" i="101"/>
  <c r="L509" i="101"/>
  <c r="H509" i="101"/>
  <c r="D509" i="101"/>
  <c r="L508" i="101"/>
  <c r="H508" i="101"/>
  <c r="D508" i="101"/>
  <c r="L507" i="101"/>
  <c r="H507" i="101"/>
  <c r="D507" i="101"/>
  <c r="L506" i="101"/>
  <c r="H506" i="101"/>
  <c r="D506" i="101"/>
  <c r="L505" i="101"/>
  <c r="H505" i="101"/>
  <c r="D505" i="101"/>
  <c r="L504" i="101"/>
  <c r="H504" i="101"/>
  <c r="D504" i="101"/>
  <c r="L503" i="101"/>
  <c r="H503" i="101"/>
  <c r="D503" i="101"/>
  <c r="L502" i="101"/>
  <c r="H502" i="101"/>
  <c r="D502" i="101"/>
  <c r="K495" i="101"/>
  <c r="J495" i="101"/>
  <c r="G495" i="101"/>
  <c r="F495" i="101"/>
  <c r="C495" i="101"/>
  <c r="B495" i="101"/>
  <c r="L493" i="101"/>
  <c r="H493" i="101"/>
  <c r="D493" i="101"/>
  <c r="L492" i="101"/>
  <c r="H492" i="101"/>
  <c r="D492" i="101"/>
  <c r="L491" i="101"/>
  <c r="H491" i="101"/>
  <c r="D491" i="101"/>
  <c r="L490" i="101"/>
  <c r="H490" i="101"/>
  <c r="D490" i="101"/>
  <c r="L489" i="101"/>
  <c r="H489" i="101"/>
  <c r="D489" i="101"/>
  <c r="L488" i="101"/>
  <c r="H488" i="101"/>
  <c r="D488" i="101"/>
  <c r="L487" i="101"/>
  <c r="H487" i="101"/>
  <c r="D487" i="101"/>
  <c r="L486" i="101"/>
  <c r="H486" i="101"/>
  <c r="D486" i="101"/>
  <c r="L485" i="101"/>
  <c r="H485" i="101"/>
  <c r="D485" i="101"/>
  <c r="K478" i="101"/>
  <c r="J478" i="101"/>
  <c r="G478" i="101"/>
  <c r="F478" i="101"/>
  <c r="C478" i="101"/>
  <c r="B478" i="101"/>
  <c r="L476" i="101"/>
  <c r="H476" i="101"/>
  <c r="D476" i="101"/>
  <c r="L475" i="101"/>
  <c r="H475" i="101"/>
  <c r="D475" i="101"/>
  <c r="L474" i="101"/>
  <c r="H474" i="101"/>
  <c r="D474" i="101"/>
  <c r="L473" i="101"/>
  <c r="H473" i="101"/>
  <c r="D473" i="101"/>
  <c r="L472" i="101"/>
  <c r="H472" i="101"/>
  <c r="D472" i="101"/>
  <c r="L471" i="101"/>
  <c r="H471" i="101"/>
  <c r="D471" i="101"/>
  <c r="L470" i="101"/>
  <c r="H470" i="101"/>
  <c r="D470" i="101"/>
  <c r="L469" i="101"/>
  <c r="H469" i="101"/>
  <c r="D469" i="101"/>
  <c r="L468" i="101"/>
  <c r="H468" i="101"/>
  <c r="D468" i="101"/>
  <c r="K461" i="101"/>
  <c r="J461" i="101"/>
  <c r="G461" i="101"/>
  <c r="F461" i="101"/>
  <c r="C461" i="101"/>
  <c r="B461" i="101"/>
  <c r="L459" i="101"/>
  <c r="H459" i="101"/>
  <c r="D459" i="101"/>
  <c r="L458" i="101"/>
  <c r="H458" i="101"/>
  <c r="D458" i="101"/>
  <c r="L457" i="101"/>
  <c r="H457" i="101"/>
  <c r="D457" i="101"/>
  <c r="L456" i="101"/>
  <c r="H456" i="101"/>
  <c r="D456" i="101"/>
  <c r="L455" i="101"/>
  <c r="H455" i="101"/>
  <c r="D455" i="101"/>
  <c r="L454" i="101"/>
  <c r="H454" i="101"/>
  <c r="D454" i="101"/>
  <c r="L453" i="101"/>
  <c r="H453" i="101"/>
  <c r="D453" i="101"/>
  <c r="L452" i="101"/>
  <c r="H452" i="101"/>
  <c r="D452" i="101"/>
  <c r="L451" i="101"/>
  <c r="H451" i="101"/>
  <c r="D451" i="101"/>
  <c r="K444" i="101"/>
  <c r="J444" i="101"/>
  <c r="G444" i="101"/>
  <c r="F444" i="101"/>
  <c r="C444" i="101"/>
  <c r="B444" i="101"/>
  <c r="L442" i="101"/>
  <c r="H442" i="101"/>
  <c r="D442" i="101"/>
  <c r="L441" i="101"/>
  <c r="H441" i="101"/>
  <c r="D441" i="101"/>
  <c r="L440" i="101"/>
  <c r="H440" i="101"/>
  <c r="D440" i="101"/>
  <c r="L439" i="101"/>
  <c r="H439" i="101"/>
  <c r="D439" i="101"/>
  <c r="L438" i="101"/>
  <c r="H438" i="101"/>
  <c r="D438" i="101"/>
  <c r="L437" i="101"/>
  <c r="H437" i="101"/>
  <c r="D437" i="101"/>
  <c r="L436" i="101"/>
  <c r="H436" i="101"/>
  <c r="D436" i="101"/>
  <c r="L435" i="101"/>
  <c r="H435" i="101"/>
  <c r="D435" i="101"/>
  <c r="L434" i="101"/>
  <c r="H434" i="101"/>
  <c r="D434" i="101"/>
  <c r="K427" i="101"/>
  <c r="J427" i="101"/>
  <c r="G427" i="101"/>
  <c r="F427" i="101"/>
  <c r="C427" i="101"/>
  <c r="B427" i="101"/>
  <c r="L425" i="101"/>
  <c r="H425" i="101"/>
  <c r="D425" i="101"/>
  <c r="L424" i="101"/>
  <c r="H424" i="101"/>
  <c r="D424" i="101"/>
  <c r="L423" i="101"/>
  <c r="H423" i="101"/>
  <c r="D423" i="101"/>
  <c r="L422" i="101"/>
  <c r="H422" i="101"/>
  <c r="D422" i="101"/>
  <c r="L421" i="101"/>
  <c r="H421" i="101"/>
  <c r="D421" i="101"/>
  <c r="L420" i="101"/>
  <c r="H420" i="101"/>
  <c r="D420" i="101"/>
  <c r="L419" i="101"/>
  <c r="H419" i="101"/>
  <c r="D419" i="101"/>
  <c r="L418" i="101"/>
  <c r="H418" i="101"/>
  <c r="D418" i="101"/>
  <c r="L417" i="101"/>
  <c r="H417" i="101"/>
  <c r="D417" i="101"/>
  <c r="K410" i="101"/>
  <c r="J410" i="101"/>
  <c r="G410" i="101"/>
  <c r="F410" i="101"/>
  <c r="C410" i="101"/>
  <c r="B410" i="101"/>
  <c r="L408" i="101"/>
  <c r="H408" i="101"/>
  <c r="D408" i="101"/>
  <c r="L407" i="101"/>
  <c r="H407" i="101"/>
  <c r="D407" i="101"/>
  <c r="L406" i="101"/>
  <c r="H406" i="101"/>
  <c r="D406" i="101"/>
  <c r="L405" i="101"/>
  <c r="H405" i="101"/>
  <c r="D405" i="101"/>
  <c r="L404" i="101"/>
  <c r="H404" i="101"/>
  <c r="D404" i="101"/>
  <c r="L403" i="101"/>
  <c r="H403" i="101"/>
  <c r="D403" i="101"/>
  <c r="L402" i="101"/>
  <c r="H402" i="101"/>
  <c r="D402" i="101"/>
  <c r="L401" i="101"/>
  <c r="H401" i="101"/>
  <c r="D401" i="101"/>
  <c r="L400" i="101"/>
  <c r="H400" i="101"/>
  <c r="D400" i="101"/>
  <c r="K393" i="101"/>
  <c r="J393" i="101"/>
  <c r="G393" i="101"/>
  <c r="F393" i="101"/>
  <c r="C393" i="101"/>
  <c r="B393" i="101"/>
  <c r="L391" i="101"/>
  <c r="H391" i="101"/>
  <c r="D391" i="101"/>
  <c r="L390" i="101"/>
  <c r="H390" i="101"/>
  <c r="D390" i="101"/>
  <c r="L389" i="101"/>
  <c r="H389" i="101"/>
  <c r="D389" i="101"/>
  <c r="L388" i="101"/>
  <c r="H388" i="101"/>
  <c r="D388" i="101"/>
  <c r="L387" i="101"/>
  <c r="H387" i="101"/>
  <c r="D387" i="101"/>
  <c r="L386" i="101"/>
  <c r="H386" i="101"/>
  <c r="D386" i="101"/>
  <c r="L385" i="101"/>
  <c r="H385" i="101"/>
  <c r="D385" i="101"/>
  <c r="L384" i="101"/>
  <c r="H384" i="101"/>
  <c r="D384" i="101"/>
  <c r="L383" i="101"/>
  <c r="H383" i="101"/>
  <c r="D383" i="101"/>
  <c r="K376" i="101"/>
  <c r="J376" i="101"/>
  <c r="G376" i="101"/>
  <c r="F376" i="101"/>
  <c r="C376" i="101"/>
  <c r="B376" i="101"/>
  <c r="L374" i="101"/>
  <c r="H374" i="101"/>
  <c r="D374" i="101"/>
  <c r="L373" i="101"/>
  <c r="H373" i="101"/>
  <c r="D373" i="101"/>
  <c r="L372" i="101"/>
  <c r="H372" i="101"/>
  <c r="D372" i="101"/>
  <c r="L371" i="101"/>
  <c r="H371" i="101"/>
  <c r="D371" i="101"/>
  <c r="L370" i="101"/>
  <c r="H370" i="101"/>
  <c r="D370" i="101"/>
  <c r="L369" i="101"/>
  <c r="H369" i="101"/>
  <c r="D369" i="101"/>
  <c r="L368" i="101"/>
  <c r="H368" i="101"/>
  <c r="D368" i="101"/>
  <c r="L367" i="101"/>
  <c r="H367" i="101"/>
  <c r="D367" i="101"/>
  <c r="L366" i="101"/>
  <c r="H366" i="101"/>
  <c r="D366" i="101"/>
  <c r="K359" i="101"/>
  <c r="J359" i="101"/>
  <c r="G359" i="101"/>
  <c r="F359" i="101"/>
  <c r="C359" i="101"/>
  <c r="B359" i="101"/>
  <c r="L357" i="101"/>
  <c r="H357" i="101"/>
  <c r="D357" i="101"/>
  <c r="L356" i="101"/>
  <c r="H356" i="101"/>
  <c r="D356" i="101"/>
  <c r="L355" i="101"/>
  <c r="H355" i="101"/>
  <c r="D355" i="101"/>
  <c r="L354" i="101"/>
  <c r="H354" i="101"/>
  <c r="D354" i="101"/>
  <c r="L353" i="101"/>
  <c r="H353" i="101"/>
  <c r="D353" i="101"/>
  <c r="L352" i="101"/>
  <c r="H352" i="101"/>
  <c r="D352" i="101"/>
  <c r="L351" i="101"/>
  <c r="H351" i="101"/>
  <c r="D351" i="101"/>
  <c r="L350" i="101"/>
  <c r="H350" i="101"/>
  <c r="D350" i="101"/>
  <c r="L349" i="101"/>
  <c r="H349" i="101"/>
  <c r="D349" i="101"/>
  <c r="K342" i="101"/>
  <c r="J342" i="101"/>
  <c r="G342" i="101"/>
  <c r="F342" i="101"/>
  <c r="C342" i="101"/>
  <c r="B342" i="101"/>
  <c r="L340" i="101"/>
  <c r="H340" i="101"/>
  <c r="D340" i="101"/>
  <c r="L339" i="101"/>
  <c r="H339" i="101"/>
  <c r="D339" i="101"/>
  <c r="L338" i="101"/>
  <c r="H338" i="101"/>
  <c r="D338" i="101"/>
  <c r="L337" i="101"/>
  <c r="H337" i="101"/>
  <c r="D337" i="101"/>
  <c r="L336" i="101"/>
  <c r="H336" i="101"/>
  <c r="D336" i="101"/>
  <c r="L335" i="101"/>
  <c r="H335" i="101"/>
  <c r="D335" i="101"/>
  <c r="L334" i="101"/>
  <c r="H334" i="101"/>
  <c r="D334" i="101"/>
  <c r="L333" i="101"/>
  <c r="H333" i="101"/>
  <c r="D333" i="101"/>
  <c r="L332" i="101"/>
  <c r="H332" i="101"/>
  <c r="D332" i="101"/>
  <c r="K325" i="101"/>
  <c r="J325" i="101"/>
  <c r="G325" i="101"/>
  <c r="F325" i="101"/>
  <c r="C325" i="101"/>
  <c r="B325" i="101"/>
  <c r="L323" i="101"/>
  <c r="H323" i="101"/>
  <c r="D323" i="101"/>
  <c r="L322" i="101"/>
  <c r="H322" i="101"/>
  <c r="D322" i="101"/>
  <c r="L321" i="101"/>
  <c r="H321" i="101"/>
  <c r="D321" i="101"/>
  <c r="L320" i="101"/>
  <c r="H320" i="101"/>
  <c r="D320" i="101"/>
  <c r="L319" i="101"/>
  <c r="H319" i="101"/>
  <c r="D319" i="101"/>
  <c r="L318" i="101"/>
  <c r="H318" i="101"/>
  <c r="D318" i="101"/>
  <c r="L317" i="101"/>
  <c r="H317" i="101"/>
  <c r="D317" i="101"/>
  <c r="L316" i="101"/>
  <c r="H316" i="101"/>
  <c r="D316" i="101"/>
  <c r="L315" i="101"/>
  <c r="H315" i="101"/>
  <c r="D315" i="101"/>
  <c r="K308" i="101"/>
  <c r="J308" i="101"/>
  <c r="G308" i="101"/>
  <c r="F308" i="101"/>
  <c r="C308" i="101"/>
  <c r="B308" i="101"/>
  <c r="L306" i="101"/>
  <c r="H306" i="101"/>
  <c r="D306" i="101"/>
  <c r="L305" i="101"/>
  <c r="H305" i="101"/>
  <c r="D305" i="101"/>
  <c r="L304" i="101"/>
  <c r="H304" i="101"/>
  <c r="D304" i="101"/>
  <c r="L303" i="101"/>
  <c r="H303" i="101"/>
  <c r="D303" i="101"/>
  <c r="L302" i="101"/>
  <c r="H302" i="101"/>
  <c r="D302" i="101"/>
  <c r="L301" i="101"/>
  <c r="H301" i="101"/>
  <c r="D301" i="101"/>
  <c r="L300" i="101"/>
  <c r="H300" i="101"/>
  <c r="D300" i="101"/>
  <c r="L299" i="101"/>
  <c r="H299" i="101"/>
  <c r="D299" i="101"/>
  <c r="L298" i="101"/>
  <c r="H298" i="101"/>
  <c r="D298" i="101"/>
  <c r="K291" i="101"/>
  <c r="J291" i="101"/>
  <c r="G291" i="101"/>
  <c r="F291" i="101"/>
  <c r="C291" i="101"/>
  <c r="B291" i="101"/>
  <c r="L289" i="101"/>
  <c r="H289" i="101"/>
  <c r="D289" i="101"/>
  <c r="L288" i="101"/>
  <c r="H288" i="101"/>
  <c r="D288" i="101"/>
  <c r="L287" i="101"/>
  <c r="H287" i="101"/>
  <c r="D287" i="101"/>
  <c r="L286" i="101"/>
  <c r="H286" i="101"/>
  <c r="D286" i="101"/>
  <c r="L285" i="101"/>
  <c r="H285" i="101"/>
  <c r="D285" i="101"/>
  <c r="L284" i="101"/>
  <c r="H284" i="101"/>
  <c r="D284" i="101"/>
  <c r="L283" i="101"/>
  <c r="H283" i="101"/>
  <c r="D283" i="101"/>
  <c r="L282" i="101"/>
  <c r="H282" i="101"/>
  <c r="D282" i="101"/>
  <c r="L281" i="101"/>
  <c r="H281" i="101"/>
  <c r="D281" i="101"/>
  <c r="K274" i="101"/>
  <c r="J274" i="101"/>
  <c r="G274" i="101"/>
  <c r="F274" i="101"/>
  <c r="C274" i="101"/>
  <c r="B274" i="101"/>
  <c r="L272" i="101"/>
  <c r="H272" i="101"/>
  <c r="D272" i="101"/>
  <c r="L271" i="101"/>
  <c r="H271" i="101"/>
  <c r="D271" i="101"/>
  <c r="L270" i="101"/>
  <c r="H270" i="101"/>
  <c r="D270" i="101"/>
  <c r="L269" i="101"/>
  <c r="H269" i="101"/>
  <c r="D269" i="101"/>
  <c r="L268" i="101"/>
  <c r="H268" i="101"/>
  <c r="D268" i="101"/>
  <c r="L267" i="101"/>
  <c r="H267" i="101"/>
  <c r="D267" i="101"/>
  <c r="L266" i="101"/>
  <c r="H266" i="101"/>
  <c r="D266" i="101"/>
  <c r="L265" i="101"/>
  <c r="H265" i="101"/>
  <c r="D265" i="101"/>
  <c r="L264" i="101"/>
  <c r="H264" i="101"/>
  <c r="D264" i="101"/>
  <c r="K257" i="101"/>
  <c r="J257" i="101"/>
  <c r="G257" i="101"/>
  <c r="F257" i="101"/>
  <c r="C257" i="101"/>
  <c r="B257" i="101"/>
  <c r="L255" i="101"/>
  <c r="H255" i="101"/>
  <c r="D255" i="101"/>
  <c r="L254" i="101"/>
  <c r="H254" i="101"/>
  <c r="D254" i="101"/>
  <c r="L253" i="101"/>
  <c r="H253" i="101"/>
  <c r="D253" i="101"/>
  <c r="L252" i="101"/>
  <c r="H252" i="101"/>
  <c r="D252" i="101"/>
  <c r="L251" i="101"/>
  <c r="H251" i="101"/>
  <c r="D251" i="101"/>
  <c r="L250" i="101"/>
  <c r="H250" i="101"/>
  <c r="D250" i="101"/>
  <c r="L249" i="101"/>
  <c r="H249" i="101"/>
  <c r="D249" i="101"/>
  <c r="L248" i="101"/>
  <c r="H248" i="101"/>
  <c r="D248" i="101"/>
  <c r="L247" i="101"/>
  <c r="H247" i="101"/>
  <c r="D247" i="101"/>
  <c r="K240" i="101"/>
  <c r="J240" i="101"/>
  <c r="G240" i="101"/>
  <c r="F240" i="101"/>
  <c r="C240" i="101"/>
  <c r="B240" i="101"/>
  <c r="L238" i="101"/>
  <c r="H238" i="101"/>
  <c r="D238" i="101"/>
  <c r="L237" i="101"/>
  <c r="H237" i="101"/>
  <c r="D237" i="101"/>
  <c r="L236" i="101"/>
  <c r="H236" i="101"/>
  <c r="D236" i="101"/>
  <c r="L235" i="101"/>
  <c r="H235" i="101"/>
  <c r="D235" i="101"/>
  <c r="L234" i="101"/>
  <c r="H234" i="101"/>
  <c r="D234" i="101"/>
  <c r="L233" i="101"/>
  <c r="H233" i="101"/>
  <c r="D233" i="101"/>
  <c r="L232" i="101"/>
  <c r="H232" i="101"/>
  <c r="D232" i="101"/>
  <c r="L231" i="101"/>
  <c r="H231" i="101"/>
  <c r="D231" i="101"/>
  <c r="L230" i="101"/>
  <c r="H230" i="101"/>
  <c r="D230" i="101"/>
  <c r="K223" i="101"/>
  <c r="J223" i="101"/>
  <c r="G223" i="101"/>
  <c r="F223" i="101"/>
  <c r="C223" i="101"/>
  <c r="B223" i="101"/>
  <c r="L221" i="101"/>
  <c r="H221" i="101"/>
  <c r="D221" i="101"/>
  <c r="L220" i="101"/>
  <c r="H220" i="101"/>
  <c r="D220" i="101"/>
  <c r="L219" i="101"/>
  <c r="H219" i="101"/>
  <c r="D219" i="101"/>
  <c r="L218" i="101"/>
  <c r="H218" i="101"/>
  <c r="D218" i="101"/>
  <c r="L217" i="101"/>
  <c r="H217" i="101"/>
  <c r="D217" i="101"/>
  <c r="L216" i="101"/>
  <c r="H216" i="101"/>
  <c r="D216" i="101"/>
  <c r="L215" i="101"/>
  <c r="H215" i="101"/>
  <c r="D215" i="101"/>
  <c r="L214" i="101"/>
  <c r="H214" i="101"/>
  <c r="D214" i="101"/>
  <c r="L213" i="101"/>
  <c r="H213" i="101"/>
  <c r="D213" i="101"/>
  <c r="K206" i="101"/>
  <c r="J206" i="101"/>
  <c r="G206" i="101"/>
  <c r="F206" i="101"/>
  <c r="C206" i="101"/>
  <c r="B206" i="101"/>
  <c r="L204" i="101"/>
  <c r="H204" i="101"/>
  <c r="D204" i="101"/>
  <c r="L203" i="101"/>
  <c r="H203" i="101"/>
  <c r="D203" i="101"/>
  <c r="L202" i="101"/>
  <c r="H202" i="101"/>
  <c r="D202" i="101"/>
  <c r="L201" i="101"/>
  <c r="H201" i="101"/>
  <c r="D201" i="101"/>
  <c r="L200" i="101"/>
  <c r="H200" i="101"/>
  <c r="D200" i="101"/>
  <c r="L199" i="101"/>
  <c r="H199" i="101"/>
  <c r="D199" i="101"/>
  <c r="L198" i="101"/>
  <c r="H198" i="101"/>
  <c r="D198" i="101"/>
  <c r="L197" i="101"/>
  <c r="H197" i="101"/>
  <c r="D197" i="101"/>
  <c r="L196" i="101"/>
  <c r="H196" i="101"/>
  <c r="D196" i="101"/>
  <c r="K189" i="101"/>
  <c r="J189" i="101"/>
  <c r="G189" i="101"/>
  <c r="F189" i="101"/>
  <c r="C189" i="101"/>
  <c r="B189" i="101"/>
  <c r="L187" i="101"/>
  <c r="H187" i="101"/>
  <c r="D187" i="101"/>
  <c r="L186" i="101"/>
  <c r="H186" i="101"/>
  <c r="D186" i="101"/>
  <c r="L185" i="101"/>
  <c r="H185" i="101"/>
  <c r="D185" i="101"/>
  <c r="L184" i="101"/>
  <c r="H184" i="101"/>
  <c r="D184" i="101"/>
  <c r="L183" i="101"/>
  <c r="H183" i="101"/>
  <c r="D183" i="101"/>
  <c r="L182" i="101"/>
  <c r="H182" i="101"/>
  <c r="D182" i="101"/>
  <c r="L181" i="101"/>
  <c r="H181" i="101"/>
  <c r="D181" i="101"/>
  <c r="L180" i="101"/>
  <c r="H180" i="101"/>
  <c r="D180" i="101"/>
  <c r="L179" i="101"/>
  <c r="H179" i="101"/>
  <c r="D179" i="101"/>
  <c r="K172" i="101"/>
  <c r="J172" i="101"/>
  <c r="G172" i="101"/>
  <c r="F172" i="101"/>
  <c r="C172" i="101"/>
  <c r="B172" i="101"/>
  <c r="L170" i="101"/>
  <c r="H170" i="101"/>
  <c r="D170" i="101"/>
  <c r="L169" i="101"/>
  <c r="H169" i="101"/>
  <c r="D169" i="101"/>
  <c r="L168" i="101"/>
  <c r="H168" i="101"/>
  <c r="D168" i="101"/>
  <c r="L167" i="101"/>
  <c r="H167" i="101"/>
  <c r="D167" i="101"/>
  <c r="L166" i="101"/>
  <c r="H166" i="101"/>
  <c r="D166" i="101"/>
  <c r="L165" i="101"/>
  <c r="H165" i="101"/>
  <c r="D165" i="101"/>
  <c r="L164" i="101"/>
  <c r="H164" i="101"/>
  <c r="D164" i="101"/>
  <c r="L163" i="101"/>
  <c r="H163" i="101"/>
  <c r="D163" i="101"/>
  <c r="L162" i="101"/>
  <c r="H162" i="101"/>
  <c r="D162" i="101"/>
  <c r="K155" i="101"/>
  <c r="J155" i="101"/>
  <c r="G155" i="101"/>
  <c r="F155" i="101"/>
  <c r="C155" i="101"/>
  <c r="B155" i="101"/>
  <c r="L153" i="101"/>
  <c r="H153" i="101"/>
  <c r="D153" i="101"/>
  <c r="L152" i="101"/>
  <c r="H152" i="101"/>
  <c r="D152" i="101"/>
  <c r="L151" i="101"/>
  <c r="H151" i="101"/>
  <c r="D151" i="101"/>
  <c r="L150" i="101"/>
  <c r="H150" i="101"/>
  <c r="D150" i="101"/>
  <c r="L149" i="101"/>
  <c r="H149" i="101"/>
  <c r="D149" i="101"/>
  <c r="L148" i="101"/>
  <c r="H148" i="101"/>
  <c r="D148" i="101"/>
  <c r="L147" i="101"/>
  <c r="H147" i="101"/>
  <c r="D147" i="101"/>
  <c r="L146" i="101"/>
  <c r="H146" i="101"/>
  <c r="D146" i="101"/>
  <c r="L145" i="101"/>
  <c r="H145" i="101"/>
  <c r="D145" i="101"/>
  <c r="K138" i="101"/>
  <c r="J138" i="101"/>
  <c r="G138" i="101"/>
  <c r="F138" i="101"/>
  <c r="C138" i="101"/>
  <c r="B138" i="101"/>
  <c r="L136" i="101"/>
  <c r="H136" i="101"/>
  <c r="D136" i="101"/>
  <c r="L135" i="101"/>
  <c r="H135" i="101"/>
  <c r="D135" i="101"/>
  <c r="L134" i="101"/>
  <c r="H134" i="101"/>
  <c r="L133" i="101"/>
  <c r="H133" i="101"/>
  <c r="D133" i="101"/>
  <c r="L132" i="101"/>
  <c r="H132" i="101"/>
  <c r="D132" i="101"/>
  <c r="L131" i="101"/>
  <c r="H131" i="101"/>
  <c r="D131" i="101"/>
  <c r="L130" i="101"/>
  <c r="H130" i="101"/>
  <c r="D130" i="101"/>
  <c r="L129" i="101"/>
  <c r="H129" i="101"/>
  <c r="D129" i="101"/>
  <c r="L128" i="101"/>
  <c r="H128" i="101"/>
  <c r="D128" i="101"/>
  <c r="K121" i="101"/>
  <c r="J121" i="101"/>
  <c r="G121" i="101"/>
  <c r="F121" i="101"/>
  <c r="C121" i="101"/>
  <c r="B121" i="101"/>
  <c r="L119" i="101"/>
  <c r="H119" i="101"/>
  <c r="D119" i="101"/>
  <c r="L118" i="101"/>
  <c r="H118" i="101"/>
  <c r="D118" i="101"/>
  <c r="L117" i="101"/>
  <c r="H117" i="101"/>
  <c r="D117" i="101"/>
  <c r="L116" i="101"/>
  <c r="H116" i="101"/>
  <c r="D116" i="101"/>
  <c r="L115" i="101"/>
  <c r="H115" i="101"/>
  <c r="D115" i="101"/>
  <c r="L114" i="101"/>
  <c r="H114" i="101"/>
  <c r="D114" i="101"/>
  <c r="L113" i="101"/>
  <c r="H113" i="101"/>
  <c r="D113" i="101"/>
  <c r="L112" i="101"/>
  <c r="H112" i="101"/>
  <c r="D112" i="101"/>
  <c r="L111" i="101"/>
  <c r="H111" i="101"/>
  <c r="D111" i="101"/>
  <c r="K104" i="101"/>
  <c r="J104" i="101"/>
  <c r="G104" i="101"/>
  <c r="F104" i="101"/>
  <c r="C104" i="101"/>
  <c r="B104" i="101"/>
  <c r="L102" i="101"/>
  <c r="H102" i="101"/>
  <c r="D102" i="101"/>
  <c r="L101" i="101"/>
  <c r="H101" i="101"/>
  <c r="D101" i="101"/>
  <c r="L100" i="101"/>
  <c r="H100" i="101"/>
  <c r="D100" i="101"/>
  <c r="L99" i="101"/>
  <c r="H99" i="101"/>
  <c r="D99" i="101"/>
  <c r="L98" i="101"/>
  <c r="H98" i="101"/>
  <c r="D98" i="101"/>
  <c r="L97" i="101"/>
  <c r="H97" i="101"/>
  <c r="D97" i="101"/>
  <c r="L96" i="101"/>
  <c r="H96" i="101"/>
  <c r="D96" i="101"/>
  <c r="L95" i="101"/>
  <c r="H95" i="101"/>
  <c r="D95" i="101"/>
  <c r="L94" i="101"/>
  <c r="H94" i="101"/>
  <c r="D94" i="101"/>
  <c r="K87" i="101"/>
  <c r="J87" i="101"/>
  <c r="G87" i="101"/>
  <c r="F87" i="101"/>
  <c r="C87" i="101"/>
  <c r="B87" i="101"/>
  <c r="L85" i="101"/>
  <c r="H85" i="101"/>
  <c r="D85" i="101"/>
  <c r="L84" i="101"/>
  <c r="H84" i="101"/>
  <c r="D84" i="101"/>
  <c r="L83" i="101"/>
  <c r="H83" i="101"/>
  <c r="D83" i="101"/>
  <c r="L82" i="101"/>
  <c r="H82" i="101"/>
  <c r="D82" i="101"/>
  <c r="L81" i="101"/>
  <c r="H81" i="101"/>
  <c r="D81" i="101"/>
  <c r="L80" i="101"/>
  <c r="H80" i="101"/>
  <c r="D80" i="101"/>
  <c r="L79" i="101"/>
  <c r="H79" i="101"/>
  <c r="D79" i="101"/>
  <c r="L78" i="101"/>
  <c r="H78" i="101"/>
  <c r="D78" i="101"/>
  <c r="L77" i="101"/>
  <c r="H77" i="101"/>
  <c r="D77" i="101"/>
  <c r="B70" i="101"/>
  <c r="K70" i="101"/>
  <c r="J70" i="101"/>
  <c r="G70" i="101"/>
  <c r="F70" i="101"/>
  <c r="C70" i="101"/>
  <c r="K53" i="101"/>
  <c r="J53" i="101"/>
  <c r="G53" i="101"/>
  <c r="F53" i="101"/>
  <c r="C53" i="101"/>
  <c r="B53" i="101"/>
  <c r="K36" i="101"/>
  <c r="J36" i="101"/>
  <c r="G36" i="101"/>
  <c r="F36" i="101"/>
  <c r="C36" i="101"/>
  <c r="B36" i="101"/>
  <c r="B754" i="101"/>
  <c r="B737" i="101"/>
  <c r="B720" i="101"/>
  <c r="B703" i="101"/>
  <c r="B686" i="101"/>
  <c r="B669" i="101"/>
  <c r="B652" i="101"/>
  <c r="B635" i="101"/>
  <c r="B618" i="101"/>
  <c r="B601" i="101"/>
  <c r="B584" i="101"/>
  <c r="B567" i="101"/>
  <c r="B550" i="101"/>
  <c r="B533" i="101"/>
  <c r="B516" i="101"/>
  <c r="B499" i="101"/>
  <c r="B482" i="101"/>
  <c r="B465" i="101"/>
  <c r="B448" i="101"/>
  <c r="B431" i="101"/>
  <c r="B414" i="101"/>
  <c r="B397" i="101"/>
  <c r="B380" i="101"/>
  <c r="B363" i="101"/>
  <c r="B346" i="101"/>
  <c r="B329" i="101"/>
  <c r="B312" i="101"/>
  <c r="B295" i="101"/>
  <c r="B278" i="101"/>
  <c r="B261" i="101"/>
  <c r="B244" i="101"/>
  <c r="B227" i="101"/>
  <c r="B210" i="101"/>
  <c r="B193" i="101"/>
  <c r="B176" i="101"/>
  <c r="B159" i="101"/>
  <c r="B142" i="101"/>
  <c r="B125" i="101"/>
  <c r="B108" i="101"/>
  <c r="B91" i="101"/>
  <c r="B74" i="101"/>
  <c r="B57" i="101"/>
  <c r="B40" i="101"/>
  <c r="M15" i="76"/>
  <c r="M33" i="21"/>
  <c r="N23" i="21"/>
  <c r="O23" i="21"/>
  <c r="P23" i="21"/>
  <c r="Q23" i="21"/>
  <c r="R23" i="21"/>
  <c r="S23" i="21"/>
  <c r="T23" i="21"/>
  <c r="U23" i="21"/>
  <c r="V23" i="21"/>
  <c r="W23" i="21"/>
  <c r="X23" i="21"/>
  <c r="Y23" i="21"/>
  <c r="Z23" i="21"/>
  <c r="AA23" i="21"/>
  <c r="AB23" i="21"/>
  <c r="AC23" i="21"/>
  <c r="AD23" i="21"/>
  <c r="AE23" i="21"/>
  <c r="AF23" i="21"/>
  <c r="AG23" i="21"/>
  <c r="M23" i="21"/>
  <c r="AD18" i="21"/>
  <c r="AD11" i="21"/>
  <c r="N5" i="21"/>
  <c r="O5" i="21"/>
  <c r="P5" i="21"/>
  <c r="Q5" i="21"/>
  <c r="R5" i="21"/>
  <c r="S5" i="21"/>
  <c r="T5" i="21"/>
  <c r="U5" i="21"/>
  <c r="V5" i="21"/>
  <c r="W5" i="21"/>
  <c r="X5" i="21"/>
  <c r="Y5" i="21"/>
  <c r="Z5" i="21"/>
  <c r="AA5" i="21"/>
  <c r="AB5" i="21"/>
  <c r="AC5" i="21"/>
  <c r="AD5" i="21"/>
  <c r="AE5" i="21"/>
  <c r="AF5" i="21"/>
  <c r="AG5" i="21"/>
  <c r="M5" i="21"/>
  <c r="H563" i="101" l="1"/>
  <c r="L597" i="101"/>
  <c r="H614" i="101"/>
  <c r="H699" i="101"/>
  <c r="D699" i="101"/>
  <c r="D138" i="101"/>
  <c r="D444" i="101"/>
  <c r="D410" i="101"/>
  <c r="L342" i="101"/>
  <c r="L308" i="101"/>
  <c r="H240" i="101"/>
  <c r="L223" i="101"/>
  <c r="D189" i="101"/>
  <c r="H189" i="101"/>
  <c r="D172" i="101"/>
  <c r="L87" i="101"/>
  <c r="L104" i="101"/>
  <c r="H257" i="101"/>
  <c r="L478" i="101"/>
  <c r="L121" i="101"/>
  <c r="H172" i="101"/>
  <c r="H223" i="101"/>
  <c r="D223" i="101"/>
  <c r="L257" i="101"/>
  <c r="D291" i="101"/>
  <c r="H342" i="101"/>
  <c r="D342" i="101"/>
  <c r="L376" i="101"/>
  <c r="H461" i="101"/>
  <c r="L495" i="101"/>
  <c r="D580" i="101"/>
  <c r="H597" i="101"/>
  <c r="D597" i="101"/>
  <c r="L631" i="101"/>
  <c r="H104" i="101"/>
  <c r="D104" i="101"/>
  <c r="L138" i="101"/>
  <c r="L274" i="101"/>
  <c r="H359" i="101"/>
  <c r="D359" i="101"/>
  <c r="L393" i="101"/>
  <c r="D427" i="101"/>
  <c r="H444" i="101"/>
  <c r="L461" i="101"/>
  <c r="H478" i="101"/>
  <c r="L512" i="101"/>
  <c r="H529" i="101"/>
  <c r="D614" i="101"/>
  <c r="L648" i="101"/>
  <c r="D682" i="101"/>
  <c r="D206" i="101"/>
  <c r="D274" i="101"/>
  <c r="H410" i="101"/>
  <c r="L614" i="101"/>
  <c r="H665" i="101"/>
  <c r="D121" i="101"/>
  <c r="L155" i="101"/>
  <c r="D240" i="101"/>
  <c r="D376" i="101"/>
  <c r="H495" i="101"/>
  <c r="D563" i="101"/>
  <c r="L665" i="101"/>
  <c r="L172" i="101"/>
  <c r="H393" i="101"/>
  <c r="L427" i="101"/>
  <c r="H512" i="101"/>
  <c r="D512" i="101"/>
  <c r="L546" i="101"/>
  <c r="H648" i="101"/>
  <c r="D648" i="101"/>
  <c r="L682" i="101"/>
  <c r="H206" i="101"/>
  <c r="H274" i="101"/>
  <c r="D325" i="101"/>
  <c r="L359" i="101"/>
  <c r="D257" i="101"/>
  <c r="H376" i="101"/>
  <c r="D495" i="101"/>
  <c r="L529" i="101"/>
  <c r="H631" i="101"/>
  <c r="D87" i="101"/>
  <c r="H87" i="101"/>
  <c r="H155" i="101"/>
  <c r="D155" i="101"/>
  <c r="L189" i="101"/>
  <c r="H291" i="101"/>
  <c r="D308" i="101"/>
  <c r="D461" i="101"/>
  <c r="D529" i="101"/>
  <c r="L563" i="101"/>
  <c r="L699" i="101"/>
  <c r="H138" i="101"/>
  <c r="H325" i="101"/>
  <c r="D393" i="101"/>
  <c r="L444" i="101"/>
  <c r="H121" i="101"/>
  <c r="L240" i="101"/>
  <c r="L291" i="101"/>
  <c r="L410" i="101"/>
  <c r="H580" i="101"/>
  <c r="D631" i="101"/>
  <c r="L206" i="101"/>
  <c r="H308" i="101"/>
  <c r="L325" i="101"/>
  <c r="H427" i="101"/>
  <c r="D478" i="101"/>
  <c r="H546" i="101"/>
  <c r="D546" i="101"/>
  <c r="L580" i="101"/>
  <c r="D665" i="101"/>
  <c r="H682" i="101"/>
  <c r="J9" i="79"/>
  <c r="J10" i="79"/>
  <c r="J11" i="79"/>
  <c r="J12" i="79"/>
  <c r="J13" i="79"/>
  <c r="J14" i="79"/>
  <c r="J15" i="79"/>
  <c r="J16" i="79"/>
  <c r="J17" i="79"/>
  <c r="J18" i="79"/>
  <c r="J19" i="79"/>
  <c r="J20" i="79"/>
  <c r="J21" i="79"/>
  <c r="J22" i="79"/>
  <c r="J23" i="79"/>
  <c r="J24" i="79"/>
  <c r="J25" i="79"/>
  <c r="J26" i="79"/>
  <c r="J27" i="79"/>
  <c r="J28" i="79"/>
  <c r="J29" i="79"/>
  <c r="J30" i="79"/>
  <c r="J31" i="79"/>
  <c r="J32" i="79"/>
  <c r="I9" i="79"/>
  <c r="I10" i="79"/>
  <c r="I11" i="79"/>
  <c r="I12" i="79"/>
  <c r="I13" i="79"/>
  <c r="I14" i="79"/>
  <c r="I15" i="79"/>
  <c r="I16" i="79"/>
  <c r="I17" i="79"/>
  <c r="I18" i="79"/>
  <c r="I19" i="79"/>
  <c r="I20" i="79"/>
  <c r="I21" i="79"/>
  <c r="I22" i="79"/>
  <c r="I23" i="79"/>
  <c r="I24" i="79"/>
  <c r="I25" i="79"/>
  <c r="I26" i="79"/>
  <c r="I27" i="79"/>
  <c r="I28" i="79"/>
  <c r="I29" i="79"/>
  <c r="I30" i="79"/>
  <c r="I31" i="79"/>
  <c r="I32" i="79"/>
  <c r="H9" i="79"/>
  <c r="H10" i="79"/>
  <c r="H11" i="79"/>
  <c r="H12" i="79"/>
  <c r="H13" i="79"/>
  <c r="H14" i="79"/>
  <c r="H15" i="79"/>
  <c r="H16" i="79"/>
  <c r="H17" i="79"/>
  <c r="H18" i="79"/>
  <c r="H19" i="79"/>
  <c r="H20" i="79"/>
  <c r="H21" i="79"/>
  <c r="H22" i="79"/>
  <c r="H23" i="79"/>
  <c r="H24" i="79"/>
  <c r="H25" i="79"/>
  <c r="H26" i="79"/>
  <c r="H27" i="79"/>
  <c r="H28" i="79"/>
  <c r="H29" i="79"/>
  <c r="H30" i="79"/>
  <c r="H31" i="79"/>
  <c r="H32" i="79"/>
  <c r="G9" i="79"/>
  <c r="G10" i="79"/>
  <c r="G11" i="79"/>
  <c r="G12" i="79"/>
  <c r="G13" i="79"/>
  <c r="G14" i="79"/>
  <c r="G15" i="79"/>
  <c r="G16" i="79"/>
  <c r="G17" i="79"/>
  <c r="G18" i="79"/>
  <c r="G19" i="79"/>
  <c r="G20" i="79"/>
  <c r="G21" i="79"/>
  <c r="G22" i="79"/>
  <c r="G23" i="79"/>
  <c r="G24" i="79"/>
  <c r="G25" i="79"/>
  <c r="G26" i="79"/>
  <c r="G27" i="79"/>
  <c r="G28" i="79"/>
  <c r="G29" i="79"/>
  <c r="G30" i="79"/>
  <c r="G31" i="79"/>
  <c r="G32" i="79"/>
  <c r="F9" i="79"/>
  <c r="F10" i="79"/>
  <c r="F11" i="79"/>
  <c r="F12" i="79"/>
  <c r="F13" i="79"/>
  <c r="F14" i="79"/>
  <c r="F15" i="79"/>
  <c r="F16" i="79"/>
  <c r="F17" i="79"/>
  <c r="F18" i="79"/>
  <c r="F19" i="79"/>
  <c r="F20" i="79"/>
  <c r="F21" i="79"/>
  <c r="F22" i="79"/>
  <c r="F23" i="79"/>
  <c r="F24" i="79"/>
  <c r="F25" i="79"/>
  <c r="F26" i="79"/>
  <c r="F27" i="79"/>
  <c r="F28" i="79"/>
  <c r="F29" i="79"/>
  <c r="F30" i="79"/>
  <c r="F31" i="79"/>
  <c r="F32" i="79"/>
  <c r="E9" i="79"/>
  <c r="E10" i="79"/>
  <c r="E11" i="79"/>
  <c r="E12" i="79"/>
  <c r="E13" i="79"/>
  <c r="E14" i="79"/>
  <c r="E15" i="79"/>
  <c r="E16" i="79"/>
  <c r="E17" i="79"/>
  <c r="E18" i="79"/>
  <c r="E19" i="79"/>
  <c r="E20" i="79"/>
  <c r="E21" i="79"/>
  <c r="E22" i="79"/>
  <c r="E23" i="79"/>
  <c r="E24" i="79"/>
  <c r="E25" i="79"/>
  <c r="E26" i="79"/>
  <c r="E27" i="79"/>
  <c r="E28" i="79"/>
  <c r="E29" i="79"/>
  <c r="E30" i="79"/>
  <c r="E31" i="79"/>
  <c r="E32" i="79"/>
  <c r="D9" i="79"/>
  <c r="D10" i="79"/>
  <c r="D11" i="79"/>
  <c r="D12" i="79"/>
  <c r="D13" i="79"/>
  <c r="D14" i="79"/>
  <c r="D15" i="79"/>
  <c r="D16" i="79"/>
  <c r="D17" i="79"/>
  <c r="D18" i="79"/>
  <c r="D19" i="79"/>
  <c r="D20" i="79"/>
  <c r="D21" i="79"/>
  <c r="D22" i="79"/>
  <c r="D23" i="79"/>
  <c r="D24" i="79"/>
  <c r="D25" i="79"/>
  <c r="D26" i="79"/>
  <c r="D27" i="79"/>
  <c r="D28" i="79"/>
  <c r="D29" i="79"/>
  <c r="D30" i="79"/>
  <c r="D31" i="79"/>
  <c r="D32" i="79"/>
  <c r="C9" i="79"/>
  <c r="C10" i="79"/>
  <c r="C11" i="79"/>
  <c r="C12" i="79"/>
  <c r="C13" i="79"/>
  <c r="C14" i="79"/>
  <c r="C15" i="79"/>
  <c r="C16" i="79"/>
  <c r="C17" i="79"/>
  <c r="C18" i="79"/>
  <c r="C19" i="79"/>
  <c r="C20" i="79"/>
  <c r="C21" i="79"/>
  <c r="C22" i="79"/>
  <c r="C23" i="79"/>
  <c r="C24" i="79"/>
  <c r="C25" i="79"/>
  <c r="C26" i="79"/>
  <c r="C27" i="79"/>
  <c r="C28" i="79"/>
  <c r="C29" i="79"/>
  <c r="C30" i="79"/>
  <c r="C31" i="79"/>
  <c r="C32" i="79"/>
  <c r="B9" i="79"/>
  <c r="B10" i="79"/>
  <c r="B11" i="79"/>
  <c r="B12" i="79"/>
  <c r="B13" i="79"/>
  <c r="B14" i="79"/>
  <c r="B15" i="79"/>
  <c r="B16" i="79"/>
  <c r="B17" i="79"/>
  <c r="B18" i="79"/>
  <c r="B19" i="79"/>
  <c r="B20" i="79"/>
  <c r="B21" i="79"/>
  <c r="B22" i="79"/>
  <c r="B23" i="79"/>
  <c r="B24" i="79"/>
  <c r="B25" i="79"/>
  <c r="B26" i="79"/>
  <c r="B27" i="79"/>
  <c r="B28" i="79"/>
  <c r="B29" i="79"/>
  <c r="B30" i="79"/>
  <c r="B31" i="79"/>
  <c r="B32" i="79"/>
  <c r="K9" i="79"/>
  <c r="B119" i="78"/>
  <c r="B21" i="52" l="1"/>
  <c r="O34" i="103" l="1"/>
  <c r="O33" i="103"/>
  <c r="O32" i="103"/>
  <c r="O31" i="103"/>
  <c r="O30" i="103"/>
  <c r="O29" i="103"/>
  <c r="O28" i="103"/>
  <c r="O27" i="103"/>
  <c r="O26" i="103"/>
  <c r="J34" i="103"/>
  <c r="J33" i="103"/>
  <c r="J32" i="103"/>
  <c r="J31" i="103"/>
  <c r="J29" i="103"/>
  <c r="J28" i="103"/>
  <c r="J27" i="103"/>
  <c r="J26" i="103"/>
  <c r="E34" i="103"/>
  <c r="E33" i="103"/>
  <c r="E32" i="103"/>
  <c r="E31" i="103"/>
  <c r="E30" i="103"/>
  <c r="E29" i="103"/>
  <c r="E28" i="103"/>
  <c r="E27" i="103"/>
  <c r="E26" i="103"/>
  <c r="N17" i="103"/>
  <c r="M17" i="103"/>
  <c r="L17" i="103"/>
  <c r="N16" i="103"/>
  <c r="M16" i="103"/>
  <c r="L16" i="103"/>
  <c r="N15" i="103"/>
  <c r="M15" i="103"/>
  <c r="L15" i="103"/>
  <c r="N14" i="103"/>
  <c r="M14" i="103"/>
  <c r="L14" i="103"/>
  <c r="N13" i="103"/>
  <c r="M13" i="103"/>
  <c r="L13" i="103"/>
  <c r="N12" i="103"/>
  <c r="M12" i="103"/>
  <c r="L12" i="103"/>
  <c r="N11" i="103"/>
  <c r="M11" i="103"/>
  <c r="L11" i="103"/>
  <c r="N10" i="103"/>
  <c r="M10" i="103"/>
  <c r="L10" i="103"/>
  <c r="N9" i="103"/>
  <c r="M9" i="103"/>
  <c r="L9" i="103"/>
  <c r="I17" i="103"/>
  <c r="H17" i="103"/>
  <c r="G17" i="103"/>
  <c r="I16" i="103"/>
  <c r="H16" i="103"/>
  <c r="G16" i="103"/>
  <c r="I15" i="103"/>
  <c r="H15" i="103"/>
  <c r="G15" i="103"/>
  <c r="I14" i="103"/>
  <c r="H14" i="103"/>
  <c r="G14" i="103"/>
  <c r="I13" i="103"/>
  <c r="H13" i="103"/>
  <c r="G13" i="103"/>
  <c r="I12" i="103"/>
  <c r="H12" i="103"/>
  <c r="G12" i="103"/>
  <c r="I11" i="103"/>
  <c r="H11" i="103"/>
  <c r="G11" i="103"/>
  <c r="I10" i="103"/>
  <c r="H10" i="103"/>
  <c r="G10" i="103"/>
  <c r="I9" i="103"/>
  <c r="H9" i="103"/>
  <c r="G9" i="103"/>
  <c r="B10" i="103"/>
  <c r="C10" i="103"/>
  <c r="D10" i="103"/>
  <c r="B11" i="103"/>
  <c r="C11" i="103"/>
  <c r="D11" i="103"/>
  <c r="B12" i="103"/>
  <c r="C12" i="103"/>
  <c r="D12" i="103"/>
  <c r="B13" i="103"/>
  <c r="C13" i="103"/>
  <c r="D13" i="103"/>
  <c r="B14" i="103"/>
  <c r="C14" i="103"/>
  <c r="D14" i="103"/>
  <c r="B15" i="103"/>
  <c r="C15" i="103"/>
  <c r="D15" i="103"/>
  <c r="B16" i="103"/>
  <c r="C16" i="103"/>
  <c r="D16" i="103"/>
  <c r="B17" i="103"/>
  <c r="C17" i="103"/>
  <c r="D17" i="103"/>
  <c r="C9" i="103"/>
  <c r="D9" i="103"/>
  <c r="B9" i="101"/>
  <c r="K1294" i="101"/>
  <c r="J1294" i="101"/>
  <c r="G1294" i="101"/>
  <c r="F1294" i="101"/>
  <c r="C1294" i="101"/>
  <c r="B1294" i="101"/>
  <c r="L1292" i="101"/>
  <c r="H1292" i="101"/>
  <c r="D1292" i="101"/>
  <c r="L1291" i="101"/>
  <c r="H1291" i="101"/>
  <c r="D1291" i="101"/>
  <c r="L1290" i="101"/>
  <c r="H1290" i="101"/>
  <c r="D1290" i="101"/>
  <c r="L1289" i="101"/>
  <c r="H1289" i="101"/>
  <c r="D1289" i="101"/>
  <c r="L1288" i="101"/>
  <c r="H1288" i="101"/>
  <c r="D1288" i="101"/>
  <c r="L1287" i="101"/>
  <c r="H1287" i="101"/>
  <c r="D1287" i="101"/>
  <c r="L1286" i="101"/>
  <c r="H1286" i="101"/>
  <c r="D1286" i="101"/>
  <c r="L1285" i="101"/>
  <c r="H1285" i="101"/>
  <c r="D1285" i="101"/>
  <c r="L1284" i="101"/>
  <c r="H1284" i="101"/>
  <c r="D1284" i="101"/>
  <c r="K1277" i="101"/>
  <c r="J1277" i="101"/>
  <c r="G1277" i="101"/>
  <c r="F1277" i="101"/>
  <c r="C1277" i="101"/>
  <c r="B1277" i="101"/>
  <c r="L1275" i="101"/>
  <c r="H1275" i="101"/>
  <c r="D1275" i="101"/>
  <c r="L1274" i="101"/>
  <c r="H1274" i="101"/>
  <c r="D1274" i="101"/>
  <c r="L1273" i="101"/>
  <c r="H1273" i="101"/>
  <c r="D1273" i="101"/>
  <c r="L1272" i="101"/>
  <c r="H1272" i="101"/>
  <c r="D1272" i="101"/>
  <c r="L1271" i="101"/>
  <c r="H1271" i="101"/>
  <c r="D1271" i="101"/>
  <c r="L1270" i="101"/>
  <c r="H1270" i="101"/>
  <c r="D1270" i="101"/>
  <c r="L1269" i="101"/>
  <c r="H1269" i="101"/>
  <c r="D1269" i="101"/>
  <c r="L1268" i="101"/>
  <c r="H1268" i="101"/>
  <c r="D1268" i="101"/>
  <c r="L1267" i="101"/>
  <c r="H1267" i="101"/>
  <c r="D1267" i="101"/>
  <c r="K1260" i="101"/>
  <c r="J1260" i="101"/>
  <c r="G1260" i="101"/>
  <c r="F1260" i="101"/>
  <c r="C1260" i="101"/>
  <c r="B1260" i="101"/>
  <c r="L1258" i="101"/>
  <c r="H1258" i="101"/>
  <c r="D1258" i="101"/>
  <c r="L1257" i="101"/>
  <c r="H1257" i="101"/>
  <c r="D1257" i="101"/>
  <c r="L1256" i="101"/>
  <c r="H1256" i="101"/>
  <c r="D1256" i="101"/>
  <c r="L1255" i="101"/>
  <c r="H1255" i="101"/>
  <c r="D1255" i="101"/>
  <c r="L1254" i="101"/>
  <c r="H1254" i="101"/>
  <c r="D1254" i="101"/>
  <c r="L1253" i="101"/>
  <c r="H1253" i="101"/>
  <c r="D1253" i="101"/>
  <c r="L1252" i="101"/>
  <c r="H1252" i="101"/>
  <c r="D1252" i="101"/>
  <c r="L1251" i="101"/>
  <c r="H1251" i="101"/>
  <c r="D1251" i="101"/>
  <c r="L1250" i="101"/>
  <c r="H1250" i="101"/>
  <c r="D1250" i="101"/>
  <c r="K1243" i="101"/>
  <c r="J1243" i="101"/>
  <c r="G1243" i="101"/>
  <c r="F1243" i="101"/>
  <c r="C1243" i="101"/>
  <c r="B1243" i="101"/>
  <c r="L1241" i="101"/>
  <c r="H1241" i="101"/>
  <c r="D1241" i="101"/>
  <c r="L1240" i="101"/>
  <c r="H1240" i="101"/>
  <c r="D1240" i="101"/>
  <c r="L1239" i="101"/>
  <c r="H1239" i="101"/>
  <c r="D1239" i="101"/>
  <c r="L1238" i="101"/>
  <c r="H1238" i="101"/>
  <c r="D1238" i="101"/>
  <c r="L1237" i="101"/>
  <c r="H1237" i="101"/>
  <c r="D1237" i="101"/>
  <c r="L1236" i="101"/>
  <c r="H1236" i="101"/>
  <c r="D1236" i="101"/>
  <c r="L1235" i="101"/>
  <c r="H1235" i="101"/>
  <c r="D1235" i="101"/>
  <c r="L1234" i="101"/>
  <c r="H1234" i="101"/>
  <c r="D1234" i="101"/>
  <c r="L1233" i="101"/>
  <c r="H1233" i="101"/>
  <c r="D1233" i="101"/>
  <c r="K1226" i="101"/>
  <c r="J1226" i="101"/>
  <c r="G1226" i="101"/>
  <c r="F1226" i="101"/>
  <c r="C1226" i="101"/>
  <c r="B1226" i="101"/>
  <c r="L1224" i="101"/>
  <c r="H1224" i="101"/>
  <c r="D1224" i="101"/>
  <c r="L1223" i="101"/>
  <c r="H1223" i="101"/>
  <c r="D1223" i="101"/>
  <c r="L1222" i="101"/>
  <c r="H1222" i="101"/>
  <c r="D1222" i="101"/>
  <c r="L1221" i="101"/>
  <c r="H1221" i="101"/>
  <c r="D1221" i="101"/>
  <c r="L1220" i="101"/>
  <c r="H1220" i="101"/>
  <c r="D1220" i="101"/>
  <c r="L1219" i="101"/>
  <c r="H1219" i="101"/>
  <c r="D1219" i="101"/>
  <c r="L1218" i="101"/>
  <c r="H1218" i="101"/>
  <c r="D1218" i="101"/>
  <c r="L1217" i="101"/>
  <c r="H1217" i="101"/>
  <c r="D1217" i="101"/>
  <c r="L1216" i="101"/>
  <c r="H1216" i="101"/>
  <c r="D1216" i="101"/>
  <c r="K1209" i="101"/>
  <c r="J1209" i="101"/>
  <c r="G1209" i="101"/>
  <c r="F1209" i="101"/>
  <c r="C1209" i="101"/>
  <c r="B1209" i="101"/>
  <c r="L1207" i="101"/>
  <c r="H1207" i="101"/>
  <c r="D1207" i="101"/>
  <c r="L1206" i="101"/>
  <c r="H1206" i="101"/>
  <c r="D1206" i="101"/>
  <c r="L1205" i="101"/>
  <c r="H1205" i="101"/>
  <c r="D1205" i="101"/>
  <c r="L1204" i="101"/>
  <c r="H1204" i="101"/>
  <c r="D1204" i="101"/>
  <c r="L1203" i="101"/>
  <c r="H1203" i="101"/>
  <c r="D1203" i="101"/>
  <c r="L1202" i="101"/>
  <c r="H1202" i="101"/>
  <c r="D1202" i="101"/>
  <c r="L1201" i="101"/>
  <c r="H1201" i="101"/>
  <c r="D1201" i="101"/>
  <c r="L1200" i="101"/>
  <c r="H1200" i="101"/>
  <c r="D1200" i="101"/>
  <c r="L1199" i="101"/>
  <c r="H1199" i="101"/>
  <c r="D1199" i="101"/>
  <c r="K1192" i="101"/>
  <c r="J1192" i="101"/>
  <c r="G1192" i="101"/>
  <c r="F1192" i="101"/>
  <c r="C1192" i="101"/>
  <c r="B1192" i="101"/>
  <c r="L1190" i="101"/>
  <c r="H1190" i="101"/>
  <c r="D1190" i="101"/>
  <c r="L1189" i="101"/>
  <c r="H1189" i="101"/>
  <c r="D1189" i="101"/>
  <c r="L1188" i="101"/>
  <c r="H1188" i="101"/>
  <c r="D1188" i="101"/>
  <c r="L1187" i="101"/>
  <c r="H1187" i="101"/>
  <c r="D1187" i="101"/>
  <c r="L1186" i="101"/>
  <c r="H1186" i="101"/>
  <c r="D1186" i="101"/>
  <c r="L1185" i="101"/>
  <c r="H1185" i="101"/>
  <c r="D1185" i="101"/>
  <c r="L1184" i="101"/>
  <c r="H1184" i="101"/>
  <c r="D1184" i="101"/>
  <c r="L1183" i="101"/>
  <c r="H1183" i="101"/>
  <c r="D1183" i="101"/>
  <c r="L1182" i="101"/>
  <c r="H1182" i="101"/>
  <c r="D1182" i="101"/>
  <c r="K1175" i="101"/>
  <c r="J1175" i="101"/>
  <c r="G1175" i="101"/>
  <c r="F1175" i="101"/>
  <c r="C1175" i="101"/>
  <c r="B1175" i="101"/>
  <c r="L1173" i="101"/>
  <c r="H1173" i="101"/>
  <c r="D1173" i="101"/>
  <c r="L1172" i="101"/>
  <c r="H1172" i="101"/>
  <c r="D1172" i="101"/>
  <c r="L1171" i="101"/>
  <c r="H1171" i="101"/>
  <c r="D1171" i="101"/>
  <c r="L1170" i="101"/>
  <c r="H1170" i="101"/>
  <c r="D1170" i="101"/>
  <c r="L1169" i="101"/>
  <c r="H1169" i="101"/>
  <c r="D1169" i="101"/>
  <c r="L1168" i="101"/>
  <c r="H1168" i="101"/>
  <c r="D1168" i="101"/>
  <c r="L1167" i="101"/>
  <c r="H1167" i="101"/>
  <c r="D1167" i="101"/>
  <c r="L1166" i="101"/>
  <c r="H1166" i="101"/>
  <c r="D1166" i="101"/>
  <c r="L1165" i="101"/>
  <c r="H1165" i="101"/>
  <c r="D1165" i="101"/>
  <c r="K1158" i="101"/>
  <c r="J1158" i="101"/>
  <c r="G1158" i="101"/>
  <c r="F1158" i="101"/>
  <c r="C1158" i="101"/>
  <c r="B1158" i="101"/>
  <c r="L1156" i="101"/>
  <c r="H1156" i="101"/>
  <c r="D1156" i="101"/>
  <c r="L1155" i="101"/>
  <c r="H1155" i="101"/>
  <c r="D1155" i="101"/>
  <c r="L1154" i="101"/>
  <c r="H1154" i="101"/>
  <c r="D1154" i="101"/>
  <c r="L1153" i="101"/>
  <c r="H1153" i="101"/>
  <c r="D1153" i="101"/>
  <c r="L1152" i="101"/>
  <c r="H1152" i="101"/>
  <c r="D1152" i="101"/>
  <c r="L1151" i="101"/>
  <c r="H1151" i="101"/>
  <c r="D1151" i="101"/>
  <c r="L1150" i="101"/>
  <c r="H1150" i="101"/>
  <c r="D1150" i="101"/>
  <c r="L1149" i="101"/>
  <c r="H1149" i="101"/>
  <c r="D1149" i="101"/>
  <c r="L1148" i="101"/>
  <c r="H1148" i="101"/>
  <c r="D1148" i="101"/>
  <c r="K1141" i="101"/>
  <c r="J1141" i="101"/>
  <c r="G1141" i="101"/>
  <c r="F1141" i="101"/>
  <c r="C1141" i="101"/>
  <c r="B1141" i="101"/>
  <c r="L1139" i="101"/>
  <c r="H1139" i="101"/>
  <c r="D1139" i="101"/>
  <c r="L1138" i="101"/>
  <c r="H1138" i="101"/>
  <c r="D1138" i="101"/>
  <c r="L1137" i="101"/>
  <c r="H1137" i="101"/>
  <c r="D1137" i="101"/>
  <c r="L1136" i="101"/>
  <c r="H1136" i="101"/>
  <c r="D1136" i="101"/>
  <c r="L1135" i="101"/>
  <c r="H1135" i="101"/>
  <c r="D1135" i="101"/>
  <c r="L1134" i="101"/>
  <c r="H1134" i="101"/>
  <c r="D1134" i="101"/>
  <c r="L1133" i="101"/>
  <c r="H1133" i="101"/>
  <c r="D1133" i="101"/>
  <c r="L1132" i="101"/>
  <c r="H1132" i="101"/>
  <c r="D1132" i="101"/>
  <c r="L1131" i="101"/>
  <c r="H1131" i="101"/>
  <c r="D1131" i="101"/>
  <c r="K1124" i="101"/>
  <c r="J1124" i="101"/>
  <c r="G1124" i="101"/>
  <c r="F1124" i="101"/>
  <c r="C1124" i="101"/>
  <c r="B1124" i="101"/>
  <c r="L1122" i="101"/>
  <c r="H1122" i="101"/>
  <c r="D1122" i="101"/>
  <c r="L1121" i="101"/>
  <c r="H1121" i="101"/>
  <c r="D1121" i="101"/>
  <c r="L1120" i="101"/>
  <c r="H1120" i="101"/>
  <c r="D1120" i="101"/>
  <c r="L1119" i="101"/>
  <c r="H1119" i="101"/>
  <c r="D1119" i="101"/>
  <c r="L1118" i="101"/>
  <c r="H1118" i="101"/>
  <c r="D1118" i="101"/>
  <c r="L1117" i="101"/>
  <c r="H1117" i="101"/>
  <c r="D1117" i="101"/>
  <c r="L1116" i="101"/>
  <c r="H1116" i="101"/>
  <c r="D1116" i="101"/>
  <c r="L1115" i="101"/>
  <c r="H1115" i="101"/>
  <c r="D1115" i="101"/>
  <c r="L1114" i="101"/>
  <c r="H1114" i="101"/>
  <c r="D1114" i="101"/>
  <c r="K1107" i="101"/>
  <c r="J1107" i="101"/>
  <c r="G1107" i="101"/>
  <c r="F1107" i="101"/>
  <c r="C1107" i="101"/>
  <c r="B1107" i="101"/>
  <c r="L1105" i="101"/>
  <c r="H1105" i="101"/>
  <c r="D1105" i="101"/>
  <c r="L1104" i="101"/>
  <c r="H1104" i="101"/>
  <c r="D1104" i="101"/>
  <c r="L1103" i="101"/>
  <c r="H1103" i="101"/>
  <c r="D1103" i="101"/>
  <c r="L1102" i="101"/>
  <c r="H1102" i="101"/>
  <c r="D1102" i="101"/>
  <c r="L1101" i="101"/>
  <c r="H1101" i="101"/>
  <c r="D1101" i="101"/>
  <c r="L1100" i="101"/>
  <c r="H1100" i="101"/>
  <c r="D1100" i="101"/>
  <c r="L1099" i="101"/>
  <c r="H1099" i="101"/>
  <c r="D1099" i="101"/>
  <c r="L1098" i="101"/>
  <c r="H1098" i="101"/>
  <c r="D1098" i="101"/>
  <c r="L1097" i="101"/>
  <c r="H1097" i="101"/>
  <c r="D1097" i="101"/>
  <c r="K1090" i="101"/>
  <c r="J1090" i="101"/>
  <c r="G1090" i="101"/>
  <c r="F1090" i="101"/>
  <c r="C1090" i="101"/>
  <c r="B1090" i="101"/>
  <c r="L1088" i="101"/>
  <c r="H1088" i="101"/>
  <c r="D1088" i="101"/>
  <c r="L1087" i="101"/>
  <c r="H1087" i="101"/>
  <c r="D1087" i="101"/>
  <c r="L1086" i="101"/>
  <c r="H1086" i="101"/>
  <c r="D1086" i="101"/>
  <c r="L1085" i="101"/>
  <c r="H1085" i="101"/>
  <c r="D1085" i="101"/>
  <c r="L1084" i="101"/>
  <c r="H1084" i="101"/>
  <c r="D1084" i="101"/>
  <c r="L1083" i="101"/>
  <c r="H1083" i="101"/>
  <c r="D1083" i="101"/>
  <c r="L1082" i="101"/>
  <c r="H1082" i="101"/>
  <c r="D1082" i="101"/>
  <c r="L1081" i="101"/>
  <c r="H1081" i="101"/>
  <c r="D1081" i="101"/>
  <c r="L1080" i="101"/>
  <c r="H1080" i="101"/>
  <c r="D1080" i="101"/>
  <c r="K1073" i="101"/>
  <c r="J1073" i="101"/>
  <c r="G1073" i="101"/>
  <c r="F1073" i="101"/>
  <c r="C1073" i="101"/>
  <c r="B1073" i="101"/>
  <c r="L1071" i="101"/>
  <c r="H1071" i="101"/>
  <c r="D1071" i="101"/>
  <c r="L1070" i="101"/>
  <c r="H1070" i="101"/>
  <c r="D1070" i="101"/>
  <c r="L1069" i="101"/>
  <c r="H1069" i="101"/>
  <c r="D1069" i="101"/>
  <c r="L1068" i="101"/>
  <c r="H1068" i="101"/>
  <c r="D1068" i="101"/>
  <c r="L1067" i="101"/>
  <c r="H1067" i="101"/>
  <c r="D1067" i="101"/>
  <c r="L1066" i="101"/>
  <c r="H1066" i="101"/>
  <c r="D1066" i="101"/>
  <c r="L1065" i="101"/>
  <c r="H1065" i="101"/>
  <c r="D1065" i="101"/>
  <c r="L1064" i="101"/>
  <c r="H1064" i="101"/>
  <c r="D1064" i="101"/>
  <c r="L1063" i="101"/>
  <c r="H1063" i="101"/>
  <c r="D1063" i="101"/>
  <c r="K1056" i="101"/>
  <c r="J1056" i="101"/>
  <c r="G1056" i="101"/>
  <c r="F1056" i="101"/>
  <c r="C1056" i="101"/>
  <c r="B1056" i="101"/>
  <c r="L1054" i="101"/>
  <c r="H1054" i="101"/>
  <c r="D1054" i="101"/>
  <c r="L1053" i="101"/>
  <c r="H1053" i="101"/>
  <c r="D1053" i="101"/>
  <c r="L1052" i="101"/>
  <c r="H1052" i="101"/>
  <c r="D1052" i="101"/>
  <c r="L1051" i="101"/>
  <c r="H1051" i="101"/>
  <c r="D1051" i="101"/>
  <c r="L1050" i="101"/>
  <c r="H1050" i="101"/>
  <c r="D1050" i="101"/>
  <c r="L1049" i="101"/>
  <c r="H1049" i="101"/>
  <c r="D1049" i="101"/>
  <c r="L1048" i="101"/>
  <c r="H1048" i="101"/>
  <c r="D1048" i="101"/>
  <c r="L1047" i="101"/>
  <c r="H1047" i="101"/>
  <c r="D1047" i="101"/>
  <c r="L1046" i="101"/>
  <c r="H1046" i="101"/>
  <c r="D1046" i="101"/>
  <c r="K1039" i="101"/>
  <c r="J1039" i="101"/>
  <c r="G1039" i="101"/>
  <c r="F1039" i="101"/>
  <c r="C1039" i="101"/>
  <c r="B1039" i="101"/>
  <c r="L1037" i="101"/>
  <c r="H1037" i="101"/>
  <c r="D1037" i="101"/>
  <c r="L1036" i="101"/>
  <c r="H1036" i="101"/>
  <c r="D1036" i="101"/>
  <c r="L1035" i="101"/>
  <c r="H1035" i="101"/>
  <c r="D1035" i="101"/>
  <c r="L1034" i="101"/>
  <c r="H1034" i="101"/>
  <c r="D1034" i="101"/>
  <c r="L1033" i="101"/>
  <c r="H1033" i="101"/>
  <c r="D1033" i="101"/>
  <c r="L1032" i="101"/>
  <c r="H1032" i="101"/>
  <c r="D1032" i="101"/>
  <c r="L1031" i="101"/>
  <c r="H1031" i="101"/>
  <c r="D1031" i="101"/>
  <c r="L1030" i="101"/>
  <c r="H1030" i="101"/>
  <c r="D1030" i="101"/>
  <c r="L1029" i="101"/>
  <c r="H1029" i="101"/>
  <c r="D1029" i="101"/>
  <c r="K1022" i="101"/>
  <c r="J1022" i="101"/>
  <c r="G1022" i="101"/>
  <c r="F1022" i="101"/>
  <c r="C1022" i="101"/>
  <c r="B1022" i="101"/>
  <c r="L1020" i="101"/>
  <c r="H1020" i="101"/>
  <c r="D1020" i="101"/>
  <c r="L1019" i="101"/>
  <c r="H1019" i="101"/>
  <c r="D1019" i="101"/>
  <c r="L1018" i="101"/>
  <c r="H1018" i="101"/>
  <c r="D1018" i="101"/>
  <c r="L1017" i="101"/>
  <c r="H1017" i="101"/>
  <c r="D1017" i="101"/>
  <c r="L1016" i="101"/>
  <c r="H1016" i="101"/>
  <c r="D1016" i="101"/>
  <c r="L1015" i="101"/>
  <c r="H1015" i="101"/>
  <c r="D1015" i="101"/>
  <c r="L1014" i="101"/>
  <c r="H1014" i="101"/>
  <c r="D1014" i="101"/>
  <c r="L1013" i="101"/>
  <c r="H1013" i="101"/>
  <c r="D1013" i="101"/>
  <c r="L1012" i="101"/>
  <c r="H1012" i="101"/>
  <c r="D1012" i="101"/>
  <c r="K1005" i="101"/>
  <c r="J1005" i="101"/>
  <c r="G1005" i="101"/>
  <c r="F1005" i="101"/>
  <c r="C1005" i="101"/>
  <c r="B1005" i="101"/>
  <c r="L1003" i="101"/>
  <c r="H1003" i="101"/>
  <c r="D1003" i="101"/>
  <c r="L1002" i="101"/>
  <c r="H1002" i="101"/>
  <c r="D1002" i="101"/>
  <c r="L1001" i="101"/>
  <c r="H1001" i="101"/>
  <c r="D1001" i="101"/>
  <c r="L1000" i="101"/>
  <c r="H1000" i="101"/>
  <c r="D1000" i="101"/>
  <c r="L999" i="101"/>
  <c r="H999" i="101"/>
  <c r="D999" i="101"/>
  <c r="L998" i="101"/>
  <c r="H998" i="101"/>
  <c r="D998" i="101"/>
  <c r="L997" i="101"/>
  <c r="H997" i="101"/>
  <c r="D997" i="101"/>
  <c r="L996" i="101"/>
  <c r="H996" i="101"/>
  <c r="D996" i="101"/>
  <c r="L995" i="101"/>
  <c r="H995" i="101"/>
  <c r="D995" i="101"/>
  <c r="K988" i="101"/>
  <c r="J988" i="101"/>
  <c r="G988" i="101"/>
  <c r="F988" i="101"/>
  <c r="C988" i="101"/>
  <c r="B988" i="101"/>
  <c r="L986" i="101"/>
  <c r="H986" i="101"/>
  <c r="D986" i="101"/>
  <c r="L985" i="101"/>
  <c r="H985" i="101"/>
  <c r="D985" i="101"/>
  <c r="L984" i="101"/>
  <c r="H984" i="101"/>
  <c r="D984" i="101"/>
  <c r="L983" i="101"/>
  <c r="H983" i="101"/>
  <c r="D983" i="101"/>
  <c r="L982" i="101"/>
  <c r="H982" i="101"/>
  <c r="D982" i="101"/>
  <c r="L981" i="101"/>
  <c r="H981" i="101"/>
  <c r="D981" i="101"/>
  <c r="L980" i="101"/>
  <c r="H980" i="101"/>
  <c r="D980" i="101"/>
  <c r="L979" i="101"/>
  <c r="H979" i="101"/>
  <c r="D979" i="101"/>
  <c r="L978" i="101"/>
  <c r="H978" i="101"/>
  <c r="D978" i="101"/>
  <c r="K971" i="101"/>
  <c r="J971" i="101"/>
  <c r="G971" i="101"/>
  <c r="F971" i="101"/>
  <c r="C971" i="101"/>
  <c r="B971" i="101"/>
  <c r="L969" i="101"/>
  <c r="H969" i="101"/>
  <c r="D969" i="101"/>
  <c r="L968" i="101"/>
  <c r="H968" i="101"/>
  <c r="D968" i="101"/>
  <c r="L967" i="101"/>
  <c r="H967" i="101"/>
  <c r="D967" i="101"/>
  <c r="L966" i="101"/>
  <c r="H966" i="101"/>
  <c r="D966" i="101"/>
  <c r="L965" i="101"/>
  <c r="H965" i="101"/>
  <c r="D965" i="101"/>
  <c r="L964" i="101"/>
  <c r="H964" i="101"/>
  <c r="D964" i="101"/>
  <c r="L963" i="101"/>
  <c r="H963" i="101"/>
  <c r="D963" i="101"/>
  <c r="L962" i="101"/>
  <c r="H962" i="101"/>
  <c r="D962" i="101"/>
  <c r="L961" i="101"/>
  <c r="H961" i="101"/>
  <c r="D961" i="101"/>
  <c r="K954" i="101"/>
  <c r="J954" i="101"/>
  <c r="G954" i="101"/>
  <c r="F954" i="101"/>
  <c r="C954" i="101"/>
  <c r="B954" i="101"/>
  <c r="L952" i="101"/>
  <c r="H952" i="101"/>
  <c r="D952" i="101"/>
  <c r="L951" i="101"/>
  <c r="H951" i="101"/>
  <c r="D951" i="101"/>
  <c r="L950" i="101"/>
  <c r="H950" i="101"/>
  <c r="D950" i="101"/>
  <c r="L949" i="101"/>
  <c r="H949" i="101"/>
  <c r="D949" i="101"/>
  <c r="L948" i="101"/>
  <c r="H948" i="101"/>
  <c r="D948" i="101"/>
  <c r="L947" i="101"/>
  <c r="H947" i="101"/>
  <c r="D947" i="101"/>
  <c r="L946" i="101"/>
  <c r="H946" i="101"/>
  <c r="D946" i="101"/>
  <c r="L945" i="101"/>
  <c r="H945" i="101"/>
  <c r="D945" i="101"/>
  <c r="L944" i="101"/>
  <c r="H944" i="101"/>
  <c r="D944" i="101"/>
  <c r="K937" i="101"/>
  <c r="J937" i="101"/>
  <c r="G937" i="101"/>
  <c r="F937" i="101"/>
  <c r="C937" i="101"/>
  <c r="B937" i="101"/>
  <c r="L935" i="101"/>
  <c r="H935" i="101"/>
  <c r="D935" i="101"/>
  <c r="L934" i="101"/>
  <c r="H934" i="101"/>
  <c r="D934" i="101"/>
  <c r="L933" i="101"/>
  <c r="H933" i="101"/>
  <c r="D933" i="101"/>
  <c r="L932" i="101"/>
  <c r="H932" i="101"/>
  <c r="D932" i="101"/>
  <c r="L931" i="101"/>
  <c r="H931" i="101"/>
  <c r="D931" i="101"/>
  <c r="L930" i="101"/>
  <c r="H930" i="101"/>
  <c r="D930" i="101"/>
  <c r="L929" i="101"/>
  <c r="H929" i="101"/>
  <c r="D929" i="101"/>
  <c r="L928" i="101"/>
  <c r="H928" i="101"/>
  <c r="D928" i="101"/>
  <c r="L927" i="101"/>
  <c r="H927" i="101"/>
  <c r="D927" i="101"/>
  <c r="K920" i="101"/>
  <c r="J920" i="101"/>
  <c r="G920" i="101"/>
  <c r="F920" i="101"/>
  <c r="C920" i="101"/>
  <c r="B920" i="101"/>
  <c r="L918" i="101"/>
  <c r="H918" i="101"/>
  <c r="D918" i="101"/>
  <c r="L917" i="101"/>
  <c r="H917" i="101"/>
  <c r="D917" i="101"/>
  <c r="L916" i="101"/>
  <c r="H916" i="101"/>
  <c r="D916" i="101"/>
  <c r="L915" i="101"/>
  <c r="H915" i="101"/>
  <c r="D915" i="101"/>
  <c r="L914" i="101"/>
  <c r="H914" i="101"/>
  <c r="D914" i="101"/>
  <c r="L913" i="101"/>
  <c r="H913" i="101"/>
  <c r="D913" i="101"/>
  <c r="L912" i="101"/>
  <c r="H912" i="101"/>
  <c r="D912" i="101"/>
  <c r="L911" i="101"/>
  <c r="H911" i="101"/>
  <c r="D911" i="101"/>
  <c r="L910" i="101"/>
  <c r="H910" i="101"/>
  <c r="D910" i="101"/>
  <c r="K903" i="101"/>
  <c r="J903" i="101"/>
  <c r="G903" i="101"/>
  <c r="F903" i="101"/>
  <c r="C903" i="101"/>
  <c r="B903" i="101"/>
  <c r="L901" i="101"/>
  <c r="H901" i="101"/>
  <c r="D901" i="101"/>
  <c r="L900" i="101"/>
  <c r="H900" i="101"/>
  <c r="D900" i="101"/>
  <c r="L899" i="101"/>
  <c r="H899" i="101"/>
  <c r="D899" i="101"/>
  <c r="L898" i="101"/>
  <c r="H898" i="101"/>
  <c r="D898" i="101"/>
  <c r="L897" i="101"/>
  <c r="H897" i="101"/>
  <c r="D897" i="101"/>
  <c r="L896" i="101"/>
  <c r="H896" i="101"/>
  <c r="D896" i="101"/>
  <c r="L895" i="101"/>
  <c r="H895" i="101"/>
  <c r="D895" i="101"/>
  <c r="L894" i="101"/>
  <c r="H894" i="101"/>
  <c r="D894" i="101"/>
  <c r="L893" i="101"/>
  <c r="H893" i="101"/>
  <c r="D893" i="101"/>
  <c r="K886" i="101"/>
  <c r="J886" i="101"/>
  <c r="G886" i="101"/>
  <c r="F886" i="101"/>
  <c r="C886" i="101"/>
  <c r="B886" i="101"/>
  <c r="L884" i="101"/>
  <c r="H884" i="101"/>
  <c r="D884" i="101"/>
  <c r="L883" i="101"/>
  <c r="H883" i="101"/>
  <c r="D883" i="101"/>
  <c r="L882" i="101"/>
  <c r="H882" i="101"/>
  <c r="D882" i="101"/>
  <c r="L881" i="101"/>
  <c r="H881" i="101"/>
  <c r="D881" i="101"/>
  <c r="L880" i="101"/>
  <c r="H880" i="101"/>
  <c r="D880" i="101"/>
  <c r="L879" i="101"/>
  <c r="H879" i="101"/>
  <c r="D879" i="101"/>
  <c r="L878" i="101"/>
  <c r="H878" i="101"/>
  <c r="D878" i="101"/>
  <c r="L877" i="101"/>
  <c r="H877" i="101"/>
  <c r="D877" i="101"/>
  <c r="L876" i="101"/>
  <c r="H876" i="101"/>
  <c r="D876" i="101"/>
  <c r="K869" i="101"/>
  <c r="J869" i="101"/>
  <c r="G869" i="101"/>
  <c r="F869" i="101"/>
  <c r="C869" i="101"/>
  <c r="B869" i="101"/>
  <c r="L867" i="101"/>
  <c r="H867" i="101"/>
  <c r="D867" i="101"/>
  <c r="L866" i="101"/>
  <c r="H866" i="101"/>
  <c r="D866" i="101"/>
  <c r="L865" i="101"/>
  <c r="H865" i="101"/>
  <c r="D865" i="101"/>
  <c r="L864" i="101"/>
  <c r="H864" i="101"/>
  <c r="D864" i="101"/>
  <c r="L863" i="101"/>
  <c r="H863" i="101"/>
  <c r="D863" i="101"/>
  <c r="L862" i="101"/>
  <c r="H862" i="101"/>
  <c r="D862" i="101"/>
  <c r="L861" i="101"/>
  <c r="H861" i="101"/>
  <c r="D861" i="101"/>
  <c r="L860" i="101"/>
  <c r="H860" i="101"/>
  <c r="D860" i="101"/>
  <c r="L859" i="101"/>
  <c r="H859" i="101"/>
  <c r="D859" i="101"/>
  <c r="K852" i="101"/>
  <c r="J852" i="101"/>
  <c r="G852" i="101"/>
  <c r="F852" i="101"/>
  <c r="C852" i="101"/>
  <c r="B852" i="101"/>
  <c r="L850" i="101"/>
  <c r="H850" i="101"/>
  <c r="D850" i="101"/>
  <c r="L849" i="101"/>
  <c r="H849" i="101"/>
  <c r="D849" i="101"/>
  <c r="L848" i="101"/>
  <c r="H848" i="101"/>
  <c r="D848" i="101"/>
  <c r="L847" i="101"/>
  <c r="H847" i="101"/>
  <c r="D847" i="101"/>
  <c r="L846" i="101"/>
  <c r="H846" i="101"/>
  <c r="D846" i="101"/>
  <c r="L845" i="101"/>
  <c r="H845" i="101"/>
  <c r="D845" i="101"/>
  <c r="L844" i="101"/>
  <c r="H844" i="101"/>
  <c r="D844" i="101"/>
  <c r="L843" i="101"/>
  <c r="H843" i="101"/>
  <c r="D843" i="101"/>
  <c r="L842" i="101"/>
  <c r="H842" i="101"/>
  <c r="D842" i="101"/>
  <c r="K835" i="101"/>
  <c r="J835" i="101"/>
  <c r="G835" i="101"/>
  <c r="F835" i="101"/>
  <c r="C835" i="101"/>
  <c r="B835" i="101"/>
  <c r="L833" i="101"/>
  <c r="H833" i="101"/>
  <c r="D833" i="101"/>
  <c r="L832" i="101"/>
  <c r="H832" i="101"/>
  <c r="D832" i="101"/>
  <c r="L831" i="101"/>
  <c r="H831" i="101"/>
  <c r="D831" i="101"/>
  <c r="L830" i="101"/>
  <c r="H830" i="101"/>
  <c r="D830" i="101"/>
  <c r="L829" i="101"/>
  <c r="H829" i="101"/>
  <c r="D829" i="101"/>
  <c r="L828" i="101"/>
  <c r="H828" i="101"/>
  <c r="D828" i="101"/>
  <c r="L827" i="101"/>
  <c r="H827" i="101"/>
  <c r="D827" i="101"/>
  <c r="L826" i="101"/>
  <c r="H826" i="101"/>
  <c r="D826" i="101"/>
  <c r="L825" i="101"/>
  <c r="H825" i="101"/>
  <c r="D825" i="101"/>
  <c r="K818" i="101"/>
  <c r="J818" i="101"/>
  <c r="G818" i="101"/>
  <c r="F818" i="101"/>
  <c r="C818" i="101"/>
  <c r="B818" i="101"/>
  <c r="L816" i="101"/>
  <c r="H816" i="101"/>
  <c r="D816" i="101"/>
  <c r="L815" i="101"/>
  <c r="H815" i="101"/>
  <c r="D815" i="101"/>
  <c r="L814" i="101"/>
  <c r="H814" i="101"/>
  <c r="D814" i="101"/>
  <c r="L813" i="101"/>
  <c r="H813" i="101"/>
  <c r="D813" i="101"/>
  <c r="L812" i="101"/>
  <c r="H812" i="101"/>
  <c r="D812" i="101"/>
  <c r="L811" i="101"/>
  <c r="H811" i="101"/>
  <c r="D811" i="101"/>
  <c r="L810" i="101"/>
  <c r="H810" i="101"/>
  <c r="D810" i="101"/>
  <c r="L809" i="101"/>
  <c r="H809" i="101"/>
  <c r="D809" i="101"/>
  <c r="L808" i="101"/>
  <c r="H808" i="101"/>
  <c r="D808" i="101"/>
  <c r="K801" i="101"/>
  <c r="J801" i="101"/>
  <c r="G801" i="101"/>
  <c r="F801" i="101"/>
  <c r="C801" i="101"/>
  <c r="B801" i="101"/>
  <c r="L799" i="101"/>
  <c r="H799" i="101"/>
  <c r="D799" i="101"/>
  <c r="L798" i="101"/>
  <c r="H798" i="101"/>
  <c r="D798" i="101"/>
  <c r="L797" i="101"/>
  <c r="H797" i="101"/>
  <c r="D797" i="101"/>
  <c r="L796" i="101"/>
  <c r="H796" i="101"/>
  <c r="D796" i="101"/>
  <c r="L795" i="101"/>
  <c r="H795" i="101"/>
  <c r="D795" i="101"/>
  <c r="L794" i="101"/>
  <c r="H794" i="101"/>
  <c r="D794" i="101"/>
  <c r="L793" i="101"/>
  <c r="H793" i="101"/>
  <c r="D793" i="101"/>
  <c r="L792" i="101"/>
  <c r="H792" i="101"/>
  <c r="D792" i="101"/>
  <c r="L791" i="101"/>
  <c r="H791" i="101"/>
  <c r="D791" i="101"/>
  <c r="K784" i="101"/>
  <c r="J784" i="101"/>
  <c r="G784" i="101"/>
  <c r="F784" i="101"/>
  <c r="C784" i="101"/>
  <c r="B784" i="101"/>
  <c r="L782" i="101"/>
  <c r="H782" i="101"/>
  <c r="D782" i="101"/>
  <c r="L781" i="101"/>
  <c r="H781" i="101"/>
  <c r="D781" i="101"/>
  <c r="L780" i="101"/>
  <c r="H780" i="101"/>
  <c r="D780" i="101"/>
  <c r="L779" i="101"/>
  <c r="H779" i="101"/>
  <c r="D779" i="101"/>
  <c r="L778" i="101"/>
  <c r="H778" i="101"/>
  <c r="D778" i="101"/>
  <c r="L777" i="101"/>
  <c r="H777" i="101"/>
  <c r="D777" i="101"/>
  <c r="L776" i="101"/>
  <c r="H776" i="101"/>
  <c r="D776" i="101"/>
  <c r="L775" i="101"/>
  <c r="H775" i="101"/>
  <c r="D775" i="101"/>
  <c r="L774" i="101"/>
  <c r="H774" i="101"/>
  <c r="D774" i="101"/>
  <c r="K767" i="101"/>
  <c r="J767" i="101"/>
  <c r="G767" i="101"/>
  <c r="F767" i="101"/>
  <c r="C767" i="101"/>
  <c r="B767" i="101"/>
  <c r="L765" i="101"/>
  <c r="H765" i="101"/>
  <c r="D765" i="101"/>
  <c r="L764" i="101"/>
  <c r="H764" i="101"/>
  <c r="D764" i="101"/>
  <c r="L763" i="101"/>
  <c r="H763" i="101"/>
  <c r="D763" i="101"/>
  <c r="L762" i="101"/>
  <c r="H762" i="101"/>
  <c r="D762" i="101"/>
  <c r="L761" i="101"/>
  <c r="H761" i="101"/>
  <c r="D761" i="101"/>
  <c r="L760" i="101"/>
  <c r="H760" i="101"/>
  <c r="D760" i="101"/>
  <c r="L759" i="101"/>
  <c r="H759" i="101"/>
  <c r="D759" i="101"/>
  <c r="L758" i="101"/>
  <c r="H758" i="101"/>
  <c r="D758" i="101"/>
  <c r="L757" i="101"/>
  <c r="H757" i="101"/>
  <c r="D757" i="101"/>
  <c r="K750" i="101"/>
  <c r="J750" i="101"/>
  <c r="G750" i="101"/>
  <c r="F750" i="101"/>
  <c r="C750" i="101"/>
  <c r="B750" i="101"/>
  <c r="L748" i="101"/>
  <c r="H748" i="101"/>
  <c r="D748" i="101"/>
  <c r="L747" i="101"/>
  <c r="H747" i="101"/>
  <c r="D747" i="101"/>
  <c r="L746" i="101"/>
  <c r="H746" i="101"/>
  <c r="D746" i="101"/>
  <c r="L745" i="101"/>
  <c r="H745" i="101"/>
  <c r="D745" i="101"/>
  <c r="L744" i="101"/>
  <c r="H744" i="101"/>
  <c r="D744" i="101"/>
  <c r="L743" i="101"/>
  <c r="H743" i="101"/>
  <c r="D743" i="101"/>
  <c r="L742" i="101"/>
  <c r="H742" i="101"/>
  <c r="D742" i="101"/>
  <c r="L741" i="101"/>
  <c r="H741" i="101"/>
  <c r="D741" i="101"/>
  <c r="L740" i="101"/>
  <c r="H740" i="101"/>
  <c r="D740" i="101"/>
  <c r="K733" i="101"/>
  <c r="J733" i="101"/>
  <c r="G733" i="101"/>
  <c r="F733" i="101"/>
  <c r="C733" i="101"/>
  <c r="B733" i="101"/>
  <c r="L731" i="101"/>
  <c r="H731" i="101"/>
  <c r="D731" i="101"/>
  <c r="L730" i="101"/>
  <c r="H730" i="101"/>
  <c r="D730" i="101"/>
  <c r="L729" i="101"/>
  <c r="H729" i="101"/>
  <c r="D729" i="101"/>
  <c r="L728" i="101"/>
  <c r="H728" i="101"/>
  <c r="D728" i="101"/>
  <c r="L727" i="101"/>
  <c r="H727" i="101"/>
  <c r="D727" i="101"/>
  <c r="L726" i="101"/>
  <c r="H726" i="101"/>
  <c r="D726" i="101"/>
  <c r="L725" i="101"/>
  <c r="H725" i="101"/>
  <c r="D725" i="101"/>
  <c r="L724" i="101"/>
  <c r="H724" i="101"/>
  <c r="D724" i="101"/>
  <c r="L723" i="101"/>
  <c r="H723" i="101"/>
  <c r="D723" i="101"/>
  <c r="K716" i="101"/>
  <c r="J716" i="101"/>
  <c r="G716" i="101"/>
  <c r="F716" i="101"/>
  <c r="C716" i="101"/>
  <c r="L714" i="101"/>
  <c r="H714" i="101"/>
  <c r="D714" i="101"/>
  <c r="L713" i="101"/>
  <c r="H713" i="101"/>
  <c r="D713" i="101"/>
  <c r="L712" i="101"/>
  <c r="H712" i="101"/>
  <c r="D712" i="101"/>
  <c r="L711" i="101"/>
  <c r="H711" i="101"/>
  <c r="D711" i="101"/>
  <c r="L710" i="101"/>
  <c r="H710" i="101"/>
  <c r="D710" i="101"/>
  <c r="L709" i="101"/>
  <c r="H709" i="101"/>
  <c r="D709" i="101"/>
  <c r="L708" i="101"/>
  <c r="H708" i="101"/>
  <c r="D708" i="101"/>
  <c r="L707" i="101"/>
  <c r="H707" i="101"/>
  <c r="D707" i="101"/>
  <c r="H706" i="101"/>
  <c r="D706" i="101"/>
  <c r="L68" i="101"/>
  <c r="H68" i="101"/>
  <c r="D68" i="101"/>
  <c r="L67" i="101"/>
  <c r="H67" i="101"/>
  <c r="D67" i="101"/>
  <c r="L66" i="101"/>
  <c r="H66" i="101"/>
  <c r="D66" i="101"/>
  <c r="L65" i="101"/>
  <c r="H65" i="101"/>
  <c r="D65" i="101"/>
  <c r="L64" i="101"/>
  <c r="H64" i="101"/>
  <c r="D64" i="101"/>
  <c r="L63" i="101"/>
  <c r="H63" i="101"/>
  <c r="D63" i="101"/>
  <c r="L62" i="101"/>
  <c r="H62" i="101"/>
  <c r="D62" i="101"/>
  <c r="L61" i="101"/>
  <c r="H61" i="101"/>
  <c r="D61" i="101"/>
  <c r="L60" i="101"/>
  <c r="H60" i="101"/>
  <c r="D60" i="101"/>
  <c r="L51" i="101"/>
  <c r="H51" i="101"/>
  <c r="D51" i="101"/>
  <c r="L50" i="101"/>
  <c r="H50" i="101"/>
  <c r="D50" i="101"/>
  <c r="L49" i="101"/>
  <c r="H49" i="101"/>
  <c r="D49" i="101"/>
  <c r="L48" i="101"/>
  <c r="H48" i="101"/>
  <c r="D48" i="101"/>
  <c r="L47" i="101"/>
  <c r="D47" i="101"/>
  <c r="L46" i="101"/>
  <c r="H46" i="101"/>
  <c r="D46" i="101"/>
  <c r="L45" i="101"/>
  <c r="H45" i="101"/>
  <c r="D45" i="101"/>
  <c r="L44" i="101"/>
  <c r="H44" i="101"/>
  <c r="D44" i="101"/>
  <c r="L43" i="101"/>
  <c r="H43" i="101"/>
  <c r="D43" i="101"/>
  <c r="H26" i="101"/>
  <c r="L34" i="101"/>
  <c r="L33" i="101"/>
  <c r="L32" i="101"/>
  <c r="L31" i="101"/>
  <c r="L30" i="101"/>
  <c r="L29" i="101"/>
  <c r="L28" i="101"/>
  <c r="L27" i="101"/>
  <c r="L26" i="101"/>
  <c r="H34" i="101"/>
  <c r="H33" i="101"/>
  <c r="H32" i="101"/>
  <c r="H31" i="101"/>
  <c r="H30" i="101"/>
  <c r="H29" i="101"/>
  <c r="H28" i="101"/>
  <c r="H27" i="101"/>
  <c r="D34" i="101"/>
  <c r="D33" i="101"/>
  <c r="D32" i="101"/>
  <c r="D31" i="101"/>
  <c r="D30" i="101"/>
  <c r="D29" i="101"/>
  <c r="D28" i="101"/>
  <c r="D27" i="101"/>
  <c r="D26" i="101"/>
  <c r="K17" i="101"/>
  <c r="J17" i="101"/>
  <c r="K16" i="101"/>
  <c r="J16" i="101"/>
  <c r="K15" i="101"/>
  <c r="J15" i="101"/>
  <c r="K14" i="101"/>
  <c r="J14" i="101"/>
  <c r="K13" i="101"/>
  <c r="J13" i="101"/>
  <c r="K12" i="101"/>
  <c r="J12" i="101"/>
  <c r="K11" i="101"/>
  <c r="J11" i="101"/>
  <c r="K10" i="101"/>
  <c r="J10" i="101"/>
  <c r="K9" i="101"/>
  <c r="J9" i="101"/>
  <c r="G17" i="101"/>
  <c r="F17" i="101"/>
  <c r="G16" i="101"/>
  <c r="F16" i="101"/>
  <c r="G15" i="101"/>
  <c r="F15" i="101"/>
  <c r="G14" i="101"/>
  <c r="F14" i="101"/>
  <c r="G13" i="101"/>
  <c r="F13" i="101"/>
  <c r="G12" i="101"/>
  <c r="F12" i="101"/>
  <c r="G11" i="101"/>
  <c r="F11" i="101"/>
  <c r="G10" i="101"/>
  <c r="F10" i="101"/>
  <c r="G9" i="101"/>
  <c r="F9" i="101"/>
  <c r="B10" i="101"/>
  <c r="C10" i="101"/>
  <c r="B11" i="101"/>
  <c r="C11" i="101"/>
  <c r="B12" i="101"/>
  <c r="C12" i="101"/>
  <c r="B13" i="101"/>
  <c r="C13" i="101"/>
  <c r="B14" i="101"/>
  <c r="C14" i="101"/>
  <c r="B15" i="101"/>
  <c r="C15" i="101"/>
  <c r="B16" i="101"/>
  <c r="C16" i="101"/>
  <c r="B17" i="101"/>
  <c r="C17" i="101"/>
  <c r="C9" i="101"/>
  <c r="B19" i="103" l="1"/>
  <c r="E36" i="103"/>
  <c r="J36" i="103"/>
  <c r="O36" i="103"/>
  <c r="L36" i="101"/>
  <c r="D801" i="101"/>
  <c r="D818" i="101"/>
  <c r="L818" i="101"/>
  <c r="D1073" i="101"/>
  <c r="L1107" i="101"/>
  <c r="H1209" i="101"/>
  <c r="D1209" i="101"/>
  <c r="D36" i="101"/>
  <c r="L1243" i="101"/>
  <c r="L971" i="101"/>
  <c r="H937" i="101"/>
  <c r="D937" i="101"/>
  <c r="L716" i="101"/>
  <c r="L852" i="101"/>
  <c r="H1090" i="101"/>
  <c r="L1124" i="101"/>
  <c r="H1226" i="101"/>
  <c r="L733" i="101"/>
  <c r="H835" i="101"/>
  <c r="L869" i="101"/>
  <c r="H971" i="101"/>
  <c r="D971" i="101"/>
  <c r="L1005" i="101"/>
  <c r="H1107" i="101"/>
  <c r="D1107" i="101"/>
  <c r="L1141" i="101"/>
  <c r="H1158" i="101"/>
  <c r="H1243" i="101"/>
  <c r="D1243" i="101"/>
  <c r="L1277" i="101"/>
  <c r="H1294" i="101"/>
  <c r="D53" i="101"/>
  <c r="L750" i="101"/>
  <c r="H767" i="101"/>
  <c r="H852" i="101"/>
  <c r="D852" i="101"/>
  <c r="L886" i="101"/>
  <c r="H988" i="101"/>
  <c r="D988" i="101"/>
  <c r="L1022" i="101"/>
  <c r="H1124" i="101"/>
  <c r="D1124" i="101"/>
  <c r="L1158" i="101"/>
  <c r="H1260" i="101"/>
  <c r="D1260" i="101"/>
  <c r="L1294" i="101"/>
  <c r="H818" i="101"/>
  <c r="L835" i="101"/>
  <c r="H954" i="101"/>
  <c r="D1090" i="101"/>
  <c r="H36" i="101"/>
  <c r="D716" i="101"/>
  <c r="H869" i="101"/>
  <c r="H1005" i="101"/>
  <c r="H1056" i="101"/>
  <c r="D1141" i="101"/>
  <c r="H1277" i="101"/>
  <c r="L53" i="101"/>
  <c r="D70" i="101"/>
  <c r="H750" i="101"/>
  <c r="D750" i="101"/>
  <c r="L784" i="101"/>
  <c r="H801" i="101"/>
  <c r="H886" i="101"/>
  <c r="D886" i="101"/>
  <c r="D954" i="101"/>
  <c r="H1022" i="101"/>
  <c r="D1022" i="101"/>
  <c r="L1056" i="101"/>
  <c r="H1073" i="101"/>
  <c r="D1158" i="101"/>
  <c r="L1192" i="101"/>
  <c r="D1226" i="101"/>
  <c r="D1294" i="101"/>
  <c r="D835" i="101"/>
  <c r="L988" i="101"/>
  <c r="H53" i="101"/>
  <c r="D733" i="101"/>
  <c r="D869" i="101"/>
  <c r="H1141" i="101"/>
  <c r="L1175" i="101"/>
  <c r="H70" i="101"/>
  <c r="D767" i="101"/>
  <c r="L801" i="101"/>
  <c r="H903" i="101"/>
  <c r="D903" i="101"/>
  <c r="D920" i="101"/>
  <c r="L920" i="101"/>
  <c r="L937" i="101"/>
  <c r="H1039" i="101"/>
  <c r="D1039" i="101"/>
  <c r="L1073" i="101"/>
  <c r="H1175" i="101"/>
  <c r="D1175" i="101"/>
  <c r="L1209" i="101"/>
  <c r="L1260" i="101"/>
  <c r="H716" i="101"/>
  <c r="H733" i="101"/>
  <c r="L903" i="101"/>
  <c r="D1005" i="101"/>
  <c r="D1277" i="101"/>
  <c r="L70" i="101"/>
  <c r="L767" i="101"/>
  <c r="H784" i="101"/>
  <c r="D784" i="101"/>
  <c r="H920" i="101"/>
  <c r="L954" i="101"/>
  <c r="L1039" i="101"/>
  <c r="D1056" i="101"/>
  <c r="L1090" i="101"/>
  <c r="H1192" i="101"/>
  <c r="D1192" i="101"/>
  <c r="L1226" i="101"/>
  <c r="J10" i="103"/>
  <c r="O9" i="103"/>
  <c r="O17" i="103"/>
  <c r="J13" i="103"/>
  <c r="O12" i="103"/>
  <c r="E16" i="103"/>
  <c r="E13" i="103"/>
  <c r="E17" i="103"/>
  <c r="E14" i="103"/>
  <c r="D19" i="103"/>
  <c r="I19" i="103"/>
  <c r="J15" i="103"/>
  <c r="O14" i="103"/>
  <c r="L19" i="103"/>
  <c r="E10" i="103"/>
  <c r="J16" i="103"/>
  <c r="E15" i="103"/>
  <c r="J9" i="103"/>
  <c r="J11" i="103"/>
  <c r="J14" i="103"/>
  <c r="J17" i="103"/>
  <c r="N19" i="103"/>
  <c r="O13" i="103"/>
  <c r="O16" i="103"/>
  <c r="E11" i="103"/>
  <c r="M19" i="103"/>
  <c r="E9" i="103"/>
  <c r="O15" i="103"/>
  <c r="E12" i="103"/>
  <c r="J12" i="103"/>
  <c r="O11" i="103"/>
  <c r="H19" i="103"/>
  <c r="C19" i="103"/>
  <c r="O10" i="103"/>
  <c r="G19" i="103"/>
  <c r="H15" i="101"/>
  <c r="L14" i="101"/>
  <c r="H10" i="101"/>
  <c r="H14" i="101"/>
  <c r="L13" i="101"/>
  <c r="L17" i="101"/>
  <c r="D9" i="101"/>
  <c r="H12" i="101"/>
  <c r="H16" i="101"/>
  <c r="L11" i="101"/>
  <c r="L15" i="101"/>
  <c r="D12" i="101"/>
  <c r="D11" i="101"/>
  <c r="D10" i="101"/>
  <c r="D15" i="101"/>
  <c r="D17" i="101"/>
  <c r="D13" i="101"/>
  <c r="G19" i="101"/>
  <c r="J19" i="101"/>
  <c r="D16" i="101"/>
  <c r="K19" i="101"/>
  <c r="H11" i="101"/>
  <c r="L10" i="101"/>
  <c r="B19" i="101"/>
  <c r="D14" i="101"/>
  <c r="C19" i="101"/>
  <c r="H9" i="101"/>
  <c r="H13" i="101"/>
  <c r="H17" i="101"/>
  <c r="L12" i="101"/>
  <c r="L16" i="101"/>
  <c r="L9" i="101"/>
  <c r="F19" i="101"/>
  <c r="J19" i="103" l="1"/>
  <c r="E19" i="103"/>
  <c r="O19" i="103"/>
  <c r="D19" i="101"/>
  <c r="L19" i="101"/>
  <c r="H19" i="101"/>
  <c r="L14" i="51"/>
  <c r="L13" i="51"/>
  <c r="L12" i="51"/>
  <c r="L11" i="51"/>
  <c r="L10" i="51"/>
  <c r="L9" i="51"/>
  <c r="L8" i="51"/>
  <c r="L7" i="51"/>
  <c r="L6" i="51"/>
  <c r="F482" i="104" l="1"/>
  <c r="F481" i="104"/>
  <c r="F477" i="104"/>
  <c r="F476" i="104"/>
  <c r="F472" i="104"/>
  <c r="F471" i="104"/>
  <c r="D482" i="104"/>
  <c r="D481" i="104"/>
  <c r="D477" i="104"/>
  <c r="D476" i="104"/>
  <c r="D472" i="104"/>
  <c r="D471" i="104"/>
  <c r="B482" i="104"/>
  <c r="B481" i="104"/>
  <c r="B477" i="104"/>
  <c r="B476" i="104"/>
  <c r="B472" i="104"/>
  <c r="B471" i="104"/>
  <c r="F461" i="104"/>
  <c r="F460" i="104"/>
  <c r="F456" i="104"/>
  <c r="F455" i="104"/>
  <c r="F451" i="104"/>
  <c r="F450" i="104"/>
  <c r="D461" i="104"/>
  <c r="D460" i="104"/>
  <c r="D456" i="104"/>
  <c r="D455" i="104"/>
  <c r="D451" i="104"/>
  <c r="D450" i="104"/>
  <c r="B461" i="104"/>
  <c r="B460" i="104"/>
  <c r="B456" i="104"/>
  <c r="B455" i="104"/>
  <c r="B451" i="104"/>
  <c r="B450" i="104"/>
  <c r="F440" i="104"/>
  <c r="F439" i="104"/>
  <c r="F435" i="104"/>
  <c r="F434" i="104"/>
  <c r="F430" i="104"/>
  <c r="F429" i="104"/>
  <c r="D440" i="104"/>
  <c r="D439" i="104"/>
  <c r="D435" i="104"/>
  <c r="D434" i="104"/>
  <c r="D430" i="104"/>
  <c r="D429" i="104"/>
  <c r="B440" i="104"/>
  <c r="B439" i="104"/>
  <c r="B435" i="104"/>
  <c r="B434" i="104"/>
  <c r="B430" i="104"/>
  <c r="B429" i="104"/>
  <c r="F419" i="104"/>
  <c r="F418" i="104"/>
  <c r="F414" i="104"/>
  <c r="F413" i="104"/>
  <c r="F409" i="104"/>
  <c r="F408" i="104"/>
  <c r="D419" i="104"/>
  <c r="D418" i="104"/>
  <c r="D414" i="104"/>
  <c r="D413" i="104"/>
  <c r="D409" i="104"/>
  <c r="D408" i="104"/>
  <c r="B419" i="104"/>
  <c r="B418" i="104"/>
  <c r="B414" i="104"/>
  <c r="B413" i="104"/>
  <c r="B409" i="104"/>
  <c r="B408" i="104"/>
  <c r="F398" i="104"/>
  <c r="F397" i="104"/>
  <c r="F393" i="104"/>
  <c r="F392" i="104"/>
  <c r="F388" i="104"/>
  <c r="F387" i="104"/>
  <c r="D398" i="104"/>
  <c r="D397" i="104"/>
  <c r="D393" i="104"/>
  <c r="D392" i="104"/>
  <c r="D388" i="104"/>
  <c r="D387" i="104"/>
  <c r="B398" i="104"/>
  <c r="B397" i="104"/>
  <c r="B393" i="104"/>
  <c r="B392" i="104"/>
  <c r="B388" i="104"/>
  <c r="B387" i="104"/>
  <c r="F377" i="104"/>
  <c r="F376" i="104"/>
  <c r="F372" i="104"/>
  <c r="F371" i="104"/>
  <c r="F367" i="104"/>
  <c r="F366" i="104"/>
  <c r="D377" i="104"/>
  <c r="D376" i="104"/>
  <c r="D372" i="104"/>
  <c r="D371" i="104"/>
  <c r="D367" i="104"/>
  <c r="D366" i="104"/>
  <c r="B377" i="104"/>
  <c r="B376" i="104"/>
  <c r="B372" i="104"/>
  <c r="B371" i="104"/>
  <c r="B367" i="104"/>
  <c r="B366" i="104"/>
  <c r="F356" i="104"/>
  <c r="F355" i="104"/>
  <c r="F351" i="104"/>
  <c r="F350" i="104"/>
  <c r="F346" i="104"/>
  <c r="F345" i="104"/>
  <c r="D356" i="104"/>
  <c r="D355" i="104"/>
  <c r="D351" i="104"/>
  <c r="D350" i="104"/>
  <c r="D346" i="104"/>
  <c r="D345" i="104"/>
  <c r="B356" i="104"/>
  <c r="B355" i="104"/>
  <c r="B351" i="104"/>
  <c r="B350" i="104"/>
  <c r="B346" i="104"/>
  <c r="B345" i="104"/>
  <c r="F335" i="104"/>
  <c r="F334" i="104"/>
  <c r="F325" i="104"/>
  <c r="F324" i="104"/>
  <c r="D335" i="104"/>
  <c r="D334" i="104"/>
  <c r="D325" i="104"/>
  <c r="D324" i="104"/>
  <c r="B335" i="104"/>
  <c r="B334" i="104"/>
  <c r="B325" i="104"/>
  <c r="B324" i="104"/>
  <c r="F314" i="104"/>
  <c r="F313" i="104"/>
  <c r="F309" i="104"/>
  <c r="F308" i="104"/>
  <c r="F304" i="104"/>
  <c r="F303" i="104"/>
  <c r="D314" i="104"/>
  <c r="D313" i="104"/>
  <c r="D309" i="104"/>
  <c r="D308" i="104"/>
  <c r="D304" i="104"/>
  <c r="D303" i="104"/>
  <c r="B314" i="104"/>
  <c r="B309" i="104"/>
  <c r="B308" i="104"/>
  <c r="B304" i="104"/>
  <c r="B303" i="104"/>
  <c r="F293" i="104"/>
  <c r="F292" i="104"/>
  <c r="F288" i="104"/>
  <c r="F287" i="104"/>
  <c r="F283" i="104"/>
  <c r="F282" i="104"/>
  <c r="D293" i="104"/>
  <c r="D292" i="104"/>
  <c r="D288" i="104"/>
  <c r="D287" i="104"/>
  <c r="D283" i="104"/>
  <c r="D282" i="104"/>
  <c r="B293" i="104"/>
  <c r="B292" i="104"/>
  <c r="B288" i="104"/>
  <c r="B287" i="104"/>
  <c r="B283" i="104"/>
  <c r="B282" i="104"/>
  <c r="F272" i="104"/>
  <c r="F271" i="104"/>
  <c r="F267" i="104"/>
  <c r="F266" i="104"/>
  <c r="F262" i="104"/>
  <c r="F261" i="104"/>
  <c r="D272" i="104"/>
  <c r="D271" i="104"/>
  <c r="D267" i="104"/>
  <c r="D266" i="104"/>
  <c r="D262" i="104"/>
  <c r="D261" i="104"/>
  <c r="B272" i="104"/>
  <c r="B271" i="104"/>
  <c r="B267" i="104"/>
  <c r="B266" i="104"/>
  <c r="B262" i="104"/>
  <c r="B261" i="104"/>
  <c r="F251" i="104"/>
  <c r="F250" i="104"/>
  <c r="F246" i="104"/>
  <c r="F245" i="104"/>
  <c r="F241" i="104"/>
  <c r="F240" i="104"/>
  <c r="D251" i="104"/>
  <c r="D250" i="104"/>
  <c r="D246" i="104"/>
  <c r="D245" i="104"/>
  <c r="D241" i="104"/>
  <c r="D240" i="104"/>
  <c r="B251" i="104"/>
  <c r="B250" i="104"/>
  <c r="B246" i="104"/>
  <c r="B245" i="104"/>
  <c r="B241" i="104"/>
  <c r="B240" i="104"/>
  <c r="F230" i="104"/>
  <c r="F229" i="104"/>
  <c r="F225" i="104"/>
  <c r="F224" i="104"/>
  <c r="F220" i="104"/>
  <c r="F219" i="104"/>
  <c r="D230" i="104"/>
  <c r="D229" i="104"/>
  <c r="D225" i="104"/>
  <c r="D224" i="104"/>
  <c r="D220" i="104"/>
  <c r="D219" i="104"/>
  <c r="B230" i="104"/>
  <c r="B229" i="104"/>
  <c r="B225" i="104"/>
  <c r="B224" i="104"/>
  <c r="B220" i="104"/>
  <c r="B219" i="104"/>
  <c r="F209" i="104"/>
  <c r="F208" i="104"/>
  <c r="F204" i="104"/>
  <c r="F203" i="104"/>
  <c r="F199" i="104"/>
  <c r="F198" i="104"/>
  <c r="D209" i="104"/>
  <c r="D208" i="104"/>
  <c r="D204" i="104"/>
  <c r="D203" i="104"/>
  <c r="D199" i="104"/>
  <c r="D198" i="104"/>
  <c r="B209" i="104"/>
  <c r="B208" i="104"/>
  <c r="B204" i="104"/>
  <c r="B203" i="104"/>
  <c r="B199" i="104"/>
  <c r="B198" i="104"/>
  <c r="F188" i="104"/>
  <c r="F187" i="104"/>
  <c r="F183" i="104"/>
  <c r="F182" i="104"/>
  <c r="F178" i="104"/>
  <c r="F177" i="104"/>
  <c r="D188" i="104"/>
  <c r="D187" i="104"/>
  <c r="D183" i="104"/>
  <c r="D182" i="104"/>
  <c r="D178" i="104"/>
  <c r="D177" i="104"/>
  <c r="B188" i="104"/>
  <c r="B187" i="104"/>
  <c r="B183" i="104"/>
  <c r="B182" i="104"/>
  <c r="B178" i="104"/>
  <c r="B177" i="104"/>
  <c r="F166" i="104"/>
  <c r="F167" i="104"/>
  <c r="F162" i="104"/>
  <c r="F161" i="104"/>
  <c r="F157" i="104"/>
  <c r="F156" i="104"/>
  <c r="D167" i="104"/>
  <c r="D166" i="104"/>
  <c r="D162" i="104"/>
  <c r="D161" i="104"/>
  <c r="D157" i="104"/>
  <c r="D156" i="104"/>
  <c r="B167" i="104"/>
  <c r="B166" i="104"/>
  <c r="B162" i="104"/>
  <c r="B161" i="104"/>
  <c r="B157" i="104"/>
  <c r="B156" i="104"/>
  <c r="F146" i="104"/>
  <c r="F145" i="104"/>
  <c r="F141" i="104"/>
  <c r="F140" i="104"/>
  <c r="F136" i="104"/>
  <c r="F135" i="104"/>
  <c r="D146" i="104"/>
  <c r="D145" i="104"/>
  <c r="D141" i="104"/>
  <c r="D140" i="104"/>
  <c r="D136" i="104"/>
  <c r="D135" i="104"/>
  <c r="B146" i="104"/>
  <c r="B145" i="104"/>
  <c r="B141" i="104"/>
  <c r="B140" i="104"/>
  <c r="B136" i="104"/>
  <c r="B135" i="104"/>
  <c r="F125" i="104"/>
  <c r="F124" i="104"/>
  <c r="F120" i="104"/>
  <c r="F119" i="104"/>
  <c r="F115" i="104"/>
  <c r="F114" i="104"/>
  <c r="D125" i="104"/>
  <c r="D124" i="104"/>
  <c r="D120" i="104"/>
  <c r="D119" i="104"/>
  <c r="D115" i="104"/>
  <c r="D114" i="104"/>
  <c r="B125" i="104"/>
  <c r="B124" i="104"/>
  <c r="B120" i="104"/>
  <c r="B119" i="104"/>
  <c r="B115" i="104"/>
  <c r="B114" i="104"/>
  <c r="D56" i="104"/>
  <c r="D51" i="104"/>
  <c r="F315" i="104" l="1"/>
  <c r="F126" i="104"/>
  <c r="H124" i="104"/>
  <c r="F168" i="104"/>
  <c r="H335" i="104"/>
  <c r="H145" i="104"/>
  <c r="F104" i="104"/>
  <c r="F103" i="104"/>
  <c r="F99" i="104"/>
  <c r="F98" i="104"/>
  <c r="F94" i="104"/>
  <c r="F93" i="104"/>
  <c r="D104" i="104"/>
  <c r="D103" i="104"/>
  <c r="D99" i="104"/>
  <c r="D98" i="104"/>
  <c r="D94" i="104"/>
  <c r="D93" i="104"/>
  <c r="B104" i="104"/>
  <c r="B103" i="104"/>
  <c r="B99" i="104"/>
  <c r="B98" i="104"/>
  <c r="B94" i="104"/>
  <c r="B93" i="104"/>
  <c r="F83" i="104"/>
  <c r="F82" i="104"/>
  <c r="F78" i="104"/>
  <c r="F77" i="104"/>
  <c r="F73" i="104"/>
  <c r="F72" i="104"/>
  <c r="D83" i="104"/>
  <c r="D82" i="104"/>
  <c r="D78" i="104"/>
  <c r="D77" i="104"/>
  <c r="D73" i="104"/>
  <c r="D72" i="104"/>
  <c r="B83" i="104"/>
  <c r="B82" i="104"/>
  <c r="B78" i="104"/>
  <c r="B77" i="104"/>
  <c r="F62" i="104"/>
  <c r="F61" i="104"/>
  <c r="F57" i="104"/>
  <c r="F56" i="104"/>
  <c r="F52" i="104"/>
  <c r="F51" i="104"/>
  <c r="D62" i="104"/>
  <c r="D61" i="104"/>
  <c r="L61" i="104" s="1"/>
  <c r="D57" i="104"/>
  <c r="D52" i="104"/>
  <c r="D53" i="104" s="1"/>
  <c r="B52" i="104"/>
  <c r="B51" i="104"/>
  <c r="B73" i="104"/>
  <c r="B72" i="104"/>
  <c r="B62" i="104"/>
  <c r="B61" i="104"/>
  <c r="B57" i="104"/>
  <c r="B56" i="104"/>
  <c r="H482" i="104"/>
  <c r="H481" i="104"/>
  <c r="H477" i="104"/>
  <c r="H476" i="104"/>
  <c r="H472" i="104"/>
  <c r="H471" i="104"/>
  <c r="H461" i="104"/>
  <c r="H460" i="104"/>
  <c r="H456" i="104"/>
  <c r="H455" i="104"/>
  <c r="H451" i="104"/>
  <c r="H450" i="104"/>
  <c r="H440" i="104"/>
  <c r="H439" i="104"/>
  <c r="H435" i="104"/>
  <c r="H434" i="104"/>
  <c r="H430" i="104"/>
  <c r="H429" i="104"/>
  <c r="H419" i="104"/>
  <c r="H418" i="104"/>
  <c r="H414" i="104"/>
  <c r="H413" i="104"/>
  <c r="H409" i="104"/>
  <c r="H408" i="104"/>
  <c r="H398" i="104"/>
  <c r="H397" i="104"/>
  <c r="H393" i="104"/>
  <c r="H392" i="104"/>
  <c r="H388" i="104"/>
  <c r="H387" i="104"/>
  <c r="H377" i="104"/>
  <c r="H376" i="104"/>
  <c r="H372" i="104"/>
  <c r="H371" i="104"/>
  <c r="H367" i="104"/>
  <c r="H366" i="104"/>
  <c r="H356" i="104"/>
  <c r="H355" i="104"/>
  <c r="H351" i="104"/>
  <c r="H350" i="104"/>
  <c r="H346" i="104"/>
  <c r="H345" i="104"/>
  <c r="H334" i="104"/>
  <c r="H330" i="104"/>
  <c r="H329" i="104"/>
  <c r="H325" i="104"/>
  <c r="H324" i="104"/>
  <c r="H314" i="104"/>
  <c r="H313" i="104"/>
  <c r="H309" i="104"/>
  <c r="H308" i="104"/>
  <c r="H304" i="104"/>
  <c r="H303" i="104"/>
  <c r="H293" i="104"/>
  <c r="H292" i="104"/>
  <c r="H288" i="104"/>
  <c r="H287" i="104"/>
  <c r="H283" i="104"/>
  <c r="H282" i="104"/>
  <c r="H272" i="104"/>
  <c r="H271" i="104"/>
  <c r="H267" i="104"/>
  <c r="H266" i="104"/>
  <c r="H262" i="104"/>
  <c r="H261" i="104"/>
  <c r="H251" i="104"/>
  <c r="H250" i="104"/>
  <c r="H246" i="104"/>
  <c r="H245" i="104"/>
  <c r="H241" i="104"/>
  <c r="H240" i="104"/>
  <c r="H230" i="104"/>
  <c r="H229" i="104"/>
  <c r="H225" i="104"/>
  <c r="H224" i="104"/>
  <c r="H220" i="104"/>
  <c r="H219" i="104"/>
  <c r="H209" i="104"/>
  <c r="H208" i="104"/>
  <c r="H204" i="104"/>
  <c r="H203" i="104"/>
  <c r="H199" i="104"/>
  <c r="H198" i="104"/>
  <c r="H188" i="104"/>
  <c r="H187" i="104"/>
  <c r="H183" i="104"/>
  <c r="H182" i="104"/>
  <c r="H178" i="104"/>
  <c r="H177" i="104"/>
  <c r="H167" i="104"/>
  <c r="H166" i="104"/>
  <c r="H162" i="104"/>
  <c r="H161" i="104"/>
  <c r="H157" i="104"/>
  <c r="H156" i="104"/>
  <c r="H146" i="104"/>
  <c r="H141" i="104"/>
  <c r="H140" i="104"/>
  <c r="H136" i="104"/>
  <c r="H135" i="104"/>
  <c r="H125" i="104"/>
  <c r="H120" i="104"/>
  <c r="H119" i="104"/>
  <c r="H115" i="104"/>
  <c r="H114" i="104"/>
  <c r="F483" i="104"/>
  <c r="F473" i="104"/>
  <c r="F462" i="104"/>
  <c r="M456" i="104"/>
  <c r="M450" i="104"/>
  <c r="M461" i="104"/>
  <c r="F441" i="104"/>
  <c r="M434" i="104"/>
  <c r="F431" i="104"/>
  <c r="F420" i="104"/>
  <c r="F415" i="104"/>
  <c r="M408" i="104"/>
  <c r="F399" i="104"/>
  <c r="M398" i="104"/>
  <c r="F378" i="104"/>
  <c r="F373" i="104"/>
  <c r="M367" i="104"/>
  <c r="F357" i="104"/>
  <c r="M346" i="104"/>
  <c r="F336" i="104"/>
  <c r="M329" i="104"/>
  <c r="M304" i="104"/>
  <c r="F305" i="104"/>
  <c r="F294" i="104"/>
  <c r="M283" i="104"/>
  <c r="M287" i="104"/>
  <c r="F284" i="104"/>
  <c r="M272" i="104"/>
  <c r="F273" i="104"/>
  <c r="M261" i="104"/>
  <c r="F252" i="104"/>
  <c r="M241" i="104"/>
  <c r="M240" i="104"/>
  <c r="M251" i="104"/>
  <c r="F231" i="104"/>
  <c r="M225" i="104"/>
  <c r="M224" i="104"/>
  <c r="F221" i="104"/>
  <c r="F210" i="104"/>
  <c r="F200" i="104"/>
  <c r="F189" i="104"/>
  <c r="M178" i="104"/>
  <c r="M182" i="104"/>
  <c r="M188" i="104"/>
  <c r="M162" i="104"/>
  <c r="M161" i="104"/>
  <c r="M146" i="104"/>
  <c r="F147" i="104"/>
  <c r="M141" i="104"/>
  <c r="F137" i="104"/>
  <c r="M120" i="104"/>
  <c r="M114" i="104"/>
  <c r="M125" i="104"/>
  <c r="D483" i="104"/>
  <c r="L471" i="104"/>
  <c r="D473" i="104"/>
  <c r="D462" i="104"/>
  <c r="L450" i="104"/>
  <c r="D452" i="104"/>
  <c r="D441" i="104"/>
  <c r="D436" i="104"/>
  <c r="L440" i="104"/>
  <c r="D420" i="104"/>
  <c r="D410" i="104"/>
  <c r="D389" i="104"/>
  <c r="D378" i="104"/>
  <c r="L372" i="104"/>
  <c r="L371" i="104"/>
  <c r="D368" i="104"/>
  <c r="D357" i="104"/>
  <c r="L345" i="104"/>
  <c r="D347" i="104"/>
  <c r="D336" i="104"/>
  <c r="L324" i="104"/>
  <c r="L325" i="104"/>
  <c r="D315" i="104"/>
  <c r="L303" i="104"/>
  <c r="L314" i="104"/>
  <c r="D294" i="104"/>
  <c r="L287" i="104"/>
  <c r="D284" i="104"/>
  <c r="L292" i="104"/>
  <c r="D268" i="104"/>
  <c r="D263" i="104"/>
  <c r="D252" i="104"/>
  <c r="L241" i="104"/>
  <c r="D231" i="104"/>
  <c r="L225" i="104"/>
  <c r="L224" i="104"/>
  <c r="L230" i="104"/>
  <c r="D210" i="104"/>
  <c r="L203" i="104"/>
  <c r="L199" i="104"/>
  <c r="D189" i="104"/>
  <c r="L177" i="104"/>
  <c r="D168" i="104"/>
  <c r="L162" i="104"/>
  <c r="D163" i="104"/>
  <c r="D158" i="104"/>
  <c r="L146" i="104"/>
  <c r="D147" i="104"/>
  <c r="L136" i="104"/>
  <c r="D137" i="104"/>
  <c r="D126" i="104"/>
  <c r="L114" i="104"/>
  <c r="B483" i="104"/>
  <c r="K472" i="104"/>
  <c r="B462" i="104"/>
  <c r="K451" i="104"/>
  <c r="K455" i="104"/>
  <c r="B441" i="104"/>
  <c r="K435" i="104"/>
  <c r="B436" i="104"/>
  <c r="B420" i="104"/>
  <c r="B410" i="104"/>
  <c r="B399" i="104"/>
  <c r="K393" i="104"/>
  <c r="K392" i="104"/>
  <c r="B378" i="104"/>
  <c r="K366" i="104"/>
  <c r="K351" i="104"/>
  <c r="B357" i="104"/>
  <c r="B347" i="104"/>
  <c r="B336" i="104"/>
  <c r="K325" i="104"/>
  <c r="B326" i="104"/>
  <c r="B315" i="104"/>
  <c r="K303" i="104"/>
  <c r="B294" i="104"/>
  <c r="K282" i="104"/>
  <c r="K293" i="104"/>
  <c r="K272" i="104"/>
  <c r="B273" i="104"/>
  <c r="K262" i="104"/>
  <c r="K266" i="104"/>
  <c r="B263" i="104"/>
  <c r="K251" i="104"/>
  <c r="B252" i="104"/>
  <c r="K246" i="104"/>
  <c r="B242" i="104"/>
  <c r="B231" i="104"/>
  <c r="K220" i="104"/>
  <c r="K224" i="104"/>
  <c r="B221" i="104"/>
  <c r="B210" i="104"/>
  <c r="K198" i="104"/>
  <c r="B200" i="104"/>
  <c r="B189" i="104"/>
  <c r="B184" i="104"/>
  <c r="B168" i="104"/>
  <c r="K161" i="104"/>
  <c r="K157" i="104"/>
  <c r="B147" i="104"/>
  <c r="K136" i="104"/>
  <c r="B142" i="104"/>
  <c r="B137" i="104"/>
  <c r="B126" i="104"/>
  <c r="K115" i="104"/>
  <c r="B116" i="104"/>
  <c r="F36" i="104"/>
  <c r="F35" i="104"/>
  <c r="D36" i="104"/>
  <c r="D35" i="104"/>
  <c r="B36" i="104"/>
  <c r="Y546" i="102"/>
  <c r="T546" i="102"/>
  <c r="O546" i="102"/>
  <c r="J546" i="102"/>
  <c r="E546" i="102"/>
  <c r="V545" i="102"/>
  <c r="Q545" i="102"/>
  <c r="L545" i="102"/>
  <c r="G545" i="102"/>
  <c r="B545" i="102"/>
  <c r="Y516" i="102"/>
  <c r="T516" i="102"/>
  <c r="O516" i="102"/>
  <c r="J516" i="102"/>
  <c r="E516" i="102"/>
  <c r="V515" i="102"/>
  <c r="Q515" i="102"/>
  <c r="L515" i="102"/>
  <c r="G515" i="102"/>
  <c r="B515" i="102"/>
  <c r="Y491" i="102"/>
  <c r="T491" i="102"/>
  <c r="O491" i="102"/>
  <c r="J491" i="102"/>
  <c r="E491" i="102"/>
  <c r="V490" i="102"/>
  <c r="Q490" i="102"/>
  <c r="L490" i="102"/>
  <c r="G490" i="102"/>
  <c r="B490" i="102"/>
  <c r="Y481" i="102"/>
  <c r="T481" i="102"/>
  <c r="O481" i="102"/>
  <c r="J481" i="102"/>
  <c r="E481" i="102"/>
  <c r="V480" i="102"/>
  <c r="Q480" i="102"/>
  <c r="L480" i="102"/>
  <c r="G480" i="102"/>
  <c r="B480" i="102"/>
  <c r="Y471" i="102"/>
  <c r="T471" i="102"/>
  <c r="O471" i="102"/>
  <c r="J471" i="102"/>
  <c r="E471" i="102"/>
  <c r="V470" i="102"/>
  <c r="Q470" i="102"/>
  <c r="L470" i="102"/>
  <c r="G470" i="102"/>
  <c r="B470" i="102"/>
  <c r="Y431" i="102"/>
  <c r="T431" i="102"/>
  <c r="O431" i="102"/>
  <c r="J431" i="102"/>
  <c r="E431" i="102"/>
  <c r="V430" i="102"/>
  <c r="Q430" i="102"/>
  <c r="L430" i="102"/>
  <c r="G430" i="102"/>
  <c r="B430" i="102"/>
  <c r="Y386" i="102"/>
  <c r="T386" i="102"/>
  <c r="O386" i="102"/>
  <c r="J386" i="102"/>
  <c r="E386" i="102"/>
  <c r="V385" i="102"/>
  <c r="Q385" i="102"/>
  <c r="L385" i="102"/>
  <c r="G385" i="102"/>
  <c r="B385" i="102"/>
  <c r="Y376" i="102"/>
  <c r="T376" i="102"/>
  <c r="O376" i="102"/>
  <c r="J376" i="102"/>
  <c r="E376" i="102"/>
  <c r="V375" i="102"/>
  <c r="Q375" i="102"/>
  <c r="L375" i="102"/>
  <c r="G375" i="102"/>
  <c r="B375" i="102"/>
  <c r="Y351" i="102"/>
  <c r="T351" i="102"/>
  <c r="O351" i="102"/>
  <c r="J351" i="102"/>
  <c r="E351" i="102"/>
  <c r="V350" i="102"/>
  <c r="Q350" i="102"/>
  <c r="L350" i="102"/>
  <c r="G350" i="102"/>
  <c r="B350" i="102"/>
  <c r="Y326" i="102"/>
  <c r="T326" i="102"/>
  <c r="O326" i="102"/>
  <c r="J326" i="102"/>
  <c r="E326" i="102"/>
  <c r="V325" i="102"/>
  <c r="Q325" i="102"/>
  <c r="L325" i="102"/>
  <c r="G325" i="102"/>
  <c r="B325" i="102"/>
  <c r="Y301" i="102"/>
  <c r="T301" i="102"/>
  <c r="O301" i="102"/>
  <c r="J301" i="102"/>
  <c r="E301" i="102"/>
  <c r="V300" i="102"/>
  <c r="Q300" i="102"/>
  <c r="L300" i="102"/>
  <c r="G300" i="102"/>
  <c r="B300" i="102"/>
  <c r="Y281" i="102"/>
  <c r="T281" i="102"/>
  <c r="O281" i="102"/>
  <c r="J281" i="102"/>
  <c r="E281" i="102"/>
  <c r="V280" i="102"/>
  <c r="Q280" i="102"/>
  <c r="L280" i="102"/>
  <c r="G280" i="102"/>
  <c r="B280" i="102"/>
  <c r="Y246" i="102"/>
  <c r="T246" i="102"/>
  <c r="O246" i="102"/>
  <c r="J246" i="102"/>
  <c r="E246" i="102"/>
  <c r="V245" i="102"/>
  <c r="Q245" i="102"/>
  <c r="L245" i="102"/>
  <c r="G245" i="102"/>
  <c r="B245" i="102"/>
  <c r="Y221" i="102"/>
  <c r="T221" i="102"/>
  <c r="O221" i="102"/>
  <c r="J221" i="102"/>
  <c r="E221" i="102"/>
  <c r="V220" i="102"/>
  <c r="Q220" i="102"/>
  <c r="L220" i="102"/>
  <c r="G220" i="102"/>
  <c r="B220" i="102"/>
  <c r="Y196" i="102"/>
  <c r="T196" i="102"/>
  <c r="O196" i="102"/>
  <c r="J196" i="102"/>
  <c r="E196" i="102"/>
  <c r="V195" i="102"/>
  <c r="Q195" i="102"/>
  <c r="L195" i="102"/>
  <c r="G195" i="102"/>
  <c r="B195" i="102"/>
  <c r="Y171" i="102"/>
  <c r="T171" i="102"/>
  <c r="O171" i="102"/>
  <c r="J171" i="102"/>
  <c r="E171" i="102"/>
  <c r="V170" i="102"/>
  <c r="Q170" i="102"/>
  <c r="L170" i="102"/>
  <c r="G170" i="102"/>
  <c r="B170" i="102"/>
  <c r="Y161" i="102"/>
  <c r="T161" i="102"/>
  <c r="O161" i="102"/>
  <c r="J161" i="102"/>
  <c r="E161" i="102"/>
  <c r="V160" i="102"/>
  <c r="Q160" i="102"/>
  <c r="L160" i="102"/>
  <c r="G160" i="102"/>
  <c r="B160" i="102"/>
  <c r="Y71" i="102"/>
  <c r="T71" i="102"/>
  <c r="O71" i="102"/>
  <c r="J71" i="102"/>
  <c r="E71" i="102"/>
  <c r="V70" i="102"/>
  <c r="Q70" i="102"/>
  <c r="L70" i="102"/>
  <c r="G70" i="102"/>
  <c r="B70" i="102"/>
  <c r="Y46" i="102"/>
  <c r="T46" i="102"/>
  <c r="O46" i="102"/>
  <c r="J46" i="102"/>
  <c r="E46" i="102"/>
  <c r="V45" i="102"/>
  <c r="Q45" i="102"/>
  <c r="L45" i="102"/>
  <c r="G45" i="102"/>
  <c r="B45" i="102"/>
  <c r="Y26" i="102"/>
  <c r="T26" i="102"/>
  <c r="O26" i="102"/>
  <c r="J26" i="102"/>
  <c r="E26" i="102"/>
  <c r="V25" i="102"/>
  <c r="Q25" i="102"/>
  <c r="L25" i="102"/>
  <c r="G25" i="102"/>
  <c r="B25" i="102"/>
  <c r="Q15" i="102"/>
  <c r="T16" i="102"/>
  <c r="S6" i="102"/>
  <c r="R6" i="102"/>
  <c r="Q6" i="102"/>
  <c r="G15" i="102"/>
  <c r="J16" i="102"/>
  <c r="I6" i="102"/>
  <c r="H6" i="102"/>
  <c r="G6" i="102"/>
  <c r="F41" i="104"/>
  <c r="F40" i="104"/>
  <c r="D41" i="104"/>
  <c r="D40" i="104"/>
  <c r="B41" i="104"/>
  <c r="B40" i="104"/>
  <c r="F68" i="104"/>
  <c r="F89" i="104"/>
  <c r="F110" i="104"/>
  <c r="F131" i="104"/>
  <c r="F152" i="104"/>
  <c r="F173" i="104"/>
  <c r="F194" i="104"/>
  <c r="F215" i="104"/>
  <c r="F236" i="104"/>
  <c r="F257" i="104"/>
  <c r="F278" i="104"/>
  <c r="F299" i="104"/>
  <c r="F320" i="104"/>
  <c r="F341" i="104"/>
  <c r="F362" i="104"/>
  <c r="F383" i="104"/>
  <c r="F404" i="104"/>
  <c r="F425" i="104"/>
  <c r="F446" i="104"/>
  <c r="F467" i="104"/>
  <c r="F47" i="104"/>
  <c r="F26" i="104"/>
  <c r="F5" i="104"/>
  <c r="F31" i="104"/>
  <c r="F30" i="104"/>
  <c r="D31" i="104"/>
  <c r="D30" i="104"/>
  <c r="B31" i="104"/>
  <c r="M482" i="104"/>
  <c r="L482" i="104"/>
  <c r="M481" i="104"/>
  <c r="L481" i="104"/>
  <c r="K481" i="104"/>
  <c r="M477" i="104"/>
  <c r="L477" i="104"/>
  <c r="K477" i="104"/>
  <c r="L472" i="104"/>
  <c r="M471" i="104"/>
  <c r="K471" i="104"/>
  <c r="L461" i="104"/>
  <c r="M460" i="104"/>
  <c r="L460" i="104"/>
  <c r="K460" i="104"/>
  <c r="L456" i="104"/>
  <c r="K456" i="104"/>
  <c r="M451" i="104"/>
  <c r="L451" i="104"/>
  <c r="M440" i="104"/>
  <c r="K440" i="104"/>
  <c r="M439" i="104"/>
  <c r="L439" i="104"/>
  <c r="K439" i="104"/>
  <c r="M435" i="104"/>
  <c r="L435" i="104"/>
  <c r="L434" i="104"/>
  <c r="K434" i="104"/>
  <c r="M430" i="104"/>
  <c r="M429" i="104"/>
  <c r="L429" i="104"/>
  <c r="K429" i="104"/>
  <c r="K419" i="104"/>
  <c r="M418" i="104"/>
  <c r="L418" i="104"/>
  <c r="K418" i="104"/>
  <c r="M414" i="104"/>
  <c r="L414" i="104"/>
  <c r="K414" i="104"/>
  <c r="M413" i="104"/>
  <c r="L413" i="104"/>
  <c r="M409" i="104"/>
  <c r="L408" i="104"/>
  <c r="K408" i="104"/>
  <c r="L398" i="104"/>
  <c r="M397" i="104"/>
  <c r="L397" i="104"/>
  <c r="K397" i="104"/>
  <c r="M393" i="104"/>
  <c r="M392" i="104"/>
  <c r="L392" i="104"/>
  <c r="K387" i="104"/>
  <c r="L377" i="104"/>
  <c r="M376" i="104"/>
  <c r="L376" i="104"/>
  <c r="K376" i="104"/>
  <c r="K372" i="104"/>
  <c r="K371" i="104"/>
  <c r="M366" i="104"/>
  <c r="L356" i="104"/>
  <c r="M355" i="104"/>
  <c r="K355" i="104"/>
  <c r="L351" i="104"/>
  <c r="K350" i="104"/>
  <c r="L346" i="104"/>
  <c r="K345" i="104"/>
  <c r="K335" i="104"/>
  <c r="M334" i="104"/>
  <c r="L334" i="104"/>
  <c r="K334" i="104"/>
  <c r="M330" i="104"/>
  <c r="L330" i="104"/>
  <c r="K330" i="104"/>
  <c r="M314" i="104"/>
  <c r="M313" i="104"/>
  <c r="K313" i="104"/>
  <c r="L309" i="104"/>
  <c r="K309" i="104"/>
  <c r="M308" i="104"/>
  <c r="K308" i="104"/>
  <c r="L304" i="104"/>
  <c r="K304" i="104"/>
  <c r="M293" i="104"/>
  <c r="L293" i="104"/>
  <c r="M292" i="104"/>
  <c r="L288" i="104"/>
  <c r="K287" i="104"/>
  <c r="L283" i="104"/>
  <c r="M271" i="104"/>
  <c r="K271" i="104"/>
  <c r="M267" i="104"/>
  <c r="K267" i="104"/>
  <c r="M266" i="104"/>
  <c r="L262" i="104"/>
  <c r="M250" i="104"/>
  <c r="L250" i="104"/>
  <c r="K250" i="104"/>
  <c r="L245" i="104"/>
  <c r="K245" i="104"/>
  <c r="K241" i="104"/>
  <c r="L240" i="104"/>
  <c r="K240" i="104"/>
  <c r="M230" i="104"/>
  <c r="M229" i="104"/>
  <c r="L229" i="104"/>
  <c r="K229" i="104"/>
  <c r="K225" i="104"/>
  <c r="M220" i="104"/>
  <c r="K209" i="104"/>
  <c r="M208" i="104"/>
  <c r="L208" i="104"/>
  <c r="K208" i="104"/>
  <c r="L204" i="104"/>
  <c r="K204" i="104"/>
  <c r="M199" i="104"/>
  <c r="K199" i="104"/>
  <c r="M187" i="104"/>
  <c r="L187" i="104"/>
  <c r="K187" i="104"/>
  <c r="L183" i="104"/>
  <c r="K183" i="104"/>
  <c r="K177" i="104"/>
  <c r="M166" i="104"/>
  <c r="L166" i="104"/>
  <c r="K166" i="104"/>
  <c r="K162" i="104"/>
  <c r="L161" i="104"/>
  <c r="M156" i="104"/>
  <c r="L156" i="104"/>
  <c r="K156" i="104"/>
  <c r="K146" i="104"/>
  <c r="M145" i="104"/>
  <c r="L145" i="104"/>
  <c r="K145" i="104"/>
  <c r="L140" i="104"/>
  <c r="M136" i="104"/>
  <c r="K135" i="104"/>
  <c r="M124" i="104"/>
  <c r="L124" i="104"/>
  <c r="K124" i="104"/>
  <c r="K120" i="104"/>
  <c r="L119" i="104"/>
  <c r="M115" i="104"/>
  <c r="A480" i="104"/>
  <c r="A475" i="104"/>
  <c r="A470" i="104"/>
  <c r="A459" i="104"/>
  <c r="A454" i="104"/>
  <c r="A449" i="104"/>
  <c r="A438" i="104"/>
  <c r="A433" i="104"/>
  <c r="A428" i="104"/>
  <c r="A417" i="104"/>
  <c r="A412" i="104"/>
  <c r="A407" i="104"/>
  <c r="A396" i="104"/>
  <c r="A391" i="104"/>
  <c r="A386" i="104"/>
  <c r="A375" i="104"/>
  <c r="A370" i="104"/>
  <c r="A365" i="104"/>
  <c r="A354" i="104"/>
  <c r="A349" i="104"/>
  <c r="A344" i="104"/>
  <c r="A333" i="104"/>
  <c r="A328" i="104"/>
  <c r="A323" i="104"/>
  <c r="A312" i="104"/>
  <c r="A307" i="104"/>
  <c r="A302" i="104"/>
  <c r="A291" i="104"/>
  <c r="A286" i="104"/>
  <c r="A281" i="104"/>
  <c r="A270" i="104"/>
  <c r="A265" i="104"/>
  <c r="A260" i="104"/>
  <c r="A249" i="104"/>
  <c r="A244" i="104"/>
  <c r="A239" i="104"/>
  <c r="A228" i="104"/>
  <c r="A223" i="104"/>
  <c r="A218" i="104"/>
  <c r="A207" i="104"/>
  <c r="A202" i="104"/>
  <c r="A197" i="104"/>
  <c r="A186" i="104"/>
  <c r="A181" i="104"/>
  <c r="A176" i="104"/>
  <c r="A165" i="104"/>
  <c r="A160" i="104"/>
  <c r="A155" i="104"/>
  <c r="A144" i="104"/>
  <c r="A139" i="104"/>
  <c r="A134" i="104"/>
  <c r="A123" i="104"/>
  <c r="A118" i="104"/>
  <c r="A113" i="104"/>
  <c r="A102" i="104"/>
  <c r="A97" i="104"/>
  <c r="A92" i="104"/>
  <c r="A81" i="104"/>
  <c r="A76" i="104"/>
  <c r="A71" i="104"/>
  <c r="A60" i="104"/>
  <c r="A55" i="104"/>
  <c r="A50" i="104"/>
  <c r="A39" i="104"/>
  <c r="A34" i="104"/>
  <c r="A29" i="104"/>
  <c r="K18" i="104"/>
  <c r="K13" i="104"/>
  <c r="K8" i="104"/>
  <c r="K99" i="104" l="1"/>
  <c r="K118" i="104"/>
  <c r="K370" i="104"/>
  <c r="K160" i="104"/>
  <c r="K328" i="104"/>
  <c r="K134" i="104"/>
  <c r="K218" i="104"/>
  <c r="K386" i="104"/>
  <c r="K470" i="104"/>
  <c r="M315" i="104"/>
  <c r="K139" i="104"/>
  <c r="M73" i="104"/>
  <c r="M31" i="104"/>
  <c r="K29" i="104"/>
  <c r="K113" i="104"/>
  <c r="K197" i="104"/>
  <c r="K365" i="104"/>
  <c r="K449" i="104"/>
  <c r="K34" i="104"/>
  <c r="K202" i="104"/>
  <c r="M36" i="104"/>
  <c r="K81" i="104"/>
  <c r="K155" i="104"/>
  <c r="K323" i="104"/>
  <c r="K60" i="104"/>
  <c r="K55" i="104"/>
  <c r="K223" i="104"/>
  <c r="K391" i="104"/>
  <c r="K186" i="104"/>
  <c r="K354" i="104"/>
  <c r="K417" i="104"/>
  <c r="K181" i="104"/>
  <c r="K349" i="104"/>
  <c r="F63" i="104"/>
  <c r="M82" i="104"/>
  <c r="K291" i="104"/>
  <c r="K286" i="104"/>
  <c r="K454" i="104"/>
  <c r="K102" i="104"/>
  <c r="K270" i="104"/>
  <c r="K438" i="104"/>
  <c r="K97" i="104"/>
  <c r="K265" i="104"/>
  <c r="K433" i="104"/>
  <c r="K76" i="104"/>
  <c r="K244" i="104"/>
  <c r="K312" i="104"/>
  <c r="K412" i="104"/>
  <c r="K480" i="104"/>
  <c r="K307" i="104"/>
  <c r="K475" i="104"/>
  <c r="K39" i="104"/>
  <c r="K375" i="104"/>
  <c r="K207" i="104"/>
  <c r="K123" i="104"/>
  <c r="K144" i="104"/>
  <c r="K344" i="104"/>
  <c r="K176" i="104"/>
  <c r="K239" i="104"/>
  <c r="K407" i="104"/>
  <c r="K302" i="104"/>
  <c r="K92" i="104"/>
  <c r="K260" i="104"/>
  <c r="K428" i="104"/>
  <c r="K50" i="104"/>
  <c r="K228" i="104"/>
  <c r="K396" i="104"/>
  <c r="K333" i="104"/>
  <c r="K71" i="104"/>
  <c r="K165" i="104"/>
  <c r="K249" i="104"/>
  <c r="K459" i="104"/>
  <c r="K281" i="104"/>
  <c r="B14" i="104"/>
  <c r="F42" i="104"/>
  <c r="F20" i="104"/>
  <c r="H35" i="104"/>
  <c r="K103" i="104"/>
  <c r="M98" i="104"/>
  <c r="H483" i="104"/>
  <c r="C482" i="104" s="1"/>
  <c r="L103" i="104"/>
  <c r="H98" i="104"/>
  <c r="H82" i="104"/>
  <c r="K51" i="104"/>
  <c r="D37" i="104"/>
  <c r="H30" i="104"/>
  <c r="K77" i="104"/>
  <c r="H126" i="104"/>
  <c r="E125" i="104" s="1"/>
  <c r="H273" i="104"/>
  <c r="G271" i="104" s="1"/>
  <c r="B84" i="104"/>
  <c r="K72" i="104"/>
  <c r="L62" i="104"/>
  <c r="H41" i="104"/>
  <c r="B63" i="104"/>
  <c r="D63" i="104"/>
  <c r="K57" i="104"/>
  <c r="D100" i="104"/>
  <c r="H221" i="104"/>
  <c r="G220" i="104" s="1"/>
  <c r="F53" i="104"/>
  <c r="F84" i="104"/>
  <c r="B79" i="104"/>
  <c r="D84" i="104"/>
  <c r="H62" i="104"/>
  <c r="L78" i="104"/>
  <c r="M57" i="104"/>
  <c r="H452" i="104"/>
  <c r="E450" i="104" s="1"/>
  <c r="H83" i="104"/>
  <c r="D105" i="104"/>
  <c r="K56" i="104"/>
  <c r="M78" i="104"/>
  <c r="F37" i="104"/>
  <c r="H51" i="104"/>
  <c r="H56" i="104"/>
  <c r="H179" i="104"/>
  <c r="C178" i="104" s="1"/>
  <c r="H205" i="104"/>
  <c r="C204" i="104" s="1"/>
  <c r="H263" i="104"/>
  <c r="C261" i="104" s="1"/>
  <c r="H289" i="104"/>
  <c r="G287" i="104" s="1"/>
  <c r="H57" i="104"/>
  <c r="L82" i="104"/>
  <c r="H72" i="104"/>
  <c r="M72" i="104"/>
  <c r="H77" i="104"/>
  <c r="H93" i="104"/>
  <c r="M103" i="104"/>
  <c r="K31" i="104"/>
  <c r="K61" i="104"/>
  <c r="H104" i="104"/>
  <c r="H103" i="104"/>
  <c r="B105" i="104"/>
  <c r="K30" i="104"/>
  <c r="M93" i="104"/>
  <c r="D9" i="104"/>
  <c r="K35" i="104"/>
  <c r="H40" i="104"/>
  <c r="L83" i="104"/>
  <c r="M62" i="104"/>
  <c r="N439" i="104"/>
  <c r="H121" i="104"/>
  <c r="I119" i="104" s="1"/>
  <c r="H462" i="104"/>
  <c r="G460" i="104" s="1"/>
  <c r="H36" i="104"/>
  <c r="M99" i="104"/>
  <c r="M52" i="104"/>
  <c r="H389" i="104"/>
  <c r="I388" i="104" s="1"/>
  <c r="H415" i="104"/>
  <c r="C414" i="104" s="1"/>
  <c r="H61" i="104"/>
  <c r="F105" i="104"/>
  <c r="H394" i="104"/>
  <c r="C392" i="104" s="1"/>
  <c r="H478" i="104"/>
  <c r="C477" i="104" s="1"/>
  <c r="K98" i="104"/>
  <c r="H331" i="104"/>
  <c r="C329" i="104" s="1"/>
  <c r="H99" i="104"/>
  <c r="K93" i="104"/>
  <c r="K78" i="104"/>
  <c r="H78" i="104"/>
  <c r="N481" i="104"/>
  <c r="H431" i="104"/>
  <c r="G431" i="104" s="1"/>
  <c r="H441" i="104"/>
  <c r="I441" i="104" s="1"/>
  <c r="N414" i="104"/>
  <c r="H420" i="104"/>
  <c r="E418" i="104" s="1"/>
  <c r="H410" i="104"/>
  <c r="E408" i="104" s="1"/>
  <c r="H399" i="104"/>
  <c r="I398" i="104" s="1"/>
  <c r="N376" i="104"/>
  <c r="H378" i="104"/>
  <c r="E377" i="104" s="1"/>
  <c r="H357" i="104"/>
  <c r="I356" i="104" s="1"/>
  <c r="N330" i="104"/>
  <c r="H336" i="104"/>
  <c r="G334" i="104" s="1"/>
  <c r="H315" i="104"/>
  <c r="I313" i="104" s="1"/>
  <c r="H305" i="104"/>
  <c r="I303" i="104" s="1"/>
  <c r="L294" i="104"/>
  <c r="H294" i="104"/>
  <c r="I293" i="104" s="1"/>
  <c r="H284" i="104"/>
  <c r="E283" i="104" s="1"/>
  <c r="H268" i="104"/>
  <c r="C267" i="104" s="1"/>
  <c r="N250" i="104"/>
  <c r="H252" i="104"/>
  <c r="C251" i="104" s="1"/>
  <c r="H231" i="104"/>
  <c r="E230" i="104" s="1"/>
  <c r="H210" i="104"/>
  <c r="I210" i="104" s="1"/>
  <c r="H189" i="104"/>
  <c r="C187" i="104" s="1"/>
  <c r="N166" i="104"/>
  <c r="H168" i="104"/>
  <c r="I167" i="104" s="1"/>
  <c r="H158" i="104"/>
  <c r="G156" i="104" s="1"/>
  <c r="N145" i="104"/>
  <c r="H142" i="104"/>
  <c r="C140" i="104" s="1"/>
  <c r="H147" i="104"/>
  <c r="I147" i="104" s="1"/>
  <c r="H137" i="104"/>
  <c r="G137" i="104" s="1"/>
  <c r="N124" i="104"/>
  <c r="H94" i="104"/>
  <c r="L104" i="104"/>
  <c r="H73" i="104"/>
  <c r="B53" i="104"/>
  <c r="H52" i="104"/>
  <c r="H473" i="104"/>
  <c r="E472" i="104" s="1"/>
  <c r="H457" i="104"/>
  <c r="I457" i="104" s="1"/>
  <c r="H436" i="104"/>
  <c r="E436" i="104" s="1"/>
  <c r="H368" i="104"/>
  <c r="C367" i="104" s="1"/>
  <c r="H373" i="104"/>
  <c r="I371" i="104" s="1"/>
  <c r="H347" i="104"/>
  <c r="G346" i="104" s="1"/>
  <c r="H352" i="104"/>
  <c r="I351" i="104" s="1"/>
  <c r="H326" i="104"/>
  <c r="G325" i="104" s="1"/>
  <c r="H310" i="104"/>
  <c r="G308" i="104" s="1"/>
  <c r="H247" i="104"/>
  <c r="G245" i="104" s="1"/>
  <c r="H242" i="104"/>
  <c r="H226" i="104"/>
  <c r="H200" i="104"/>
  <c r="G200" i="104" s="1"/>
  <c r="H184" i="104"/>
  <c r="E182" i="104" s="1"/>
  <c r="H163" i="104"/>
  <c r="I162" i="104" s="1"/>
  <c r="H116" i="104"/>
  <c r="C115" i="104" s="1"/>
  <c r="M483" i="104"/>
  <c r="M472" i="104"/>
  <c r="N472" i="104" s="1"/>
  <c r="F478" i="104"/>
  <c r="M476" i="104"/>
  <c r="F452" i="104"/>
  <c r="F457" i="104"/>
  <c r="M455" i="104"/>
  <c r="M441" i="104"/>
  <c r="F436" i="104"/>
  <c r="M436" i="104" s="1"/>
  <c r="N429" i="104"/>
  <c r="M415" i="104"/>
  <c r="F410" i="104"/>
  <c r="N418" i="104"/>
  <c r="N408" i="104"/>
  <c r="M419" i="104"/>
  <c r="F389" i="104"/>
  <c r="F394" i="104"/>
  <c r="M387" i="104"/>
  <c r="M388" i="104"/>
  <c r="N397" i="104"/>
  <c r="M373" i="104"/>
  <c r="F368" i="104"/>
  <c r="M371" i="104"/>
  <c r="N371" i="104" s="1"/>
  <c r="M377" i="104"/>
  <c r="M372" i="104"/>
  <c r="N372" i="104" s="1"/>
  <c r="F347" i="104"/>
  <c r="M350" i="104"/>
  <c r="F352" i="104"/>
  <c r="M352" i="104" s="1"/>
  <c r="M356" i="104"/>
  <c r="M345" i="104"/>
  <c r="N345" i="104" s="1"/>
  <c r="M351" i="104"/>
  <c r="N351" i="104" s="1"/>
  <c r="F326" i="104"/>
  <c r="M324" i="104"/>
  <c r="M325" i="104"/>
  <c r="N325" i="104" s="1"/>
  <c r="F331" i="104"/>
  <c r="M335" i="104"/>
  <c r="F310" i="104"/>
  <c r="M310" i="104" s="1"/>
  <c r="M309" i="104"/>
  <c r="N309" i="104" s="1"/>
  <c r="M303" i="104"/>
  <c r="N303" i="104" s="1"/>
  <c r="M294" i="104"/>
  <c r="F289" i="104"/>
  <c r="M282" i="104"/>
  <c r="M288" i="104"/>
  <c r="F263" i="104"/>
  <c r="M262" i="104"/>
  <c r="N262" i="104" s="1"/>
  <c r="F268" i="104"/>
  <c r="N240" i="104"/>
  <c r="M245" i="104"/>
  <c r="N245" i="104" s="1"/>
  <c r="F247" i="104"/>
  <c r="M246" i="104"/>
  <c r="F242" i="104"/>
  <c r="M252" i="104" s="1"/>
  <c r="M231" i="104"/>
  <c r="F226" i="104"/>
  <c r="M219" i="104"/>
  <c r="M210" i="104"/>
  <c r="F205" i="104"/>
  <c r="M209" i="104"/>
  <c r="M203" i="104"/>
  <c r="M198" i="104"/>
  <c r="M204" i="104"/>
  <c r="N204" i="104" s="1"/>
  <c r="M183" i="104"/>
  <c r="N183" i="104" s="1"/>
  <c r="F184" i="104"/>
  <c r="M177" i="104"/>
  <c r="N177" i="104" s="1"/>
  <c r="F179" i="104"/>
  <c r="F163" i="104"/>
  <c r="F158" i="104"/>
  <c r="M167" i="104"/>
  <c r="M157" i="104"/>
  <c r="M147" i="104"/>
  <c r="M135" i="104"/>
  <c r="F142" i="104"/>
  <c r="M142" i="104" s="1"/>
  <c r="M140" i="104"/>
  <c r="F116" i="104"/>
  <c r="F121" i="104"/>
  <c r="M119" i="104"/>
  <c r="F95" i="104"/>
  <c r="F100" i="104"/>
  <c r="M104" i="104"/>
  <c r="M94" i="104"/>
  <c r="F74" i="104"/>
  <c r="F14" i="104"/>
  <c r="F79" i="104"/>
  <c r="M77" i="104"/>
  <c r="M83" i="104"/>
  <c r="F58" i="104"/>
  <c r="F15" i="104"/>
  <c r="M51" i="104"/>
  <c r="M56" i="104"/>
  <c r="L483" i="104"/>
  <c r="D478" i="104"/>
  <c r="N471" i="104"/>
  <c r="L476" i="104"/>
  <c r="N477" i="104"/>
  <c r="L462" i="104"/>
  <c r="D457" i="104"/>
  <c r="L455" i="104"/>
  <c r="N460" i="104"/>
  <c r="N456" i="104"/>
  <c r="L436" i="104"/>
  <c r="D431" i="104"/>
  <c r="L430" i="104"/>
  <c r="N435" i="104"/>
  <c r="L420" i="104"/>
  <c r="L409" i="104"/>
  <c r="L419" i="104"/>
  <c r="D415" i="104"/>
  <c r="L393" i="104"/>
  <c r="N393" i="104" s="1"/>
  <c r="D394" i="104"/>
  <c r="L388" i="104"/>
  <c r="D399" i="104"/>
  <c r="L387" i="104"/>
  <c r="L378" i="104"/>
  <c r="L366" i="104"/>
  <c r="N366" i="104" s="1"/>
  <c r="D373" i="104"/>
  <c r="L367" i="104"/>
  <c r="L357" i="104"/>
  <c r="D352" i="104"/>
  <c r="L350" i="104"/>
  <c r="L355" i="104"/>
  <c r="N355" i="104" s="1"/>
  <c r="D326" i="104"/>
  <c r="L335" i="104"/>
  <c r="D331" i="104"/>
  <c r="L329" i="104"/>
  <c r="D305" i="104"/>
  <c r="D310" i="104"/>
  <c r="L308" i="104"/>
  <c r="N308" i="104" s="1"/>
  <c r="D19" i="104"/>
  <c r="N304" i="104"/>
  <c r="L313" i="104"/>
  <c r="N313" i="104" s="1"/>
  <c r="D289" i="104"/>
  <c r="L282" i="104"/>
  <c r="N293" i="104"/>
  <c r="L263" i="104"/>
  <c r="L266" i="104"/>
  <c r="N266" i="104" s="1"/>
  <c r="D273" i="104"/>
  <c r="L261" i="104"/>
  <c r="L271" i="104"/>
  <c r="N271" i="104" s="1"/>
  <c r="L267" i="104"/>
  <c r="N267" i="104" s="1"/>
  <c r="L272" i="104"/>
  <c r="N272" i="104" s="1"/>
  <c r="D242" i="104"/>
  <c r="L246" i="104"/>
  <c r="L251" i="104"/>
  <c r="N251" i="104" s="1"/>
  <c r="D247" i="104"/>
  <c r="L247" i="104" s="1"/>
  <c r="D221" i="104"/>
  <c r="D226" i="104"/>
  <c r="N225" i="104"/>
  <c r="L219" i="104"/>
  <c r="L220" i="104"/>
  <c r="N220" i="104" s="1"/>
  <c r="D200" i="104"/>
  <c r="L209" i="104"/>
  <c r="D205" i="104"/>
  <c r="L198" i="104"/>
  <c r="N208" i="104"/>
  <c r="D184" i="104"/>
  <c r="L184" i="104" s="1"/>
  <c r="L178" i="104"/>
  <c r="N187" i="104"/>
  <c r="L188" i="104"/>
  <c r="L182" i="104"/>
  <c r="D179" i="104"/>
  <c r="L158" i="104"/>
  <c r="L168" i="104"/>
  <c r="L163" i="104"/>
  <c r="L157" i="104"/>
  <c r="L167" i="104"/>
  <c r="N162" i="104"/>
  <c r="L147" i="104"/>
  <c r="L141" i="104"/>
  <c r="N146" i="104"/>
  <c r="D142" i="104"/>
  <c r="L135" i="104"/>
  <c r="D116" i="104"/>
  <c r="L126" i="104" s="1"/>
  <c r="D121" i="104"/>
  <c r="L115" i="104"/>
  <c r="N115" i="104" s="1"/>
  <c r="L120" i="104"/>
  <c r="N120" i="104" s="1"/>
  <c r="L125" i="104"/>
  <c r="L93" i="104"/>
  <c r="L98" i="104"/>
  <c r="D14" i="104"/>
  <c r="D95" i="104"/>
  <c r="D15" i="104"/>
  <c r="L94" i="104"/>
  <c r="L99" i="104"/>
  <c r="D20" i="104"/>
  <c r="D79" i="104"/>
  <c r="L72" i="104"/>
  <c r="L77" i="104"/>
  <c r="D74" i="104"/>
  <c r="L73" i="104"/>
  <c r="D58" i="104"/>
  <c r="L56" i="104"/>
  <c r="D10" i="104"/>
  <c r="L51" i="104"/>
  <c r="L52" i="104"/>
  <c r="L57" i="104"/>
  <c r="K482" i="104"/>
  <c r="N482" i="104" s="1"/>
  <c r="B478" i="104"/>
  <c r="B473" i="104"/>
  <c r="K476" i="104"/>
  <c r="B452" i="104"/>
  <c r="K450" i="104"/>
  <c r="N450" i="104" s="1"/>
  <c r="B457" i="104"/>
  <c r="K457" i="104" s="1"/>
  <c r="N451" i="104"/>
  <c r="K461" i="104"/>
  <c r="N461" i="104" s="1"/>
  <c r="K436" i="104"/>
  <c r="N440" i="104"/>
  <c r="B431" i="104"/>
  <c r="K430" i="104"/>
  <c r="N434" i="104"/>
  <c r="K420" i="104"/>
  <c r="K409" i="104"/>
  <c r="K413" i="104"/>
  <c r="N413" i="104" s="1"/>
  <c r="B415" i="104"/>
  <c r="K398" i="104"/>
  <c r="N398" i="104" s="1"/>
  <c r="B389" i="104"/>
  <c r="B394" i="104"/>
  <c r="K388" i="104"/>
  <c r="N392" i="104"/>
  <c r="B368" i="104"/>
  <c r="B373" i="104"/>
  <c r="K377" i="104"/>
  <c r="K367" i="104"/>
  <c r="K357" i="104"/>
  <c r="K356" i="104"/>
  <c r="B352" i="104"/>
  <c r="K352" i="104" s="1"/>
  <c r="K346" i="104"/>
  <c r="N346" i="104" s="1"/>
  <c r="K336" i="104"/>
  <c r="N334" i="104"/>
  <c r="K324" i="104"/>
  <c r="B331" i="104"/>
  <c r="K329" i="104"/>
  <c r="B310" i="104"/>
  <c r="B305" i="104"/>
  <c r="K314" i="104"/>
  <c r="N314" i="104" s="1"/>
  <c r="N287" i="104"/>
  <c r="K292" i="104"/>
  <c r="N292" i="104" s="1"/>
  <c r="K288" i="104"/>
  <c r="B289" i="104"/>
  <c r="B284" i="104"/>
  <c r="K283" i="104"/>
  <c r="N283" i="104" s="1"/>
  <c r="K273" i="104"/>
  <c r="K261" i="104"/>
  <c r="B268" i="104"/>
  <c r="K252" i="104"/>
  <c r="B247" i="104"/>
  <c r="N241" i="104"/>
  <c r="K231" i="104"/>
  <c r="K230" i="104"/>
  <c r="N230" i="104" s="1"/>
  <c r="K219" i="104"/>
  <c r="B226" i="104"/>
  <c r="N229" i="104"/>
  <c r="N224" i="104"/>
  <c r="K210" i="104"/>
  <c r="K203" i="104"/>
  <c r="N199" i="104"/>
  <c r="B205" i="104"/>
  <c r="K184" i="104"/>
  <c r="B179" i="104"/>
  <c r="K182" i="104"/>
  <c r="K178" i="104"/>
  <c r="K188" i="104"/>
  <c r="K167" i="104"/>
  <c r="B163" i="104"/>
  <c r="N156" i="104"/>
  <c r="B158" i="104"/>
  <c r="N161" i="104"/>
  <c r="K137" i="104"/>
  <c r="K147" i="104"/>
  <c r="K142" i="104"/>
  <c r="K140" i="104"/>
  <c r="N136" i="104"/>
  <c r="K141" i="104"/>
  <c r="K126" i="104"/>
  <c r="K125" i="104"/>
  <c r="K114" i="104"/>
  <c r="N114" i="104" s="1"/>
  <c r="B121" i="104"/>
  <c r="K121" i="104" s="1"/>
  <c r="K119" i="104"/>
  <c r="B95" i="104"/>
  <c r="B15" i="104"/>
  <c r="B100" i="104"/>
  <c r="K104" i="104"/>
  <c r="K94" i="104"/>
  <c r="K73" i="104"/>
  <c r="K82" i="104"/>
  <c r="B74" i="104"/>
  <c r="K83" i="104"/>
  <c r="K52" i="104"/>
  <c r="B58" i="104"/>
  <c r="K62" i="104"/>
  <c r="B10" i="104"/>
  <c r="M61" i="104"/>
  <c r="F9" i="104"/>
  <c r="B37" i="104"/>
  <c r="L40" i="104"/>
  <c r="B32" i="104"/>
  <c r="K41" i="104"/>
  <c r="M41" i="104"/>
  <c r="L31" i="104"/>
  <c r="D32" i="104"/>
  <c r="M40" i="104"/>
  <c r="L41" i="104"/>
  <c r="B9" i="104"/>
  <c r="M35" i="104"/>
  <c r="K36" i="104"/>
  <c r="L36" i="104"/>
  <c r="F19" i="104"/>
  <c r="D42" i="104"/>
  <c r="B20" i="104"/>
  <c r="L35" i="104"/>
  <c r="H31" i="104"/>
  <c r="F32" i="104"/>
  <c r="B42" i="104"/>
  <c r="M30" i="104"/>
  <c r="F10" i="104"/>
  <c r="B19" i="104"/>
  <c r="K40" i="104"/>
  <c r="L30" i="104"/>
  <c r="K19" i="104" l="1"/>
  <c r="K14" i="104"/>
  <c r="K9" i="104"/>
  <c r="E119" i="104"/>
  <c r="I220" i="104"/>
  <c r="C263" i="104"/>
  <c r="H79" i="104"/>
  <c r="G77" i="104" s="1"/>
  <c r="E483" i="104"/>
  <c r="M20" i="104"/>
  <c r="H84" i="104"/>
  <c r="E84" i="104" s="1"/>
  <c r="G450" i="104"/>
  <c r="C451" i="104"/>
  <c r="G261" i="104"/>
  <c r="G481" i="104"/>
  <c r="H105" i="104"/>
  <c r="I105" i="104" s="1"/>
  <c r="I219" i="104"/>
  <c r="E120" i="104"/>
  <c r="I287" i="104"/>
  <c r="H37" i="104"/>
  <c r="G37" i="104" s="1"/>
  <c r="M15" i="104"/>
  <c r="I262" i="104"/>
  <c r="G262" i="104"/>
  <c r="C221" i="104"/>
  <c r="E204" i="104"/>
  <c r="L100" i="104"/>
  <c r="H100" i="104"/>
  <c r="I98" i="104" s="1"/>
  <c r="N98" i="104"/>
  <c r="F21" i="104"/>
  <c r="E481" i="104"/>
  <c r="I205" i="104"/>
  <c r="G272" i="104"/>
  <c r="G273" i="104"/>
  <c r="E482" i="104"/>
  <c r="G208" i="104"/>
  <c r="G482" i="104"/>
  <c r="C273" i="104"/>
  <c r="C271" i="104"/>
  <c r="C210" i="104"/>
  <c r="I483" i="104"/>
  <c r="N62" i="104"/>
  <c r="G210" i="104"/>
  <c r="G483" i="104"/>
  <c r="E210" i="104"/>
  <c r="I203" i="104"/>
  <c r="C292" i="104"/>
  <c r="I431" i="104"/>
  <c r="C481" i="104"/>
  <c r="I209" i="104"/>
  <c r="E203" i="104"/>
  <c r="I272" i="104"/>
  <c r="I208" i="104"/>
  <c r="E271" i="104"/>
  <c r="I482" i="104"/>
  <c r="H74" i="104"/>
  <c r="G72" i="104" s="1"/>
  <c r="I271" i="104"/>
  <c r="C208" i="104"/>
  <c r="C483" i="104"/>
  <c r="E208" i="104"/>
  <c r="E272" i="104"/>
  <c r="I481" i="104"/>
  <c r="G451" i="104"/>
  <c r="E476" i="104"/>
  <c r="G314" i="104"/>
  <c r="C313" i="104"/>
  <c r="I263" i="104"/>
  <c r="C203" i="104"/>
  <c r="G204" i="104"/>
  <c r="I204" i="104"/>
  <c r="E188" i="104"/>
  <c r="I187" i="104"/>
  <c r="C179" i="104"/>
  <c r="I179" i="104"/>
  <c r="E178" i="104"/>
  <c r="E126" i="104"/>
  <c r="I124" i="104"/>
  <c r="C126" i="104"/>
  <c r="I125" i="104"/>
  <c r="E124" i="104"/>
  <c r="I126" i="104"/>
  <c r="C124" i="104"/>
  <c r="C125" i="104"/>
  <c r="G125" i="104"/>
  <c r="G126" i="104"/>
  <c r="G124" i="104"/>
  <c r="N103" i="104"/>
  <c r="N78" i="104"/>
  <c r="N82" i="104"/>
  <c r="L37" i="104"/>
  <c r="M105" i="104"/>
  <c r="C220" i="104"/>
  <c r="E221" i="104"/>
  <c r="N119" i="104"/>
  <c r="G188" i="104"/>
  <c r="C188" i="104"/>
  <c r="G219" i="104"/>
  <c r="I273" i="104"/>
  <c r="I288" i="104"/>
  <c r="I452" i="104"/>
  <c r="E452" i="104"/>
  <c r="E220" i="104"/>
  <c r="C450" i="104"/>
  <c r="K79" i="104"/>
  <c r="E179" i="104"/>
  <c r="E231" i="104"/>
  <c r="I177" i="104"/>
  <c r="E187" i="104"/>
  <c r="I221" i="104"/>
  <c r="C272" i="104"/>
  <c r="C304" i="104"/>
  <c r="G221" i="104"/>
  <c r="G452" i="104"/>
  <c r="C177" i="104"/>
  <c r="I450" i="104"/>
  <c r="N83" i="104"/>
  <c r="C189" i="104"/>
  <c r="C452" i="104"/>
  <c r="G179" i="104"/>
  <c r="I178" i="104"/>
  <c r="C219" i="104"/>
  <c r="I267" i="104"/>
  <c r="I429" i="104"/>
  <c r="E451" i="104"/>
  <c r="K84" i="104"/>
  <c r="E136" i="104"/>
  <c r="G178" i="104"/>
  <c r="G146" i="104"/>
  <c r="G177" i="104"/>
  <c r="C288" i="104"/>
  <c r="G330" i="104"/>
  <c r="E177" i="104"/>
  <c r="H58" i="104"/>
  <c r="C57" i="104" s="1"/>
  <c r="E388" i="104"/>
  <c r="E389" i="104"/>
  <c r="C388" i="104"/>
  <c r="I387" i="104"/>
  <c r="C389" i="104"/>
  <c r="C387" i="104"/>
  <c r="G389" i="104"/>
  <c r="E334" i="104"/>
  <c r="G387" i="104"/>
  <c r="I414" i="104"/>
  <c r="H20" i="104"/>
  <c r="K32" i="104"/>
  <c r="N57" i="104"/>
  <c r="G413" i="104"/>
  <c r="I389" i="104"/>
  <c r="E414" i="104"/>
  <c r="H14" i="104"/>
  <c r="C413" i="104"/>
  <c r="G388" i="104"/>
  <c r="E387" i="104"/>
  <c r="E413" i="104"/>
  <c r="H53" i="104"/>
  <c r="C52" i="104" s="1"/>
  <c r="H19" i="104"/>
  <c r="G408" i="104"/>
  <c r="E330" i="104"/>
  <c r="E430" i="104"/>
  <c r="N61" i="104"/>
  <c r="C158" i="104"/>
  <c r="H95" i="104"/>
  <c r="E95" i="104" s="1"/>
  <c r="G392" i="104"/>
  <c r="C429" i="104"/>
  <c r="H10" i="104"/>
  <c r="E329" i="104"/>
  <c r="G187" i="104"/>
  <c r="G203" i="104"/>
  <c r="I231" i="104"/>
  <c r="I261" i="104"/>
  <c r="G288" i="104"/>
  <c r="I314" i="104"/>
  <c r="I330" i="104"/>
  <c r="E392" i="104"/>
  <c r="G397" i="104"/>
  <c r="G414" i="104"/>
  <c r="I430" i="104"/>
  <c r="H63" i="104"/>
  <c r="C61" i="104" s="1"/>
  <c r="E263" i="104"/>
  <c r="H42" i="104"/>
  <c r="I42" i="104" s="1"/>
  <c r="C441" i="104"/>
  <c r="G329" i="104"/>
  <c r="G473" i="104"/>
  <c r="C287" i="104"/>
  <c r="I289" i="104"/>
  <c r="N99" i="104"/>
  <c r="E287" i="104"/>
  <c r="I329" i="104"/>
  <c r="N35" i="104"/>
  <c r="C330" i="104"/>
  <c r="N356" i="104"/>
  <c r="E462" i="104"/>
  <c r="C120" i="104"/>
  <c r="E262" i="104"/>
  <c r="E288" i="104"/>
  <c r="I331" i="104"/>
  <c r="I394" i="104"/>
  <c r="E429" i="104"/>
  <c r="E460" i="104"/>
  <c r="E261" i="104"/>
  <c r="C431" i="104"/>
  <c r="L105" i="104"/>
  <c r="G231" i="104"/>
  <c r="G263" i="104"/>
  <c r="G399" i="104"/>
  <c r="I136" i="104"/>
  <c r="E219" i="104"/>
  <c r="C262" i="104"/>
  <c r="I392" i="104"/>
  <c r="G430" i="104"/>
  <c r="I451" i="104"/>
  <c r="C460" i="104"/>
  <c r="L19" i="104"/>
  <c r="I393" i="104"/>
  <c r="E477" i="104"/>
  <c r="N335" i="104"/>
  <c r="G456" i="104"/>
  <c r="C119" i="104"/>
  <c r="G393" i="104"/>
  <c r="C157" i="104"/>
  <c r="I376" i="104"/>
  <c r="I462" i="104"/>
  <c r="C184" i="104"/>
  <c r="C399" i="104"/>
  <c r="C462" i="104"/>
  <c r="E168" i="104"/>
  <c r="E189" i="104"/>
  <c r="E304" i="104"/>
  <c r="M63" i="104"/>
  <c r="G119" i="104"/>
  <c r="G189" i="104"/>
  <c r="I120" i="104"/>
  <c r="I156" i="104"/>
  <c r="I188" i="104"/>
  <c r="E251" i="104"/>
  <c r="C314" i="104"/>
  <c r="E393" i="104"/>
  <c r="E397" i="104"/>
  <c r="C397" i="104"/>
  <c r="G415" i="104"/>
  <c r="I415" i="104"/>
  <c r="C461" i="104"/>
  <c r="E461" i="104"/>
  <c r="I477" i="104"/>
  <c r="G166" i="104"/>
  <c r="H15" i="104"/>
  <c r="G476" i="104"/>
  <c r="N31" i="104"/>
  <c r="I141" i="104"/>
  <c r="I250" i="104"/>
  <c r="I461" i="104"/>
  <c r="G477" i="104"/>
  <c r="C167" i="104"/>
  <c r="N41" i="104"/>
  <c r="E305" i="104"/>
  <c r="G398" i="104"/>
  <c r="C476" i="104"/>
  <c r="I476" i="104"/>
  <c r="D21" i="104"/>
  <c r="N147" i="104"/>
  <c r="C168" i="104"/>
  <c r="C305" i="104"/>
  <c r="C393" i="104"/>
  <c r="N72" i="104"/>
  <c r="L315" i="104"/>
  <c r="I121" i="104"/>
  <c r="I158" i="104"/>
  <c r="I189" i="104"/>
  <c r="G230" i="104"/>
  <c r="G304" i="104"/>
  <c r="I399" i="104"/>
  <c r="I413" i="104"/>
  <c r="G461" i="104"/>
  <c r="I478" i="104"/>
  <c r="I140" i="104"/>
  <c r="G167" i="104"/>
  <c r="I460" i="104"/>
  <c r="G120" i="104"/>
  <c r="I397" i="104"/>
  <c r="I252" i="104"/>
  <c r="I168" i="104"/>
  <c r="C252" i="104"/>
  <c r="E315" i="104"/>
  <c r="G305" i="104"/>
  <c r="G462" i="104"/>
  <c r="C156" i="104"/>
  <c r="C230" i="104"/>
  <c r="C303" i="104"/>
  <c r="C398" i="104"/>
  <c r="G168" i="104"/>
  <c r="N455" i="104"/>
  <c r="N288" i="104"/>
  <c r="G266" i="104"/>
  <c r="E268" i="104"/>
  <c r="I266" i="104"/>
  <c r="I268" i="104"/>
  <c r="C266" i="104"/>
  <c r="E266" i="104"/>
  <c r="G267" i="104"/>
  <c r="N198" i="104"/>
  <c r="C142" i="104"/>
  <c r="I142" i="104"/>
  <c r="C141" i="104"/>
  <c r="N141" i="104"/>
  <c r="E140" i="104"/>
  <c r="E141" i="104"/>
  <c r="N93" i="104"/>
  <c r="C473" i="104"/>
  <c r="C472" i="104"/>
  <c r="C439" i="104"/>
  <c r="E431" i="104"/>
  <c r="C430" i="104"/>
  <c r="G429" i="104"/>
  <c r="G441" i="104"/>
  <c r="E441" i="104"/>
  <c r="C440" i="104"/>
  <c r="G440" i="104"/>
  <c r="G439" i="104"/>
  <c r="E440" i="104"/>
  <c r="E439" i="104"/>
  <c r="I439" i="104"/>
  <c r="I440" i="104"/>
  <c r="N436" i="104"/>
  <c r="N419" i="104"/>
  <c r="G420" i="104"/>
  <c r="N409" i="104"/>
  <c r="G409" i="104"/>
  <c r="C408" i="104"/>
  <c r="C409" i="104"/>
  <c r="C410" i="104"/>
  <c r="E410" i="104"/>
  <c r="E409" i="104"/>
  <c r="I408" i="104"/>
  <c r="C420" i="104"/>
  <c r="C418" i="104"/>
  <c r="E419" i="104"/>
  <c r="G418" i="104"/>
  <c r="I418" i="104"/>
  <c r="I419" i="104"/>
  <c r="C419" i="104"/>
  <c r="E420" i="104"/>
  <c r="I420" i="104"/>
  <c r="G419" i="104"/>
  <c r="I410" i="104"/>
  <c r="I409" i="104"/>
  <c r="E398" i="104"/>
  <c r="N367" i="104"/>
  <c r="E368" i="104"/>
  <c r="G377" i="104"/>
  <c r="I377" i="104"/>
  <c r="G378" i="104"/>
  <c r="I378" i="104"/>
  <c r="G376" i="104"/>
  <c r="C378" i="104"/>
  <c r="C376" i="104"/>
  <c r="E378" i="104"/>
  <c r="E376" i="104"/>
  <c r="C377" i="104"/>
  <c r="G373" i="104"/>
  <c r="I367" i="104"/>
  <c r="C368" i="104"/>
  <c r="G368" i="104"/>
  <c r="E355" i="104"/>
  <c r="E357" i="104"/>
  <c r="G356" i="104"/>
  <c r="I357" i="104"/>
  <c r="C355" i="104"/>
  <c r="G355" i="104"/>
  <c r="I355" i="104"/>
  <c r="C357" i="104"/>
  <c r="G357" i="104"/>
  <c r="C356" i="104"/>
  <c r="E356" i="104"/>
  <c r="G350" i="104"/>
  <c r="C351" i="104"/>
  <c r="I350" i="104"/>
  <c r="G347" i="104"/>
  <c r="E347" i="104"/>
  <c r="G336" i="104"/>
  <c r="N324" i="104"/>
  <c r="C335" i="104"/>
  <c r="I334" i="104"/>
  <c r="C336" i="104"/>
  <c r="E335" i="104"/>
  <c r="I336" i="104"/>
  <c r="G335" i="104"/>
  <c r="C334" i="104"/>
  <c r="E336" i="104"/>
  <c r="I335" i="104"/>
  <c r="N329" i="104"/>
  <c r="G313" i="104"/>
  <c r="I315" i="104"/>
  <c r="C315" i="104"/>
  <c r="E313" i="104"/>
  <c r="G315" i="104"/>
  <c r="E314" i="104"/>
  <c r="I305" i="104"/>
  <c r="G303" i="104"/>
  <c r="I308" i="104"/>
  <c r="E308" i="104"/>
  <c r="G309" i="104"/>
  <c r="E309" i="104"/>
  <c r="I304" i="104"/>
  <c r="E303" i="104"/>
  <c r="I284" i="104"/>
  <c r="C284" i="104"/>
  <c r="E294" i="104"/>
  <c r="G293" i="104"/>
  <c r="E292" i="104"/>
  <c r="I292" i="104"/>
  <c r="I294" i="104"/>
  <c r="E293" i="104"/>
  <c r="C293" i="104"/>
  <c r="C294" i="104"/>
  <c r="G292" i="104"/>
  <c r="G294" i="104"/>
  <c r="G284" i="104"/>
  <c r="E284" i="104"/>
  <c r="C282" i="104"/>
  <c r="I282" i="104"/>
  <c r="C283" i="104"/>
  <c r="G282" i="104"/>
  <c r="G283" i="104"/>
  <c r="E282" i="104"/>
  <c r="I283" i="104"/>
  <c r="M273" i="104"/>
  <c r="E267" i="104"/>
  <c r="N261" i="104"/>
  <c r="C250" i="104"/>
  <c r="G252" i="104"/>
  <c r="I251" i="104"/>
  <c r="N246" i="104"/>
  <c r="E245" i="104"/>
  <c r="E250" i="104"/>
  <c r="E252" i="104"/>
  <c r="G250" i="104"/>
  <c r="G251" i="104"/>
  <c r="C229" i="104"/>
  <c r="G229" i="104"/>
  <c r="I230" i="104"/>
  <c r="E229" i="104"/>
  <c r="I229" i="104"/>
  <c r="C231" i="104"/>
  <c r="L231" i="104"/>
  <c r="N231" i="104" s="1"/>
  <c r="E209" i="104"/>
  <c r="C209" i="104"/>
  <c r="G209" i="104"/>
  <c r="N182" i="104"/>
  <c r="G183" i="104"/>
  <c r="E166" i="104"/>
  <c r="E167" i="104"/>
  <c r="N157" i="104"/>
  <c r="I166" i="104"/>
  <c r="C166" i="104"/>
  <c r="E163" i="104"/>
  <c r="C161" i="104"/>
  <c r="G157" i="104"/>
  <c r="E156" i="104"/>
  <c r="E158" i="104"/>
  <c r="I157" i="104"/>
  <c r="E157" i="104"/>
  <c r="I161" i="104"/>
  <c r="K168" i="104"/>
  <c r="E145" i="104"/>
  <c r="C146" i="104"/>
  <c r="E146" i="104"/>
  <c r="C147" i="104"/>
  <c r="G147" i="104"/>
  <c r="N135" i="104"/>
  <c r="G140" i="104"/>
  <c r="G141" i="104"/>
  <c r="E135" i="104"/>
  <c r="E137" i="104"/>
  <c r="I145" i="104"/>
  <c r="C145" i="104"/>
  <c r="G145" i="104"/>
  <c r="I146" i="104"/>
  <c r="E147" i="104"/>
  <c r="G136" i="104"/>
  <c r="I137" i="104"/>
  <c r="C135" i="104"/>
  <c r="N140" i="104"/>
  <c r="C137" i="104"/>
  <c r="G135" i="104"/>
  <c r="C136" i="104"/>
  <c r="I135" i="104"/>
  <c r="N125" i="104"/>
  <c r="G115" i="104"/>
  <c r="E116" i="104"/>
  <c r="G116" i="104"/>
  <c r="C116" i="104"/>
  <c r="N94" i="104"/>
  <c r="N77" i="104"/>
  <c r="E73" i="104"/>
  <c r="N73" i="104"/>
  <c r="N56" i="104"/>
  <c r="N52" i="104"/>
  <c r="K74" i="104"/>
  <c r="I472" i="104"/>
  <c r="C471" i="104"/>
  <c r="G471" i="104"/>
  <c r="E471" i="104"/>
  <c r="I473" i="104"/>
  <c r="G472" i="104"/>
  <c r="E473" i="104"/>
  <c r="I471" i="104"/>
  <c r="I455" i="104"/>
  <c r="C455" i="104"/>
  <c r="E455" i="104"/>
  <c r="G455" i="104"/>
  <c r="C456" i="104"/>
  <c r="E456" i="104"/>
  <c r="I456" i="104"/>
  <c r="I436" i="104"/>
  <c r="E435" i="104"/>
  <c r="E434" i="104"/>
  <c r="C435" i="104"/>
  <c r="G435" i="104"/>
  <c r="C434" i="104"/>
  <c r="G434" i="104"/>
  <c r="C436" i="104"/>
  <c r="I435" i="104"/>
  <c r="I434" i="104"/>
  <c r="E372" i="104"/>
  <c r="E366" i="104"/>
  <c r="I368" i="104"/>
  <c r="C366" i="104"/>
  <c r="I366" i="104"/>
  <c r="G367" i="104"/>
  <c r="G366" i="104"/>
  <c r="E367" i="104"/>
  <c r="I372" i="104"/>
  <c r="E371" i="104"/>
  <c r="C371" i="104"/>
  <c r="C372" i="104"/>
  <c r="G372" i="104"/>
  <c r="G371" i="104"/>
  <c r="I373" i="104"/>
  <c r="E345" i="104"/>
  <c r="C345" i="104"/>
  <c r="G345" i="104"/>
  <c r="E346" i="104"/>
  <c r="C346" i="104"/>
  <c r="I347" i="104"/>
  <c r="I345" i="104"/>
  <c r="C347" i="104"/>
  <c r="E351" i="104"/>
  <c r="I352" i="104"/>
  <c r="G351" i="104"/>
  <c r="E350" i="104"/>
  <c r="C350" i="104"/>
  <c r="I346" i="104"/>
  <c r="G326" i="104"/>
  <c r="E325" i="104"/>
  <c r="I326" i="104"/>
  <c r="C324" i="104"/>
  <c r="G324" i="104"/>
  <c r="C325" i="104"/>
  <c r="I324" i="104"/>
  <c r="E324" i="104"/>
  <c r="C326" i="104"/>
  <c r="E326" i="104"/>
  <c r="I325" i="104"/>
  <c r="I310" i="104"/>
  <c r="I309" i="104"/>
  <c r="C308" i="104"/>
  <c r="C309" i="104"/>
  <c r="I242" i="104"/>
  <c r="C241" i="104"/>
  <c r="C240" i="104"/>
  <c r="I240" i="104"/>
  <c r="E240" i="104"/>
  <c r="G240" i="104"/>
  <c r="G241" i="104"/>
  <c r="I247" i="104"/>
  <c r="E246" i="104"/>
  <c r="C245" i="104"/>
  <c r="G242" i="104"/>
  <c r="I246" i="104"/>
  <c r="E241" i="104"/>
  <c r="E242" i="104"/>
  <c r="G246" i="104"/>
  <c r="I245" i="104"/>
  <c r="C246" i="104"/>
  <c r="C242" i="104"/>
  <c r="I241" i="104"/>
  <c r="E224" i="104"/>
  <c r="E225" i="104"/>
  <c r="G224" i="104"/>
  <c r="I226" i="104"/>
  <c r="G225" i="104"/>
  <c r="C224" i="104"/>
  <c r="I225" i="104"/>
  <c r="C225" i="104"/>
  <c r="I224" i="104"/>
  <c r="E198" i="104"/>
  <c r="I199" i="104"/>
  <c r="C199" i="104"/>
  <c r="G198" i="104"/>
  <c r="I200" i="104"/>
  <c r="C198" i="104"/>
  <c r="I198" i="104"/>
  <c r="G199" i="104"/>
  <c r="E199" i="104"/>
  <c r="C200" i="104"/>
  <c r="C182" i="104"/>
  <c r="C183" i="104"/>
  <c r="I184" i="104"/>
  <c r="G182" i="104"/>
  <c r="E183" i="104"/>
  <c r="I183" i="104"/>
  <c r="I182" i="104"/>
  <c r="I163" i="104"/>
  <c r="G162" i="104"/>
  <c r="E161" i="104"/>
  <c r="E162" i="104"/>
  <c r="G161" i="104"/>
  <c r="C162" i="104"/>
  <c r="G114" i="104"/>
  <c r="I114" i="104"/>
  <c r="C114" i="104"/>
  <c r="E114" i="104"/>
  <c r="I116" i="104"/>
  <c r="E115" i="104"/>
  <c r="I115" i="104"/>
  <c r="G478" i="104"/>
  <c r="M473" i="104"/>
  <c r="M478" i="104"/>
  <c r="G457" i="104"/>
  <c r="M452" i="104"/>
  <c r="M462" i="104"/>
  <c r="M457" i="104"/>
  <c r="G436" i="104"/>
  <c r="M431" i="104"/>
  <c r="G410" i="104"/>
  <c r="M410" i="104"/>
  <c r="M420" i="104"/>
  <c r="N420" i="104" s="1"/>
  <c r="G394" i="104"/>
  <c r="M389" i="104"/>
  <c r="N388" i="104"/>
  <c r="N387" i="104"/>
  <c r="M399" i="104"/>
  <c r="M394" i="104"/>
  <c r="M378" i="104"/>
  <c r="M368" i="104"/>
  <c r="N377" i="104"/>
  <c r="M347" i="104"/>
  <c r="G352" i="104"/>
  <c r="M357" i="104"/>
  <c r="N357" i="104" s="1"/>
  <c r="N350" i="104"/>
  <c r="G331" i="104"/>
  <c r="M326" i="104"/>
  <c r="M336" i="104"/>
  <c r="M331" i="104"/>
  <c r="M305" i="104"/>
  <c r="G310" i="104"/>
  <c r="G289" i="104"/>
  <c r="M284" i="104"/>
  <c r="M289" i="104"/>
  <c r="N282" i="104"/>
  <c r="G268" i="104"/>
  <c r="M263" i="104"/>
  <c r="M268" i="104"/>
  <c r="G247" i="104"/>
  <c r="M242" i="104"/>
  <c r="M247" i="104"/>
  <c r="G226" i="104"/>
  <c r="M221" i="104"/>
  <c r="M226" i="104"/>
  <c r="M200" i="104"/>
  <c r="G205" i="104"/>
  <c r="N209" i="104"/>
  <c r="N203" i="104"/>
  <c r="M205" i="104"/>
  <c r="M179" i="104"/>
  <c r="G184" i="104"/>
  <c r="M189" i="104"/>
  <c r="M184" i="104"/>
  <c r="N184" i="104" s="1"/>
  <c r="M19" i="104"/>
  <c r="M168" i="104"/>
  <c r="G158" i="104"/>
  <c r="M158" i="104"/>
  <c r="G163" i="104"/>
  <c r="M163" i="104"/>
  <c r="G142" i="104"/>
  <c r="M137" i="104"/>
  <c r="M126" i="104"/>
  <c r="N126" i="104" s="1"/>
  <c r="M116" i="104"/>
  <c r="G121" i="104"/>
  <c r="M121" i="104"/>
  <c r="M95" i="104"/>
  <c r="N104" i="104"/>
  <c r="M100" i="104"/>
  <c r="M74" i="104"/>
  <c r="F16" i="104"/>
  <c r="M79" i="104"/>
  <c r="M9" i="104"/>
  <c r="M84" i="104"/>
  <c r="M14" i="104"/>
  <c r="N51" i="104"/>
  <c r="M53" i="104"/>
  <c r="M58" i="104"/>
  <c r="N476" i="104"/>
  <c r="E478" i="104"/>
  <c r="L473" i="104"/>
  <c r="L478" i="104"/>
  <c r="E457" i="104"/>
  <c r="L452" i="104"/>
  <c r="L457" i="104"/>
  <c r="N430" i="104"/>
  <c r="L441" i="104"/>
  <c r="L431" i="104"/>
  <c r="E415" i="104"/>
  <c r="L410" i="104"/>
  <c r="L415" i="104"/>
  <c r="E399" i="104"/>
  <c r="L399" i="104"/>
  <c r="L394" i="104"/>
  <c r="E394" i="104"/>
  <c r="L389" i="104"/>
  <c r="L368" i="104"/>
  <c r="E373" i="104"/>
  <c r="L14" i="104"/>
  <c r="L373" i="104"/>
  <c r="L347" i="104"/>
  <c r="E352" i="104"/>
  <c r="L352" i="104"/>
  <c r="N352" i="104" s="1"/>
  <c r="E331" i="104"/>
  <c r="L326" i="104"/>
  <c r="L336" i="104"/>
  <c r="L331" i="104"/>
  <c r="E310" i="104"/>
  <c r="L305" i="104"/>
  <c r="L15" i="104"/>
  <c r="L310" i="104"/>
  <c r="L284" i="104"/>
  <c r="E289" i="104"/>
  <c r="L289" i="104"/>
  <c r="L273" i="104"/>
  <c r="L268" i="104"/>
  <c r="E273" i="104"/>
  <c r="E247" i="104"/>
  <c r="L242" i="104"/>
  <c r="L252" i="104"/>
  <c r="N252" i="104" s="1"/>
  <c r="L221" i="104"/>
  <c r="E226" i="104"/>
  <c r="N219" i="104"/>
  <c r="L226" i="104"/>
  <c r="E205" i="104"/>
  <c r="L200" i="104"/>
  <c r="L205" i="104"/>
  <c r="E200" i="104"/>
  <c r="L210" i="104"/>
  <c r="N210" i="104" s="1"/>
  <c r="N178" i="104"/>
  <c r="L189" i="104"/>
  <c r="N188" i="104"/>
  <c r="E184" i="104"/>
  <c r="L179" i="104"/>
  <c r="N167" i="104"/>
  <c r="L10" i="104"/>
  <c r="L137" i="104"/>
  <c r="E142" i="104"/>
  <c r="L9" i="104"/>
  <c r="L142" i="104"/>
  <c r="N142" i="104" s="1"/>
  <c r="L116" i="104"/>
  <c r="E121" i="104"/>
  <c r="L121" i="104"/>
  <c r="L95" i="104"/>
  <c r="L20" i="104"/>
  <c r="L74" i="104"/>
  <c r="L84" i="104"/>
  <c r="L79" i="104"/>
  <c r="L58" i="104"/>
  <c r="L53" i="104"/>
  <c r="D16" i="104"/>
  <c r="L63" i="104"/>
  <c r="L42" i="104"/>
  <c r="N40" i="104"/>
  <c r="C478" i="104"/>
  <c r="K473" i="104"/>
  <c r="K483" i="104"/>
  <c r="N483" i="104" s="1"/>
  <c r="K478" i="104"/>
  <c r="C457" i="104"/>
  <c r="K452" i="104"/>
  <c r="K462" i="104"/>
  <c r="K441" i="104"/>
  <c r="K431" i="104"/>
  <c r="K410" i="104"/>
  <c r="C415" i="104"/>
  <c r="K415" i="104"/>
  <c r="K389" i="104"/>
  <c r="C394" i="104"/>
  <c r="K399" i="104"/>
  <c r="K394" i="104"/>
  <c r="K368" i="104"/>
  <c r="C373" i="104"/>
  <c r="K373" i="104"/>
  <c r="K378" i="104"/>
  <c r="C352" i="104"/>
  <c r="K347" i="104"/>
  <c r="C331" i="104"/>
  <c r="K326" i="104"/>
  <c r="K331" i="104"/>
  <c r="K305" i="104"/>
  <c r="C310" i="104"/>
  <c r="K315" i="104"/>
  <c r="K310" i="104"/>
  <c r="K294" i="104"/>
  <c r="N294" i="104" s="1"/>
  <c r="C289" i="104"/>
  <c r="K284" i="104"/>
  <c r="K289" i="104"/>
  <c r="C268" i="104"/>
  <c r="K263" i="104"/>
  <c r="K268" i="104"/>
  <c r="K242" i="104"/>
  <c r="C247" i="104"/>
  <c r="K247" i="104"/>
  <c r="C226" i="104"/>
  <c r="K221" i="104"/>
  <c r="K226" i="104"/>
  <c r="C205" i="104"/>
  <c r="K200" i="104"/>
  <c r="K205" i="104"/>
  <c r="B11" i="104"/>
  <c r="K189" i="104"/>
  <c r="K179" i="104"/>
  <c r="C163" i="104"/>
  <c r="K158" i="104"/>
  <c r="K163" i="104"/>
  <c r="K116" i="104"/>
  <c r="C121" i="104"/>
  <c r="K95" i="104"/>
  <c r="K105" i="104"/>
  <c r="K10" i="104"/>
  <c r="K100" i="104"/>
  <c r="K58" i="104"/>
  <c r="K53" i="104"/>
  <c r="K63" i="104"/>
  <c r="M10" i="104"/>
  <c r="N30" i="104"/>
  <c r="B16" i="104"/>
  <c r="K42" i="104"/>
  <c r="N36" i="104"/>
  <c r="L32" i="104"/>
  <c r="D11" i="104"/>
  <c r="M37" i="104"/>
  <c r="M32" i="104"/>
  <c r="F11" i="104"/>
  <c r="H32" i="104"/>
  <c r="I30" i="104" s="1"/>
  <c r="H9" i="104"/>
  <c r="M42" i="104"/>
  <c r="B21" i="104"/>
  <c r="K37" i="104"/>
  <c r="K15" i="104"/>
  <c r="K20" i="104"/>
  <c r="E83" i="104" l="1"/>
  <c r="I84" i="104"/>
  <c r="C83" i="104"/>
  <c r="E82" i="104"/>
  <c r="G82" i="104"/>
  <c r="G83" i="104"/>
  <c r="C82" i="104"/>
  <c r="G79" i="104"/>
  <c r="C104" i="104"/>
  <c r="E79" i="104"/>
  <c r="C37" i="104"/>
  <c r="E105" i="104"/>
  <c r="G103" i="104"/>
  <c r="C105" i="104"/>
  <c r="G104" i="104"/>
  <c r="E103" i="104"/>
  <c r="G105" i="104"/>
  <c r="C103" i="104"/>
  <c r="I103" i="104"/>
  <c r="G99" i="104"/>
  <c r="E104" i="104"/>
  <c r="G73" i="104"/>
  <c r="C78" i="104"/>
  <c r="G78" i="104"/>
  <c r="I35" i="104"/>
  <c r="I72" i="104"/>
  <c r="G36" i="104"/>
  <c r="E37" i="104"/>
  <c r="C36" i="104"/>
  <c r="E35" i="104"/>
  <c r="E78" i="104"/>
  <c r="C35" i="104"/>
  <c r="C77" i="104"/>
  <c r="C79" i="104"/>
  <c r="I78" i="104"/>
  <c r="I36" i="104"/>
  <c r="I79" i="104"/>
  <c r="I37" i="104"/>
  <c r="C74" i="104"/>
  <c r="E77" i="104"/>
  <c r="E36" i="104"/>
  <c r="I77" i="104"/>
  <c r="G35" i="104"/>
  <c r="C99" i="104"/>
  <c r="E99" i="104"/>
  <c r="G100" i="104"/>
  <c r="I99" i="104"/>
  <c r="E98" i="104"/>
  <c r="G98" i="104"/>
  <c r="C100" i="104"/>
  <c r="I100" i="104"/>
  <c r="C98" i="104"/>
  <c r="E100" i="104"/>
  <c r="I104" i="104"/>
  <c r="I82" i="104"/>
  <c r="C84" i="104"/>
  <c r="I83" i="104"/>
  <c r="G84" i="104"/>
  <c r="G95" i="104"/>
  <c r="N457" i="104"/>
  <c r="G58" i="104"/>
  <c r="I56" i="104"/>
  <c r="H16" i="104"/>
  <c r="C14" i="104" s="1"/>
  <c r="C72" i="104"/>
  <c r="I74" i="104"/>
  <c r="C93" i="104"/>
  <c r="I95" i="104"/>
  <c r="E74" i="104"/>
  <c r="E72" i="104"/>
  <c r="G74" i="104"/>
  <c r="I73" i="104"/>
  <c r="C73" i="104"/>
  <c r="N158" i="104"/>
  <c r="G94" i="104"/>
  <c r="E58" i="104"/>
  <c r="C56" i="104"/>
  <c r="I57" i="104"/>
  <c r="C58" i="104"/>
  <c r="G56" i="104"/>
  <c r="E57" i="104"/>
  <c r="G57" i="104"/>
  <c r="I58" i="104"/>
  <c r="E56" i="104"/>
  <c r="L21" i="104"/>
  <c r="C95" i="104"/>
  <c r="E94" i="104"/>
  <c r="N462" i="104"/>
  <c r="I93" i="104"/>
  <c r="N378" i="104"/>
  <c r="E93" i="104"/>
  <c r="C94" i="104"/>
  <c r="E41" i="104"/>
  <c r="I41" i="104"/>
  <c r="G41" i="104"/>
  <c r="G53" i="104"/>
  <c r="I53" i="104"/>
  <c r="C63" i="104"/>
  <c r="N32" i="104"/>
  <c r="E52" i="104"/>
  <c r="I52" i="104"/>
  <c r="E40" i="104"/>
  <c r="C53" i="104"/>
  <c r="G51" i="104"/>
  <c r="G40" i="104"/>
  <c r="E53" i="104"/>
  <c r="E42" i="104"/>
  <c r="C40" i="104"/>
  <c r="E51" i="104"/>
  <c r="C41" i="104"/>
  <c r="C51" i="104"/>
  <c r="G52" i="104"/>
  <c r="G42" i="104"/>
  <c r="I40" i="104"/>
  <c r="I51" i="104"/>
  <c r="C62" i="104"/>
  <c r="I61" i="104"/>
  <c r="E61" i="104"/>
  <c r="I63" i="104"/>
  <c r="G61" i="104"/>
  <c r="G62" i="104"/>
  <c r="E62" i="104"/>
  <c r="I94" i="104"/>
  <c r="G63" i="104"/>
  <c r="N105" i="104"/>
  <c r="N42" i="104"/>
  <c r="N168" i="104"/>
  <c r="G93" i="104"/>
  <c r="C42" i="104"/>
  <c r="H21" i="104"/>
  <c r="C19" i="104" s="1"/>
  <c r="E63" i="104"/>
  <c r="I62" i="104"/>
  <c r="N315" i="104"/>
  <c r="L16" i="104"/>
  <c r="N452" i="104"/>
  <c r="N263" i="104"/>
  <c r="N200" i="104"/>
  <c r="N473" i="104"/>
  <c r="N431" i="104"/>
  <c r="N415" i="104"/>
  <c r="N394" i="104"/>
  <c r="N399" i="104"/>
  <c r="N373" i="104"/>
  <c r="N368" i="104"/>
  <c r="N347" i="104"/>
  <c r="N336" i="104"/>
  <c r="N331" i="104"/>
  <c r="N273" i="104"/>
  <c r="N268" i="104"/>
  <c r="N247" i="104"/>
  <c r="N242" i="104"/>
  <c r="N221" i="104"/>
  <c r="N205" i="104"/>
  <c r="N137" i="104"/>
  <c r="N116" i="104"/>
  <c r="N95" i="104"/>
  <c r="N74" i="104"/>
  <c r="N53" i="104"/>
  <c r="N410" i="104"/>
  <c r="N305" i="104"/>
  <c r="N289" i="104"/>
  <c r="N19" i="104"/>
  <c r="N189" i="104"/>
  <c r="N163" i="104"/>
  <c r="N121" i="104"/>
  <c r="M16" i="104"/>
  <c r="N100" i="104"/>
  <c r="N79" i="104"/>
  <c r="N84" i="104"/>
  <c r="N14" i="104"/>
  <c r="N478" i="104"/>
  <c r="N441" i="104"/>
  <c r="N389" i="104"/>
  <c r="N326" i="104"/>
  <c r="N15" i="104"/>
  <c r="N310" i="104"/>
  <c r="N284" i="104"/>
  <c r="N10" i="104"/>
  <c r="N226" i="104"/>
  <c r="N179" i="104"/>
  <c r="N9" i="104"/>
  <c r="N20" i="104"/>
  <c r="L11" i="104"/>
  <c r="N58" i="104"/>
  <c r="N63" i="104"/>
  <c r="K11" i="104"/>
  <c r="N37" i="104"/>
  <c r="I32" i="104"/>
  <c r="G30" i="104"/>
  <c r="E30" i="104"/>
  <c r="C31" i="104"/>
  <c r="H11" i="104"/>
  <c r="C32" i="104"/>
  <c r="E32" i="104"/>
  <c r="C30" i="104"/>
  <c r="E31" i="104"/>
  <c r="G31" i="104"/>
  <c r="G32" i="104"/>
  <c r="M11" i="104"/>
  <c r="M21" i="104"/>
  <c r="K21" i="104"/>
  <c r="K16" i="104"/>
  <c r="I31" i="104"/>
  <c r="G14" i="104" l="1"/>
  <c r="G16" i="104"/>
  <c r="G15" i="104"/>
  <c r="I16" i="104"/>
  <c r="E14" i="104"/>
  <c r="E16" i="104"/>
  <c r="C15" i="104"/>
  <c r="C16" i="104"/>
  <c r="E15" i="104"/>
  <c r="I14" i="104"/>
  <c r="I15" i="104"/>
  <c r="E20" i="104"/>
  <c r="G19" i="104"/>
  <c r="E21" i="104"/>
  <c r="I19" i="104"/>
  <c r="G21" i="104"/>
  <c r="I20" i="104"/>
  <c r="I21" i="104"/>
  <c r="G20" i="104"/>
  <c r="C21" i="104"/>
  <c r="E19" i="104"/>
  <c r="C20" i="104"/>
  <c r="N16" i="104"/>
  <c r="N21" i="104"/>
  <c r="N11" i="104"/>
  <c r="E11" i="104"/>
  <c r="E9" i="104"/>
  <c r="C9" i="104"/>
  <c r="C11" i="104"/>
  <c r="E10" i="104"/>
  <c r="G10" i="104"/>
  <c r="C10" i="104"/>
  <c r="I10" i="104"/>
  <c r="G11" i="104"/>
  <c r="I11" i="104"/>
  <c r="G9" i="104"/>
  <c r="I9" i="104"/>
  <c r="A1292" i="103" l="1"/>
  <c r="A1291" i="103"/>
  <c r="A1290" i="103"/>
  <c r="A1289" i="103"/>
  <c r="A1288" i="103"/>
  <c r="A1287" i="103"/>
  <c r="A1286" i="103"/>
  <c r="A1285" i="103"/>
  <c r="A1284" i="103"/>
  <c r="A1281" i="103"/>
  <c r="A1275" i="103"/>
  <c r="A1274" i="103"/>
  <c r="A1273" i="103"/>
  <c r="A1272" i="103"/>
  <c r="A1271" i="103"/>
  <c r="A1270" i="103"/>
  <c r="A1269" i="103"/>
  <c r="A1268" i="103"/>
  <c r="A1267" i="103"/>
  <c r="A1264" i="103"/>
  <c r="A1258" i="103"/>
  <c r="A1257" i="103"/>
  <c r="A1256" i="103"/>
  <c r="A1255" i="103"/>
  <c r="A1254" i="103"/>
  <c r="A1253" i="103"/>
  <c r="A1252" i="103"/>
  <c r="A1251" i="103"/>
  <c r="A1250" i="103"/>
  <c r="A1247" i="103"/>
  <c r="A1241" i="103"/>
  <c r="A1240" i="103"/>
  <c r="A1239" i="103"/>
  <c r="A1238" i="103"/>
  <c r="A1237" i="103"/>
  <c r="A1236" i="103"/>
  <c r="A1235" i="103"/>
  <c r="A1234" i="103"/>
  <c r="A1233" i="103"/>
  <c r="A1230" i="103"/>
  <c r="A1224" i="103"/>
  <c r="A1223" i="103"/>
  <c r="A1222" i="103"/>
  <c r="A1221" i="103"/>
  <c r="A1220" i="103"/>
  <c r="A1219" i="103"/>
  <c r="A1218" i="103"/>
  <c r="A1217" i="103"/>
  <c r="A1216" i="103"/>
  <c r="A1213" i="103"/>
  <c r="A1207" i="103"/>
  <c r="A1206" i="103"/>
  <c r="A1205" i="103"/>
  <c r="A1204" i="103"/>
  <c r="A1203" i="103"/>
  <c r="A1202" i="103"/>
  <c r="A1201" i="103"/>
  <c r="A1200" i="103"/>
  <c r="A1199" i="103"/>
  <c r="A1196" i="103"/>
  <c r="A1190" i="103"/>
  <c r="A1189" i="103"/>
  <c r="A1188" i="103"/>
  <c r="A1187" i="103"/>
  <c r="A1186" i="103"/>
  <c r="A1185" i="103"/>
  <c r="A1184" i="103"/>
  <c r="A1183" i="103"/>
  <c r="A1182" i="103"/>
  <c r="A1179" i="103"/>
  <c r="A1173" i="103"/>
  <c r="A1172" i="103"/>
  <c r="A1171" i="103"/>
  <c r="A1170" i="103"/>
  <c r="A1169" i="103"/>
  <c r="A1168" i="103"/>
  <c r="A1167" i="103"/>
  <c r="A1166" i="103"/>
  <c r="A1165" i="103"/>
  <c r="A1162" i="103"/>
  <c r="A1156" i="103"/>
  <c r="A1155" i="103"/>
  <c r="A1154" i="103"/>
  <c r="A1153" i="103"/>
  <c r="A1152" i="103"/>
  <c r="A1151" i="103"/>
  <c r="A1150" i="103"/>
  <c r="A1149" i="103"/>
  <c r="A1148" i="103"/>
  <c r="A1145" i="103"/>
  <c r="A1139" i="103"/>
  <c r="A1138" i="103"/>
  <c r="A1137" i="103"/>
  <c r="A1136" i="103"/>
  <c r="A1135" i="103"/>
  <c r="A1134" i="103"/>
  <c r="A1133" i="103"/>
  <c r="A1132" i="103"/>
  <c r="A1131" i="103"/>
  <c r="A1128" i="103"/>
  <c r="A1122" i="103"/>
  <c r="A1121" i="103"/>
  <c r="A1120" i="103"/>
  <c r="A1119" i="103"/>
  <c r="A1118" i="103"/>
  <c r="A1117" i="103"/>
  <c r="A1116" i="103"/>
  <c r="A1115" i="103"/>
  <c r="A1114" i="103"/>
  <c r="A1111" i="103"/>
  <c r="A1105" i="103"/>
  <c r="A1104" i="103"/>
  <c r="A1103" i="103"/>
  <c r="A1102" i="103"/>
  <c r="A1101" i="103"/>
  <c r="A1100" i="103"/>
  <c r="A1099" i="103"/>
  <c r="A1098" i="103"/>
  <c r="A1097" i="103"/>
  <c r="A1094" i="103"/>
  <c r="A1088" i="103"/>
  <c r="A1087" i="103"/>
  <c r="A1086" i="103"/>
  <c r="A1085" i="103"/>
  <c r="A1084" i="103"/>
  <c r="A1083" i="103"/>
  <c r="A1082" i="103"/>
  <c r="A1081" i="103"/>
  <c r="A1080" i="103"/>
  <c r="A1077" i="103"/>
  <c r="A1071" i="103"/>
  <c r="A1070" i="103"/>
  <c r="A1069" i="103"/>
  <c r="A1068" i="103"/>
  <c r="A1067" i="103"/>
  <c r="A1066" i="103"/>
  <c r="A1065" i="103"/>
  <c r="A1064" i="103"/>
  <c r="A1063" i="103"/>
  <c r="A1060" i="103"/>
  <c r="A1054" i="103"/>
  <c r="A1053" i="103"/>
  <c r="A1052" i="103"/>
  <c r="A1051" i="103"/>
  <c r="A1050" i="103"/>
  <c r="A1049" i="103"/>
  <c r="A1048" i="103"/>
  <c r="A1047" i="103"/>
  <c r="A1046" i="103"/>
  <c r="A1043" i="103"/>
  <c r="A1037" i="103"/>
  <c r="A1036" i="103"/>
  <c r="A1035" i="103"/>
  <c r="A1034" i="103"/>
  <c r="A1033" i="103"/>
  <c r="A1032" i="103"/>
  <c r="A1031" i="103"/>
  <c r="A1030" i="103"/>
  <c r="A1029" i="103"/>
  <c r="A1026" i="103"/>
  <c r="A1020" i="103"/>
  <c r="A1019" i="103"/>
  <c r="A1018" i="103"/>
  <c r="A1017" i="103"/>
  <c r="A1016" i="103"/>
  <c r="A1015" i="103"/>
  <c r="A1014" i="103"/>
  <c r="A1013" i="103"/>
  <c r="A1012" i="103"/>
  <c r="A1009" i="103"/>
  <c r="A1003" i="103"/>
  <c r="A1002" i="103"/>
  <c r="A1001" i="103"/>
  <c r="A1000" i="103"/>
  <c r="A999" i="103"/>
  <c r="A998" i="103"/>
  <c r="A997" i="103"/>
  <c r="A996" i="103"/>
  <c r="A995" i="103"/>
  <c r="A992" i="103"/>
  <c r="A986" i="103"/>
  <c r="A985" i="103"/>
  <c r="A984" i="103"/>
  <c r="A983" i="103"/>
  <c r="A982" i="103"/>
  <c r="A981" i="103"/>
  <c r="A980" i="103"/>
  <c r="A979" i="103"/>
  <c r="A978" i="103"/>
  <c r="A975" i="103"/>
  <c r="A969" i="103"/>
  <c r="A968" i="103"/>
  <c r="A967" i="103"/>
  <c r="A966" i="103"/>
  <c r="A965" i="103"/>
  <c r="A964" i="103"/>
  <c r="A963" i="103"/>
  <c r="A962" i="103"/>
  <c r="A961" i="103"/>
  <c r="A958" i="103"/>
  <c r="A952" i="103"/>
  <c r="A951" i="103"/>
  <c r="A950" i="103"/>
  <c r="A949" i="103"/>
  <c r="A948" i="103"/>
  <c r="A947" i="103"/>
  <c r="A946" i="103"/>
  <c r="A945" i="103"/>
  <c r="A944" i="103"/>
  <c r="A941" i="103"/>
  <c r="A935" i="103"/>
  <c r="A934" i="103"/>
  <c r="A933" i="103"/>
  <c r="A932" i="103"/>
  <c r="A931" i="103"/>
  <c r="A930" i="103"/>
  <c r="A929" i="103"/>
  <c r="A928" i="103"/>
  <c r="A927" i="103"/>
  <c r="A924" i="103"/>
  <c r="A918" i="103"/>
  <c r="A917" i="103"/>
  <c r="A916" i="103"/>
  <c r="A915" i="103"/>
  <c r="A914" i="103"/>
  <c r="A913" i="103"/>
  <c r="A912" i="103"/>
  <c r="A911" i="103"/>
  <c r="A910" i="103"/>
  <c r="A907" i="103"/>
  <c r="A901" i="103"/>
  <c r="A900" i="103"/>
  <c r="A899" i="103"/>
  <c r="A898" i="103"/>
  <c r="A897" i="103"/>
  <c r="A896" i="103"/>
  <c r="A895" i="103"/>
  <c r="A894" i="103"/>
  <c r="A893" i="103"/>
  <c r="A890" i="103"/>
  <c r="A884" i="103"/>
  <c r="A883" i="103"/>
  <c r="A882" i="103"/>
  <c r="A881" i="103"/>
  <c r="A880" i="103"/>
  <c r="A879" i="103"/>
  <c r="A878" i="103"/>
  <c r="A877" i="103"/>
  <c r="A876" i="103"/>
  <c r="A873" i="103"/>
  <c r="A867" i="103"/>
  <c r="A866" i="103"/>
  <c r="A865" i="103"/>
  <c r="A864" i="103"/>
  <c r="A863" i="103"/>
  <c r="A862" i="103"/>
  <c r="A861" i="103"/>
  <c r="A860" i="103"/>
  <c r="A859" i="103"/>
  <c r="A856" i="103"/>
  <c r="A850" i="103"/>
  <c r="A849" i="103"/>
  <c r="A848" i="103"/>
  <c r="A847" i="103"/>
  <c r="A846" i="103"/>
  <c r="A845" i="103"/>
  <c r="A844" i="103"/>
  <c r="A843" i="103"/>
  <c r="A842" i="103"/>
  <c r="A839" i="103"/>
  <c r="A833" i="103"/>
  <c r="A832" i="103"/>
  <c r="A831" i="103"/>
  <c r="A830" i="103"/>
  <c r="A829" i="103"/>
  <c r="A828" i="103"/>
  <c r="A827" i="103"/>
  <c r="A826" i="103"/>
  <c r="A825" i="103"/>
  <c r="A822" i="103"/>
  <c r="A816" i="103"/>
  <c r="A815" i="103"/>
  <c r="A814" i="103"/>
  <c r="A813" i="103"/>
  <c r="A812" i="103"/>
  <c r="A811" i="103"/>
  <c r="A810" i="103"/>
  <c r="A809" i="103"/>
  <c r="A808" i="103"/>
  <c r="A805" i="103"/>
  <c r="A799" i="103"/>
  <c r="A798" i="103"/>
  <c r="A797" i="103"/>
  <c r="A796" i="103"/>
  <c r="A795" i="103"/>
  <c r="A794" i="103"/>
  <c r="A793" i="103"/>
  <c r="A792" i="103"/>
  <c r="A791" i="103"/>
  <c r="A788" i="103"/>
  <c r="A782" i="103"/>
  <c r="A781" i="103"/>
  <c r="A780" i="103"/>
  <c r="A779" i="103"/>
  <c r="A778" i="103"/>
  <c r="A777" i="103"/>
  <c r="A776" i="103"/>
  <c r="A775" i="103"/>
  <c r="A774" i="103"/>
  <c r="A771" i="103"/>
  <c r="A765" i="103"/>
  <c r="A764" i="103"/>
  <c r="A763" i="103"/>
  <c r="A762" i="103"/>
  <c r="A761" i="103"/>
  <c r="A760" i="103"/>
  <c r="A759" i="103"/>
  <c r="A758" i="103"/>
  <c r="A757" i="103"/>
  <c r="A754" i="103"/>
  <c r="A748" i="103"/>
  <c r="A747" i="103"/>
  <c r="A746" i="103"/>
  <c r="A745" i="103"/>
  <c r="A744" i="103"/>
  <c r="A743" i="103"/>
  <c r="A742" i="103"/>
  <c r="A741" i="103"/>
  <c r="A740" i="103"/>
  <c r="A737" i="103"/>
  <c r="A731" i="103"/>
  <c r="A730" i="103"/>
  <c r="A729" i="103"/>
  <c r="A728" i="103"/>
  <c r="A727" i="103"/>
  <c r="A726" i="103"/>
  <c r="A725" i="103"/>
  <c r="A724" i="103"/>
  <c r="A723" i="103"/>
  <c r="A720" i="103"/>
  <c r="A714" i="103"/>
  <c r="A713" i="103"/>
  <c r="A712" i="103"/>
  <c r="A711" i="103"/>
  <c r="A710" i="103"/>
  <c r="A709" i="103"/>
  <c r="A708" i="103"/>
  <c r="A707" i="103"/>
  <c r="A706" i="103"/>
  <c r="A703" i="103"/>
  <c r="A697" i="103"/>
  <c r="A696" i="103"/>
  <c r="A695" i="103"/>
  <c r="A694" i="103"/>
  <c r="A693" i="103"/>
  <c r="A692" i="103"/>
  <c r="A691" i="103"/>
  <c r="A690" i="103"/>
  <c r="A689" i="103"/>
  <c r="A686" i="103"/>
  <c r="A680" i="103"/>
  <c r="A679" i="103"/>
  <c r="A678" i="103"/>
  <c r="A677" i="103"/>
  <c r="A676" i="103"/>
  <c r="A675" i="103"/>
  <c r="A674" i="103"/>
  <c r="A673" i="103"/>
  <c r="A672" i="103"/>
  <c r="A669" i="103"/>
  <c r="A663" i="103"/>
  <c r="A662" i="103"/>
  <c r="A661" i="103"/>
  <c r="A660" i="103"/>
  <c r="A659" i="103"/>
  <c r="A658" i="103"/>
  <c r="A657" i="103"/>
  <c r="A656" i="103"/>
  <c r="A655" i="103"/>
  <c r="A652" i="103"/>
  <c r="A646" i="103"/>
  <c r="A645" i="103"/>
  <c r="A644" i="103"/>
  <c r="A643" i="103"/>
  <c r="A642" i="103"/>
  <c r="A641" i="103"/>
  <c r="A640" i="103"/>
  <c r="A639" i="103"/>
  <c r="A638" i="103"/>
  <c r="A635" i="103"/>
  <c r="A629" i="103"/>
  <c r="A628" i="103"/>
  <c r="A627" i="103"/>
  <c r="A626" i="103"/>
  <c r="A625" i="103"/>
  <c r="A624" i="103"/>
  <c r="A623" i="103"/>
  <c r="A622" i="103"/>
  <c r="A621" i="103"/>
  <c r="A618" i="103"/>
  <c r="A612" i="103"/>
  <c r="A611" i="103"/>
  <c r="A610" i="103"/>
  <c r="A609" i="103"/>
  <c r="A608" i="103"/>
  <c r="A607" i="103"/>
  <c r="A606" i="103"/>
  <c r="A605" i="103"/>
  <c r="A604" i="103"/>
  <c r="A601" i="103"/>
  <c r="A595" i="103"/>
  <c r="A594" i="103"/>
  <c r="A593" i="103"/>
  <c r="A592" i="103"/>
  <c r="A591" i="103"/>
  <c r="A590" i="103"/>
  <c r="A589" i="103"/>
  <c r="A588" i="103"/>
  <c r="A587" i="103"/>
  <c r="A584" i="103"/>
  <c r="A578" i="103"/>
  <c r="A577" i="103"/>
  <c r="A576" i="103"/>
  <c r="A575" i="103"/>
  <c r="A574" i="103"/>
  <c r="A573" i="103"/>
  <c r="A572" i="103"/>
  <c r="A571" i="103"/>
  <c r="A570" i="103"/>
  <c r="A567" i="103"/>
  <c r="A561" i="103"/>
  <c r="A560" i="103"/>
  <c r="A559" i="103"/>
  <c r="A558" i="103"/>
  <c r="A557" i="103"/>
  <c r="A556" i="103"/>
  <c r="A555" i="103"/>
  <c r="A554" i="103"/>
  <c r="A553" i="103"/>
  <c r="A550" i="103"/>
  <c r="A544" i="103"/>
  <c r="A543" i="103"/>
  <c r="A542" i="103"/>
  <c r="A541" i="103"/>
  <c r="A540" i="103"/>
  <c r="A539" i="103"/>
  <c r="A538" i="103"/>
  <c r="A537" i="103"/>
  <c r="A536" i="103"/>
  <c r="A533" i="103"/>
  <c r="A527" i="103"/>
  <c r="A526" i="103"/>
  <c r="A525" i="103"/>
  <c r="A524" i="103"/>
  <c r="A523" i="103"/>
  <c r="A522" i="103"/>
  <c r="A521" i="103"/>
  <c r="A520" i="103"/>
  <c r="A519" i="103"/>
  <c r="A516" i="103"/>
  <c r="A510" i="103"/>
  <c r="A509" i="103"/>
  <c r="A508" i="103"/>
  <c r="A507" i="103"/>
  <c r="A506" i="103"/>
  <c r="A505" i="103"/>
  <c r="A504" i="103"/>
  <c r="A503" i="103"/>
  <c r="A502" i="103"/>
  <c r="A499" i="103"/>
  <c r="A493" i="103"/>
  <c r="A492" i="103"/>
  <c r="A491" i="103"/>
  <c r="A490" i="103"/>
  <c r="A489" i="103"/>
  <c r="A488" i="103"/>
  <c r="A487" i="103"/>
  <c r="A486" i="103"/>
  <c r="A485" i="103"/>
  <c r="A482" i="103"/>
  <c r="A476" i="103"/>
  <c r="A475" i="103"/>
  <c r="A474" i="103"/>
  <c r="A473" i="103"/>
  <c r="A472" i="103"/>
  <c r="A471" i="103"/>
  <c r="A470" i="103"/>
  <c r="A469" i="103"/>
  <c r="A468" i="103"/>
  <c r="A465" i="103"/>
  <c r="A459" i="103"/>
  <c r="A458" i="103"/>
  <c r="A457" i="103"/>
  <c r="A456" i="103"/>
  <c r="A455" i="103"/>
  <c r="A454" i="103"/>
  <c r="A453" i="103"/>
  <c r="A452" i="103"/>
  <c r="A451" i="103"/>
  <c r="A448" i="103"/>
  <c r="A442" i="103"/>
  <c r="A441" i="103"/>
  <c r="A440" i="103"/>
  <c r="A439" i="103"/>
  <c r="A438" i="103"/>
  <c r="A437" i="103"/>
  <c r="A436" i="103"/>
  <c r="A435" i="103"/>
  <c r="A434" i="103"/>
  <c r="A431" i="103"/>
  <c r="A425" i="103"/>
  <c r="A424" i="103"/>
  <c r="A423" i="103"/>
  <c r="A422" i="103"/>
  <c r="A421" i="103"/>
  <c r="A420" i="103"/>
  <c r="A419" i="103"/>
  <c r="A418" i="103"/>
  <c r="A417" i="103"/>
  <c r="A414" i="103"/>
  <c r="A408" i="103"/>
  <c r="A407" i="103"/>
  <c r="A406" i="103"/>
  <c r="A405" i="103"/>
  <c r="A404" i="103"/>
  <c r="A403" i="103"/>
  <c r="A402" i="103"/>
  <c r="A401" i="103"/>
  <c r="A400" i="103"/>
  <c r="A397" i="103"/>
  <c r="A391" i="103"/>
  <c r="A390" i="103"/>
  <c r="A389" i="103"/>
  <c r="A388" i="103"/>
  <c r="A387" i="103"/>
  <c r="A386" i="103"/>
  <c r="A385" i="103"/>
  <c r="A384" i="103"/>
  <c r="A383" i="103"/>
  <c r="A380" i="103"/>
  <c r="A374" i="103"/>
  <c r="A373" i="103"/>
  <c r="A372" i="103"/>
  <c r="A371" i="103"/>
  <c r="A370" i="103"/>
  <c r="A369" i="103"/>
  <c r="A368" i="103"/>
  <c r="A367" i="103"/>
  <c r="A366" i="103"/>
  <c r="A363" i="103"/>
  <c r="A357" i="103"/>
  <c r="A356" i="103"/>
  <c r="A355" i="103"/>
  <c r="A354" i="103"/>
  <c r="A353" i="103"/>
  <c r="A352" i="103"/>
  <c r="A351" i="103"/>
  <c r="A350" i="103"/>
  <c r="A349" i="103"/>
  <c r="A346" i="103"/>
  <c r="A340" i="103"/>
  <c r="A339" i="103"/>
  <c r="A338" i="103"/>
  <c r="A337" i="103"/>
  <c r="A336" i="103"/>
  <c r="A335" i="103"/>
  <c r="A334" i="103"/>
  <c r="A333" i="103"/>
  <c r="A332" i="103"/>
  <c r="A329" i="103"/>
  <c r="A323" i="103"/>
  <c r="A322" i="103"/>
  <c r="A321" i="103"/>
  <c r="A320" i="103"/>
  <c r="A319" i="103"/>
  <c r="A318" i="103"/>
  <c r="A317" i="103"/>
  <c r="A316" i="103"/>
  <c r="A315" i="103"/>
  <c r="A312" i="103"/>
  <c r="A306" i="103"/>
  <c r="A305" i="103"/>
  <c r="A304" i="103"/>
  <c r="A303" i="103"/>
  <c r="A302" i="103"/>
  <c r="A301" i="103"/>
  <c r="A300" i="103"/>
  <c r="A299" i="103"/>
  <c r="A298" i="103"/>
  <c r="A295" i="103"/>
  <c r="A289" i="103"/>
  <c r="A288" i="103"/>
  <c r="A287" i="103"/>
  <c r="A286" i="103"/>
  <c r="A285" i="103"/>
  <c r="A284" i="103"/>
  <c r="A283" i="103"/>
  <c r="A282" i="103"/>
  <c r="A281" i="103"/>
  <c r="A278" i="103"/>
  <c r="A272" i="103"/>
  <c r="A271" i="103"/>
  <c r="A270" i="103"/>
  <c r="A269" i="103"/>
  <c r="A268" i="103"/>
  <c r="A267" i="103"/>
  <c r="A266" i="103"/>
  <c r="A265" i="103"/>
  <c r="A264" i="103"/>
  <c r="A261" i="103"/>
  <c r="A255" i="103"/>
  <c r="A254" i="103"/>
  <c r="A253" i="103"/>
  <c r="A252" i="103"/>
  <c r="A251" i="103"/>
  <c r="A250" i="103"/>
  <c r="A249" i="103"/>
  <c r="A248" i="103"/>
  <c r="A247" i="103"/>
  <c r="A244" i="103"/>
  <c r="A238" i="103"/>
  <c r="A237" i="103"/>
  <c r="A236" i="103"/>
  <c r="A235" i="103"/>
  <c r="A234" i="103"/>
  <c r="A233" i="103"/>
  <c r="A232" i="103"/>
  <c r="A231" i="103"/>
  <c r="A230" i="103"/>
  <c r="A227" i="103"/>
  <c r="A221" i="103"/>
  <c r="A220" i="103"/>
  <c r="A219" i="103"/>
  <c r="A218" i="103"/>
  <c r="A217" i="103"/>
  <c r="A216" i="103"/>
  <c r="A215" i="103"/>
  <c r="A214" i="103"/>
  <c r="A213" i="103"/>
  <c r="A210" i="103"/>
  <c r="A204" i="103"/>
  <c r="A203" i="103"/>
  <c r="A202" i="103"/>
  <c r="A201" i="103"/>
  <c r="A200" i="103"/>
  <c r="A199" i="103"/>
  <c r="A198" i="103"/>
  <c r="A197" i="103"/>
  <c r="A196" i="103"/>
  <c r="A193" i="103"/>
  <c r="A187" i="103"/>
  <c r="A186" i="103"/>
  <c r="A185" i="103"/>
  <c r="A184" i="103"/>
  <c r="A183" i="103"/>
  <c r="A182" i="103"/>
  <c r="A181" i="103"/>
  <c r="A180" i="103"/>
  <c r="A179" i="103"/>
  <c r="A176" i="103"/>
  <c r="A170" i="103"/>
  <c r="A169" i="103"/>
  <c r="A168" i="103"/>
  <c r="A167" i="103"/>
  <c r="A166" i="103"/>
  <c r="A165" i="103"/>
  <c r="A164" i="103"/>
  <c r="A163" i="103"/>
  <c r="A162" i="103"/>
  <c r="A159" i="103"/>
  <c r="A153" i="103"/>
  <c r="A152" i="103"/>
  <c r="A151" i="103"/>
  <c r="A150" i="103"/>
  <c r="A149" i="103"/>
  <c r="A148" i="103"/>
  <c r="A147" i="103"/>
  <c r="A146" i="103"/>
  <c r="A145" i="103"/>
  <c r="A142" i="103"/>
  <c r="A136" i="103"/>
  <c r="A135" i="103"/>
  <c r="A134" i="103"/>
  <c r="A133" i="103"/>
  <c r="A132" i="103"/>
  <c r="A131" i="103"/>
  <c r="A130" i="103"/>
  <c r="A129" i="103"/>
  <c r="A128" i="103"/>
  <c r="A125" i="103"/>
  <c r="A119" i="103"/>
  <c r="A118" i="103"/>
  <c r="A117" i="103"/>
  <c r="A116" i="103"/>
  <c r="A115" i="103"/>
  <c r="A114" i="103"/>
  <c r="A113" i="103"/>
  <c r="A112" i="103"/>
  <c r="A111" i="103"/>
  <c r="A108" i="103"/>
  <c r="A102" i="103"/>
  <c r="A101" i="103"/>
  <c r="A100" i="103"/>
  <c r="A99" i="103"/>
  <c r="A98" i="103"/>
  <c r="A97" i="103"/>
  <c r="A96" i="103"/>
  <c r="A95" i="103"/>
  <c r="A94" i="103"/>
  <c r="A91" i="103"/>
  <c r="A85" i="103"/>
  <c r="A84" i="103"/>
  <c r="A83" i="103"/>
  <c r="A82" i="103"/>
  <c r="A81" i="103"/>
  <c r="A80" i="103"/>
  <c r="A79" i="103"/>
  <c r="A78" i="103"/>
  <c r="A77" i="103"/>
  <c r="A74" i="103"/>
  <c r="A68" i="103"/>
  <c r="A67" i="103"/>
  <c r="A66" i="103"/>
  <c r="A65" i="103"/>
  <c r="A64" i="103"/>
  <c r="A63" i="103"/>
  <c r="A62" i="103"/>
  <c r="A61" i="103"/>
  <c r="A60" i="103"/>
  <c r="A57" i="103"/>
  <c r="A51" i="103"/>
  <c r="A50" i="103"/>
  <c r="A49" i="103"/>
  <c r="A48" i="103"/>
  <c r="A47" i="103"/>
  <c r="A46" i="103"/>
  <c r="A45" i="103"/>
  <c r="A44" i="103"/>
  <c r="A43" i="103"/>
  <c r="A40" i="103"/>
  <c r="A34" i="103"/>
  <c r="A33" i="103"/>
  <c r="A32" i="103"/>
  <c r="A31" i="103"/>
  <c r="A30" i="103"/>
  <c r="A29" i="103"/>
  <c r="A28" i="103"/>
  <c r="A27" i="103"/>
  <c r="A26" i="103"/>
  <c r="A23" i="103"/>
  <c r="A17" i="103"/>
  <c r="A16" i="103"/>
  <c r="A15" i="103"/>
  <c r="A14" i="103"/>
  <c r="A13" i="103"/>
  <c r="A12" i="103"/>
  <c r="A11" i="103"/>
  <c r="A10" i="103"/>
  <c r="A9" i="103"/>
  <c r="O24" i="103"/>
  <c r="L23" i="103"/>
  <c r="J24" i="103"/>
  <c r="G23" i="103"/>
  <c r="E24" i="103"/>
  <c r="B23" i="103"/>
  <c r="N7" i="103"/>
  <c r="M7" i="103"/>
  <c r="L7" i="103"/>
  <c r="I7" i="103"/>
  <c r="H7" i="103"/>
  <c r="G7" i="103"/>
  <c r="D7" i="103"/>
  <c r="C7" i="103"/>
  <c r="B7" i="103"/>
  <c r="C1231" i="103" l="1"/>
  <c r="C1163" i="103"/>
  <c r="C1095" i="103"/>
  <c r="C1027" i="103"/>
  <c r="C959" i="103"/>
  <c r="C891" i="103"/>
  <c r="C823" i="103"/>
  <c r="C755" i="103"/>
  <c r="C687" i="103"/>
  <c r="C619" i="103"/>
  <c r="C551" i="103"/>
  <c r="C483" i="103"/>
  <c r="C415" i="103"/>
  <c r="C347" i="103"/>
  <c r="C279" i="103"/>
  <c r="C211" i="103"/>
  <c r="C143" i="103"/>
  <c r="C75" i="103"/>
  <c r="C1282" i="103"/>
  <c r="C1214" i="103"/>
  <c r="C1146" i="103"/>
  <c r="C1078" i="103"/>
  <c r="C1010" i="103"/>
  <c r="C942" i="103"/>
  <c r="C874" i="103"/>
  <c r="C806" i="103"/>
  <c r="C738" i="103"/>
  <c r="C670" i="103"/>
  <c r="C602" i="103"/>
  <c r="C534" i="103"/>
  <c r="C466" i="103"/>
  <c r="C398" i="103"/>
  <c r="C330" i="103"/>
  <c r="C262" i="103"/>
  <c r="C194" i="103"/>
  <c r="C126" i="103"/>
  <c r="C58" i="103"/>
  <c r="C1265" i="103"/>
  <c r="C1197" i="103"/>
  <c r="C1129" i="103"/>
  <c r="C1061" i="103"/>
  <c r="C993" i="103"/>
  <c r="C925" i="103"/>
  <c r="C857" i="103"/>
  <c r="C789" i="103"/>
  <c r="C721" i="103"/>
  <c r="C653" i="103"/>
  <c r="C585" i="103"/>
  <c r="C517" i="103"/>
  <c r="C449" i="103"/>
  <c r="C381" i="103"/>
  <c r="C313" i="103"/>
  <c r="C245" i="103"/>
  <c r="C177" i="103"/>
  <c r="C109" i="103"/>
  <c r="C41" i="103"/>
  <c r="C1248" i="103"/>
  <c r="C1180" i="103"/>
  <c r="C1112" i="103"/>
  <c r="C1044" i="103"/>
  <c r="C976" i="103"/>
  <c r="C908" i="103"/>
  <c r="C840" i="103"/>
  <c r="C772" i="103"/>
  <c r="C704" i="103"/>
  <c r="C636" i="103"/>
  <c r="C568" i="103"/>
  <c r="C500" i="103"/>
  <c r="C432" i="103"/>
  <c r="C364" i="103"/>
  <c r="C296" i="103"/>
  <c r="C228" i="103"/>
  <c r="C160" i="103"/>
  <c r="C92" i="103"/>
  <c r="L1265" i="103"/>
  <c r="L1197" i="103"/>
  <c r="L1129" i="103"/>
  <c r="L1061" i="103"/>
  <c r="L993" i="103"/>
  <c r="L925" i="103"/>
  <c r="L857" i="103"/>
  <c r="L789" i="103"/>
  <c r="L721" i="103"/>
  <c r="L653" i="103"/>
  <c r="L585" i="103"/>
  <c r="L517" i="103"/>
  <c r="L449" i="103"/>
  <c r="L381" i="103"/>
  <c r="L313" i="103"/>
  <c r="L245" i="103"/>
  <c r="L177" i="103"/>
  <c r="L109" i="103"/>
  <c r="L41" i="103"/>
  <c r="L58" i="103"/>
  <c r="L1146" i="103"/>
  <c r="L874" i="103"/>
  <c r="L738" i="103"/>
  <c r="L602" i="103"/>
  <c r="L1282" i="103"/>
  <c r="L1214" i="103"/>
  <c r="L466" i="103"/>
  <c r="L194" i="103"/>
  <c r="L1248" i="103"/>
  <c r="L1180" i="103"/>
  <c r="L1112" i="103"/>
  <c r="L1044" i="103"/>
  <c r="L976" i="103"/>
  <c r="L908" i="103"/>
  <c r="L840" i="103"/>
  <c r="L772" i="103"/>
  <c r="L704" i="103"/>
  <c r="L636" i="103"/>
  <c r="L568" i="103"/>
  <c r="L500" i="103"/>
  <c r="L432" i="103"/>
  <c r="L364" i="103"/>
  <c r="L296" i="103"/>
  <c r="L228" i="103"/>
  <c r="L160" i="103"/>
  <c r="L92" i="103"/>
  <c r="L534" i="103"/>
  <c r="L398" i="103"/>
  <c r="L330" i="103"/>
  <c r="L126" i="103"/>
  <c r="L1078" i="103"/>
  <c r="L670" i="103"/>
  <c r="L1010" i="103"/>
  <c r="L806" i="103"/>
  <c r="L1231" i="103"/>
  <c r="L1163" i="103"/>
  <c r="L1095" i="103"/>
  <c r="L1027" i="103"/>
  <c r="L959" i="103"/>
  <c r="L891" i="103"/>
  <c r="L823" i="103"/>
  <c r="L755" i="103"/>
  <c r="L687" i="103"/>
  <c r="L619" i="103"/>
  <c r="L551" i="103"/>
  <c r="L483" i="103"/>
  <c r="L415" i="103"/>
  <c r="L347" i="103"/>
  <c r="L279" i="103"/>
  <c r="L211" i="103"/>
  <c r="L143" i="103"/>
  <c r="L75" i="103"/>
  <c r="L262" i="103"/>
  <c r="L942" i="103"/>
  <c r="M721" i="103"/>
  <c r="M1248" i="103"/>
  <c r="M1180" i="103"/>
  <c r="M1112" i="103"/>
  <c r="M1044" i="103"/>
  <c r="M976" i="103"/>
  <c r="M908" i="103"/>
  <c r="M840" i="103"/>
  <c r="M772" i="103"/>
  <c r="M704" i="103"/>
  <c r="M636" i="103"/>
  <c r="M568" i="103"/>
  <c r="M500" i="103"/>
  <c r="M432" i="103"/>
  <c r="M364" i="103"/>
  <c r="M296" i="103"/>
  <c r="M228" i="103"/>
  <c r="M160" i="103"/>
  <c r="M92" i="103"/>
  <c r="M1061" i="103"/>
  <c r="M381" i="103"/>
  <c r="M517" i="103"/>
  <c r="M1231" i="103"/>
  <c r="M1163" i="103"/>
  <c r="M1095" i="103"/>
  <c r="M1027" i="103"/>
  <c r="M959" i="103"/>
  <c r="M891" i="103"/>
  <c r="M823" i="103"/>
  <c r="M755" i="103"/>
  <c r="M687" i="103"/>
  <c r="M619" i="103"/>
  <c r="M551" i="103"/>
  <c r="M483" i="103"/>
  <c r="M415" i="103"/>
  <c r="M347" i="103"/>
  <c r="M279" i="103"/>
  <c r="M211" i="103"/>
  <c r="M143" i="103"/>
  <c r="M75" i="103"/>
  <c r="M313" i="103"/>
  <c r="M245" i="103"/>
  <c r="M789" i="103"/>
  <c r="M857" i="103"/>
  <c r="M109" i="103"/>
  <c r="M1282" i="103"/>
  <c r="M1214" i="103"/>
  <c r="M1146" i="103"/>
  <c r="M1078" i="103"/>
  <c r="M1010" i="103"/>
  <c r="M942" i="103"/>
  <c r="M874" i="103"/>
  <c r="M806" i="103"/>
  <c r="M738" i="103"/>
  <c r="M670" i="103"/>
  <c r="M602" i="103"/>
  <c r="M534" i="103"/>
  <c r="M466" i="103"/>
  <c r="M398" i="103"/>
  <c r="M330" i="103"/>
  <c r="M262" i="103"/>
  <c r="M194" i="103"/>
  <c r="M126" i="103"/>
  <c r="M58" i="103"/>
  <c r="M653" i="103"/>
  <c r="M585" i="103"/>
  <c r="M449" i="103"/>
  <c r="M41" i="103"/>
  <c r="M1265" i="103"/>
  <c r="M1197" i="103"/>
  <c r="M1129" i="103"/>
  <c r="M993" i="103"/>
  <c r="M925" i="103"/>
  <c r="M177" i="103"/>
  <c r="N1248" i="103"/>
  <c r="N1180" i="103"/>
  <c r="N1112" i="103"/>
  <c r="N1044" i="103"/>
  <c r="N976" i="103"/>
  <c r="N908" i="103"/>
  <c r="N840" i="103"/>
  <c r="N772" i="103"/>
  <c r="N704" i="103"/>
  <c r="N636" i="103"/>
  <c r="N568" i="103"/>
  <c r="N500" i="103"/>
  <c r="N432" i="103"/>
  <c r="N364" i="103"/>
  <c r="N296" i="103"/>
  <c r="N228" i="103"/>
  <c r="N160" i="103"/>
  <c r="N92" i="103"/>
  <c r="N1231" i="103"/>
  <c r="N1163" i="103"/>
  <c r="N1095" i="103"/>
  <c r="N1027" i="103"/>
  <c r="N959" i="103"/>
  <c r="N891" i="103"/>
  <c r="N823" i="103"/>
  <c r="N755" i="103"/>
  <c r="N687" i="103"/>
  <c r="N619" i="103"/>
  <c r="N551" i="103"/>
  <c r="N483" i="103"/>
  <c r="N415" i="103"/>
  <c r="N347" i="103"/>
  <c r="N279" i="103"/>
  <c r="N211" i="103"/>
  <c r="N143" i="103"/>
  <c r="N75" i="103"/>
  <c r="N1282" i="103"/>
  <c r="N1214" i="103"/>
  <c r="N1146" i="103"/>
  <c r="N1078" i="103"/>
  <c r="N1010" i="103"/>
  <c r="N942" i="103"/>
  <c r="N874" i="103"/>
  <c r="N806" i="103"/>
  <c r="N738" i="103"/>
  <c r="N670" i="103"/>
  <c r="N602" i="103"/>
  <c r="N534" i="103"/>
  <c r="N466" i="103"/>
  <c r="N398" i="103"/>
  <c r="N330" i="103"/>
  <c r="N262" i="103"/>
  <c r="N194" i="103"/>
  <c r="N126" i="103"/>
  <c r="N58" i="103"/>
  <c r="N1265" i="103"/>
  <c r="N1197" i="103"/>
  <c r="N1129" i="103"/>
  <c r="N1061" i="103"/>
  <c r="N993" i="103"/>
  <c r="N925" i="103"/>
  <c r="N857" i="103"/>
  <c r="N789" i="103"/>
  <c r="N721" i="103"/>
  <c r="N653" i="103"/>
  <c r="N585" i="103"/>
  <c r="N517" i="103"/>
  <c r="N449" i="103"/>
  <c r="N381" i="103"/>
  <c r="N313" i="103"/>
  <c r="N245" i="103"/>
  <c r="N177" i="103"/>
  <c r="N109" i="103"/>
  <c r="N41" i="103"/>
  <c r="B364" i="103"/>
  <c r="B1231" i="103"/>
  <c r="B1163" i="103"/>
  <c r="B1095" i="103"/>
  <c r="B1027" i="103"/>
  <c r="B959" i="103"/>
  <c r="B891" i="103"/>
  <c r="B823" i="103"/>
  <c r="B755" i="103"/>
  <c r="B687" i="103"/>
  <c r="B619" i="103"/>
  <c r="B551" i="103"/>
  <c r="B483" i="103"/>
  <c r="B415" i="103"/>
  <c r="B347" i="103"/>
  <c r="B279" i="103"/>
  <c r="B211" i="103"/>
  <c r="B143" i="103"/>
  <c r="B75" i="103"/>
  <c r="B840" i="103"/>
  <c r="B772" i="103"/>
  <c r="B704" i="103"/>
  <c r="B568" i="103"/>
  <c r="B228" i="103"/>
  <c r="B160" i="103"/>
  <c r="B92" i="103"/>
  <c r="B1044" i="103"/>
  <c r="B296" i="103"/>
  <c r="B1282" i="103"/>
  <c r="B1214" i="103"/>
  <c r="B1146" i="103"/>
  <c r="B1078" i="103"/>
  <c r="B1010" i="103"/>
  <c r="B942" i="103"/>
  <c r="B874" i="103"/>
  <c r="B806" i="103"/>
  <c r="B738" i="103"/>
  <c r="B670" i="103"/>
  <c r="B602" i="103"/>
  <c r="B534" i="103"/>
  <c r="B466" i="103"/>
  <c r="B398" i="103"/>
  <c r="B330" i="103"/>
  <c r="B262" i="103"/>
  <c r="B194" i="103"/>
  <c r="B126" i="103"/>
  <c r="B58" i="103"/>
  <c r="B500" i="103"/>
  <c r="B1265" i="103"/>
  <c r="B1197" i="103"/>
  <c r="B1129" i="103"/>
  <c r="B1061" i="103"/>
  <c r="B993" i="103"/>
  <c r="B925" i="103"/>
  <c r="B857" i="103"/>
  <c r="B789" i="103"/>
  <c r="B721" i="103"/>
  <c r="B653" i="103"/>
  <c r="B585" i="103"/>
  <c r="B517" i="103"/>
  <c r="B449" i="103"/>
  <c r="B381" i="103"/>
  <c r="B313" i="103"/>
  <c r="B245" i="103"/>
  <c r="B177" i="103"/>
  <c r="B109" i="103"/>
  <c r="B41" i="103"/>
  <c r="B908" i="103"/>
  <c r="B1248" i="103"/>
  <c r="B1180" i="103"/>
  <c r="B1112" i="103"/>
  <c r="B976" i="103"/>
  <c r="B636" i="103"/>
  <c r="B432" i="103"/>
  <c r="D1231" i="103"/>
  <c r="D1163" i="103"/>
  <c r="D1095" i="103"/>
  <c r="D1027" i="103"/>
  <c r="D959" i="103"/>
  <c r="D891" i="103"/>
  <c r="D823" i="103"/>
  <c r="D755" i="103"/>
  <c r="D687" i="103"/>
  <c r="D619" i="103"/>
  <c r="D551" i="103"/>
  <c r="D483" i="103"/>
  <c r="D415" i="103"/>
  <c r="D347" i="103"/>
  <c r="D279" i="103"/>
  <c r="D211" i="103"/>
  <c r="D143" i="103"/>
  <c r="D75" i="103"/>
  <c r="D772" i="103"/>
  <c r="D41" i="103"/>
  <c r="D1112" i="103"/>
  <c r="D908" i="103"/>
  <c r="D704" i="103"/>
  <c r="D160" i="103"/>
  <c r="D92" i="103"/>
  <c r="D1282" i="103"/>
  <c r="D1214" i="103"/>
  <c r="D1146" i="103"/>
  <c r="D1078" i="103"/>
  <c r="D1010" i="103"/>
  <c r="D942" i="103"/>
  <c r="D874" i="103"/>
  <c r="D806" i="103"/>
  <c r="D738" i="103"/>
  <c r="D670" i="103"/>
  <c r="D602" i="103"/>
  <c r="D534" i="103"/>
  <c r="D466" i="103"/>
  <c r="D398" i="103"/>
  <c r="D330" i="103"/>
  <c r="D262" i="103"/>
  <c r="D194" i="103"/>
  <c r="D126" i="103"/>
  <c r="D58" i="103"/>
  <c r="D1180" i="103"/>
  <c r="D500" i="103"/>
  <c r="D432" i="103"/>
  <c r="D364" i="103"/>
  <c r="D568" i="103"/>
  <c r="D1265" i="103"/>
  <c r="D1197" i="103"/>
  <c r="D1129" i="103"/>
  <c r="D1061" i="103"/>
  <c r="D993" i="103"/>
  <c r="D925" i="103"/>
  <c r="D857" i="103"/>
  <c r="D789" i="103"/>
  <c r="D721" i="103"/>
  <c r="D653" i="103"/>
  <c r="D585" i="103"/>
  <c r="D517" i="103"/>
  <c r="D449" i="103"/>
  <c r="D381" i="103"/>
  <c r="D313" i="103"/>
  <c r="D245" i="103"/>
  <c r="D177" i="103"/>
  <c r="D109" i="103"/>
  <c r="D296" i="103"/>
  <c r="D1248" i="103"/>
  <c r="D1044" i="103"/>
  <c r="D976" i="103"/>
  <c r="D228" i="103"/>
  <c r="D840" i="103"/>
  <c r="D636" i="103"/>
  <c r="G1282" i="103"/>
  <c r="G1214" i="103"/>
  <c r="G1146" i="103"/>
  <c r="G1078" i="103"/>
  <c r="G1010" i="103"/>
  <c r="G942" i="103"/>
  <c r="G874" i="103"/>
  <c r="G806" i="103"/>
  <c r="G738" i="103"/>
  <c r="G670" i="103"/>
  <c r="G602" i="103"/>
  <c r="G534" i="103"/>
  <c r="G466" i="103"/>
  <c r="G398" i="103"/>
  <c r="G330" i="103"/>
  <c r="G262" i="103"/>
  <c r="G194" i="103"/>
  <c r="G126" i="103"/>
  <c r="G58" i="103"/>
  <c r="G1265" i="103"/>
  <c r="G1197" i="103"/>
  <c r="G1129" i="103"/>
  <c r="G1061" i="103"/>
  <c r="G993" i="103"/>
  <c r="G925" i="103"/>
  <c r="G857" i="103"/>
  <c r="G789" i="103"/>
  <c r="G721" i="103"/>
  <c r="G653" i="103"/>
  <c r="G585" i="103"/>
  <c r="G517" i="103"/>
  <c r="G449" i="103"/>
  <c r="G381" i="103"/>
  <c r="G313" i="103"/>
  <c r="G245" i="103"/>
  <c r="G177" i="103"/>
  <c r="G109" i="103"/>
  <c r="G41" i="103"/>
  <c r="G1248" i="103"/>
  <c r="G1180" i="103"/>
  <c r="G1112" i="103"/>
  <c r="G1044" i="103"/>
  <c r="G976" i="103"/>
  <c r="G908" i="103"/>
  <c r="G840" i="103"/>
  <c r="G772" i="103"/>
  <c r="G704" i="103"/>
  <c r="G636" i="103"/>
  <c r="G568" i="103"/>
  <c r="G500" i="103"/>
  <c r="G432" i="103"/>
  <c r="G364" i="103"/>
  <c r="G296" i="103"/>
  <c r="G228" i="103"/>
  <c r="G160" i="103"/>
  <c r="G92" i="103"/>
  <c r="G1231" i="103"/>
  <c r="G1163" i="103"/>
  <c r="G1095" i="103"/>
  <c r="G1027" i="103"/>
  <c r="G959" i="103"/>
  <c r="G891" i="103"/>
  <c r="G823" i="103"/>
  <c r="G755" i="103"/>
  <c r="G687" i="103"/>
  <c r="G619" i="103"/>
  <c r="G551" i="103"/>
  <c r="G483" i="103"/>
  <c r="G415" i="103"/>
  <c r="G347" i="103"/>
  <c r="G279" i="103"/>
  <c r="G211" i="103"/>
  <c r="G143" i="103"/>
  <c r="G75" i="103"/>
  <c r="H1282" i="103"/>
  <c r="H1214" i="103"/>
  <c r="H1146" i="103"/>
  <c r="H1078" i="103"/>
  <c r="H1010" i="103"/>
  <c r="H942" i="103"/>
  <c r="H874" i="103"/>
  <c r="H806" i="103"/>
  <c r="H738" i="103"/>
  <c r="H670" i="103"/>
  <c r="H602" i="103"/>
  <c r="H534" i="103"/>
  <c r="H466" i="103"/>
  <c r="H398" i="103"/>
  <c r="H330" i="103"/>
  <c r="H262" i="103"/>
  <c r="H194" i="103"/>
  <c r="H126" i="103"/>
  <c r="H58" i="103"/>
  <c r="H1231" i="103"/>
  <c r="H1163" i="103"/>
  <c r="H1095" i="103"/>
  <c r="H823" i="103"/>
  <c r="H755" i="103"/>
  <c r="H687" i="103"/>
  <c r="H483" i="103"/>
  <c r="H415" i="103"/>
  <c r="H347" i="103"/>
  <c r="H1265" i="103"/>
  <c r="H1197" i="103"/>
  <c r="H1129" i="103"/>
  <c r="H1061" i="103"/>
  <c r="H993" i="103"/>
  <c r="H925" i="103"/>
  <c r="H857" i="103"/>
  <c r="H789" i="103"/>
  <c r="H721" i="103"/>
  <c r="H653" i="103"/>
  <c r="H585" i="103"/>
  <c r="H517" i="103"/>
  <c r="H449" i="103"/>
  <c r="H381" i="103"/>
  <c r="H313" i="103"/>
  <c r="H245" i="103"/>
  <c r="H177" i="103"/>
  <c r="H109" i="103"/>
  <c r="H41" i="103"/>
  <c r="H619" i="103"/>
  <c r="H1248" i="103"/>
  <c r="H1180" i="103"/>
  <c r="H1112" i="103"/>
  <c r="H1044" i="103"/>
  <c r="H976" i="103"/>
  <c r="H908" i="103"/>
  <c r="H840" i="103"/>
  <c r="H772" i="103"/>
  <c r="H704" i="103"/>
  <c r="H636" i="103"/>
  <c r="H568" i="103"/>
  <c r="H500" i="103"/>
  <c r="H432" i="103"/>
  <c r="H364" i="103"/>
  <c r="H296" i="103"/>
  <c r="H228" i="103"/>
  <c r="H160" i="103"/>
  <c r="H92" i="103"/>
  <c r="H551" i="103"/>
  <c r="H211" i="103"/>
  <c r="H75" i="103"/>
  <c r="H959" i="103"/>
  <c r="H891" i="103"/>
  <c r="H143" i="103"/>
  <c r="H1027" i="103"/>
  <c r="H279" i="103"/>
  <c r="I398" i="103"/>
  <c r="I1265" i="103"/>
  <c r="I1197" i="103"/>
  <c r="I1129" i="103"/>
  <c r="I1061" i="103"/>
  <c r="I993" i="103"/>
  <c r="I925" i="103"/>
  <c r="I857" i="103"/>
  <c r="I789" i="103"/>
  <c r="I721" i="103"/>
  <c r="I653" i="103"/>
  <c r="I585" i="103"/>
  <c r="I517" i="103"/>
  <c r="I449" i="103"/>
  <c r="I381" i="103"/>
  <c r="I313" i="103"/>
  <c r="I245" i="103"/>
  <c r="I177" i="103"/>
  <c r="I109" i="103"/>
  <c r="I41" i="103"/>
  <c r="I126" i="103"/>
  <c r="I874" i="103"/>
  <c r="I738" i="103"/>
  <c r="I534" i="103"/>
  <c r="I58" i="103"/>
  <c r="I1248" i="103"/>
  <c r="I1180" i="103"/>
  <c r="I1112" i="103"/>
  <c r="I1044" i="103"/>
  <c r="I976" i="103"/>
  <c r="I908" i="103"/>
  <c r="I840" i="103"/>
  <c r="I772" i="103"/>
  <c r="I704" i="103"/>
  <c r="I636" i="103"/>
  <c r="I568" i="103"/>
  <c r="I500" i="103"/>
  <c r="I432" i="103"/>
  <c r="I364" i="103"/>
  <c r="I296" i="103"/>
  <c r="I228" i="103"/>
  <c r="I160" i="103"/>
  <c r="I92" i="103"/>
  <c r="I262" i="103"/>
  <c r="I1231" i="103"/>
  <c r="I1163" i="103"/>
  <c r="I1095" i="103"/>
  <c r="I1027" i="103"/>
  <c r="I959" i="103"/>
  <c r="I891" i="103"/>
  <c r="I823" i="103"/>
  <c r="I755" i="103"/>
  <c r="I687" i="103"/>
  <c r="I619" i="103"/>
  <c r="I551" i="103"/>
  <c r="I483" i="103"/>
  <c r="I415" i="103"/>
  <c r="I347" i="103"/>
  <c r="I279" i="103"/>
  <c r="I211" i="103"/>
  <c r="I143" i="103"/>
  <c r="I75" i="103"/>
  <c r="I806" i="103"/>
  <c r="I670" i="103"/>
  <c r="I466" i="103"/>
  <c r="I194" i="103"/>
  <c r="I1282" i="103"/>
  <c r="I1214" i="103"/>
  <c r="I1146" i="103"/>
  <c r="I1078" i="103"/>
  <c r="I1010" i="103"/>
  <c r="I942" i="103"/>
  <c r="I602" i="103"/>
  <c r="I330" i="103"/>
  <c r="B24" i="103"/>
  <c r="L24" i="103"/>
  <c r="I24" i="103"/>
  <c r="C24" i="103"/>
  <c r="D24" i="103"/>
  <c r="M24" i="103"/>
  <c r="N24" i="103"/>
  <c r="G24" i="103"/>
  <c r="H24" i="103"/>
  <c r="A558" i="102"/>
  <c r="A553" i="102"/>
  <c r="A548" i="102"/>
  <c r="A545" i="102"/>
  <c r="A533" i="102"/>
  <c r="A528" i="102"/>
  <c r="A523" i="102"/>
  <c r="A518" i="102"/>
  <c r="A515" i="102"/>
  <c r="A480" i="102"/>
  <c r="A470" i="102"/>
  <c r="A490" i="102"/>
  <c r="A503" i="102"/>
  <c r="A498" i="102"/>
  <c r="A493" i="102"/>
  <c r="A483" i="102"/>
  <c r="A473" i="102"/>
  <c r="A458" i="102"/>
  <c r="A453" i="102"/>
  <c r="A448" i="102"/>
  <c r="A443" i="102"/>
  <c r="A438" i="102"/>
  <c r="A433" i="102"/>
  <c r="A430" i="102"/>
  <c r="A418" i="102"/>
  <c r="A413" i="102"/>
  <c r="A408" i="102"/>
  <c r="A403" i="102"/>
  <c r="A398" i="102"/>
  <c r="A393" i="102"/>
  <c r="A388" i="102"/>
  <c r="A385" i="102"/>
  <c r="A378" i="102"/>
  <c r="A375" i="102"/>
  <c r="A363" i="102"/>
  <c r="A358" i="102"/>
  <c r="A353" i="102"/>
  <c r="A350" i="102"/>
  <c r="A338" i="102"/>
  <c r="A333" i="102"/>
  <c r="A328" i="102"/>
  <c r="A325" i="102"/>
  <c r="A313" i="102"/>
  <c r="A308" i="102"/>
  <c r="A303" i="102"/>
  <c r="A300" i="102"/>
  <c r="A288" i="102"/>
  <c r="A283" i="102"/>
  <c r="A280" i="102"/>
  <c r="A245" i="102"/>
  <c r="A268" i="102"/>
  <c r="A263" i="102"/>
  <c r="A258" i="102"/>
  <c r="A253" i="102"/>
  <c r="A248" i="102"/>
  <c r="A233" i="102"/>
  <c r="A228" i="102"/>
  <c r="A223" i="102"/>
  <c r="A220" i="102"/>
  <c r="A208" i="102"/>
  <c r="A203" i="102"/>
  <c r="A198" i="102"/>
  <c r="A195" i="102"/>
  <c r="A170" i="102"/>
  <c r="A183" i="102"/>
  <c r="A178" i="102"/>
  <c r="A173" i="102"/>
  <c r="A163" i="102"/>
  <c r="A160" i="102"/>
  <c r="A148" i="102"/>
  <c r="A143" i="102"/>
  <c r="A138" i="102"/>
  <c r="A133" i="102"/>
  <c r="A128" i="102"/>
  <c r="A123" i="102"/>
  <c r="A118" i="102"/>
  <c r="A113" i="102"/>
  <c r="A108" i="102"/>
  <c r="A103" i="102"/>
  <c r="A98" i="102"/>
  <c r="A93" i="102"/>
  <c r="A88" i="102"/>
  <c r="A83" i="102"/>
  <c r="A78" i="102"/>
  <c r="A70" i="102"/>
  <c r="A73" i="102"/>
  <c r="A58" i="102"/>
  <c r="A53" i="102"/>
  <c r="A48" i="102"/>
  <c r="A45" i="102"/>
  <c r="A33" i="102"/>
  <c r="A28" i="102"/>
  <c r="A25" i="102"/>
  <c r="A18" i="102"/>
  <c r="A8" i="102"/>
  <c r="B15" i="102"/>
  <c r="A15" i="102"/>
  <c r="A5" i="102"/>
  <c r="L15" i="102"/>
  <c r="V15" i="102"/>
  <c r="Y16" i="102"/>
  <c r="O16" i="102"/>
  <c r="E16" i="102"/>
  <c r="X6" i="102"/>
  <c r="W6" i="102"/>
  <c r="V6" i="102"/>
  <c r="N6" i="102"/>
  <c r="M6" i="102"/>
  <c r="L6" i="102"/>
  <c r="D6" i="102"/>
  <c r="C6" i="102"/>
  <c r="B6" i="102"/>
  <c r="A825" i="101"/>
  <c r="A1292" i="101"/>
  <c r="A1291" i="101"/>
  <c r="A1290" i="101"/>
  <c r="A1289" i="101"/>
  <c r="A1288" i="101"/>
  <c r="A1287" i="101"/>
  <c r="A1286" i="101"/>
  <c r="A1285" i="101"/>
  <c r="A1284" i="101"/>
  <c r="A1275" i="101"/>
  <c r="A1274" i="101"/>
  <c r="A1273" i="101"/>
  <c r="A1272" i="101"/>
  <c r="A1271" i="101"/>
  <c r="A1270" i="101"/>
  <c r="A1269" i="101"/>
  <c r="A1268" i="101"/>
  <c r="A1267" i="101"/>
  <c r="A1258" i="101"/>
  <c r="A1257" i="101"/>
  <c r="A1256" i="101"/>
  <c r="A1255" i="101"/>
  <c r="A1254" i="101"/>
  <c r="A1253" i="101"/>
  <c r="A1252" i="101"/>
  <c r="A1251" i="101"/>
  <c r="A1250" i="101"/>
  <c r="A1241" i="101"/>
  <c r="A1240" i="101"/>
  <c r="A1239" i="101"/>
  <c r="A1238" i="101"/>
  <c r="A1237" i="101"/>
  <c r="A1236" i="101"/>
  <c r="A1235" i="101"/>
  <c r="A1234" i="101"/>
  <c r="A1233" i="101"/>
  <c r="A1224" i="101"/>
  <c r="A1223" i="101"/>
  <c r="A1222" i="101"/>
  <c r="A1221" i="101"/>
  <c r="A1220" i="101"/>
  <c r="A1219" i="101"/>
  <c r="A1218" i="101"/>
  <c r="A1217" i="101"/>
  <c r="A1216" i="101"/>
  <c r="A1207" i="101"/>
  <c r="A1206" i="101"/>
  <c r="A1205" i="101"/>
  <c r="A1204" i="101"/>
  <c r="A1203" i="101"/>
  <c r="A1202" i="101"/>
  <c r="A1201" i="101"/>
  <c r="A1200" i="101"/>
  <c r="A1199" i="101"/>
  <c r="A1190" i="101"/>
  <c r="A1189" i="101"/>
  <c r="A1188" i="101"/>
  <c r="A1187" i="101"/>
  <c r="A1186" i="101"/>
  <c r="A1185" i="101"/>
  <c r="A1184" i="101"/>
  <c r="A1183" i="101"/>
  <c r="A1182" i="101"/>
  <c r="A1173" i="101"/>
  <c r="A1172" i="101"/>
  <c r="A1171" i="101"/>
  <c r="A1170" i="101"/>
  <c r="A1169" i="101"/>
  <c r="A1168" i="101"/>
  <c r="A1167" i="101"/>
  <c r="A1166" i="101"/>
  <c r="A1165" i="101"/>
  <c r="A1156" i="101"/>
  <c r="A1155" i="101"/>
  <c r="A1154" i="101"/>
  <c r="A1153" i="101"/>
  <c r="A1152" i="101"/>
  <c r="A1151" i="101"/>
  <c r="A1150" i="101"/>
  <c r="A1149" i="101"/>
  <c r="A1148" i="101"/>
  <c r="A1139" i="101"/>
  <c r="A1138" i="101"/>
  <c r="A1137" i="101"/>
  <c r="A1136" i="101"/>
  <c r="A1135" i="101"/>
  <c r="A1134" i="101"/>
  <c r="A1133" i="101"/>
  <c r="A1132" i="101"/>
  <c r="A1131" i="101"/>
  <c r="A1122" i="101"/>
  <c r="A1121" i="101"/>
  <c r="A1120" i="101"/>
  <c r="A1119" i="101"/>
  <c r="A1118" i="101"/>
  <c r="A1117" i="101"/>
  <c r="A1116" i="101"/>
  <c r="A1115" i="101"/>
  <c r="A1114" i="101"/>
  <c r="A1105" i="101"/>
  <c r="A1104" i="101"/>
  <c r="A1103" i="101"/>
  <c r="A1102" i="101"/>
  <c r="A1101" i="101"/>
  <c r="A1100" i="101"/>
  <c r="A1099" i="101"/>
  <c r="A1098" i="101"/>
  <c r="A1097" i="101"/>
  <c r="A1088" i="101"/>
  <c r="A1087" i="101"/>
  <c r="A1086" i="101"/>
  <c r="A1085" i="101"/>
  <c r="A1084" i="101"/>
  <c r="A1083" i="101"/>
  <c r="A1082" i="101"/>
  <c r="A1081" i="101"/>
  <c r="A1080" i="101"/>
  <c r="A1071" i="101"/>
  <c r="A1070" i="101"/>
  <c r="A1069" i="101"/>
  <c r="A1068" i="101"/>
  <c r="A1067" i="101"/>
  <c r="A1066" i="101"/>
  <c r="A1065" i="101"/>
  <c r="A1064" i="101"/>
  <c r="A1063" i="101"/>
  <c r="A1054" i="101"/>
  <c r="A1053" i="101"/>
  <c r="A1052" i="101"/>
  <c r="A1051" i="101"/>
  <c r="A1050" i="101"/>
  <c r="A1049" i="101"/>
  <c r="A1048" i="101"/>
  <c r="A1047" i="101"/>
  <c r="A1046" i="101"/>
  <c r="A1037" i="101"/>
  <c r="A1036" i="101"/>
  <c r="A1035" i="101"/>
  <c r="A1034" i="101"/>
  <c r="A1033" i="101"/>
  <c r="A1032" i="101"/>
  <c r="A1031" i="101"/>
  <c r="A1030" i="101"/>
  <c r="A1029" i="101"/>
  <c r="A1020" i="101"/>
  <c r="A1019" i="101"/>
  <c r="A1018" i="101"/>
  <c r="A1017" i="101"/>
  <c r="A1016" i="101"/>
  <c r="A1015" i="101"/>
  <c r="A1014" i="101"/>
  <c r="A1013" i="101"/>
  <c r="A1012" i="101"/>
  <c r="A1003" i="101"/>
  <c r="A1002" i="101"/>
  <c r="A1001" i="101"/>
  <c r="A1000" i="101"/>
  <c r="A999" i="101"/>
  <c r="A998" i="101"/>
  <c r="A997" i="101"/>
  <c r="A996" i="101"/>
  <c r="A995" i="101"/>
  <c r="A986" i="101"/>
  <c r="A985" i="101"/>
  <c r="A984" i="101"/>
  <c r="A983" i="101"/>
  <c r="A982" i="101"/>
  <c r="A981" i="101"/>
  <c r="A980" i="101"/>
  <c r="A979" i="101"/>
  <c r="A978" i="101"/>
  <c r="A969" i="101"/>
  <c r="A968" i="101"/>
  <c r="A967" i="101"/>
  <c r="A966" i="101"/>
  <c r="A965" i="101"/>
  <c r="A964" i="101"/>
  <c r="A963" i="101"/>
  <c r="A962" i="101"/>
  <c r="A961" i="101"/>
  <c r="A952" i="101"/>
  <c r="A951" i="101"/>
  <c r="A950" i="101"/>
  <c r="A949" i="101"/>
  <c r="A948" i="101"/>
  <c r="A947" i="101"/>
  <c r="A946" i="101"/>
  <c r="A945" i="101"/>
  <c r="A944" i="101"/>
  <c r="A935" i="101"/>
  <c r="A934" i="101"/>
  <c r="A933" i="101"/>
  <c r="A932" i="101"/>
  <c r="A931" i="101"/>
  <c r="A930" i="101"/>
  <c r="A929" i="101"/>
  <c r="A928" i="101"/>
  <c r="A927" i="101"/>
  <c r="A918" i="101"/>
  <c r="A917" i="101"/>
  <c r="A916" i="101"/>
  <c r="A915" i="101"/>
  <c r="A914" i="101"/>
  <c r="A913" i="101"/>
  <c r="A912" i="101"/>
  <c r="A911" i="101"/>
  <c r="A910" i="101"/>
  <c r="A901" i="101"/>
  <c r="A900" i="101"/>
  <c r="A899" i="101"/>
  <c r="A898" i="101"/>
  <c r="A897" i="101"/>
  <c r="A896" i="101"/>
  <c r="A895" i="101"/>
  <c r="A894" i="101"/>
  <c r="A893" i="101"/>
  <c r="A884" i="101"/>
  <c r="A883" i="101"/>
  <c r="A882" i="101"/>
  <c r="A881" i="101"/>
  <c r="A880" i="101"/>
  <c r="A879" i="101"/>
  <c r="A878" i="101"/>
  <c r="A877" i="101"/>
  <c r="A876" i="101"/>
  <c r="A867" i="101"/>
  <c r="A866" i="101"/>
  <c r="A865" i="101"/>
  <c r="A864" i="101"/>
  <c r="A863" i="101"/>
  <c r="A862" i="101"/>
  <c r="A861" i="101"/>
  <c r="A860" i="101"/>
  <c r="A859" i="101"/>
  <c r="A850" i="101"/>
  <c r="A849" i="101"/>
  <c r="A848" i="101"/>
  <c r="A847" i="101"/>
  <c r="A846" i="101"/>
  <c r="A845" i="101"/>
  <c r="A844" i="101"/>
  <c r="A843" i="101"/>
  <c r="A842" i="101"/>
  <c r="A833" i="101"/>
  <c r="A832" i="101"/>
  <c r="A831" i="101"/>
  <c r="A830" i="101"/>
  <c r="A829" i="101"/>
  <c r="A828" i="101"/>
  <c r="A827" i="101"/>
  <c r="A826" i="101"/>
  <c r="A816" i="101"/>
  <c r="A815" i="101"/>
  <c r="A814" i="101"/>
  <c r="A813" i="101"/>
  <c r="A812" i="101"/>
  <c r="A811" i="101"/>
  <c r="A810" i="101"/>
  <c r="A809" i="101"/>
  <c r="A808" i="101"/>
  <c r="A799" i="101"/>
  <c r="A798" i="101"/>
  <c r="A797" i="101"/>
  <c r="A796" i="101"/>
  <c r="A795" i="101"/>
  <c r="A794" i="101"/>
  <c r="A793" i="101"/>
  <c r="A792" i="101"/>
  <c r="A791" i="101"/>
  <c r="A782" i="101"/>
  <c r="A781" i="101"/>
  <c r="A780" i="101"/>
  <c r="A779" i="101"/>
  <c r="A778" i="101"/>
  <c r="A777" i="101"/>
  <c r="A776" i="101"/>
  <c r="A775" i="101"/>
  <c r="A774" i="101"/>
  <c r="A765" i="101"/>
  <c r="A764" i="101"/>
  <c r="A763" i="101"/>
  <c r="A762" i="101"/>
  <c r="A761" i="101"/>
  <c r="A760" i="101"/>
  <c r="A759" i="101"/>
  <c r="A758" i="101"/>
  <c r="A757" i="101"/>
  <c r="A748" i="101"/>
  <c r="A747" i="101"/>
  <c r="A746" i="101"/>
  <c r="A745" i="101"/>
  <c r="A744" i="101"/>
  <c r="A743" i="101"/>
  <c r="A742" i="101"/>
  <c r="A741" i="101"/>
  <c r="A740" i="101"/>
  <c r="A731" i="101"/>
  <c r="A730" i="101"/>
  <c r="A729" i="101"/>
  <c r="A728" i="101"/>
  <c r="A727" i="101"/>
  <c r="A726" i="101"/>
  <c r="A725" i="101"/>
  <c r="A724" i="101"/>
  <c r="A723" i="101"/>
  <c r="A714" i="101"/>
  <c r="A713" i="101"/>
  <c r="A712" i="101"/>
  <c r="A711" i="101"/>
  <c r="A710" i="101"/>
  <c r="A709" i="101"/>
  <c r="A708" i="101"/>
  <c r="A707" i="101"/>
  <c r="A706" i="101"/>
  <c r="A697" i="101"/>
  <c r="A696" i="101"/>
  <c r="A695" i="101"/>
  <c r="A694" i="101"/>
  <c r="A693" i="101"/>
  <c r="A692" i="101"/>
  <c r="A691" i="101"/>
  <c r="A690" i="101"/>
  <c r="A689" i="101"/>
  <c r="A680" i="101"/>
  <c r="A679" i="101"/>
  <c r="A678" i="101"/>
  <c r="A677" i="101"/>
  <c r="A676" i="101"/>
  <c r="A675" i="101"/>
  <c r="A674" i="101"/>
  <c r="A673" i="101"/>
  <c r="A672" i="101"/>
  <c r="A663" i="101"/>
  <c r="A662" i="101"/>
  <c r="A661" i="101"/>
  <c r="A660" i="101"/>
  <c r="A659" i="101"/>
  <c r="A658" i="101"/>
  <c r="A657" i="101"/>
  <c r="A656" i="101"/>
  <c r="A655" i="101"/>
  <c r="A646" i="101"/>
  <c r="A645" i="101"/>
  <c r="A644" i="101"/>
  <c r="A643" i="101"/>
  <c r="A642" i="101"/>
  <c r="A641" i="101"/>
  <c r="A640" i="101"/>
  <c r="A639" i="101"/>
  <c r="A638" i="101"/>
  <c r="A629" i="101"/>
  <c r="A628" i="101"/>
  <c r="A627" i="101"/>
  <c r="A626" i="101"/>
  <c r="A625" i="101"/>
  <c r="A624" i="101"/>
  <c r="A623" i="101"/>
  <c r="A622" i="101"/>
  <c r="A621" i="101"/>
  <c r="A612" i="101"/>
  <c r="A611" i="101"/>
  <c r="A610" i="101"/>
  <c r="A609" i="101"/>
  <c r="A608" i="101"/>
  <c r="A607" i="101"/>
  <c r="A606" i="101"/>
  <c r="A605" i="101"/>
  <c r="A604" i="101"/>
  <c r="A595" i="101"/>
  <c r="A594" i="101"/>
  <c r="A593" i="101"/>
  <c r="A592" i="101"/>
  <c r="A591" i="101"/>
  <c r="A590" i="101"/>
  <c r="A589" i="101"/>
  <c r="A588" i="101"/>
  <c r="A587" i="101"/>
  <c r="A578" i="101"/>
  <c r="A577" i="101"/>
  <c r="A576" i="101"/>
  <c r="A575" i="101"/>
  <c r="A574" i="101"/>
  <c r="A573" i="101"/>
  <c r="A572" i="101"/>
  <c r="A571" i="101"/>
  <c r="A570" i="101"/>
  <c r="A561" i="101"/>
  <c r="A560" i="101"/>
  <c r="A559" i="101"/>
  <c r="A558" i="101"/>
  <c r="A557" i="101"/>
  <c r="A556" i="101"/>
  <c r="A555" i="101"/>
  <c r="A554" i="101"/>
  <c r="A553" i="101"/>
  <c r="A544" i="101"/>
  <c r="A543" i="101"/>
  <c r="A542" i="101"/>
  <c r="A541" i="101"/>
  <c r="A540" i="101"/>
  <c r="A539" i="101"/>
  <c r="A538" i="101"/>
  <c r="A537" i="101"/>
  <c r="A536" i="101"/>
  <c r="A527" i="101"/>
  <c r="A526" i="101"/>
  <c r="A525" i="101"/>
  <c r="A524" i="101"/>
  <c r="A523" i="101"/>
  <c r="A522" i="101"/>
  <c r="A521" i="101"/>
  <c r="A520" i="101"/>
  <c r="A519" i="101"/>
  <c r="A510" i="101"/>
  <c r="A509" i="101"/>
  <c r="A508" i="101"/>
  <c r="A507" i="101"/>
  <c r="A506" i="101"/>
  <c r="A505" i="101"/>
  <c r="A504" i="101"/>
  <c r="A503" i="101"/>
  <c r="A502" i="101"/>
  <c r="A493" i="101"/>
  <c r="A492" i="101"/>
  <c r="A491" i="101"/>
  <c r="A490" i="101"/>
  <c r="A489" i="101"/>
  <c r="A488" i="101"/>
  <c r="A487" i="101"/>
  <c r="A486" i="101"/>
  <c r="A485" i="101"/>
  <c r="A476" i="101"/>
  <c r="A475" i="101"/>
  <c r="A474" i="101"/>
  <c r="A473" i="101"/>
  <c r="A472" i="101"/>
  <c r="A471" i="101"/>
  <c r="A470" i="101"/>
  <c r="A469" i="101"/>
  <c r="A468" i="101"/>
  <c r="A459" i="101"/>
  <c r="A458" i="101"/>
  <c r="A457" i="101"/>
  <c r="A456" i="101"/>
  <c r="A455" i="101"/>
  <c r="A454" i="101"/>
  <c r="A453" i="101"/>
  <c r="A452" i="101"/>
  <c r="A451" i="101"/>
  <c r="A442" i="101"/>
  <c r="A441" i="101"/>
  <c r="A440" i="101"/>
  <c r="A439" i="101"/>
  <c r="A438" i="101"/>
  <c r="A437" i="101"/>
  <c r="A436" i="101"/>
  <c r="A435" i="101"/>
  <c r="A434" i="101"/>
  <c r="A425" i="101"/>
  <c r="A424" i="101"/>
  <c r="A423" i="101"/>
  <c r="A422" i="101"/>
  <c r="A421" i="101"/>
  <c r="A420" i="101"/>
  <c r="A419" i="101"/>
  <c r="A418" i="101"/>
  <c r="A417" i="101"/>
  <c r="A408" i="101"/>
  <c r="A407" i="101"/>
  <c r="A406" i="101"/>
  <c r="A405" i="101"/>
  <c r="A404" i="101"/>
  <c r="A403" i="101"/>
  <c r="A402" i="101"/>
  <c r="A401" i="101"/>
  <c r="A400" i="101"/>
  <c r="A391" i="101"/>
  <c r="A390" i="101"/>
  <c r="A389" i="101"/>
  <c r="A388" i="101"/>
  <c r="A387" i="101"/>
  <c r="A386" i="101"/>
  <c r="A385" i="101"/>
  <c r="A384" i="101"/>
  <c r="A383" i="101"/>
  <c r="A374" i="101"/>
  <c r="A373" i="101"/>
  <c r="A372" i="101"/>
  <c r="A371" i="101"/>
  <c r="A370" i="101"/>
  <c r="A369" i="101"/>
  <c r="A368" i="101"/>
  <c r="A367" i="101"/>
  <c r="A366" i="101"/>
  <c r="A357" i="101"/>
  <c r="A356" i="101"/>
  <c r="A355" i="101"/>
  <c r="A354" i="101"/>
  <c r="A353" i="101"/>
  <c r="A352" i="101"/>
  <c r="A351" i="101"/>
  <c r="A350" i="101"/>
  <c r="A349" i="101"/>
  <c r="A340" i="101"/>
  <c r="A339" i="101"/>
  <c r="A338" i="101"/>
  <c r="A337" i="101"/>
  <c r="A336" i="101"/>
  <c r="A335" i="101"/>
  <c r="A334" i="101"/>
  <c r="A333" i="101"/>
  <c r="A332" i="101"/>
  <c r="A323" i="101"/>
  <c r="A322" i="101"/>
  <c r="A321" i="101"/>
  <c r="A320" i="101"/>
  <c r="A319" i="101"/>
  <c r="A318" i="101"/>
  <c r="A317" i="101"/>
  <c r="A316" i="101"/>
  <c r="A315" i="101"/>
  <c r="A306" i="101"/>
  <c r="A305" i="101"/>
  <c r="A304" i="101"/>
  <c r="A303" i="101"/>
  <c r="A302" i="101"/>
  <c r="A301" i="101"/>
  <c r="A300" i="101"/>
  <c r="A299" i="101"/>
  <c r="A298" i="101"/>
  <c r="A289" i="101"/>
  <c r="A288" i="101"/>
  <c r="A287" i="101"/>
  <c r="A286" i="101"/>
  <c r="A285" i="101"/>
  <c r="A284" i="101"/>
  <c r="A283" i="101"/>
  <c r="A282" i="101"/>
  <c r="A281" i="101"/>
  <c r="A272" i="101"/>
  <c r="A271" i="101"/>
  <c r="A270" i="101"/>
  <c r="A269" i="101"/>
  <c r="A268" i="101"/>
  <c r="A267" i="101"/>
  <c r="A266" i="101"/>
  <c r="A265" i="101"/>
  <c r="A264" i="101"/>
  <c r="A255" i="101"/>
  <c r="A254" i="101"/>
  <c r="A253" i="101"/>
  <c r="A252" i="101"/>
  <c r="A251" i="101"/>
  <c r="A250" i="101"/>
  <c r="A249" i="101"/>
  <c r="A248" i="101"/>
  <c r="A247" i="101"/>
  <c r="A238" i="101"/>
  <c r="A237" i="101"/>
  <c r="A236" i="101"/>
  <c r="A235" i="101"/>
  <c r="A234" i="101"/>
  <c r="A233" i="101"/>
  <c r="A232" i="101"/>
  <c r="A231" i="101"/>
  <c r="A230" i="101"/>
  <c r="A221" i="101"/>
  <c r="A220" i="101"/>
  <c r="A219" i="101"/>
  <c r="A218" i="101"/>
  <c r="A217" i="101"/>
  <c r="A216" i="101"/>
  <c r="A215" i="101"/>
  <c r="A214" i="101"/>
  <c r="A213" i="101"/>
  <c r="A204" i="101"/>
  <c r="A203" i="101"/>
  <c r="A202" i="101"/>
  <c r="A201" i="101"/>
  <c r="A200" i="101"/>
  <c r="A199" i="101"/>
  <c r="A198" i="101"/>
  <c r="A197" i="101"/>
  <c r="A196" i="101"/>
  <c r="A187" i="101"/>
  <c r="A186" i="101"/>
  <c r="A185" i="101"/>
  <c r="A184" i="101"/>
  <c r="A183" i="101"/>
  <c r="A182" i="101"/>
  <c r="A181" i="101"/>
  <c r="A180" i="101"/>
  <c r="A179" i="101"/>
  <c r="A170" i="101"/>
  <c r="A169" i="101"/>
  <c r="A168" i="101"/>
  <c r="A167" i="101"/>
  <c r="A166" i="101"/>
  <c r="A165" i="101"/>
  <c r="A164" i="101"/>
  <c r="A163" i="101"/>
  <c r="A162" i="101"/>
  <c r="A153" i="101"/>
  <c r="A152" i="101"/>
  <c r="A151" i="101"/>
  <c r="A150" i="101"/>
  <c r="A149" i="101"/>
  <c r="A148" i="101"/>
  <c r="A147" i="101"/>
  <c r="A146" i="101"/>
  <c r="A145" i="101"/>
  <c r="A136" i="101"/>
  <c r="A135" i="101"/>
  <c r="A134" i="101"/>
  <c r="A133" i="101"/>
  <c r="A132" i="101"/>
  <c r="A131" i="101"/>
  <c r="A130" i="101"/>
  <c r="A129" i="101"/>
  <c r="A128" i="101"/>
  <c r="A119" i="101"/>
  <c r="A118" i="101"/>
  <c r="A117" i="101"/>
  <c r="A116" i="101"/>
  <c r="A115" i="101"/>
  <c r="A114" i="101"/>
  <c r="A113" i="101"/>
  <c r="A112" i="101"/>
  <c r="A111" i="101"/>
  <c r="A102" i="101"/>
  <c r="A101" i="101"/>
  <c r="A100" i="101"/>
  <c r="A99" i="101"/>
  <c r="A98" i="101"/>
  <c r="A97" i="101"/>
  <c r="A96" i="101"/>
  <c r="A95" i="101"/>
  <c r="A94" i="101"/>
  <c r="A85" i="101"/>
  <c r="A84" i="101"/>
  <c r="A83" i="101"/>
  <c r="A82" i="101"/>
  <c r="A81" i="101"/>
  <c r="A80" i="101"/>
  <c r="A79" i="101"/>
  <c r="A78" i="101"/>
  <c r="A77" i="101"/>
  <c r="A68" i="101"/>
  <c r="A67" i="101"/>
  <c r="A66" i="101"/>
  <c r="A65" i="101"/>
  <c r="A64" i="101"/>
  <c r="A63" i="101"/>
  <c r="A62" i="101"/>
  <c r="A61" i="101"/>
  <c r="A60" i="101"/>
  <c r="A51" i="101"/>
  <c r="A50" i="101"/>
  <c r="A49" i="101"/>
  <c r="A48" i="101"/>
  <c r="A47" i="101"/>
  <c r="A46" i="101"/>
  <c r="A45" i="101"/>
  <c r="A44" i="101"/>
  <c r="A43" i="101"/>
  <c r="A34" i="101"/>
  <c r="A33" i="101"/>
  <c r="A32" i="101"/>
  <c r="A31" i="101"/>
  <c r="A30" i="101"/>
  <c r="A29" i="101"/>
  <c r="A28" i="101"/>
  <c r="A27" i="101"/>
  <c r="A26" i="101"/>
  <c r="A17" i="101"/>
  <c r="A16" i="101"/>
  <c r="A15" i="101"/>
  <c r="A14" i="101"/>
  <c r="A13" i="101"/>
  <c r="A12" i="101"/>
  <c r="A11" i="101"/>
  <c r="A10" i="101"/>
  <c r="A9" i="101"/>
  <c r="D546" i="102" l="1"/>
  <c r="I471" i="102"/>
  <c r="D351" i="102"/>
  <c r="I246" i="102"/>
  <c r="D161" i="102"/>
  <c r="D491" i="102"/>
  <c r="I386" i="102"/>
  <c r="D301" i="102"/>
  <c r="I196" i="102"/>
  <c r="D46" i="102"/>
  <c r="D481" i="102"/>
  <c r="I376" i="102"/>
  <c r="D281" i="102"/>
  <c r="I171" i="102"/>
  <c r="I546" i="102"/>
  <c r="D471" i="102"/>
  <c r="I351" i="102"/>
  <c r="D246" i="102"/>
  <c r="I161" i="102"/>
  <c r="I516" i="102"/>
  <c r="D431" i="102"/>
  <c r="I326" i="102"/>
  <c r="D221" i="102"/>
  <c r="I481" i="102"/>
  <c r="I431" i="102"/>
  <c r="I281" i="102"/>
  <c r="I221" i="102"/>
  <c r="D516" i="102"/>
  <c r="I301" i="102"/>
  <c r="D196" i="102"/>
  <c r="D171" i="102"/>
  <c r="I491" i="102"/>
  <c r="D386" i="102"/>
  <c r="D376" i="102"/>
  <c r="I71" i="102"/>
  <c r="I46" i="102"/>
  <c r="D326" i="102"/>
  <c r="I26" i="102"/>
  <c r="D71" i="102"/>
  <c r="D26" i="102"/>
  <c r="Q491" i="102"/>
  <c r="L386" i="102"/>
  <c r="Q301" i="102"/>
  <c r="L196" i="102"/>
  <c r="Q46" i="102"/>
  <c r="L546" i="102"/>
  <c r="Q471" i="102"/>
  <c r="L351" i="102"/>
  <c r="Q246" i="102"/>
  <c r="L161" i="102"/>
  <c r="L516" i="102"/>
  <c r="Q431" i="102"/>
  <c r="L326" i="102"/>
  <c r="Q221" i="102"/>
  <c r="L71" i="102"/>
  <c r="L491" i="102"/>
  <c r="Q386" i="102"/>
  <c r="L301" i="102"/>
  <c r="Q196" i="102"/>
  <c r="L46" i="102"/>
  <c r="L481" i="102"/>
  <c r="Q376" i="102"/>
  <c r="L281" i="102"/>
  <c r="Q546" i="102"/>
  <c r="Q161" i="102"/>
  <c r="Q481" i="102"/>
  <c r="L471" i="102"/>
  <c r="L171" i="102"/>
  <c r="L431" i="102"/>
  <c r="Q26" i="102"/>
  <c r="L26" i="102"/>
  <c r="Q16" i="102"/>
  <c r="Q281" i="102"/>
  <c r="L246" i="102"/>
  <c r="Q171" i="102"/>
  <c r="L221" i="102"/>
  <c r="Q351" i="102"/>
  <c r="Q326" i="102"/>
  <c r="Q71" i="102"/>
  <c r="Q516" i="102"/>
  <c r="L376" i="102"/>
  <c r="M16" i="102"/>
  <c r="R481" i="102"/>
  <c r="M376" i="102"/>
  <c r="R281" i="102"/>
  <c r="M171" i="102"/>
  <c r="R26" i="102"/>
  <c r="M546" i="102"/>
  <c r="M516" i="102"/>
  <c r="R431" i="102"/>
  <c r="M326" i="102"/>
  <c r="R221" i="102"/>
  <c r="M71" i="102"/>
  <c r="M491" i="102"/>
  <c r="R386" i="102"/>
  <c r="M301" i="102"/>
  <c r="R196" i="102"/>
  <c r="M46" i="102"/>
  <c r="M481" i="102"/>
  <c r="R376" i="102"/>
  <c r="M281" i="102"/>
  <c r="R171" i="102"/>
  <c r="M26" i="102"/>
  <c r="R546" i="102"/>
  <c r="M471" i="102"/>
  <c r="R351" i="102"/>
  <c r="M246" i="102"/>
  <c r="R246" i="102"/>
  <c r="R16" i="102"/>
  <c r="R301" i="102"/>
  <c r="M431" i="102"/>
  <c r="R71" i="102"/>
  <c r="R516" i="102"/>
  <c r="M351" i="102"/>
  <c r="R491" i="102"/>
  <c r="M221" i="102"/>
  <c r="R471" i="102"/>
  <c r="R326" i="102"/>
  <c r="R161" i="102"/>
  <c r="M196" i="102"/>
  <c r="M161" i="102"/>
  <c r="M386" i="102"/>
  <c r="R46" i="102"/>
  <c r="N16" i="102"/>
  <c r="N546" i="102"/>
  <c r="S471" i="102"/>
  <c r="N351" i="102"/>
  <c r="S246" i="102"/>
  <c r="N161" i="102"/>
  <c r="N491" i="102"/>
  <c r="S386" i="102"/>
  <c r="N301" i="102"/>
  <c r="S196" i="102"/>
  <c r="N46" i="102"/>
  <c r="N481" i="102"/>
  <c r="S376" i="102"/>
  <c r="N281" i="102"/>
  <c r="S171" i="102"/>
  <c r="S546" i="102"/>
  <c r="N471" i="102"/>
  <c r="S351" i="102"/>
  <c r="N246" i="102"/>
  <c r="S161" i="102"/>
  <c r="S516" i="102"/>
  <c r="N431" i="102"/>
  <c r="S326" i="102"/>
  <c r="N221" i="102"/>
  <c r="S221" i="102"/>
  <c r="N71" i="102"/>
  <c r="N26" i="102"/>
  <c r="N171" i="102"/>
  <c r="S26" i="102"/>
  <c r="S491" i="102"/>
  <c r="N376" i="102"/>
  <c r="S46" i="102"/>
  <c r="N516" i="102"/>
  <c r="S281" i="102"/>
  <c r="S431" i="102"/>
  <c r="S301" i="102"/>
  <c r="N196" i="102"/>
  <c r="S481" i="102"/>
  <c r="S71" i="102"/>
  <c r="N386" i="102"/>
  <c r="N326" i="102"/>
  <c r="S16" i="102"/>
  <c r="V16" i="102"/>
  <c r="V386" i="102"/>
  <c r="V196" i="102"/>
  <c r="V546" i="102"/>
  <c r="V351" i="102"/>
  <c r="V161" i="102"/>
  <c r="V516" i="102"/>
  <c r="V326" i="102"/>
  <c r="V71" i="102"/>
  <c r="V491" i="102"/>
  <c r="V301" i="102"/>
  <c r="V46" i="102"/>
  <c r="V481" i="102"/>
  <c r="V281" i="102"/>
  <c r="V171" i="102"/>
  <c r="V471" i="102"/>
  <c r="V431" i="102"/>
  <c r="V376" i="102"/>
  <c r="V26" i="102"/>
  <c r="V246" i="102"/>
  <c r="V221" i="102"/>
  <c r="W16" i="102"/>
  <c r="W376" i="102"/>
  <c r="W171" i="102"/>
  <c r="W546" i="102"/>
  <c r="W516" i="102"/>
  <c r="W326" i="102"/>
  <c r="W71" i="102"/>
  <c r="W491" i="102"/>
  <c r="W301" i="102"/>
  <c r="W46" i="102"/>
  <c r="W481" i="102"/>
  <c r="W281" i="102"/>
  <c r="W26" i="102"/>
  <c r="W471" i="102"/>
  <c r="W246" i="102"/>
  <c r="W431" i="102"/>
  <c r="W196" i="102"/>
  <c r="W221" i="102"/>
  <c r="W161" i="102"/>
  <c r="W351" i="102"/>
  <c r="W386" i="102"/>
  <c r="G491" i="102"/>
  <c r="B386" i="102"/>
  <c r="G301" i="102"/>
  <c r="B196" i="102"/>
  <c r="G46" i="102"/>
  <c r="B546" i="102"/>
  <c r="G471" i="102"/>
  <c r="B351" i="102"/>
  <c r="G246" i="102"/>
  <c r="B161" i="102"/>
  <c r="B516" i="102"/>
  <c r="G431" i="102"/>
  <c r="B326" i="102"/>
  <c r="G221" i="102"/>
  <c r="B71" i="102"/>
  <c r="B491" i="102"/>
  <c r="G386" i="102"/>
  <c r="B301" i="102"/>
  <c r="G196" i="102"/>
  <c r="B46" i="102"/>
  <c r="B481" i="102"/>
  <c r="G376" i="102"/>
  <c r="B281" i="102"/>
  <c r="G351" i="102"/>
  <c r="B221" i="102"/>
  <c r="G71" i="102"/>
  <c r="G26" i="102"/>
  <c r="G281" i="102"/>
  <c r="B246" i="102"/>
  <c r="B26" i="102"/>
  <c r="G481" i="102"/>
  <c r="B471" i="102"/>
  <c r="G326" i="102"/>
  <c r="G161" i="102"/>
  <c r="B171" i="102"/>
  <c r="G546" i="102"/>
  <c r="B431" i="102"/>
  <c r="B376" i="102"/>
  <c r="G516" i="102"/>
  <c r="G171" i="102"/>
  <c r="X16" i="102"/>
  <c r="X546" i="102"/>
  <c r="X351" i="102"/>
  <c r="X161" i="102"/>
  <c r="X491" i="102"/>
  <c r="X301" i="102"/>
  <c r="X46" i="102"/>
  <c r="X481" i="102"/>
  <c r="X281" i="102"/>
  <c r="X26" i="102"/>
  <c r="X471" i="102"/>
  <c r="X246" i="102"/>
  <c r="X431" i="102"/>
  <c r="X221" i="102"/>
  <c r="X171" i="102"/>
  <c r="X326" i="102"/>
  <c r="X386" i="102"/>
  <c r="X376" i="102"/>
  <c r="X71" i="102"/>
  <c r="X516" i="102"/>
  <c r="X196" i="102"/>
  <c r="H481" i="102"/>
  <c r="C376" i="102"/>
  <c r="H281" i="102"/>
  <c r="C171" i="102"/>
  <c r="H26" i="102"/>
  <c r="C516" i="102"/>
  <c r="H431" i="102"/>
  <c r="C326" i="102"/>
  <c r="H221" i="102"/>
  <c r="C71" i="102"/>
  <c r="C491" i="102"/>
  <c r="H386" i="102"/>
  <c r="C301" i="102"/>
  <c r="H196" i="102"/>
  <c r="C46" i="102"/>
  <c r="C481" i="102"/>
  <c r="H376" i="102"/>
  <c r="C281" i="102"/>
  <c r="H171" i="102"/>
  <c r="C26" i="102"/>
  <c r="H546" i="102"/>
  <c r="C471" i="102"/>
  <c r="H351" i="102"/>
  <c r="C246" i="102"/>
  <c r="H326" i="102"/>
  <c r="H301" i="102"/>
  <c r="C196" i="102"/>
  <c r="H161" i="102"/>
  <c r="C546" i="102"/>
  <c r="C221" i="102"/>
  <c r="C431" i="102"/>
  <c r="C351" i="102"/>
  <c r="H516" i="102"/>
  <c r="H491" i="102"/>
  <c r="C386" i="102"/>
  <c r="C161" i="102"/>
  <c r="H71" i="102"/>
  <c r="H46" i="102"/>
  <c r="H246" i="102"/>
  <c r="H471" i="102"/>
  <c r="B16" i="102"/>
  <c r="G16" i="102"/>
  <c r="C16" i="102"/>
  <c r="H16" i="102"/>
  <c r="D16" i="102"/>
  <c r="I16" i="102"/>
  <c r="L16" i="102"/>
  <c r="A1281" i="101"/>
  <c r="A1264" i="101"/>
  <c r="A1247" i="101"/>
  <c r="A1230" i="101"/>
  <c r="A1213" i="101"/>
  <c r="A1196" i="101"/>
  <c r="A1179" i="101"/>
  <c r="A1162" i="101"/>
  <c r="A1145" i="101"/>
  <c r="A1128" i="101"/>
  <c r="A1111" i="101"/>
  <c r="A1094" i="101"/>
  <c r="A1077" i="101"/>
  <c r="A1060" i="101"/>
  <c r="A1043" i="101"/>
  <c r="A1026" i="101"/>
  <c r="A1009" i="101"/>
  <c r="A992" i="101"/>
  <c r="A975" i="101"/>
  <c r="A958" i="101"/>
  <c r="A941" i="101"/>
  <c r="A924" i="101"/>
  <c r="A907" i="101"/>
  <c r="A890" i="101"/>
  <c r="A873" i="101"/>
  <c r="A856" i="101"/>
  <c r="A839" i="101"/>
  <c r="A822" i="101"/>
  <c r="A805" i="101"/>
  <c r="A788" i="101"/>
  <c r="A771" i="101"/>
  <c r="A754" i="101"/>
  <c r="A737" i="101"/>
  <c r="A720" i="101"/>
  <c r="A703" i="101"/>
  <c r="A686" i="101"/>
  <c r="A669" i="101"/>
  <c r="A652" i="101"/>
  <c r="A635" i="101"/>
  <c r="A618" i="101"/>
  <c r="A601" i="101"/>
  <c r="A584" i="101"/>
  <c r="A567" i="101"/>
  <c r="A550" i="101"/>
  <c r="A533" i="101"/>
  <c r="A516" i="101"/>
  <c r="A499" i="101"/>
  <c r="A482" i="101"/>
  <c r="A465" i="101"/>
  <c r="A448" i="101"/>
  <c r="A431" i="101"/>
  <c r="A414" i="101"/>
  <c r="A397" i="101"/>
  <c r="A380" i="101"/>
  <c r="A363" i="101"/>
  <c r="A346" i="101"/>
  <c r="A329" i="101"/>
  <c r="A312" i="101"/>
  <c r="A295" i="101"/>
  <c r="A278" i="101"/>
  <c r="A261" i="101"/>
  <c r="A244" i="101"/>
  <c r="A227" i="101"/>
  <c r="A210" i="101"/>
  <c r="A193" i="101"/>
  <c r="A176" i="101"/>
  <c r="A159" i="101"/>
  <c r="A142" i="101"/>
  <c r="A125" i="101"/>
  <c r="A108" i="101"/>
  <c r="A91" i="101"/>
  <c r="A74" i="101"/>
  <c r="A57" i="101"/>
  <c r="A40" i="101"/>
  <c r="J1281" i="101"/>
  <c r="F1281" i="101"/>
  <c r="B1281" i="101"/>
  <c r="J1264" i="101"/>
  <c r="F1264" i="101"/>
  <c r="B1264" i="101"/>
  <c r="J1247" i="101"/>
  <c r="F1247" i="101"/>
  <c r="B1247" i="101"/>
  <c r="J1230" i="101"/>
  <c r="F1230" i="101"/>
  <c r="B1230" i="101"/>
  <c r="J1213" i="101"/>
  <c r="F1213" i="101"/>
  <c r="B1213" i="101"/>
  <c r="J1196" i="101"/>
  <c r="F1196" i="101"/>
  <c r="B1196" i="101"/>
  <c r="J1179" i="101"/>
  <c r="F1179" i="101"/>
  <c r="B1179" i="101"/>
  <c r="J1162" i="101"/>
  <c r="F1162" i="101"/>
  <c r="B1162" i="101"/>
  <c r="J1145" i="101"/>
  <c r="F1145" i="101"/>
  <c r="B1145" i="101"/>
  <c r="J1128" i="101"/>
  <c r="F1128" i="101"/>
  <c r="B1128" i="101"/>
  <c r="J1111" i="101"/>
  <c r="F1111" i="101"/>
  <c r="B1111" i="101"/>
  <c r="J1094" i="101"/>
  <c r="F1094" i="101"/>
  <c r="B1094" i="101"/>
  <c r="J1077" i="101"/>
  <c r="F1077" i="101"/>
  <c r="B1077" i="101"/>
  <c r="J1060" i="101"/>
  <c r="F1060" i="101"/>
  <c r="B1060" i="101"/>
  <c r="J1043" i="101"/>
  <c r="F1043" i="101"/>
  <c r="B1043" i="101"/>
  <c r="J1026" i="101"/>
  <c r="F1026" i="101"/>
  <c r="B1026" i="101"/>
  <c r="J1009" i="101"/>
  <c r="F1009" i="101"/>
  <c r="B1009" i="101"/>
  <c r="J992" i="101"/>
  <c r="F992" i="101"/>
  <c r="B992" i="101"/>
  <c r="J975" i="101"/>
  <c r="F975" i="101"/>
  <c r="B975" i="101"/>
  <c r="J958" i="101"/>
  <c r="F958" i="101"/>
  <c r="B958" i="101"/>
  <c r="J941" i="101"/>
  <c r="F941" i="101"/>
  <c r="B941" i="101"/>
  <c r="J924" i="101"/>
  <c r="F924" i="101"/>
  <c r="B924" i="101"/>
  <c r="J907" i="101"/>
  <c r="F907" i="101"/>
  <c r="B907" i="101"/>
  <c r="J890" i="101"/>
  <c r="F890" i="101"/>
  <c r="B890" i="101"/>
  <c r="J873" i="101"/>
  <c r="F873" i="101"/>
  <c r="B873" i="101"/>
  <c r="J856" i="101"/>
  <c r="F856" i="101"/>
  <c r="B856" i="101"/>
  <c r="J839" i="101"/>
  <c r="F839" i="101"/>
  <c r="B839" i="101"/>
  <c r="J822" i="101"/>
  <c r="F822" i="101"/>
  <c r="B822" i="101"/>
  <c r="J805" i="101"/>
  <c r="F805" i="101"/>
  <c r="B805" i="101"/>
  <c r="J788" i="101"/>
  <c r="F788" i="101"/>
  <c r="B788" i="101"/>
  <c r="J771" i="101"/>
  <c r="F771" i="101"/>
  <c r="B771" i="101"/>
  <c r="A23" i="101"/>
  <c r="J23" i="101"/>
  <c r="J40" i="101" s="1"/>
  <c r="J57" i="101" s="1"/>
  <c r="J74" i="101" s="1"/>
  <c r="J91" i="101" s="1"/>
  <c r="J108" i="101" s="1"/>
  <c r="J125" i="101" s="1"/>
  <c r="J142" i="101" s="1"/>
  <c r="J159" i="101" s="1"/>
  <c r="J176" i="101" s="1"/>
  <c r="J193" i="101" s="1"/>
  <c r="J210" i="101" s="1"/>
  <c r="J227" i="101" s="1"/>
  <c r="J244" i="101" s="1"/>
  <c r="J261" i="101" s="1"/>
  <c r="J278" i="101" s="1"/>
  <c r="J295" i="101" s="1"/>
  <c r="J312" i="101" s="1"/>
  <c r="J329" i="101" s="1"/>
  <c r="J346" i="101" s="1"/>
  <c r="J363" i="101" s="1"/>
  <c r="J380" i="101" s="1"/>
  <c r="J397" i="101" s="1"/>
  <c r="J414" i="101" s="1"/>
  <c r="J431" i="101" s="1"/>
  <c r="J448" i="101" s="1"/>
  <c r="J465" i="101" s="1"/>
  <c r="J482" i="101" s="1"/>
  <c r="J499" i="101" s="1"/>
  <c r="J516" i="101" s="1"/>
  <c r="J533" i="101" s="1"/>
  <c r="J550" i="101" s="1"/>
  <c r="J567" i="101" s="1"/>
  <c r="J584" i="101" s="1"/>
  <c r="J601" i="101" s="1"/>
  <c r="J618" i="101" s="1"/>
  <c r="J635" i="101" s="1"/>
  <c r="J652" i="101" s="1"/>
  <c r="J669" i="101" s="1"/>
  <c r="J686" i="101" s="1"/>
  <c r="J703" i="101" s="1"/>
  <c r="J720" i="101" s="1"/>
  <c r="J737" i="101" s="1"/>
  <c r="J754" i="101" s="1"/>
  <c r="F23" i="101"/>
  <c r="F40" i="101" s="1"/>
  <c r="F57" i="101" s="1"/>
  <c r="F74" i="101" s="1"/>
  <c r="F91" i="101" s="1"/>
  <c r="F108" i="101" s="1"/>
  <c r="F125" i="101" s="1"/>
  <c r="F142" i="101" s="1"/>
  <c r="F159" i="101" s="1"/>
  <c r="F176" i="101" s="1"/>
  <c r="F193" i="101" s="1"/>
  <c r="F210" i="101" s="1"/>
  <c r="F227" i="101" s="1"/>
  <c r="F244" i="101" s="1"/>
  <c r="F261" i="101" s="1"/>
  <c r="F278" i="101" s="1"/>
  <c r="F295" i="101" s="1"/>
  <c r="F312" i="101" s="1"/>
  <c r="F329" i="101" s="1"/>
  <c r="F346" i="101" s="1"/>
  <c r="F363" i="101" s="1"/>
  <c r="F380" i="101" s="1"/>
  <c r="F397" i="101" s="1"/>
  <c r="F414" i="101" s="1"/>
  <c r="F431" i="101" s="1"/>
  <c r="F448" i="101" s="1"/>
  <c r="F465" i="101" s="1"/>
  <c r="F482" i="101" s="1"/>
  <c r="F499" i="101" s="1"/>
  <c r="F516" i="101" s="1"/>
  <c r="F533" i="101" s="1"/>
  <c r="F550" i="101" s="1"/>
  <c r="F567" i="101" s="1"/>
  <c r="F584" i="101" s="1"/>
  <c r="F601" i="101" s="1"/>
  <c r="F618" i="101" s="1"/>
  <c r="F635" i="101" s="1"/>
  <c r="F652" i="101" s="1"/>
  <c r="F669" i="101" s="1"/>
  <c r="F686" i="101" s="1"/>
  <c r="F703" i="101" s="1"/>
  <c r="F720" i="101" s="1"/>
  <c r="F737" i="101" s="1"/>
  <c r="F754" i="101" s="1"/>
  <c r="B23" i="101"/>
  <c r="K13" i="80" l="1"/>
  <c r="R45" i="80" l="1"/>
  <c r="R44" i="80"/>
  <c r="K44" i="80"/>
  <c r="I44" i="80"/>
  <c r="H44" i="80"/>
  <c r="F44" i="80"/>
  <c r="C44" i="80"/>
  <c r="R8" i="80"/>
  <c r="K8" i="80"/>
  <c r="I8" i="80"/>
  <c r="H8" i="80"/>
  <c r="F9" i="80"/>
  <c r="C8" i="80"/>
  <c r="N8" i="80" l="1"/>
  <c r="O8" i="80" s="1"/>
  <c r="N44" i="80"/>
  <c r="O44" i="80" s="1"/>
  <c r="L44" i="80"/>
  <c r="L8" i="80"/>
  <c r="R11" i="80"/>
  <c r="K12" i="80"/>
  <c r="I11" i="80"/>
  <c r="H11" i="80"/>
  <c r="C9" i="80"/>
  <c r="A9" i="80"/>
  <c r="A10" i="80"/>
  <c r="A11" i="80"/>
  <c r="A12" i="80"/>
  <c r="A13" i="80"/>
  <c r="A14" i="80"/>
  <c r="A15" i="80"/>
  <c r="A16" i="80"/>
  <c r="A17" i="80"/>
  <c r="A18" i="80"/>
  <c r="A19" i="80"/>
  <c r="A20" i="80"/>
  <c r="A21" i="80"/>
  <c r="A22" i="80"/>
  <c r="A23" i="80"/>
  <c r="A24" i="80"/>
  <c r="A25" i="80"/>
  <c r="A26" i="80"/>
  <c r="A27" i="80"/>
  <c r="A28" i="80"/>
  <c r="A29" i="80"/>
  <c r="A30" i="80"/>
  <c r="A31" i="80"/>
  <c r="A32" i="80"/>
  <c r="A8" i="80"/>
  <c r="AG6" i="79"/>
  <c r="AF6" i="79"/>
  <c r="AE6" i="79"/>
  <c r="AD6" i="79"/>
  <c r="AC6" i="79"/>
  <c r="AB6" i="79"/>
  <c r="AA6" i="79"/>
  <c r="Z6" i="79"/>
  <c r="Y6" i="79"/>
  <c r="X6" i="79"/>
  <c r="V6" i="79"/>
  <c r="U6" i="79"/>
  <c r="T6" i="79"/>
  <c r="S6" i="79"/>
  <c r="R6" i="79"/>
  <c r="Q6" i="79"/>
  <c r="P6" i="79"/>
  <c r="O6" i="79"/>
  <c r="N6" i="79"/>
  <c r="M6" i="79"/>
  <c r="K6" i="79"/>
  <c r="J6" i="79"/>
  <c r="I6" i="79"/>
  <c r="H6" i="79"/>
  <c r="G6" i="79"/>
  <c r="F6" i="79"/>
  <c r="E6" i="79"/>
  <c r="D6" i="79"/>
  <c r="C6" i="79"/>
  <c r="B6" i="79"/>
  <c r="J8" i="79"/>
  <c r="J35" i="79" s="1"/>
  <c r="I8" i="79"/>
  <c r="I35" i="79" s="1"/>
  <c r="H8" i="79"/>
  <c r="H35" i="79" s="1"/>
  <c r="G8" i="79"/>
  <c r="G35" i="79" s="1"/>
  <c r="F8" i="79"/>
  <c r="F35" i="79" s="1"/>
  <c r="E8" i="79"/>
  <c r="E35" i="79" s="1"/>
  <c r="D8" i="79"/>
  <c r="D35" i="79" s="1"/>
  <c r="C8" i="79"/>
  <c r="C35" i="79" s="1"/>
  <c r="B8" i="79"/>
  <c r="A35" i="79"/>
  <c r="A9" i="79"/>
  <c r="A10" i="79"/>
  <c r="A11" i="79"/>
  <c r="A12" i="79"/>
  <c r="A13" i="79"/>
  <c r="A14" i="79"/>
  <c r="A15" i="79"/>
  <c r="A16" i="79"/>
  <c r="A17" i="79"/>
  <c r="A18" i="79"/>
  <c r="A19" i="79"/>
  <c r="A20" i="79"/>
  <c r="A21" i="79"/>
  <c r="A22" i="79"/>
  <c r="A23" i="79"/>
  <c r="A24" i="79"/>
  <c r="A25" i="79"/>
  <c r="A26" i="79"/>
  <c r="A27" i="79"/>
  <c r="A28" i="79"/>
  <c r="A29" i="79"/>
  <c r="A30" i="79"/>
  <c r="A31" i="79"/>
  <c r="A32" i="79"/>
  <c r="A8" i="79"/>
  <c r="A6" i="79"/>
  <c r="A1" i="79" s="1"/>
  <c r="B35" i="79" l="1"/>
  <c r="K8" i="79"/>
  <c r="S33" i="79"/>
  <c r="AF8" i="79" l="1"/>
  <c r="T17" i="79"/>
  <c r="T33" i="79"/>
  <c r="U25" i="79"/>
  <c r="U33" i="79"/>
  <c r="P19" i="79"/>
  <c r="P33" i="79"/>
  <c r="R9" i="79"/>
  <c r="R33" i="79"/>
  <c r="Q31" i="79"/>
  <c r="Q33" i="79"/>
  <c r="U30" i="79"/>
  <c r="P15" i="79"/>
  <c r="Q20" i="79"/>
  <c r="P8" i="79"/>
  <c r="Q10" i="79"/>
  <c r="U18" i="79"/>
  <c r="Q24" i="79"/>
  <c r="P11" i="79"/>
  <c r="U16" i="79"/>
  <c r="Q26" i="79"/>
  <c r="Q15" i="79"/>
  <c r="Q8" i="79"/>
  <c r="AD8" i="79"/>
  <c r="Z8" i="79"/>
  <c r="AE8" i="79"/>
  <c r="AG8" i="79"/>
  <c r="Y8" i="79"/>
  <c r="X8" i="79"/>
  <c r="AB8" i="79"/>
  <c r="AC8" i="79"/>
  <c r="AA8" i="79"/>
  <c r="U28" i="79"/>
  <c r="Q12" i="79"/>
  <c r="Q27" i="79"/>
  <c r="Q30" i="79"/>
  <c r="Q11" i="79"/>
  <c r="R28" i="79"/>
  <c r="Q18" i="79"/>
  <c r="T13" i="79"/>
  <c r="T29" i="79"/>
  <c r="U14" i="79"/>
  <c r="U29" i="79"/>
  <c r="Q16" i="79"/>
  <c r="S10" i="79"/>
  <c r="S14" i="79"/>
  <c r="S18" i="79"/>
  <c r="S22" i="79"/>
  <c r="S26" i="79"/>
  <c r="S30" i="79"/>
  <c r="S35" i="79"/>
  <c r="S8" i="79"/>
  <c r="S24" i="79"/>
  <c r="S13" i="79"/>
  <c r="S32" i="79"/>
  <c r="R12" i="79"/>
  <c r="R16" i="79"/>
  <c r="U13" i="79"/>
  <c r="Q13" i="79"/>
  <c r="Q17" i="79"/>
  <c r="Q21" i="79"/>
  <c r="Q25" i="79"/>
  <c r="Q29" i="79"/>
  <c r="Q35" i="79"/>
  <c r="Q9" i="79"/>
  <c r="R20" i="79"/>
  <c r="S11" i="79"/>
  <c r="U32" i="79"/>
  <c r="Q23" i="79"/>
  <c r="P9" i="79"/>
  <c r="P12" i="79"/>
  <c r="P16" i="79"/>
  <c r="P20" i="79"/>
  <c r="P24" i="79"/>
  <c r="P28" i="79"/>
  <c r="P32" i="79"/>
  <c r="P14" i="79"/>
  <c r="P26" i="79"/>
  <c r="P10" i="79"/>
  <c r="P18" i="79"/>
  <c r="P22" i="79"/>
  <c r="P30" i="79"/>
  <c r="P13" i="79"/>
  <c r="P17" i="79"/>
  <c r="P21" i="79"/>
  <c r="P25" i="79"/>
  <c r="P29" i="79"/>
  <c r="P35" i="79"/>
  <c r="S25" i="79"/>
  <c r="P23" i="79"/>
  <c r="Q19" i="79"/>
  <c r="U12" i="79"/>
  <c r="S23" i="79"/>
  <c r="S29" i="79"/>
  <c r="P27" i="79"/>
  <c r="S9" i="79"/>
  <c r="S15" i="79"/>
  <c r="R13" i="79"/>
  <c r="R17" i="79"/>
  <c r="R21" i="79"/>
  <c r="R25" i="79"/>
  <c r="R29" i="79"/>
  <c r="R35" i="79"/>
  <c r="R11" i="79"/>
  <c r="R15" i="79"/>
  <c r="R19" i="79"/>
  <c r="R23" i="79"/>
  <c r="R31" i="79"/>
  <c r="R27" i="79"/>
  <c r="R10" i="79"/>
  <c r="R14" i="79"/>
  <c r="R18" i="79"/>
  <c r="R22" i="79"/>
  <c r="R26" i="79"/>
  <c r="R30" i="79"/>
  <c r="R8" i="79"/>
  <c r="S27" i="79"/>
  <c r="T10" i="79"/>
  <c r="T14" i="79"/>
  <c r="T18" i="79"/>
  <c r="T22" i="79"/>
  <c r="T26" i="79"/>
  <c r="T30" i="79"/>
  <c r="T12" i="79"/>
  <c r="T16" i="79"/>
  <c r="T20" i="79"/>
  <c r="T28" i="79"/>
  <c r="T35" i="79"/>
  <c r="T9" i="79"/>
  <c r="T24" i="79"/>
  <c r="T32" i="79"/>
  <c r="T11" i="79"/>
  <c r="T15" i="79"/>
  <c r="T19" i="79"/>
  <c r="T23" i="79"/>
  <c r="T27" i="79"/>
  <c r="T31" i="79"/>
  <c r="R32" i="79"/>
  <c r="U11" i="79"/>
  <c r="U15" i="79"/>
  <c r="U19" i="79"/>
  <c r="U23" i="79"/>
  <c r="U27" i="79"/>
  <c r="U31" i="79"/>
  <c r="U9" i="79"/>
  <c r="U35" i="79"/>
  <c r="U8" i="79"/>
  <c r="S17" i="79"/>
  <c r="S12" i="79"/>
  <c r="S19" i="79"/>
  <c r="S21" i="79"/>
  <c r="S16" i="79"/>
  <c r="U20" i="79"/>
  <c r="S31" i="79"/>
  <c r="T21" i="79"/>
  <c r="S20" i="79"/>
  <c r="U22" i="79"/>
  <c r="U17" i="79"/>
  <c r="Q22" i="79"/>
  <c r="U26" i="79"/>
  <c r="R24" i="79"/>
  <c r="T8" i="79"/>
  <c r="Q28" i="79"/>
  <c r="T25" i="79"/>
  <c r="U21" i="79"/>
  <c r="Q14" i="79"/>
  <c r="U24" i="79"/>
  <c r="U10" i="79"/>
  <c r="Q32" i="79"/>
  <c r="P31" i="79"/>
  <c r="S28" i="79"/>
  <c r="CP143" i="78" l="1"/>
  <c r="CP142" i="78"/>
  <c r="CP141" i="78"/>
  <c r="CP140" i="78"/>
  <c r="CP139" i="78"/>
  <c r="CP138" i="78"/>
  <c r="CP137" i="78"/>
  <c r="CP136" i="78"/>
  <c r="CP135" i="78"/>
  <c r="CP134" i="78"/>
  <c r="CP133" i="78"/>
  <c r="CP132" i="78"/>
  <c r="CP131" i="78"/>
  <c r="CP130" i="78"/>
  <c r="CP129" i="78"/>
  <c r="CP128" i="78"/>
  <c r="CP127" i="78"/>
  <c r="CP126" i="78"/>
  <c r="CP125" i="78"/>
  <c r="CP124" i="78"/>
  <c r="CP123" i="78"/>
  <c r="CP122" i="78"/>
  <c r="CP121" i="78"/>
  <c r="CP120" i="78"/>
  <c r="CP119" i="78"/>
  <c r="CE143" i="78"/>
  <c r="CE142" i="78"/>
  <c r="CE141" i="78"/>
  <c r="CE140" i="78"/>
  <c r="CE139" i="78"/>
  <c r="CE138" i="78"/>
  <c r="CE137" i="78"/>
  <c r="CE136" i="78"/>
  <c r="CE135" i="78"/>
  <c r="CE134" i="78"/>
  <c r="CE133" i="78"/>
  <c r="CE132" i="78"/>
  <c r="CE131" i="78"/>
  <c r="CE130" i="78"/>
  <c r="CE129" i="78"/>
  <c r="CE128" i="78"/>
  <c r="CE127" i="78"/>
  <c r="CE126" i="78"/>
  <c r="CE125" i="78"/>
  <c r="CE124" i="78"/>
  <c r="CE123" i="78"/>
  <c r="CE122" i="78"/>
  <c r="CE121" i="78"/>
  <c r="CE120" i="78"/>
  <c r="CE119" i="78"/>
  <c r="BT143" i="78"/>
  <c r="BT142" i="78"/>
  <c r="BT141" i="78"/>
  <c r="BT140" i="78"/>
  <c r="BT139" i="78"/>
  <c r="BT138" i="78"/>
  <c r="BT137" i="78"/>
  <c r="BT136" i="78"/>
  <c r="BT135" i="78"/>
  <c r="BT134" i="78"/>
  <c r="BT133" i="78"/>
  <c r="BT132" i="78"/>
  <c r="BT131" i="78"/>
  <c r="BT130" i="78"/>
  <c r="BT129" i="78"/>
  <c r="BT128" i="78"/>
  <c r="BT127" i="78"/>
  <c r="BT126" i="78"/>
  <c r="BT125" i="78"/>
  <c r="BT124" i="78"/>
  <c r="BT123" i="78"/>
  <c r="BT122" i="78"/>
  <c r="BT121" i="78"/>
  <c r="BT120" i="78"/>
  <c r="BT119" i="78"/>
  <c r="BI143" i="78"/>
  <c r="BI142" i="78"/>
  <c r="BI141" i="78"/>
  <c r="BI140" i="78"/>
  <c r="BI139" i="78"/>
  <c r="BI138" i="78"/>
  <c r="BI137" i="78"/>
  <c r="BI136" i="78"/>
  <c r="BI135" i="78"/>
  <c r="BI134" i="78"/>
  <c r="BI133" i="78"/>
  <c r="BI132" i="78"/>
  <c r="BI131" i="78"/>
  <c r="BI130" i="78"/>
  <c r="BI129" i="78"/>
  <c r="BI128" i="78"/>
  <c r="BI127" i="78"/>
  <c r="BI126" i="78"/>
  <c r="BI125" i="78"/>
  <c r="BI124" i="78"/>
  <c r="BI123" i="78"/>
  <c r="BI122" i="78"/>
  <c r="BI121" i="78"/>
  <c r="BI120" i="78"/>
  <c r="BI119" i="78"/>
  <c r="AX143" i="78"/>
  <c r="AX142" i="78"/>
  <c r="AX141" i="78"/>
  <c r="AX140" i="78"/>
  <c r="AX139" i="78"/>
  <c r="AX138" i="78"/>
  <c r="AX137" i="78"/>
  <c r="AX136" i="78"/>
  <c r="AX135" i="78"/>
  <c r="AX134" i="78"/>
  <c r="AX133" i="78"/>
  <c r="AX132" i="78"/>
  <c r="AX131" i="78"/>
  <c r="AX130" i="78"/>
  <c r="AX129" i="78"/>
  <c r="AX128" i="78"/>
  <c r="AX127" i="78"/>
  <c r="AX126" i="78"/>
  <c r="AX125" i="78"/>
  <c r="AX124" i="78"/>
  <c r="AX123" i="78"/>
  <c r="AX122" i="78"/>
  <c r="AX121" i="78"/>
  <c r="AX120" i="78"/>
  <c r="AX119" i="78"/>
  <c r="AM143" i="78"/>
  <c r="AM142" i="78"/>
  <c r="AM141" i="78"/>
  <c r="AM140" i="78"/>
  <c r="AM139" i="78"/>
  <c r="AM138" i="78"/>
  <c r="AM137" i="78"/>
  <c r="AM136" i="78"/>
  <c r="AM135" i="78"/>
  <c r="AM134" i="78"/>
  <c r="AM133" i="78"/>
  <c r="AM132" i="78"/>
  <c r="AM131" i="78"/>
  <c r="AM130" i="78"/>
  <c r="AM129" i="78"/>
  <c r="AM128" i="78"/>
  <c r="AM127" i="78"/>
  <c r="AM126" i="78"/>
  <c r="AM125" i="78"/>
  <c r="AM124" i="78"/>
  <c r="AM123" i="78"/>
  <c r="AM122" i="78"/>
  <c r="AM121" i="78"/>
  <c r="AM120" i="78"/>
  <c r="AM119" i="78"/>
  <c r="AB143" i="78"/>
  <c r="AB142" i="78"/>
  <c r="AB141" i="78"/>
  <c r="AB140" i="78"/>
  <c r="AB139" i="78"/>
  <c r="AB138" i="78"/>
  <c r="AB137" i="78"/>
  <c r="AB136" i="78"/>
  <c r="AB135" i="78"/>
  <c r="AB134" i="78"/>
  <c r="AB133" i="78"/>
  <c r="AB132" i="78"/>
  <c r="AB131" i="78"/>
  <c r="AB130" i="78"/>
  <c r="AB129" i="78"/>
  <c r="AB128" i="78"/>
  <c r="AB127" i="78"/>
  <c r="AB126" i="78"/>
  <c r="AB125" i="78"/>
  <c r="AB124" i="78"/>
  <c r="AB123" i="78"/>
  <c r="AB122" i="78"/>
  <c r="AB121" i="78"/>
  <c r="AB120" i="78"/>
  <c r="AB119" i="78"/>
  <c r="Q122" i="78"/>
  <c r="Q143" i="78"/>
  <c r="Q142" i="78"/>
  <c r="Q141" i="78"/>
  <c r="Q140" i="78"/>
  <c r="Q139" i="78"/>
  <c r="Q138" i="78"/>
  <c r="Q137" i="78"/>
  <c r="Q136" i="78"/>
  <c r="Q135" i="78"/>
  <c r="Q134" i="78"/>
  <c r="Q133" i="78"/>
  <c r="Q132" i="78"/>
  <c r="Q131" i="78"/>
  <c r="Q130" i="78"/>
  <c r="Q129" i="78"/>
  <c r="Q128" i="78"/>
  <c r="Q127" i="78"/>
  <c r="Q126" i="78"/>
  <c r="Q125" i="78"/>
  <c r="Q124" i="78"/>
  <c r="Q123" i="78"/>
  <c r="Q121" i="78"/>
  <c r="Q120" i="78"/>
  <c r="Q119" i="78"/>
  <c r="CS9" i="78"/>
  <c r="CS83" i="78" s="1"/>
  <c r="CS10" i="78"/>
  <c r="CS84" i="78" s="1"/>
  <c r="CS11" i="78"/>
  <c r="CS48" i="78" s="1"/>
  <c r="CS12" i="78"/>
  <c r="CS86" i="78" s="1"/>
  <c r="CS13" i="78"/>
  <c r="CS87" i="78" s="1"/>
  <c r="CS14" i="78"/>
  <c r="CS88" i="78" s="1"/>
  <c r="CS15" i="78"/>
  <c r="CS52" i="78" s="1"/>
  <c r="CS16" i="78"/>
  <c r="CS17" i="78"/>
  <c r="CS91" i="78" s="1"/>
  <c r="CS18" i="78"/>
  <c r="CS55" i="78" s="1"/>
  <c r="CS19" i="78"/>
  <c r="CS56" i="78" s="1"/>
  <c r="CS20" i="78"/>
  <c r="CS57" i="78" s="1"/>
  <c r="CS21" i="78"/>
  <c r="CS58" i="78" s="1"/>
  <c r="CS22" i="78"/>
  <c r="CS59" i="78" s="1"/>
  <c r="CS23" i="78"/>
  <c r="CS97" i="78" s="1"/>
  <c r="CS24" i="78"/>
  <c r="CS25" i="78"/>
  <c r="CS99" i="78" s="1"/>
  <c r="CS26" i="78"/>
  <c r="CS63" i="78" s="1"/>
  <c r="CS27" i="78"/>
  <c r="CS64" i="78" s="1"/>
  <c r="CS28" i="78"/>
  <c r="CS102" i="78" s="1"/>
  <c r="CS29" i="78"/>
  <c r="CS103" i="78" s="1"/>
  <c r="CS30" i="78"/>
  <c r="CS67" i="78" s="1"/>
  <c r="CS31" i="78"/>
  <c r="CS68" i="78" s="1"/>
  <c r="CS32" i="78"/>
  <c r="CS69" i="78" s="1"/>
  <c r="CS8" i="78"/>
  <c r="CH9" i="78"/>
  <c r="CH46" i="78" s="1"/>
  <c r="CH10" i="78"/>
  <c r="CH47" i="78" s="1"/>
  <c r="CH11" i="78"/>
  <c r="CH48" i="78" s="1"/>
  <c r="CH12" i="78"/>
  <c r="CH86" i="78" s="1"/>
  <c r="CH13" i="78"/>
  <c r="CH87" i="78" s="1"/>
  <c r="CH14" i="78"/>
  <c r="CH51" i="78" s="1"/>
  <c r="CH15" i="78"/>
  <c r="CH52" i="78" s="1"/>
  <c r="CH16" i="78"/>
  <c r="CH53" i="78" s="1"/>
  <c r="CH17" i="78"/>
  <c r="CH54" i="78" s="1"/>
  <c r="CH18" i="78"/>
  <c r="CH55" i="78" s="1"/>
  <c r="CH19" i="78"/>
  <c r="CH56" i="78" s="1"/>
  <c r="CH20" i="78"/>
  <c r="CH57" i="78" s="1"/>
  <c r="CH21" i="78"/>
  <c r="CH22" i="78"/>
  <c r="CH96" i="78" s="1"/>
  <c r="CH23" i="78"/>
  <c r="CH97" i="78" s="1"/>
  <c r="CH24" i="78"/>
  <c r="CH61" i="78" s="1"/>
  <c r="CH25" i="78"/>
  <c r="CH99" i="78" s="1"/>
  <c r="CH26" i="78"/>
  <c r="CH100" i="78" s="1"/>
  <c r="CH27" i="78"/>
  <c r="CH64" i="78" s="1"/>
  <c r="CH28" i="78"/>
  <c r="CH102" i="78" s="1"/>
  <c r="CH29" i="78"/>
  <c r="CH103" i="78" s="1"/>
  <c r="CH30" i="78"/>
  <c r="CH67" i="78" s="1"/>
  <c r="CH31" i="78"/>
  <c r="CH32" i="78"/>
  <c r="CH69" i="78" s="1"/>
  <c r="CH8" i="78"/>
  <c r="BW9" i="78"/>
  <c r="BW46" i="78" s="1"/>
  <c r="BW10" i="78"/>
  <c r="BW11" i="78"/>
  <c r="BW48" i="78" s="1"/>
  <c r="BW12" i="78"/>
  <c r="BW49" i="78" s="1"/>
  <c r="BW13" i="78"/>
  <c r="BW14" i="78"/>
  <c r="BW88" i="78" s="1"/>
  <c r="BW15" i="78"/>
  <c r="BW52" i="78" s="1"/>
  <c r="BW16" i="78"/>
  <c r="BW53" i="78" s="1"/>
  <c r="BW17" i="78"/>
  <c r="BW54" i="78" s="1"/>
  <c r="BW18" i="78"/>
  <c r="BW92" i="78" s="1"/>
  <c r="BW19" i="78"/>
  <c r="BW56" i="78" s="1"/>
  <c r="BW20" i="78"/>
  <c r="BW94" i="78" s="1"/>
  <c r="BW21" i="78"/>
  <c r="BW95" i="78" s="1"/>
  <c r="BW22" i="78"/>
  <c r="BW96" i="78" s="1"/>
  <c r="BW23" i="78"/>
  <c r="BW97" i="78" s="1"/>
  <c r="BW24" i="78"/>
  <c r="BW61" i="78" s="1"/>
  <c r="BW25" i="78"/>
  <c r="BW99" i="78" s="1"/>
  <c r="BW26" i="78"/>
  <c r="BW63" i="78" s="1"/>
  <c r="BW27" i="78"/>
  <c r="BW64" i="78" s="1"/>
  <c r="BW28" i="78"/>
  <c r="BW65" i="78" s="1"/>
  <c r="BW29" i="78"/>
  <c r="BW66" i="78" s="1"/>
  <c r="BW30" i="78"/>
  <c r="BW104" i="78" s="1"/>
  <c r="BW31" i="78"/>
  <c r="BW32" i="78"/>
  <c r="BW69" i="78" s="1"/>
  <c r="BW8" i="78"/>
  <c r="BL9" i="78"/>
  <c r="BL46" i="78" s="1"/>
  <c r="BL10" i="78"/>
  <c r="BL47" i="78" s="1"/>
  <c r="BL11" i="78"/>
  <c r="BL85" i="78" s="1"/>
  <c r="BL12" i="78"/>
  <c r="BL86" i="78" s="1"/>
  <c r="BL13" i="78"/>
  <c r="BL50" i="78" s="1"/>
  <c r="BL14" i="78"/>
  <c r="BL88" i="78" s="1"/>
  <c r="BL15" i="78"/>
  <c r="BL89" i="78" s="1"/>
  <c r="BL16" i="78"/>
  <c r="BL17" i="78"/>
  <c r="BL91" i="78" s="1"/>
  <c r="BL18" i="78"/>
  <c r="BL55" i="78" s="1"/>
  <c r="BL19" i="78"/>
  <c r="BL93" i="78" s="1"/>
  <c r="BL20" i="78"/>
  <c r="BL94" i="78" s="1"/>
  <c r="BL21" i="78"/>
  <c r="BL58" i="78" s="1"/>
  <c r="BL22" i="78"/>
  <c r="BL59" i="78" s="1"/>
  <c r="BL23" i="78"/>
  <c r="BL60" i="78" s="1"/>
  <c r="BL24" i="78"/>
  <c r="BL25" i="78"/>
  <c r="BL62" i="78" s="1"/>
  <c r="BL26" i="78"/>
  <c r="BL63" i="78" s="1"/>
  <c r="BL27" i="78"/>
  <c r="BL101" i="78" s="1"/>
  <c r="BL28" i="78"/>
  <c r="BL65" i="78" s="1"/>
  <c r="BL29" i="78"/>
  <c r="BL66" i="78" s="1"/>
  <c r="BL30" i="78"/>
  <c r="BL104" i="78" s="1"/>
  <c r="BL31" i="78"/>
  <c r="BL68" i="78" s="1"/>
  <c r="BL32" i="78"/>
  <c r="BL8" i="78"/>
  <c r="BA9" i="78"/>
  <c r="BA83" i="78" s="1"/>
  <c r="BA10" i="78"/>
  <c r="BA47" i="78" s="1"/>
  <c r="BA11" i="78"/>
  <c r="BA48" i="78" s="1"/>
  <c r="BA12" i="78"/>
  <c r="BA49" i="78" s="1"/>
  <c r="BA13" i="78"/>
  <c r="BA87" i="78" s="1"/>
  <c r="BA14" i="78"/>
  <c r="BA88" i="78" s="1"/>
  <c r="BA15" i="78"/>
  <c r="BA89" i="78" s="1"/>
  <c r="BA16" i="78"/>
  <c r="BA53" i="78" s="1"/>
  <c r="BA17" i="78"/>
  <c r="BA91" i="78" s="1"/>
  <c r="BA18" i="78"/>
  <c r="BA92" i="78" s="1"/>
  <c r="BA19" i="78"/>
  <c r="BA56" i="78" s="1"/>
  <c r="BA20" i="78"/>
  <c r="BA57" i="78" s="1"/>
  <c r="BA21" i="78"/>
  <c r="BA58" i="78" s="1"/>
  <c r="BA22" i="78"/>
  <c r="BA96" i="78" s="1"/>
  <c r="BA23" i="78"/>
  <c r="BA97" i="78" s="1"/>
  <c r="BA24" i="78"/>
  <c r="BA98" i="78" s="1"/>
  <c r="BA25" i="78"/>
  <c r="BA99" i="78" s="1"/>
  <c r="BA26" i="78"/>
  <c r="BA100" i="78" s="1"/>
  <c r="BA27" i="78"/>
  <c r="BA64" i="78" s="1"/>
  <c r="BA28" i="78"/>
  <c r="BA65" i="78" s="1"/>
  <c r="BA29" i="78"/>
  <c r="BA103" i="78" s="1"/>
  <c r="BA30" i="78"/>
  <c r="BA104" i="78" s="1"/>
  <c r="BA31" i="78"/>
  <c r="BA32" i="78"/>
  <c r="BA106" i="78" s="1"/>
  <c r="BA8" i="78"/>
  <c r="AP9" i="78"/>
  <c r="AP83" i="78" s="1"/>
  <c r="AP10" i="78"/>
  <c r="AP84" i="78" s="1"/>
  <c r="AP11" i="78"/>
  <c r="AP48" i="78" s="1"/>
  <c r="AP12" i="78"/>
  <c r="AP49" i="78" s="1"/>
  <c r="AP13" i="78"/>
  <c r="AP50" i="78" s="1"/>
  <c r="AP14" i="78"/>
  <c r="AP88" i="78" s="1"/>
  <c r="AP15" i="78"/>
  <c r="AP89" i="78" s="1"/>
  <c r="AP16" i="78"/>
  <c r="AP17" i="78"/>
  <c r="AP91" i="78" s="1"/>
  <c r="AP18" i="78"/>
  <c r="AP55" i="78" s="1"/>
  <c r="AP19" i="78"/>
  <c r="AP56" i="78" s="1"/>
  <c r="AP20" i="78"/>
  <c r="AP57" i="78" s="1"/>
  <c r="AP21" i="78"/>
  <c r="AP95" i="78" s="1"/>
  <c r="AP22" i="78"/>
  <c r="AP96" i="78" s="1"/>
  <c r="AP23" i="78"/>
  <c r="AP97" i="78" s="1"/>
  <c r="AP24" i="78"/>
  <c r="AP98" i="78" s="1"/>
  <c r="AP25" i="78"/>
  <c r="AP99" i="78" s="1"/>
  <c r="AP26" i="78"/>
  <c r="AP100" i="78" s="1"/>
  <c r="AP27" i="78"/>
  <c r="AP64" i="78" s="1"/>
  <c r="AP28" i="78"/>
  <c r="AP65" i="78" s="1"/>
  <c r="AP29" i="78"/>
  <c r="AP66" i="78" s="1"/>
  <c r="AP30" i="78"/>
  <c r="AP104" i="78" s="1"/>
  <c r="AP31" i="78"/>
  <c r="AP68" i="78" s="1"/>
  <c r="AP32" i="78"/>
  <c r="AP69" i="78" s="1"/>
  <c r="AP8" i="78"/>
  <c r="AE9" i="78"/>
  <c r="AE10" i="78"/>
  <c r="AE47" i="78" s="1"/>
  <c r="AE11" i="78"/>
  <c r="AE85" i="78" s="1"/>
  <c r="AE12" i="78"/>
  <c r="AE86" i="78" s="1"/>
  <c r="AE13" i="78"/>
  <c r="AE50" i="78" s="1"/>
  <c r="AE14" i="78"/>
  <c r="AE51" i="78" s="1"/>
  <c r="AE15" i="78"/>
  <c r="AE89" i="78" s="1"/>
  <c r="AE16" i="78"/>
  <c r="AE53" i="78" s="1"/>
  <c r="AE17" i="78"/>
  <c r="AE91" i="78" s="1"/>
  <c r="AE18" i="78"/>
  <c r="AE55" i="78" s="1"/>
  <c r="AE19" i="78"/>
  <c r="AE93" i="78" s="1"/>
  <c r="AE20" i="78"/>
  <c r="AE94" i="78" s="1"/>
  <c r="AE21" i="78"/>
  <c r="AE58" i="78" s="1"/>
  <c r="AE22" i="78"/>
  <c r="AE59" i="78" s="1"/>
  <c r="AE23" i="78"/>
  <c r="AE97" i="78" s="1"/>
  <c r="AE24" i="78"/>
  <c r="AE61" i="78" s="1"/>
  <c r="AE25" i="78"/>
  <c r="AE99" i="78" s="1"/>
  <c r="AE26" i="78"/>
  <c r="AE27" i="78"/>
  <c r="AE64" i="78" s="1"/>
  <c r="AE28" i="78"/>
  <c r="AE102" i="78" s="1"/>
  <c r="AE29" i="78"/>
  <c r="AE66" i="78" s="1"/>
  <c r="AE30" i="78"/>
  <c r="AE67" i="78" s="1"/>
  <c r="AE31" i="78"/>
  <c r="AE105" i="78" s="1"/>
  <c r="AE32" i="78"/>
  <c r="AE69" i="78" s="1"/>
  <c r="AE8" i="78"/>
  <c r="CT43" i="78"/>
  <c r="CT80" i="78" s="1"/>
  <c r="CS43" i="78"/>
  <c r="CS80" i="78" s="1"/>
  <c r="CR43" i="78"/>
  <c r="CR80" i="78" s="1"/>
  <c r="CT42" i="78"/>
  <c r="CT79" i="78" s="1"/>
  <c r="CS42" i="78"/>
  <c r="CS79" i="78" s="1"/>
  <c r="CR42" i="78"/>
  <c r="CR79" i="78" s="1"/>
  <c r="CR32" i="78"/>
  <c r="CR69" i="78" s="1"/>
  <c r="CR106" i="78" s="1"/>
  <c r="CR31" i="78"/>
  <c r="CR68" i="78" s="1"/>
  <c r="CR105" i="78" s="1"/>
  <c r="CR30" i="78"/>
  <c r="CR67" i="78" s="1"/>
  <c r="CR104" i="78" s="1"/>
  <c r="CR29" i="78"/>
  <c r="CR66" i="78" s="1"/>
  <c r="CR103" i="78" s="1"/>
  <c r="CR28" i="78"/>
  <c r="CR27" i="78"/>
  <c r="CR64" i="78" s="1"/>
  <c r="CR101" i="78" s="1"/>
  <c r="CR26" i="78"/>
  <c r="CR25" i="78"/>
  <c r="CR62" i="78" s="1"/>
  <c r="CR99" i="78" s="1"/>
  <c r="CR24" i="78"/>
  <c r="CR61" i="78" s="1"/>
  <c r="CR98" i="78" s="1"/>
  <c r="CR23" i="78"/>
  <c r="CR60" i="78" s="1"/>
  <c r="CR97" i="78" s="1"/>
  <c r="CR22" i="78"/>
  <c r="CR59" i="78" s="1"/>
  <c r="CR96" i="78" s="1"/>
  <c r="CR21" i="78"/>
  <c r="CR58" i="78" s="1"/>
  <c r="CR95" i="78" s="1"/>
  <c r="CR20" i="78"/>
  <c r="CR19" i="78"/>
  <c r="CR56" i="78" s="1"/>
  <c r="CR93" i="78" s="1"/>
  <c r="CS92" i="78"/>
  <c r="CR18" i="78"/>
  <c r="CR55" i="78" s="1"/>
  <c r="CR92" i="78" s="1"/>
  <c r="CR17" i="78"/>
  <c r="CR16" i="78"/>
  <c r="CR53" i="78" s="1"/>
  <c r="CR90" i="78" s="1"/>
  <c r="CR15" i="78"/>
  <c r="CR52" i="78" s="1"/>
  <c r="CR89" i="78" s="1"/>
  <c r="CR14" i="78"/>
  <c r="CR51" i="78" s="1"/>
  <c r="CR88" i="78" s="1"/>
  <c r="CR13" i="78"/>
  <c r="CR50" i="78" s="1"/>
  <c r="CR87" i="78" s="1"/>
  <c r="CR12" i="78"/>
  <c r="CR11" i="78"/>
  <c r="CR48" i="78" s="1"/>
  <c r="CR85" i="78" s="1"/>
  <c r="CR10" i="78"/>
  <c r="CR47" i="78" s="1"/>
  <c r="CR84" i="78" s="1"/>
  <c r="CR9" i="78"/>
  <c r="CR46" i="78" s="1"/>
  <c r="CR83" i="78" s="1"/>
  <c r="CR8" i="78"/>
  <c r="CH62" i="78"/>
  <c r="CI43" i="78"/>
  <c r="CI80" i="78" s="1"/>
  <c r="CH43" i="78"/>
  <c r="CH80" i="78" s="1"/>
  <c r="CG43" i="78"/>
  <c r="CG80" i="78" s="1"/>
  <c r="CI42" i="78"/>
  <c r="CI79" i="78" s="1"/>
  <c r="CH42" i="78"/>
  <c r="CH79" i="78" s="1"/>
  <c r="CG42" i="78"/>
  <c r="CG79" i="78" s="1"/>
  <c r="CG32" i="78"/>
  <c r="CG31" i="78"/>
  <c r="CG68" i="78" s="1"/>
  <c r="CG105" i="78" s="1"/>
  <c r="CG30" i="78"/>
  <c r="CG67" i="78" s="1"/>
  <c r="CG104" i="78" s="1"/>
  <c r="CG29" i="78"/>
  <c r="CG66" i="78" s="1"/>
  <c r="CG103" i="78" s="1"/>
  <c r="CG28" i="78"/>
  <c r="CG65" i="78" s="1"/>
  <c r="CG102" i="78" s="1"/>
  <c r="CG27" i="78"/>
  <c r="CG26" i="78"/>
  <c r="CG63" i="78" s="1"/>
  <c r="CG100" i="78" s="1"/>
  <c r="CG25" i="78"/>
  <c r="CG62" i="78" s="1"/>
  <c r="CG99" i="78" s="1"/>
  <c r="CG24" i="78"/>
  <c r="CG23" i="78"/>
  <c r="CG60" i="78" s="1"/>
  <c r="CG97" i="78" s="1"/>
  <c r="CG22" i="78"/>
  <c r="CG59" i="78" s="1"/>
  <c r="CG96" i="78" s="1"/>
  <c r="CG21" i="78"/>
  <c r="CG58" i="78" s="1"/>
  <c r="CG95" i="78" s="1"/>
  <c r="CG20" i="78"/>
  <c r="CG57" i="78" s="1"/>
  <c r="CG94" i="78" s="1"/>
  <c r="CG19" i="78"/>
  <c r="CG18" i="78"/>
  <c r="CG55" i="78" s="1"/>
  <c r="CG92" i="78" s="1"/>
  <c r="CG17" i="78"/>
  <c r="CG16" i="78"/>
  <c r="CG15" i="78"/>
  <c r="CG52" i="78" s="1"/>
  <c r="CG89" i="78" s="1"/>
  <c r="CG14" i="78"/>
  <c r="CG51" i="78" s="1"/>
  <c r="CG88" i="78" s="1"/>
  <c r="CG13" i="78"/>
  <c r="CG50" i="78" s="1"/>
  <c r="CG87" i="78" s="1"/>
  <c r="CG12" i="78"/>
  <c r="CG49" i="78" s="1"/>
  <c r="CG86" i="78" s="1"/>
  <c r="CG11" i="78"/>
  <c r="CG48" i="78" s="1"/>
  <c r="CG85" i="78" s="1"/>
  <c r="CG10" i="78"/>
  <c r="CG47" i="78" s="1"/>
  <c r="CG84" i="78" s="1"/>
  <c r="CG9" i="78"/>
  <c r="CG46" i="78" s="1"/>
  <c r="CG83" i="78" s="1"/>
  <c r="CG8" i="78"/>
  <c r="BX43" i="78"/>
  <c r="BX80" i="78" s="1"/>
  <c r="BW43" i="78"/>
  <c r="BW80" i="78" s="1"/>
  <c r="BV43" i="78"/>
  <c r="BV80" i="78" s="1"/>
  <c r="BX42" i="78"/>
  <c r="BX79" i="78" s="1"/>
  <c r="BW42" i="78"/>
  <c r="BW79" i="78" s="1"/>
  <c r="BV42" i="78"/>
  <c r="BV79" i="78" s="1"/>
  <c r="BV32" i="78"/>
  <c r="BV31" i="78"/>
  <c r="BV68" i="78" s="1"/>
  <c r="BV105" i="78" s="1"/>
  <c r="BV30" i="78"/>
  <c r="BV67" i="78" s="1"/>
  <c r="BV104" i="78" s="1"/>
  <c r="BV29" i="78"/>
  <c r="BV66" i="78" s="1"/>
  <c r="BV103" i="78" s="1"/>
  <c r="BV28" i="78"/>
  <c r="BV65" i="78" s="1"/>
  <c r="BV102" i="78" s="1"/>
  <c r="BV27" i="78"/>
  <c r="BV64" i="78" s="1"/>
  <c r="BV101" i="78" s="1"/>
  <c r="BV26" i="78"/>
  <c r="BV63" i="78" s="1"/>
  <c r="BV100" i="78" s="1"/>
  <c r="BV25" i="78"/>
  <c r="BV62" i="78" s="1"/>
  <c r="BV99" i="78" s="1"/>
  <c r="BV24" i="78"/>
  <c r="BV23" i="78"/>
  <c r="BV60" i="78" s="1"/>
  <c r="BV97" i="78" s="1"/>
  <c r="BV22" i="78"/>
  <c r="BV59" i="78" s="1"/>
  <c r="BV96" i="78" s="1"/>
  <c r="BV21" i="78"/>
  <c r="BV58" i="78" s="1"/>
  <c r="BV95" i="78" s="1"/>
  <c r="BV20" i="78"/>
  <c r="BV57" i="78" s="1"/>
  <c r="BV94" i="78" s="1"/>
  <c r="BV19" i="78"/>
  <c r="BV18" i="78"/>
  <c r="BV55" i="78" s="1"/>
  <c r="BV92" i="78" s="1"/>
  <c r="BW91" i="78"/>
  <c r="BV17" i="78"/>
  <c r="BV54" i="78" s="1"/>
  <c r="BV91" i="78" s="1"/>
  <c r="BV16" i="78"/>
  <c r="BV15" i="78"/>
  <c r="BV52" i="78" s="1"/>
  <c r="BV89" i="78" s="1"/>
  <c r="BV14" i="78"/>
  <c r="BV51" i="78" s="1"/>
  <c r="BV88" i="78" s="1"/>
  <c r="BV13" i="78"/>
  <c r="BV50" i="78" s="1"/>
  <c r="BV87" i="78" s="1"/>
  <c r="BV12" i="78"/>
  <c r="BV49" i="78" s="1"/>
  <c r="BV86" i="78" s="1"/>
  <c r="BV11" i="78"/>
  <c r="BV48" i="78" s="1"/>
  <c r="BV85" i="78" s="1"/>
  <c r="BV10" i="78"/>
  <c r="BV47" i="78" s="1"/>
  <c r="BV84" i="78" s="1"/>
  <c r="BV9" i="78"/>
  <c r="BV46" i="78" s="1"/>
  <c r="BV83" i="78" s="1"/>
  <c r="BV8" i="78"/>
  <c r="BV45" i="78" s="1"/>
  <c r="BV82" i="78" s="1"/>
  <c r="BM43" i="78"/>
  <c r="BM80" i="78" s="1"/>
  <c r="BL43" i="78"/>
  <c r="BL80" i="78" s="1"/>
  <c r="BK43" i="78"/>
  <c r="BK80" i="78" s="1"/>
  <c r="BM42" i="78"/>
  <c r="BM79" i="78" s="1"/>
  <c r="BL42" i="78"/>
  <c r="BL79" i="78" s="1"/>
  <c r="BK42" i="78"/>
  <c r="BK79" i="78" s="1"/>
  <c r="BK32" i="78"/>
  <c r="BK69" i="78" s="1"/>
  <c r="BK106" i="78" s="1"/>
  <c r="BK31" i="78"/>
  <c r="BK68" i="78" s="1"/>
  <c r="BK105" i="78" s="1"/>
  <c r="BK30" i="78"/>
  <c r="BK67" i="78" s="1"/>
  <c r="BK104" i="78" s="1"/>
  <c r="BK29" i="78"/>
  <c r="BK66" i="78" s="1"/>
  <c r="BK103" i="78" s="1"/>
  <c r="BK28" i="78"/>
  <c r="BK65" i="78" s="1"/>
  <c r="BK102" i="78" s="1"/>
  <c r="BK27" i="78"/>
  <c r="BK64" i="78" s="1"/>
  <c r="BK101" i="78" s="1"/>
  <c r="BK26" i="78"/>
  <c r="BK63" i="78" s="1"/>
  <c r="BK100" i="78" s="1"/>
  <c r="BK25" i="78"/>
  <c r="BK24" i="78"/>
  <c r="BK61" i="78" s="1"/>
  <c r="BK98" i="78" s="1"/>
  <c r="BK23" i="78"/>
  <c r="BK60" i="78" s="1"/>
  <c r="BK97" i="78" s="1"/>
  <c r="BK22" i="78"/>
  <c r="BK21" i="78"/>
  <c r="BK58" i="78" s="1"/>
  <c r="BK95" i="78" s="1"/>
  <c r="BK20" i="78"/>
  <c r="BK57" i="78" s="1"/>
  <c r="BK94" i="78" s="1"/>
  <c r="BK19" i="78"/>
  <c r="BK56" i="78" s="1"/>
  <c r="BK93" i="78" s="1"/>
  <c r="BK18" i="78"/>
  <c r="BK55" i="78" s="1"/>
  <c r="BK92" i="78" s="1"/>
  <c r="BK17" i="78"/>
  <c r="BK16" i="78"/>
  <c r="BK53" i="78" s="1"/>
  <c r="BK90" i="78" s="1"/>
  <c r="BK15" i="78"/>
  <c r="BK52" i="78" s="1"/>
  <c r="BK89" i="78" s="1"/>
  <c r="BK14" i="78"/>
  <c r="BK51" i="78" s="1"/>
  <c r="BK88" i="78" s="1"/>
  <c r="BK13" i="78"/>
  <c r="BK50" i="78" s="1"/>
  <c r="BK87" i="78" s="1"/>
  <c r="BK12" i="78"/>
  <c r="BK49" i="78" s="1"/>
  <c r="BK86" i="78" s="1"/>
  <c r="BK11" i="78"/>
  <c r="BK48" i="78" s="1"/>
  <c r="BK85" i="78" s="1"/>
  <c r="BK10" i="78"/>
  <c r="BK47" i="78" s="1"/>
  <c r="BK84" i="78" s="1"/>
  <c r="BK9" i="78"/>
  <c r="BK8" i="78"/>
  <c r="BK45" i="78" s="1"/>
  <c r="BK82" i="78" s="1"/>
  <c r="BB43" i="78"/>
  <c r="BB80" i="78" s="1"/>
  <c r="BA43" i="78"/>
  <c r="BA80" i="78" s="1"/>
  <c r="AZ43" i="78"/>
  <c r="AZ80" i="78" s="1"/>
  <c r="BB42" i="78"/>
  <c r="BB79" i="78" s="1"/>
  <c r="BA42" i="78"/>
  <c r="BA79" i="78" s="1"/>
  <c r="AZ42" i="78"/>
  <c r="AZ79" i="78" s="1"/>
  <c r="AZ32" i="78"/>
  <c r="AZ69" i="78" s="1"/>
  <c r="AZ106" i="78" s="1"/>
  <c r="AZ31" i="78"/>
  <c r="AZ68" i="78" s="1"/>
  <c r="AZ105" i="78" s="1"/>
  <c r="AZ30" i="78"/>
  <c r="AZ67" i="78" s="1"/>
  <c r="AZ104" i="78" s="1"/>
  <c r="BA66" i="78"/>
  <c r="AZ29" i="78"/>
  <c r="AZ66" i="78" s="1"/>
  <c r="AZ103" i="78" s="1"/>
  <c r="AZ28" i="78"/>
  <c r="AZ27" i="78"/>
  <c r="AZ64" i="78" s="1"/>
  <c r="AZ101" i="78" s="1"/>
  <c r="AZ26" i="78"/>
  <c r="AZ63" i="78" s="1"/>
  <c r="AZ100" i="78" s="1"/>
  <c r="AZ25" i="78"/>
  <c r="AZ24" i="78"/>
  <c r="AZ61" i="78" s="1"/>
  <c r="AZ98" i="78" s="1"/>
  <c r="AZ23" i="78"/>
  <c r="AZ60" i="78" s="1"/>
  <c r="AZ97" i="78" s="1"/>
  <c r="AZ22" i="78"/>
  <c r="AZ59" i="78" s="1"/>
  <c r="AZ96" i="78" s="1"/>
  <c r="AZ21" i="78"/>
  <c r="AZ58" i="78" s="1"/>
  <c r="AZ95" i="78" s="1"/>
  <c r="AZ20" i="78"/>
  <c r="AZ19" i="78"/>
  <c r="AZ56" i="78" s="1"/>
  <c r="AZ93" i="78" s="1"/>
  <c r="AZ18" i="78"/>
  <c r="AZ55" i="78" s="1"/>
  <c r="AZ92" i="78" s="1"/>
  <c r="AZ17" i="78"/>
  <c r="AZ16" i="78"/>
  <c r="AZ53" i="78" s="1"/>
  <c r="AZ90" i="78" s="1"/>
  <c r="AZ15" i="78"/>
  <c r="AZ52" i="78" s="1"/>
  <c r="AZ89" i="78" s="1"/>
  <c r="AZ14" i="78"/>
  <c r="AZ51" i="78" s="1"/>
  <c r="AZ88" i="78" s="1"/>
  <c r="AZ13" i="78"/>
  <c r="AZ50" i="78" s="1"/>
  <c r="AZ87" i="78" s="1"/>
  <c r="AZ12" i="78"/>
  <c r="AZ11" i="78"/>
  <c r="AZ48" i="78" s="1"/>
  <c r="AZ85" i="78" s="1"/>
  <c r="AZ10" i="78"/>
  <c r="AZ47" i="78" s="1"/>
  <c r="AZ84" i="78" s="1"/>
  <c r="AZ9" i="78"/>
  <c r="AZ8" i="78"/>
  <c r="AZ45" i="78" s="1"/>
  <c r="AZ82" i="78" s="1"/>
  <c r="AQ43" i="78"/>
  <c r="AQ80" i="78" s="1"/>
  <c r="AP43" i="78"/>
  <c r="AP80" i="78" s="1"/>
  <c r="AO43" i="78"/>
  <c r="AO80" i="78" s="1"/>
  <c r="AQ42" i="78"/>
  <c r="AQ79" i="78" s="1"/>
  <c r="AP42" i="78"/>
  <c r="AP79" i="78" s="1"/>
  <c r="AO42" i="78"/>
  <c r="AO79" i="78" s="1"/>
  <c r="AO32" i="78"/>
  <c r="AO69" i="78" s="1"/>
  <c r="AO106" i="78" s="1"/>
  <c r="AO31" i="78"/>
  <c r="AO68" i="78" s="1"/>
  <c r="AO105" i="78" s="1"/>
  <c r="AO30" i="78"/>
  <c r="AO67" i="78" s="1"/>
  <c r="AO104" i="78" s="1"/>
  <c r="AO29" i="78"/>
  <c r="AO66" i="78" s="1"/>
  <c r="AO103" i="78" s="1"/>
  <c r="AO28" i="78"/>
  <c r="AO27" i="78"/>
  <c r="AO64" i="78" s="1"/>
  <c r="AO101" i="78" s="1"/>
  <c r="AO26" i="78"/>
  <c r="AO63" i="78" s="1"/>
  <c r="AO100" i="78" s="1"/>
  <c r="AO25" i="78"/>
  <c r="AO24" i="78"/>
  <c r="AO61" i="78" s="1"/>
  <c r="AO98" i="78" s="1"/>
  <c r="AO23" i="78"/>
  <c r="AO60" i="78" s="1"/>
  <c r="AO97" i="78" s="1"/>
  <c r="AO22" i="78"/>
  <c r="AO59" i="78" s="1"/>
  <c r="AO96" i="78" s="1"/>
  <c r="AO21" i="78"/>
  <c r="AO58" i="78" s="1"/>
  <c r="AO95" i="78" s="1"/>
  <c r="AO20" i="78"/>
  <c r="AO19" i="78"/>
  <c r="AO56" i="78" s="1"/>
  <c r="AO93" i="78" s="1"/>
  <c r="AO18" i="78"/>
  <c r="AO55" i="78" s="1"/>
  <c r="AO92" i="78" s="1"/>
  <c r="AO17" i="78"/>
  <c r="AO16" i="78"/>
  <c r="AO53" i="78" s="1"/>
  <c r="AO90" i="78" s="1"/>
  <c r="AO15" i="78"/>
  <c r="AO52" i="78" s="1"/>
  <c r="AO89" i="78" s="1"/>
  <c r="AO14" i="78"/>
  <c r="AO51" i="78" s="1"/>
  <c r="AO88" i="78" s="1"/>
  <c r="AO13" i="78"/>
  <c r="AO50" i="78" s="1"/>
  <c r="AO87" i="78" s="1"/>
  <c r="AO12" i="78"/>
  <c r="AO11" i="78"/>
  <c r="AO48" i="78" s="1"/>
  <c r="AO85" i="78" s="1"/>
  <c r="AO10" i="78"/>
  <c r="AO47" i="78" s="1"/>
  <c r="AO84" i="78" s="1"/>
  <c r="AO9" i="78"/>
  <c r="AO8" i="78"/>
  <c r="AO45" i="78" s="1"/>
  <c r="AO82" i="78" s="1"/>
  <c r="AE101" i="78"/>
  <c r="AF43" i="78"/>
  <c r="AF80" i="78" s="1"/>
  <c r="AE43" i="78"/>
  <c r="AE80" i="78" s="1"/>
  <c r="AD43" i="78"/>
  <c r="AD80" i="78" s="1"/>
  <c r="AF42" i="78"/>
  <c r="AF79" i="78" s="1"/>
  <c r="AE42" i="78"/>
  <c r="AE79" i="78" s="1"/>
  <c r="AD42" i="78"/>
  <c r="AD79" i="78" s="1"/>
  <c r="AD32" i="78"/>
  <c r="AD69" i="78" s="1"/>
  <c r="AD106" i="78" s="1"/>
  <c r="AD31" i="78"/>
  <c r="AD30" i="78"/>
  <c r="AD67" i="78" s="1"/>
  <c r="AD104" i="78" s="1"/>
  <c r="AD29" i="78"/>
  <c r="AD66" i="78" s="1"/>
  <c r="AD103" i="78" s="1"/>
  <c r="AD28" i="78"/>
  <c r="AD27" i="78"/>
  <c r="AD64" i="78" s="1"/>
  <c r="AD101" i="78" s="1"/>
  <c r="AD26" i="78"/>
  <c r="AD63" i="78" s="1"/>
  <c r="AD100" i="78" s="1"/>
  <c r="AD25" i="78"/>
  <c r="AD62" i="78" s="1"/>
  <c r="AD99" i="78" s="1"/>
  <c r="AD24" i="78"/>
  <c r="AD61" i="78" s="1"/>
  <c r="AD98" i="78" s="1"/>
  <c r="AD23" i="78"/>
  <c r="AD22" i="78"/>
  <c r="AD59" i="78" s="1"/>
  <c r="AD96" i="78" s="1"/>
  <c r="AD21" i="78"/>
  <c r="AD58" i="78" s="1"/>
  <c r="AD95" i="78" s="1"/>
  <c r="AD20" i="78"/>
  <c r="AD19" i="78"/>
  <c r="AD56" i="78" s="1"/>
  <c r="AD93" i="78" s="1"/>
  <c r="AD18" i="78"/>
  <c r="AD55" i="78" s="1"/>
  <c r="AD92" i="78" s="1"/>
  <c r="AD17" i="78"/>
  <c r="AD54" i="78" s="1"/>
  <c r="AD91" i="78" s="1"/>
  <c r="AD16" i="78"/>
  <c r="AD53" i="78" s="1"/>
  <c r="AD90" i="78" s="1"/>
  <c r="AD15" i="78"/>
  <c r="AD14" i="78"/>
  <c r="AD51" i="78" s="1"/>
  <c r="AD88" i="78" s="1"/>
  <c r="AD13" i="78"/>
  <c r="AD50" i="78" s="1"/>
  <c r="AD87" i="78" s="1"/>
  <c r="AD12" i="78"/>
  <c r="AD11" i="78"/>
  <c r="AD48" i="78" s="1"/>
  <c r="AD85" i="78" s="1"/>
  <c r="AD10" i="78"/>
  <c r="AD47" i="78" s="1"/>
  <c r="AD84" i="78" s="1"/>
  <c r="AD9" i="78"/>
  <c r="AD46" i="78" s="1"/>
  <c r="AD83" i="78" s="1"/>
  <c r="AD8" i="78"/>
  <c r="AD45" i="78" s="1"/>
  <c r="AD82" i="78" s="1"/>
  <c r="I106" i="49"/>
  <c r="I95" i="49"/>
  <c r="I84" i="49"/>
  <c r="I73" i="49"/>
  <c r="I62" i="49"/>
  <c r="I51" i="49"/>
  <c r="A267" i="49"/>
  <c r="G292" i="49"/>
  <c r="D292" i="49"/>
  <c r="F292" i="49" s="1"/>
  <c r="G291" i="49"/>
  <c r="D291" i="49"/>
  <c r="F291" i="49" s="1"/>
  <c r="G290" i="49"/>
  <c r="D290" i="49"/>
  <c r="F290" i="49" s="1"/>
  <c r="G289" i="49"/>
  <c r="D289" i="49"/>
  <c r="F289" i="49" s="1"/>
  <c r="G288" i="49"/>
  <c r="D288" i="49"/>
  <c r="F288" i="49" s="1"/>
  <c r="G287" i="49"/>
  <c r="D287" i="49"/>
  <c r="F287" i="49" s="1"/>
  <c r="G286" i="49"/>
  <c r="D286" i="49"/>
  <c r="F286" i="49" s="1"/>
  <c r="G285" i="49"/>
  <c r="D285" i="49"/>
  <c r="F285" i="49" s="1"/>
  <c r="G284" i="49"/>
  <c r="D284" i="49"/>
  <c r="F284" i="49" s="1"/>
  <c r="G283" i="49"/>
  <c r="D283" i="49"/>
  <c r="F283" i="49" s="1"/>
  <c r="G282" i="49"/>
  <c r="D282" i="49"/>
  <c r="F282" i="49" s="1"/>
  <c r="G281" i="49"/>
  <c r="D281" i="49"/>
  <c r="F281" i="49" s="1"/>
  <c r="G280" i="49"/>
  <c r="D280" i="49"/>
  <c r="F280" i="49" s="1"/>
  <c r="G279" i="49"/>
  <c r="D279" i="49"/>
  <c r="F279" i="49" s="1"/>
  <c r="G278" i="49"/>
  <c r="D278" i="49"/>
  <c r="F278" i="49" s="1"/>
  <c r="G277" i="49"/>
  <c r="D277" i="49"/>
  <c r="F277" i="49" s="1"/>
  <c r="G276" i="49"/>
  <c r="D276" i="49"/>
  <c r="F276" i="49" s="1"/>
  <c r="G275" i="49"/>
  <c r="D275" i="49"/>
  <c r="F275" i="49" s="1"/>
  <c r="G274" i="49"/>
  <c r="D274" i="49"/>
  <c r="F274" i="49" s="1"/>
  <c r="G273" i="49"/>
  <c r="D273" i="49"/>
  <c r="F273" i="49" s="1"/>
  <c r="G272" i="49"/>
  <c r="D272" i="49"/>
  <c r="F272" i="49" s="1"/>
  <c r="G271" i="49"/>
  <c r="D271" i="49"/>
  <c r="F271" i="49" s="1"/>
  <c r="G270" i="49"/>
  <c r="D270" i="49"/>
  <c r="F270" i="49" s="1"/>
  <c r="G269" i="49"/>
  <c r="D269" i="49"/>
  <c r="G268" i="49"/>
  <c r="D268" i="49"/>
  <c r="L107" i="49" s="1" a="1"/>
  <c r="G245" i="49"/>
  <c r="A238" i="49"/>
  <c r="G263" i="49"/>
  <c r="D263" i="49"/>
  <c r="F263" i="49" s="1"/>
  <c r="G262" i="49"/>
  <c r="D262" i="49"/>
  <c r="F262" i="49" s="1"/>
  <c r="G261" i="49"/>
  <c r="D261" i="49"/>
  <c r="F261" i="49" s="1"/>
  <c r="G260" i="49"/>
  <c r="D260" i="49"/>
  <c r="F260" i="49" s="1"/>
  <c r="G259" i="49"/>
  <c r="D259" i="49"/>
  <c r="F259" i="49" s="1"/>
  <c r="G258" i="49"/>
  <c r="D258" i="49"/>
  <c r="F258" i="49" s="1"/>
  <c r="G257" i="49"/>
  <c r="D257" i="49"/>
  <c r="F257" i="49" s="1"/>
  <c r="G256" i="49"/>
  <c r="D256" i="49"/>
  <c r="F256" i="49" s="1"/>
  <c r="G255" i="49"/>
  <c r="D255" i="49"/>
  <c r="F255" i="49" s="1"/>
  <c r="G254" i="49"/>
  <c r="D254" i="49"/>
  <c r="F254" i="49" s="1"/>
  <c r="G253" i="49"/>
  <c r="D253" i="49"/>
  <c r="F253" i="49" s="1"/>
  <c r="G252" i="49"/>
  <c r="D252" i="49"/>
  <c r="F252" i="49" s="1"/>
  <c r="G251" i="49"/>
  <c r="D251" i="49"/>
  <c r="F251" i="49" s="1"/>
  <c r="G250" i="49"/>
  <c r="D250" i="49"/>
  <c r="F250" i="49" s="1"/>
  <c r="G249" i="49"/>
  <c r="D249" i="49"/>
  <c r="F249" i="49" s="1"/>
  <c r="G248" i="49"/>
  <c r="D248" i="49"/>
  <c r="F248" i="49" s="1"/>
  <c r="G247" i="49"/>
  <c r="D247" i="49"/>
  <c r="F247" i="49" s="1"/>
  <c r="G246" i="49"/>
  <c r="D246" i="49"/>
  <c r="F246" i="49" s="1"/>
  <c r="D245" i="49"/>
  <c r="F245" i="49" s="1"/>
  <c r="G244" i="49"/>
  <c r="D244" i="49"/>
  <c r="F244" i="49" s="1"/>
  <c r="G243" i="49"/>
  <c r="D243" i="49"/>
  <c r="F243" i="49" s="1"/>
  <c r="G242" i="49"/>
  <c r="D242" i="49"/>
  <c r="F242" i="49" s="1"/>
  <c r="G241" i="49"/>
  <c r="D241" i="49"/>
  <c r="F241" i="49" s="1"/>
  <c r="G240" i="49"/>
  <c r="D240" i="49"/>
  <c r="F240" i="49" s="1"/>
  <c r="G239" i="49"/>
  <c r="D239" i="49"/>
  <c r="A209" i="49"/>
  <c r="G234" i="49"/>
  <c r="D234" i="49"/>
  <c r="F234" i="49" s="1"/>
  <c r="G233" i="49"/>
  <c r="D233" i="49"/>
  <c r="F233" i="49" s="1"/>
  <c r="G232" i="49"/>
  <c r="D232" i="49"/>
  <c r="F232" i="49" s="1"/>
  <c r="G231" i="49"/>
  <c r="D231" i="49"/>
  <c r="F231" i="49" s="1"/>
  <c r="G230" i="49"/>
  <c r="D230" i="49"/>
  <c r="F230" i="49" s="1"/>
  <c r="G229" i="49"/>
  <c r="D229" i="49"/>
  <c r="F229" i="49" s="1"/>
  <c r="G228" i="49"/>
  <c r="D228" i="49"/>
  <c r="F228" i="49" s="1"/>
  <c r="G227" i="49"/>
  <c r="D227" i="49"/>
  <c r="F227" i="49" s="1"/>
  <c r="G226" i="49"/>
  <c r="D226" i="49"/>
  <c r="F226" i="49" s="1"/>
  <c r="G225" i="49"/>
  <c r="D225" i="49"/>
  <c r="F225" i="49" s="1"/>
  <c r="G224" i="49"/>
  <c r="D224" i="49"/>
  <c r="F224" i="49" s="1"/>
  <c r="G223" i="49"/>
  <c r="D223" i="49"/>
  <c r="F223" i="49" s="1"/>
  <c r="G222" i="49"/>
  <c r="D222" i="49"/>
  <c r="F222" i="49" s="1"/>
  <c r="G221" i="49"/>
  <c r="D221" i="49"/>
  <c r="F221" i="49" s="1"/>
  <c r="G220" i="49"/>
  <c r="D220" i="49"/>
  <c r="F220" i="49" s="1"/>
  <c r="G219" i="49"/>
  <c r="D219" i="49"/>
  <c r="F219" i="49" s="1"/>
  <c r="G218" i="49"/>
  <c r="D218" i="49"/>
  <c r="F218" i="49" s="1"/>
  <c r="G217" i="49"/>
  <c r="D217" i="49"/>
  <c r="F217" i="49" s="1"/>
  <c r="G216" i="49"/>
  <c r="D216" i="49"/>
  <c r="F216" i="49" s="1"/>
  <c r="G215" i="49"/>
  <c r="D215" i="49"/>
  <c r="F215" i="49" s="1"/>
  <c r="G214" i="49"/>
  <c r="D214" i="49"/>
  <c r="F214" i="49" s="1"/>
  <c r="G213" i="49"/>
  <c r="D213" i="49"/>
  <c r="F213" i="49" s="1"/>
  <c r="G212" i="49"/>
  <c r="D212" i="49"/>
  <c r="F212" i="49" s="1"/>
  <c r="G211" i="49"/>
  <c r="D211" i="49"/>
  <c r="G210" i="49"/>
  <c r="D210" i="49"/>
  <c r="A180" i="49"/>
  <c r="G205" i="49"/>
  <c r="D205" i="49"/>
  <c r="F205" i="49" s="1"/>
  <c r="G204" i="49"/>
  <c r="D204" i="49"/>
  <c r="F204" i="49" s="1"/>
  <c r="G203" i="49"/>
  <c r="D203" i="49"/>
  <c r="F203" i="49" s="1"/>
  <c r="G202" i="49"/>
  <c r="D202" i="49"/>
  <c r="F202" i="49" s="1"/>
  <c r="G201" i="49"/>
  <c r="D201" i="49"/>
  <c r="F201" i="49" s="1"/>
  <c r="G200" i="49"/>
  <c r="D200" i="49"/>
  <c r="F200" i="49" s="1"/>
  <c r="G199" i="49"/>
  <c r="D199" i="49"/>
  <c r="F199" i="49" s="1"/>
  <c r="G198" i="49"/>
  <c r="D198" i="49"/>
  <c r="F198" i="49" s="1"/>
  <c r="G197" i="49"/>
  <c r="D197" i="49"/>
  <c r="F197" i="49" s="1"/>
  <c r="G196" i="49"/>
  <c r="D196" i="49"/>
  <c r="F196" i="49" s="1"/>
  <c r="G195" i="49"/>
  <c r="D195" i="49"/>
  <c r="F195" i="49" s="1"/>
  <c r="G194" i="49"/>
  <c r="D194" i="49"/>
  <c r="F194" i="49" s="1"/>
  <c r="G193" i="49"/>
  <c r="D193" i="49"/>
  <c r="F193" i="49" s="1"/>
  <c r="G192" i="49"/>
  <c r="D192" i="49"/>
  <c r="F192" i="49" s="1"/>
  <c r="G191" i="49"/>
  <c r="D191" i="49"/>
  <c r="F191" i="49" s="1"/>
  <c r="G190" i="49"/>
  <c r="D190" i="49"/>
  <c r="F190" i="49" s="1"/>
  <c r="G189" i="49"/>
  <c r="D189" i="49"/>
  <c r="F189" i="49" s="1"/>
  <c r="G188" i="49"/>
  <c r="D188" i="49"/>
  <c r="F188" i="49" s="1"/>
  <c r="G187" i="49"/>
  <c r="D187" i="49"/>
  <c r="F187" i="49" s="1"/>
  <c r="G186" i="49"/>
  <c r="D186" i="49"/>
  <c r="F186" i="49" s="1"/>
  <c r="G185" i="49"/>
  <c r="D185" i="49"/>
  <c r="F185" i="49" s="1"/>
  <c r="G184" i="49"/>
  <c r="D184" i="49"/>
  <c r="F184" i="49" s="1"/>
  <c r="G183" i="49"/>
  <c r="D183" i="49"/>
  <c r="F183" i="49" s="1"/>
  <c r="G182" i="49"/>
  <c r="D182" i="49"/>
  <c r="G181" i="49"/>
  <c r="D181" i="49"/>
  <c r="G152" i="49"/>
  <c r="D152" i="49"/>
  <c r="A151" i="49"/>
  <c r="G176" i="49"/>
  <c r="D176" i="49"/>
  <c r="F176" i="49" s="1"/>
  <c r="G175" i="49"/>
  <c r="D175" i="49"/>
  <c r="F175" i="49" s="1"/>
  <c r="G174" i="49"/>
  <c r="D174" i="49"/>
  <c r="F174" i="49" s="1"/>
  <c r="G173" i="49"/>
  <c r="D173" i="49"/>
  <c r="F173" i="49" s="1"/>
  <c r="G172" i="49"/>
  <c r="D172" i="49"/>
  <c r="F172" i="49" s="1"/>
  <c r="G171" i="49"/>
  <c r="D171" i="49"/>
  <c r="F171" i="49" s="1"/>
  <c r="G170" i="49"/>
  <c r="D170" i="49"/>
  <c r="F170" i="49" s="1"/>
  <c r="G169" i="49"/>
  <c r="D169" i="49"/>
  <c r="F169" i="49" s="1"/>
  <c r="G168" i="49"/>
  <c r="D168" i="49"/>
  <c r="F168" i="49" s="1"/>
  <c r="G167" i="49"/>
  <c r="D167" i="49"/>
  <c r="F167" i="49" s="1"/>
  <c r="G166" i="49"/>
  <c r="D166" i="49"/>
  <c r="F166" i="49" s="1"/>
  <c r="G165" i="49"/>
  <c r="D165" i="49"/>
  <c r="F165" i="49" s="1"/>
  <c r="G164" i="49"/>
  <c r="D164" i="49"/>
  <c r="F164" i="49" s="1"/>
  <c r="G163" i="49"/>
  <c r="D163" i="49"/>
  <c r="F163" i="49" s="1"/>
  <c r="G162" i="49"/>
  <c r="D162" i="49"/>
  <c r="F162" i="49" s="1"/>
  <c r="G161" i="49"/>
  <c r="D161" i="49"/>
  <c r="F161" i="49" s="1"/>
  <c r="G160" i="49"/>
  <c r="D160" i="49"/>
  <c r="F160" i="49" s="1"/>
  <c r="G159" i="49"/>
  <c r="D159" i="49"/>
  <c r="F159" i="49" s="1"/>
  <c r="G158" i="49"/>
  <c r="D158" i="49"/>
  <c r="F158" i="49" s="1"/>
  <c r="G157" i="49"/>
  <c r="D157" i="49"/>
  <c r="F157" i="49" s="1"/>
  <c r="G156" i="49"/>
  <c r="D156" i="49"/>
  <c r="F156" i="49" s="1"/>
  <c r="G155" i="49"/>
  <c r="D155" i="49"/>
  <c r="F155" i="49" s="1"/>
  <c r="G154" i="49"/>
  <c r="D154" i="49"/>
  <c r="F154" i="49" s="1"/>
  <c r="G153" i="49"/>
  <c r="D153" i="49"/>
  <c r="S9" i="78"/>
  <c r="S46" i="78" s="1"/>
  <c r="S83" i="78" s="1"/>
  <c r="S10" i="78"/>
  <c r="S47" i="78" s="1"/>
  <c r="S84" i="78" s="1"/>
  <c r="S11" i="78"/>
  <c r="S48" i="78" s="1"/>
  <c r="S85" i="78" s="1"/>
  <c r="S12" i="78"/>
  <c r="S49" i="78" s="1"/>
  <c r="S86" i="78" s="1"/>
  <c r="S13" i="78"/>
  <c r="S50" i="78" s="1"/>
  <c r="S87" i="78" s="1"/>
  <c r="S14" i="78"/>
  <c r="S51" i="78" s="1"/>
  <c r="S88" i="78" s="1"/>
  <c r="S15" i="78"/>
  <c r="S52" i="78" s="1"/>
  <c r="S89" i="78" s="1"/>
  <c r="S16" i="78"/>
  <c r="S53" i="78" s="1"/>
  <c r="S90" i="78" s="1"/>
  <c r="S17" i="78"/>
  <c r="S54" i="78" s="1"/>
  <c r="S91" i="78" s="1"/>
  <c r="S18" i="78"/>
  <c r="S55" i="78" s="1"/>
  <c r="S92" i="78" s="1"/>
  <c r="S19" i="78"/>
  <c r="S56" i="78" s="1"/>
  <c r="S93" i="78" s="1"/>
  <c r="S20" i="78"/>
  <c r="S57" i="78" s="1"/>
  <c r="S94" i="78" s="1"/>
  <c r="S21" i="78"/>
  <c r="S58" i="78" s="1"/>
  <c r="S95" i="78" s="1"/>
  <c r="S22" i="78"/>
  <c r="S59" i="78" s="1"/>
  <c r="S96" i="78" s="1"/>
  <c r="S23" i="78"/>
  <c r="S60" i="78" s="1"/>
  <c r="S97" i="78" s="1"/>
  <c r="S24" i="78"/>
  <c r="S61" i="78" s="1"/>
  <c r="S98" i="78" s="1"/>
  <c r="S25" i="78"/>
  <c r="S62" i="78" s="1"/>
  <c r="S99" i="78" s="1"/>
  <c r="S26" i="78"/>
  <c r="S63" i="78" s="1"/>
  <c r="S100" i="78" s="1"/>
  <c r="S27" i="78"/>
  <c r="S64" i="78" s="1"/>
  <c r="S101" i="78" s="1"/>
  <c r="S28" i="78"/>
  <c r="S65" i="78" s="1"/>
  <c r="S102" i="78" s="1"/>
  <c r="S29" i="78"/>
  <c r="S66" i="78" s="1"/>
  <c r="S103" i="78" s="1"/>
  <c r="S30" i="78"/>
  <c r="S67" i="78" s="1"/>
  <c r="S104" i="78" s="1"/>
  <c r="S31" i="78"/>
  <c r="S68" i="78" s="1"/>
  <c r="S105" i="78" s="1"/>
  <c r="S32" i="78"/>
  <c r="S69" i="78" s="1"/>
  <c r="S106" i="78" s="1"/>
  <c r="T8" i="78"/>
  <c r="S8" i="78"/>
  <c r="S45" i="78" s="1"/>
  <c r="S82" i="78" s="1"/>
  <c r="F120" i="78"/>
  <c r="F121" i="78"/>
  <c r="F122" i="78"/>
  <c r="F123" i="78"/>
  <c r="F124" i="78"/>
  <c r="F125" i="78"/>
  <c r="F126" i="78"/>
  <c r="F127" i="78"/>
  <c r="F128" i="78"/>
  <c r="F129" i="78"/>
  <c r="F130" i="78"/>
  <c r="F131" i="78"/>
  <c r="F132" i="78"/>
  <c r="F133" i="78"/>
  <c r="F134" i="78"/>
  <c r="F135" i="78"/>
  <c r="F136" i="78"/>
  <c r="F137" i="78"/>
  <c r="F138" i="78"/>
  <c r="F139" i="78"/>
  <c r="F140" i="78"/>
  <c r="F141" i="78"/>
  <c r="F142" i="78"/>
  <c r="F143" i="78"/>
  <c r="F119" i="78"/>
  <c r="F117" i="78"/>
  <c r="H29" i="78"/>
  <c r="H66" i="78" s="1"/>
  <c r="H103" i="78" s="1"/>
  <c r="H82" i="78"/>
  <c r="H8" i="71"/>
  <c r="H9" i="71"/>
  <c r="H10" i="71"/>
  <c r="H11" i="71"/>
  <c r="H12" i="71"/>
  <c r="H13" i="71"/>
  <c r="H14" i="71"/>
  <c r="H15" i="71"/>
  <c r="H16" i="71"/>
  <c r="H17" i="71"/>
  <c r="H18" i="71"/>
  <c r="H19" i="71"/>
  <c r="H20" i="71"/>
  <c r="H21" i="71"/>
  <c r="H22" i="71"/>
  <c r="H23" i="71"/>
  <c r="H24" i="71"/>
  <c r="H25" i="71"/>
  <c r="H26" i="71"/>
  <c r="H27" i="71"/>
  <c r="H28" i="71"/>
  <c r="H29" i="71"/>
  <c r="H30" i="71"/>
  <c r="H31" i="71"/>
  <c r="H32" i="71"/>
  <c r="H46" i="78"/>
  <c r="H83" i="78" s="1"/>
  <c r="H10" i="78"/>
  <c r="H47" i="78" s="1"/>
  <c r="H84" i="78" s="1"/>
  <c r="H11" i="78"/>
  <c r="H48" i="78" s="1"/>
  <c r="H85" i="78" s="1"/>
  <c r="H12" i="78"/>
  <c r="H49" i="78" s="1"/>
  <c r="H86" i="78" s="1"/>
  <c r="H13" i="78"/>
  <c r="H50" i="78" s="1"/>
  <c r="H87" i="78" s="1"/>
  <c r="H14" i="78"/>
  <c r="H51" i="78" s="1"/>
  <c r="H88" i="78" s="1"/>
  <c r="H15" i="78"/>
  <c r="H52" i="78" s="1"/>
  <c r="H89" i="78" s="1"/>
  <c r="H16" i="78"/>
  <c r="H53" i="78" s="1"/>
  <c r="H90" i="78" s="1"/>
  <c r="H17" i="78"/>
  <c r="H54" i="78" s="1"/>
  <c r="H91" i="78" s="1"/>
  <c r="H18" i="78"/>
  <c r="H55" i="78" s="1"/>
  <c r="H92" i="78" s="1"/>
  <c r="H19" i="78"/>
  <c r="H56" i="78" s="1"/>
  <c r="H93" i="78" s="1"/>
  <c r="H20" i="78"/>
  <c r="H57" i="78" s="1"/>
  <c r="H94" i="78" s="1"/>
  <c r="H21" i="78"/>
  <c r="H58" i="78" s="1"/>
  <c r="H95" i="78" s="1"/>
  <c r="H22" i="78"/>
  <c r="H59" i="78" s="1"/>
  <c r="H96" i="78" s="1"/>
  <c r="H23" i="78"/>
  <c r="H60" i="78" s="1"/>
  <c r="H97" i="78" s="1"/>
  <c r="H24" i="78"/>
  <c r="H61" i="78" s="1"/>
  <c r="H98" i="78" s="1"/>
  <c r="H25" i="78"/>
  <c r="H62" i="78" s="1"/>
  <c r="H99" i="78" s="1"/>
  <c r="H26" i="78"/>
  <c r="H63" i="78" s="1"/>
  <c r="H100" i="78" s="1"/>
  <c r="H27" i="78"/>
  <c r="H64" i="78" s="1"/>
  <c r="H101" i="78" s="1"/>
  <c r="H28" i="78"/>
  <c r="H65" i="78" s="1"/>
  <c r="H102" i="78" s="1"/>
  <c r="H30" i="78"/>
  <c r="H67" i="78" s="1"/>
  <c r="H104" i="78" s="1"/>
  <c r="H31" i="78"/>
  <c r="H68" i="78" s="1"/>
  <c r="H105" i="78" s="1"/>
  <c r="H32" i="78"/>
  <c r="H69" i="78" s="1"/>
  <c r="H106" i="78" s="1"/>
  <c r="H4" i="78"/>
  <c r="BV41" i="78" s="1"/>
  <c r="M2" i="76"/>
  <c r="M5" i="76"/>
  <c r="N5" i="76"/>
  <c r="O5" i="76"/>
  <c r="P5" i="76"/>
  <c r="M9" i="76"/>
  <c r="N9" i="76"/>
  <c r="O9" i="76"/>
  <c r="P9" i="76"/>
  <c r="N15" i="76"/>
  <c r="O15" i="76"/>
  <c r="P15" i="76"/>
  <c r="M26" i="76"/>
  <c r="M37" i="76"/>
  <c r="N37" i="76"/>
  <c r="O37" i="76"/>
  <c r="P37" i="76"/>
  <c r="M41" i="76"/>
  <c r="N41" i="76"/>
  <c r="O41" i="76"/>
  <c r="P41" i="76"/>
  <c r="M45" i="76"/>
  <c r="N45" i="76"/>
  <c r="O45" i="76"/>
  <c r="P45" i="76"/>
  <c r="F120" i="71"/>
  <c r="N83" i="75" s="1"/>
  <c r="F121" i="71"/>
  <c r="N84" i="75" s="1"/>
  <c r="F122" i="71"/>
  <c r="N85" i="75" s="1"/>
  <c r="F123" i="71"/>
  <c r="N86" i="75" s="1"/>
  <c r="F124" i="71"/>
  <c r="N87" i="75" s="1"/>
  <c r="F125" i="71"/>
  <c r="N88" i="75" s="1"/>
  <c r="F126" i="71"/>
  <c r="N89" i="75" s="1"/>
  <c r="F127" i="71"/>
  <c r="N90" i="75" s="1"/>
  <c r="F128" i="71"/>
  <c r="N91" i="75" s="1"/>
  <c r="F129" i="71"/>
  <c r="N92" i="75" s="1"/>
  <c r="F130" i="71"/>
  <c r="N93" i="75" s="1"/>
  <c r="F131" i="71"/>
  <c r="N94" i="75" s="1"/>
  <c r="F132" i="71"/>
  <c r="N95" i="75" s="1"/>
  <c r="F133" i="71"/>
  <c r="N96" i="75" s="1"/>
  <c r="F134" i="71"/>
  <c r="N97" i="75" s="1"/>
  <c r="F135" i="71"/>
  <c r="N98" i="75" s="1"/>
  <c r="F136" i="71"/>
  <c r="N99" i="75" s="1"/>
  <c r="F137" i="71"/>
  <c r="N100" i="75" s="1"/>
  <c r="F138" i="71"/>
  <c r="N101" i="75" s="1"/>
  <c r="F139" i="71"/>
  <c r="N102" i="75" s="1"/>
  <c r="F140" i="71"/>
  <c r="N103" i="75" s="1"/>
  <c r="F141" i="71"/>
  <c r="N104" i="75" s="1"/>
  <c r="F142" i="71"/>
  <c r="N105" i="75" s="1"/>
  <c r="F143" i="71"/>
  <c r="N106" i="75" s="1"/>
  <c r="F119" i="71"/>
  <c r="N82" i="75" s="1"/>
  <c r="F117" i="71"/>
  <c r="F83" i="71"/>
  <c r="F84" i="71"/>
  <c r="F85" i="71"/>
  <c r="F86" i="71"/>
  <c r="F87" i="71"/>
  <c r="F88" i="71"/>
  <c r="F89" i="71"/>
  <c r="F90" i="71"/>
  <c r="F91" i="71"/>
  <c r="F92" i="71"/>
  <c r="F93" i="71"/>
  <c r="F94" i="71"/>
  <c r="F95" i="71"/>
  <c r="F96" i="71"/>
  <c r="F97" i="71"/>
  <c r="F98" i="71"/>
  <c r="F99" i="71"/>
  <c r="F100" i="71"/>
  <c r="F101" i="71"/>
  <c r="F102" i="71"/>
  <c r="F103" i="71"/>
  <c r="F104" i="71"/>
  <c r="F105" i="71"/>
  <c r="F106" i="71"/>
  <c r="F82" i="71"/>
  <c r="F80" i="71"/>
  <c r="BX24" i="78" l="1"/>
  <c r="BX61" i="78" s="1"/>
  <c r="BX98" i="78" s="1"/>
  <c r="CI17" i="78"/>
  <c r="CI54" i="78" s="1"/>
  <c r="CI91" i="78" s="1"/>
  <c r="CT8" i="78"/>
  <c r="CT45" i="78" s="1"/>
  <c r="CT82" i="78" s="1"/>
  <c r="CH91" i="78"/>
  <c r="CT26" i="78"/>
  <c r="CT63" i="78" s="1"/>
  <c r="CT100" i="78" s="1"/>
  <c r="AQ28" i="78"/>
  <c r="AQ65" i="78" s="1"/>
  <c r="AQ102" i="78" s="1"/>
  <c r="CS100" i="78"/>
  <c r="AP102" i="78"/>
  <c r="L85" i="49" a="1"/>
  <c r="L63" i="49" a="1"/>
  <c r="L96" i="49" a="1"/>
  <c r="L74" i="49" a="1"/>
  <c r="L107" i="49"/>
  <c r="L113" i="49"/>
  <c r="L114" i="49"/>
  <c r="L112" i="49"/>
  <c r="L111" i="49"/>
  <c r="L110" i="49"/>
  <c r="L109" i="49"/>
  <c r="L108" i="49"/>
  <c r="L115" i="49"/>
  <c r="CS35" i="78"/>
  <c r="CT35" i="78" s="1"/>
  <c r="BL35" i="78"/>
  <c r="BM35" i="78" s="1"/>
  <c r="CH82" i="78"/>
  <c r="CH35" i="78"/>
  <c r="CI35" i="78" s="1"/>
  <c r="CS45" i="78"/>
  <c r="T82" i="78"/>
  <c r="BW82" i="78"/>
  <c r="BW35" i="78"/>
  <c r="BX35" i="78" s="1"/>
  <c r="AE35" i="78"/>
  <c r="AF35" i="78" s="1"/>
  <c r="AP82" i="78"/>
  <c r="AP35" i="78"/>
  <c r="AQ35" i="78" s="1"/>
  <c r="BA45" i="78"/>
  <c r="BA35" i="78"/>
  <c r="BB35" i="78" s="1"/>
  <c r="F210" i="49"/>
  <c r="D236" i="49"/>
  <c r="F239" i="49"/>
  <c r="D265" i="49"/>
  <c r="F268" i="49"/>
  <c r="D294" i="49"/>
  <c r="D178" i="49"/>
  <c r="F181" i="49"/>
  <c r="D207" i="49"/>
  <c r="BL96" i="78"/>
  <c r="CS47" i="78"/>
  <c r="AQ20" i="78"/>
  <c r="AQ57" i="78" s="1"/>
  <c r="AQ94" i="78" s="1"/>
  <c r="AE56" i="78"/>
  <c r="CS106" i="78"/>
  <c r="CH83" i="78"/>
  <c r="BW62" i="78"/>
  <c r="H61" i="71"/>
  <c r="H98" i="71" s="1"/>
  <c r="P53" i="31"/>
  <c r="H49" i="71"/>
  <c r="H86" i="71" s="1"/>
  <c r="P41" i="31"/>
  <c r="H59" i="71"/>
  <c r="H96" i="71" s="1"/>
  <c r="P51" i="31"/>
  <c r="H47" i="71"/>
  <c r="H84" i="71" s="1"/>
  <c r="P39" i="31"/>
  <c r="H58" i="71"/>
  <c r="H95" i="71" s="1"/>
  <c r="P50" i="31"/>
  <c r="H46" i="71"/>
  <c r="H83" i="71" s="1"/>
  <c r="P38" i="31"/>
  <c r="H69" i="71"/>
  <c r="H106" i="71" s="1"/>
  <c r="P61" i="31"/>
  <c r="H57" i="71"/>
  <c r="H94" i="71" s="1"/>
  <c r="P49" i="31"/>
  <c r="H45" i="71"/>
  <c r="H82" i="71" s="1"/>
  <c r="P37" i="31"/>
  <c r="H48" i="71"/>
  <c r="H85" i="71" s="1"/>
  <c r="P40" i="31"/>
  <c r="H68" i="71"/>
  <c r="H105" i="71" s="1"/>
  <c r="P60" i="31"/>
  <c r="H56" i="71"/>
  <c r="H93" i="71" s="1"/>
  <c r="P48" i="31"/>
  <c r="H67" i="71"/>
  <c r="H104" i="71" s="1"/>
  <c r="P59" i="31"/>
  <c r="H55" i="71"/>
  <c r="H92" i="71" s="1"/>
  <c r="P47" i="31"/>
  <c r="H66" i="71"/>
  <c r="H103" i="71" s="1"/>
  <c r="P58" i="31"/>
  <c r="H54" i="71"/>
  <c r="H91" i="71" s="1"/>
  <c r="P46" i="31"/>
  <c r="H60" i="71"/>
  <c r="H97" i="71" s="1"/>
  <c r="P52" i="31"/>
  <c r="H65" i="71"/>
  <c r="H102" i="71" s="1"/>
  <c r="P57" i="31"/>
  <c r="H53" i="71"/>
  <c r="H90" i="71" s="1"/>
  <c r="P45" i="31"/>
  <c r="H64" i="71"/>
  <c r="H101" i="71" s="1"/>
  <c r="P56" i="31"/>
  <c r="H52" i="71"/>
  <c r="H89" i="71" s="1"/>
  <c r="P44" i="31"/>
  <c r="H63" i="71"/>
  <c r="H100" i="71" s="1"/>
  <c r="P55" i="31"/>
  <c r="H51" i="71"/>
  <c r="H88" i="71" s="1"/>
  <c r="P43" i="31"/>
  <c r="H62" i="71"/>
  <c r="H99" i="71" s="1"/>
  <c r="P54" i="31"/>
  <c r="H50" i="71"/>
  <c r="H87" i="71" s="1"/>
  <c r="P42" i="31"/>
  <c r="N26" i="76"/>
  <c r="P26" i="76"/>
  <c r="M22" i="76"/>
  <c r="M49" i="76" s="1"/>
  <c r="O26" i="76"/>
  <c r="CH84" i="78"/>
  <c r="CR45" i="78"/>
  <c r="CR82" i="78" s="1"/>
  <c r="BV78" i="78"/>
  <c r="AQ16" i="78"/>
  <c r="AQ53" i="78" s="1"/>
  <c r="AQ90" i="78" s="1"/>
  <c r="AF26" i="78"/>
  <c r="AF63" i="78" s="1"/>
  <c r="AF100" i="78" s="1"/>
  <c r="CI31" i="78"/>
  <c r="CI68" i="78" s="1"/>
  <c r="CI105" i="78" s="1"/>
  <c r="CT16" i="78"/>
  <c r="CT53" i="78" s="1"/>
  <c r="CT90" i="78" s="1"/>
  <c r="AF9" i="78"/>
  <c r="AF46" i="78" s="1"/>
  <c r="AF83" i="78" s="1"/>
  <c r="BX13" i="78"/>
  <c r="BX50" i="78" s="1"/>
  <c r="BX87" i="78" s="1"/>
  <c r="AZ78" i="78"/>
  <c r="CR63" i="78"/>
  <c r="CR100" i="78" s="1"/>
  <c r="CT24" i="78"/>
  <c r="CT61" i="78" s="1"/>
  <c r="CT98" i="78" s="1"/>
  <c r="AD41" i="78"/>
  <c r="CI26" i="78"/>
  <c r="CI63" i="78" s="1"/>
  <c r="CI100" i="78" s="1"/>
  <c r="CG41" i="78"/>
  <c r="CG78" i="78"/>
  <c r="BK41" i="78"/>
  <c r="CI21" i="78"/>
  <c r="CI58" i="78" s="1"/>
  <c r="CI95" i="78" s="1"/>
  <c r="BX10" i="78"/>
  <c r="BX47" i="78" s="1"/>
  <c r="BX84" i="78" s="1"/>
  <c r="AZ41" i="78"/>
  <c r="BK78" i="78"/>
  <c r="CG54" i="78"/>
  <c r="CG91" i="78" s="1"/>
  <c r="CR78" i="78"/>
  <c r="BB31" i="78"/>
  <c r="BB68" i="78" s="1"/>
  <c r="BB105" i="78" s="1"/>
  <c r="CR41" i="78"/>
  <c r="AD78" i="78"/>
  <c r="AO41" i="78"/>
  <c r="AO78" i="78"/>
  <c r="BX31" i="78"/>
  <c r="BX68" i="78" s="1"/>
  <c r="BX105" i="78" s="1"/>
  <c r="BX15" i="78"/>
  <c r="BX52" i="78" s="1"/>
  <c r="BX89" i="78" s="1"/>
  <c r="CS66" i="78"/>
  <c r="AP87" i="78"/>
  <c r="G207" i="49"/>
  <c r="CT10" i="78"/>
  <c r="CT47" i="78" s="1"/>
  <c r="CT84" i="78" s="1"/>
  <c r="BA84" i="78"/>
  <c r="BA82" i="78"/>
  <c r="BA63" i="78"/>
  <c r="I82" i="78"/>
  <c r="BA102" i="78"/>
  <c r="CH59" i="78"/>
  <c r="CS49" i="78"/>
  <c r="AP45" i="78"/>
  <c r="CH49" i="78"/>
  <c r="CH92" i="78"/>
  <c r="BW57" i="78"/>
  <c r="BA90" i="78"/>
  <c r="BW83" i="78"/>
  <c r="BW100" i="78"/>
  <c r="CI10" i="78"/>
  <c r="CI47" i="78" s="1"/>
  <c r="CI84" i="78" s="1"/>
  <c r="BA55" i="78"/>
  <c r="T45" i="78"/>
  <c r="AE84" i="78"/>
  <c r="AQ25" i="78"/>
  <c r="AQ62" i="78" s="1"/>
  <c r="AQ99" i="78" s="1"/>
  <c r="BL102" i="78"/>
  <c r="CS105" i="78"/>
  <c r="U8" i="78"/>
  <c r="U45" i="78" s="1"/>
  <c r="U82" i="78" s="1"/>
  <c r="AF10" i="78"/>
  <c r="AF47" i="78" s="1"/>
  <c r="AF84" i="78" s="1"/>
  <c r="BB18" i="78"/>
  <c r="BB55" i="78" s="1"/>
  <c r="BB92" i="78" s="1"/>
  <c r="G236" i="49"/>
  <c r="AP63" i="78"/>
  <c r="BB8" i="78"/>
  <c r="BB45" i="78" s="1"/>
  <c r="BB82" i="78" s="1"/>
  <c r="BL49" i="78"/>
  <c r="CI20" i="78"/>
  <c r="CI57" i="78" s="1"/>
  <c r="CI94" i="78" s="1"/>
  <c r="CS95" i="78"/>
  <c r="AQ26" i="78"/>
  <c r="AQ63" i="78" s="1"/>
  <c r="AQ100" i="78" s="1"/>
  <c r="BB9" i="78"/>
  <c r="BB46" i="78" s="1"/>
  <c r="BB83" i="78" s="1"/>
  <c r="BX19" i="78"/>
  <c r="BX56" i="78" s="1"/>
  <c r="BX93" i="78" s="1"/>
  <c r="CH65" i="78"/>
  <c r="AF18" i="78"/>
  <c r="AF55" i="78" s="1"/>
  <c r="AF92" i="78" s="1"/>
  <c r="CS90" i="78"/>
  <c r="F152" i="49"/>
  <c r="AE63" i="78"/>
  <c r="AE100" i="78"/>
  <c r="AP47" i="78"/>
  <c r="BA86" i="78"/>
  <c r="BL87" i="78"/>
  <c r="BL103" i="78"/>
  <c r="CS53" i="78"/>
  <c r="J82" i="78"/>
  <c r="G265" i="49"/>
  <c r="AQ10" i="78"/>
  <c r="AQ47" i="78" s="1"/>
  <c r="AQ84" i="78" s="1"/>
  <c r="BM12" i="78"/>
  <c r="BM49" i="78" s="1"/>
  <c r="BM86" i="78" s="1"/>
  <c r="BW86" i="78"/>
  <c r="BX32" i="78"/>
  <c r="BX69" i="78" s="1"/>
  <c r="BX106" i="78" s="1"/>
  <c r="CI25" i="78"/>
  <c r="CI62" i="78" s="1"/>
  <c r="CI99" i="78" s="1"/>
  <c r="AE92" i="78"/>
  <c r="G178" i="49"/>
  <c r="BB10" i="78"/>
  <c r="BB47" i="78" s="1"/>
  <c r="BB84" i="78" s="1"/>
  <c r="BA94" i="78"/>
  <c r="BW84" i="78"/>
  <c r="CI8" i="78"/>
  <c r="CI45" i="78" s="1"/>
  <c r="CI82" i="78" s="1"/>
  <c r="CT23" i="78"/>
  <c r="CT60" i="78" s="1"/>
  <c r="CT97" i="78" s="1"/>
  <c r="CS98" i="78"/>
  <c r="CS61" i="78"/>
  <c r="AQ18" i="78"/>
  <c r="AQ55" i="78" s="1"/>
  <c r="AQ92" i="78" s="1"/>
  <c r="AQ8" i="78"/>
  <c r="AQ45" i="78" s="1"/>
  <c r="AQ82" i="78" s="1"/>
  <c r="AQ13" i="78"/>
  <c r="AQ50" i="78" s="1"/>
  <c r="AQ87" i="78" s="1"/>
  <c r="AP103" i="78"/>
  <c r="BX16" i="78"/>
  <c r="BX53" i="78" s="1"/>
  <c r="BX90" i="78" s="1"/>
  <c r="BX28" i="78"/>
  <c r="BX65" i="78" s="1"/>
  <c r="BX102" i="78" s="1"/>
  <c r="CI9" i="78"/>
  <c r="CI46" i="78" s="1"/>
  <c r="CI83" i="78" s="1"/>
  <c r="CH105" i="78"/>
  <c r="CT18" i="78"/>
  <c r="CT55" i="78" s="1"/>
  <c r="CT92" i="78" s="1"/>
  <c r="CT31" i="78"/>
  <c r="CT68" i="78" s="1"/>
  <c r="CT105" i="78" s="1"/>
  <c r="AE48" i="78"/>
  <c r="AQ9" i="78"/>
  <c r="AQ46" i="78" s="1"/>
  <c r="AQ83" i="78" s="1"/>
  <c r="AP86" i="78"/>
  <c r="AP92" i="78"/>
  <c r="AQ23" i="78"/>
  <c r="AQ60" i="78" s="1"/>
  <c r="AQ97" i="78" s="1"/>
  <c r="AP60" i="78"/>
  <c r="BA50" i="78"/>
  <c r="BB32" i="78"/>
  <c r="BB69" i="78" s="1"/>
  <c r="BB106" i="78" s="1"/>
  <c r="BL83" i="78"/>
  <c r="BM20" i="78"/>
  <c r="BM57" i="78" s="1"/>
  <c r="BM94" i="78" s="1"/>
  <c r="BL99" i="78"/>
  <c r="BL51" i="78"/>
  <c r="BX12" i="78"/>
  <c r="BX49" i="78" s="1"/>
  <c r="BX86" i="78" s="1"/>
  <c r="BX17" i="78"/>
  <c r="BX54" i="78" s="1"/>
  <c r="BX91" i="78" s="1"/>
  <c r="BX26" i="78"/>
  <c r="BX63" i="78" s="1"/>
  <c r="BX100" i="78" s="1"/>
  <c r="CH88" i="78"/>
  <c r="CH104" i="78"/>
  <c r="CS89" i="78"/>
  <c r="BB24" i="78"/>
  <c r="BB61" i="78" s="1"/>
  <c r="BB98" i="78" s="1"/>
  <c r="BM17" i="78"/>
  <c r="BM54" i="78" s="1"/>
  <c r="BM91" i="78" s="1"/>
  <c r="BL54" i="78"/>
  <c r="BX23" i="78"/>
  <c r="BX60" i="78" s="1"/>
  <c r="BX97" i="78" s="1"/>
  <c r="BW60" i="78"/>
  <c r="BW68" i="78"/>
  <c r="CT17" i="78"/>
  <c r="CT54" i="78" s="1"/>
  <c r="CT91" i="78" s="1"/>
  <c r="AE104" i="78"/>
  <c r="AP105" i="78"/>
  <c r="BB25" i="78"/>
  <c r="BB62" i="78" s="1"/>
  <c r="BB99" i="78" s="1"/>
  <c r="BA68" i="78"/>
  <c r="BA95" i="78"/>
  <c r="BM22" i="78"/>
  <c r="BM59" i="78" s="1"/>
  <c r="BM96" i="78" s="1"/>
  <c r="BX9" i="78"/>
  <c r="BX46" i="78" s="1"/>
  <c r="BX83" i="78" s="1"/>
  <c r="BX18" i="78"/>
  <c r="BX55" i="78" s="1"/>
  <c r="BX92" i="78" s="1"/>
  <c r="BW102" i="78"/>
  <c r="BW89" i="78"/>
  <c r="BW105" i="78"/>
  <c r="CI27" i="78"/>
  <c r="CI64" i="78" s="1"/>
  <c r="CI101" i="78" s="1"/>
  <c r="CS60" i="78"/>
  <c r="CS82" i="78"/>
  <c r="BB16" i="78"/>
  <c r="BB53" i="78" s="1"/>
  <c r="BB90" i="78" s="1"/>
  <c r="AQ17" i="78"/>
  <c r="AQ54" i="78" s="1"/>
  <c r="AQ91" i="78" s="1"/>
  <c r="AP94" i="78"/>
  <c r="BB17" i="78"/>
  <c r="BB54" i="78" s="1"/>
  <c r="BB91" i="78" s="1"/>
  <c r="BB26" i="78"/>
  <c r="BB63" i="78" s="1"/>
  <c r="BB100" i="78" s="1"/>
  <c r="BA60" i="78"/>
  <c r="BM28" i="78"/>
  <c r="BM65" i="78" s="1"/>
  <c r="BM102" i="78" s="1"/>
  <c r="BL57" i="78"/>
  <c r="BX20" i="78"/>
  <c r="BX57" i="78" s="1"/>
  <c r="BX94" i="78" s="1"/>
  <c r="BX25" i="78"/>
  <c r="BX62" i="78" s="1"/>
  <c r="BX99" i="78" s="1"/>
  <c r="BW47" i="78"/>
  <c r="BW55" i="78"/>
  <c r="CI12" i="78"/>
  <c r="CI49" i="78" s="1"/>
  <c r="CI86" i="78" s="1"/>
  <c r="CI28" i="78"/>
  <c r="CI65" i="78" s="1"/>
  <c r="CI102" i="78" s="1"/>
  <c r="AE88" i="78"/>
  <c r="AQ31" i="78"/>
  <c r="AQ68" i="78" s="1"/>
  <c r="AQ105" i="78" s="1"/>
  <c r="CI18" i="78"/>
  <c r="CI55" i="78" s="1"/>
  <c r="CI92" i="78" s="1"/>
  <c r="CH63" i="78"/>
  <c r="AQ12" i="78"/>
  <c r="AQ49" i="78" s="1"/>
  <c r="AQ86" i="78" s="1"/>
  <c r="BA52" i="78"/>
  <c r="BM9" i="78"/>
  <c r="BM46" i="78" s="1"/>
  <c r="BM83" i="78" s="1"/>
  <c r="BM25" i="78"/>
  <c r="BM62" i="78" s="1"/>
  <c r="BM99" i="78" s="1"/>
  <c r="CI19" i="78"/>
  <c r="CI56" i="78" s="1"/>
  <c r="CI93" i="78" s="1"/>
  <c r="CT15" i="78"/>
  <c r="CT52" i="78" s="1"/>
  <c r="CT89" i="78" s="1"/>
  <c r="CT13" i="78"/>
  <c r="CT50" i="78" s="1"/>
  <c r="CT87" i="78" s="1"/>
  <c r="CT21" i="78"/>
  <c r="CT29" i="78"/>
  <c r="CT66" i="78" s="1"/>
  <c r="CT103" i="78" s="1"/>
  <c r="CS65" i="78"/>
  <c r="CT28" i="78"/>
  <c r="CT65" i="78" s="1"/>
  <c r="CT102" i="78" s="1"/>
  <c r="CT12" i="78"/>
  <c r="CT49" i="78" s="1"/>
  <c r="CT86" i="78" s="1"/>
  <c r="CS94" i="78"/>
  <c r="CT32" i="78"/>
  <c r="CT69" i="78" s="1"/>
  <c r="CT106" i="78" s="1"/>
  <c r="CS50" i="78"/>
  <c r="CT20" i="78"/>
  <c r="CT57" i="78" s="1"/>
  <c r="CT94" i="78" s="1"/>
  <c r="CI15" i="78"/>
  <c r="CI52" i="78" s="1"/>
  <c r="CI89" i="78" s="1"/>
  <c r="CI16" i="78"/>
  <c r="CI53" i="78" s="1"/>
  <c r="CI90" i="78" s="1"/>
  <c r="CI24" i="78"/>
  <c r="CI61" i="78" s="1"/>
  <c r="CI98" i="78" s="1"/>
  <c r="CH94" i="78"/>
  <c r="CH68" i="78"/>
  <c r="CH89" i="78"/>
  <c r="CH60" i="78"/>
  <c r="CI23" i="78"/>
  <c r="CI60" i="78" s="1"/>
  <c r="CI97" i="78" s="1"/>
  <c r="CI32" i="78"/>
  <c r="CI69" i="78" s="1"/>
  <c r="CI106" i="78" s="1"/>
  <c r="BW67" i="78"/>
  <c r="BW59" i="78"/>
  <c r="BW51" i="78"/>
  <c r="BM31" i="78"/>
  <c r="BM68" i="78" s="1"/>
  <c r="BM105" i="78" s="1"/>
  <c r="BM14" i="78"/>
  <c r="BM51" i="78" s="1"/>
  <c r="BM88" i="78" s="1"/>
  <c r="BM23" i="78"/>
  <c r="BM60" i="78" s="1"/>
  <c r="BM97" i="78" s="1"/>
  <c r="BL97" i="78"/>
  <c r="BL105" i="78"/>
  <c r="BM15" i="78"/>
  <c r="BM52" i="78" s="1"/>
  <c r="BM89" i="78" s="1"/>
  <c r="BL48" i="78"/>
  <c r="BL52" i="78"/>
  <c r="BA69" i="78"/>
  <c r="BB15" i="78"/>
  <c r="BB52" i="78" s="1"/>
  <c r="BB89" i="78" s="1"/>
  <c r="BB23" i="78"/>
  <c r="BB60" i="78" s="1"/>
  <c r="BB97" i="78" s="1"/>
  <c r="BA61" i="78"/>
  <c r="BB12" i="78"/>
  <c r="BB49" i="78" s="1"/>
  <c r="BB86" i="78" s="1"/>
  <c r="BB20" i="78"/>
  <c r="BB57" i="78" s="1"/>
  <c r="BB94" i="78" s="1"/>
  <c r="BB28" i="78"/>
  <c r="BB65" i="78" s="1"/>
  <c r="BB102" i="78" s="1"/>
  <c r="AQ32" i="78"/>
  <c r="AQ69" i="78" s="1"/>
  <c r="AQ106" i="78" s="1"/>
  <c r="AP90" i="78"/>
  <c r="AP58" i="78"/>
  <c r="AQ29" i="78"/>
  <c r="AQ66" i="78" s="1"/>
  <c r="AQ103" i="78" s="1"/>
  <c r="AP52" i="78"/>
  <c r="AP106" i="78"/>
  <c r="AQ24" i="78"/>
  <c r="AQ61" i="78" s="1"/>
  <c r="AQ98" i="78" s="1"/>
  <c r="AQ21" i="78"/>
  <c r="AQ58" i="78" s="1"/>
  <c r="AQ95" i="78" s="1"/>
  <c r="AP53" i="78"/>
  <c r="AP61" i="78"/>
  <c r="AQ15" i="78"/>
  <c r="AQ52" i="78" s="1"/>
  <c r="AQ89" i="78" s="1"/>
  <c r="AF30" i="78"/>
  <c r="AF67" i="78" s="1"/>
  <c r="AF104" i="78" s="1"/>
  <c r="AF15" i="78"/>
  <c r="AF52" i="78" s="1"/>
  <c r="AF89" i="78" s="1"/>
  <c r="AE52" i="78"/>
  <c r="AE60" i="78"/>
  <c r="AE68" i="78"/>
  <c r="AF23" i="78"/>
  <c r="AF60" i="78" s="1"/>
  <c r="AF97" i="78" s="1"/>
  <c r="AF31" i="78"/>
  <c r="AF68" i="78" s="1"/>
  <c r="AF105" i="78" s="1"/>
  <c r="AF12" i="78"/>
  <c r="AF49" i="78" s="1"/>
  <c r="AF86" i="78" s="1"/>
  <c r="AF20" i="78"/>
  <c r="AF57" i="78" s="1"/>
  <c r="AF94" i="78" s="1"/>
  <c r="AF28" i="78"/>
  <c r="AF65" i="78" s="1"/>
  <c r="AF102" i="78" s="1"/>
  <c r="AE96" i="78"/>
  <c r="AF14" i="78"/>
  <c r="AF51" i="78" s="1"/>
  <c r="AF88" i="78" s="1"/>
  <c r="AF22" i="78"/>
  <c r="AF59" i="78" s="1"/>
  <c r="AF96" i="78" s="1"/>
  <c r="CT19" i="78"/>
  <c r="CT56" i="78" s="1"/>
  <c r="CT93" i="78" s="1"/>
  <c r="CT14" i="78"/>
  <c r="CT51" i="78" s="1"/>
  <c r="CT88" i="78" s="1"/>
  <c r="CS85" i="78"/>
  <c r="CS93" i="78"/>
  <c r="CT9" i="78"/>
  <c r="CT46" i="78" s="1"/>
  <c r="CT83" i="78" s="1"/>
  <c r="CT25" i="78"/>
  <c r="CT62" i="78" s="1"/>
  <c r="CT99" i="78" s="1"/>
  <c r="CS96" i="78"/>
  <c r="CS104" i="78"/>
  <c r="CS51" i="78"/>
  <c r="CR54" i="78"/>
  <c r="CR91" i="78" s="1"/>
  <c r="CS46" i="78"/>
  <c r="CR49" i="78"/>
  <c r="CR86" i="78" s="1"/>
  <c r="CS54" i="78"/>
  <c r="CR57" i="78"/>
  <c r="CR94" i="78" s="1"/>
  <c r="CS62" i="78"/>
  <c r="CR65" i="78"/>
  <c r="CR102" i="78" s="1"/>
  <c r="CT11" i="78"/>
  <c r="CT48" i="78" s="1"/>
  <c r="CT85" i="78" s="1"/>
  <c r="CT27" i="78"/>
  <c r="CT64" i="78" s="1"/>
  <c r="CT101" i="78" s="1"/>
  <c r="CT22" i="78"/>
  <c r="CT59" i="78" s="1"/>
  <c r="CT96" i="78" s="1"/>
  <c r="CT30" i="78"/>
  <c r="CT67" i="78" s="1"/>
  <c r="CT104" i="78" s="1"/>
  <c r="CS101" i="78"/>
  <c r="CH95" i="78"/>
  <c r="CH90" i="78"/>
  <c r="CH98" i="78"/>
  <c r="CH106" i="78"/>
  <c r="CH85" i="78"/>
  <c r="CH93" i="78"/>
  <c r="CG45" i="78"/>
  <c r="CG82" i="78" s="1"/>
  <c r="CH50" i="78"/>
  <c r="CG53" i="78"/>
  <c r="CG90" i="78" s="1"/>
  <c r="CH58" i="78"/>
  <c r="CG61" i="78"/>
  <c r="CG98" i="78" s="1"/>
  <c r="CH66" i="78"/>
  <c r="CG69" i="78"/>
  <c r="CG106" i="78" s="1"/>
  <c r="CI13" i="78"/>
  <c r="CI50" i="78" s="1"/>
  <c r="CI87" i="78" s="1"/>
  <c r="CI29" i="78"/>
  <c r="CI66" i="78" s="1"/>
  <c r="CI103" i="78" s="1"/>
  <c r="CI11" i="78"/>
  <c r="CI48" i="78" s="1"/>
  <c r="CI85" i="78" s="1"/>
  <c r="CI22" i="78"/>
  <c r="CI59" i="78" s="1"/>
  <c r="CI96" i="78" s="1"/>
  <c r="CH45" i="78"/>
  <c r="CG56" i="78"/>
  <c r="CG93" i="78" s="1"/>
  <c r="CG64" i="78"/>
  <c r="CG101" i="78" s="1"/>
  <c r="CI14" i="78"/>
  <c r="CI51" i="78" s="1"/>
  <c r="CI88" i="78" s="1"/>
  <c r="CI30" i="78"/>
  <c r="CI67" i="78" s="1"/>
  <c r="CI104" i="78" s="1"/>
  <c r="CH101" i="78"/>
  <c r="BX21" i="78"/>
  <c r="BX58" i="78" s="1"/>
  <c r="BX95" i="78" s="1"/>
  <c r="BX29" i="78"/>
  <c r="BX66" i="78" s="1"/>
  <c r="BX103" i="78" s="1"/>
  <c r="BX8" i="78"/>
  <c r="BX45" i="78" s="1"/>
  <c r="BX82" i="78" s="1"/>
  <c r="BW87" i="78"/>
  <c r="BW103" i="78"/>
  <c r="BX30" i="78"/>
  <c r="BX67" i="78" s="1"/>
  <c r="BX104" i="78" s="1"/>
  <c r="BW93" i="78"/>
  <c r="BW50" i="78"/>
  <c r="BV53" i="78"/>
  <c r="BV90" i="78" s="1"/>
  <c r="BW58" i="78"/>
  <c r="BV61" i="78"/>
  <c r="BV98" i="78" s="1"/>
  <c r="BV69" i="78"/>
  <c r="BV106" i="78" s="1"/>
  <c r="BX11" i="78"/>
  <c r="BX48" i="78" s="1"/>
  <c r="BX85" i="78" s="1"/>
  <c r="BX27" i="78"/>
  <c r="BX64" i="78" s="1"/>
  <c r="BX101" i="78" s="1"/>
  <c r="BW90" i="78"/>
  <c r="BW98" i="78"/>
  <c r="BW106" i="78"/>
  <c r="BX14" i="78"/>
  <c r="BX51" i="78" s="1"/>
  <c r="BX88" i="78" s="1"/>
  <c r="BX22" i="78"/>
  <c r="BX59" i="78" s="1"/>
  <c r="BX96" i="78" s="1"/>
  <c r="BW45" i="78"/>
  <c r="BV56" i="78"/>
  <c r="BV93" i="78" s="1"/>
  <c r="BW85" i="78"/>
  <c r="BW101" i="78"/>
  <c r="BL61" i="78"/>
  <c r="BL98" i="78"/>
  <c r="BK46" i="78"/>
  <c r="BK83" i="78" s="1"/>
  <c r="BM18" i="78"/>
  <c r="BM55" i="78" s="1"/>
  <c r="BM92" i="78" s="1"/>
  <c r="BL92" i="78"/>
  <c r="BL56" i="78"/>
  <c r="BM10" i="78"/>
  <c r="BM47" i="78" s="1"/>
  <c r="BM84" i="78" s="1"/>
  <c r="BM13" i="78"/>
  <c r="BM50" i="78" s="1"/>
  <c r="BM87" i="78" s="1"/>
  <c r="BM16" i="78"/>
  <c r="BM53" i="78" s="1"/>
  <c r="BM90" i="78" s="1"/>
  <c r="BM19" i="78"/>
  <c r="BM56" i="78" s="1"/>
  <c r="BM93" i="78" s="1"/>
  <c r="BL69" i="78"/>
  <c r="BL106" i="78"/>
  <c r="BK62" i="78"/>
  <c r="BK99" i="78" s="1"/>
  <c r="BL84" i="78"/>
  <c r="BL100" i="78"/>
  <c r="BL45" i="78"/>
  <c r="BL82" i="78"/>
  <c r="BM26" i="78"/>
  <c r="BM63" i="78" s="1"/>
  <c r="BM100" i="78" s="1"/>
  <c r="BM29" i="78"/>
  <c r="BM66" i="78" s="1"/>
  <c r="BM103" i="78" s="1"/>
  <c r="BM32" i="78"/>
  <c r="BM69" i="78" s="1"/>
  <c r="BM106" i="78" s="1"/>
  <c r="BL67" i="78"/>
  <c r="BL95" i="78"/>
  <c r="BM21" i="78"/>
  <c r="BM58" i="78" s="1"/>
  <c r="BM95" i="78" s="1"/>
  <c r="BM24" i="78"/>
  <c r="BM61" i="78" s="1"/>
  <c r="BM98" i="78" s="1"/>
  <c r="BM27" i="78"/>
  <c r="BM64" i="78" s="1"/>
  <c r="BM101" i="78" s="1"/>
  <c r="BL64" i="78"/>
  <c r="BL53" i="78"/>
  <c r="BL90" i="78"/>
  <c r="BM8" i="78"/>
  <c r="BM45" i="78" s="1"/>
  <c r="BM82" i="78" s="1"/>
  <c r="BM11" i="78"/>
  <c r="BM48" i="78" s="1"/>
  <c r="BM85" i="78" s="1"/>
  <c r="BM30" i="78"/>
  <c r="BM67" i="78" s="1"/>
  <c r="BM104" i="78" s="1"/>
  <c r="BK54" i="78"/>
  <c r="BK91" i="78" s="1"/>
  <c r="BK59" i="78"/>
  <c r="BK96" i="78" s="1"/>
  <c r="BB11" i="78"/>
  <c r="BB48" i="78" s="1"/>
  <c r="BB85" i="78" s="1"/>
  <c r="BB19" i="78"/>
  <c r="BB56" i="78" s="1"/>
  <c r="BB93" i="78" s="1"/>
  <c r="AZ46" i="78"/>
  <c r="AZ83" i="78" s="1"/>
  <c r="BA51" i="78"/>
  <c r="AZ54" i="78"/>
  <c r="AZ91" i="78" s="1"/>
  <c r="BA59" i="78"/>
  <c r="AZ62" i="78"/>
  <c r="AZ99" i="78" s="1"/>
  <c r="BA67" i="78"/>
  <c r="BA105" i="78"/>
  <c r="BB13" i="78"/>
  <c r="BB50" i="78" s="1"/>
  <c r="BB87" i="78" s="1"/>
  <c r="BB21" i="78"/>
  <c r="BB58" i="78" s="1"/>
  <c r="BB95" i="78" s="1"/>
  <c r="BB29" i="78"/>
  <c r="BB66" i="78" s="1"/>
  <c r="BB103" i="78" s="1"/>
  <c r="BA46" i="78"/>
  <c r="AZ49" i="78"/>
  <c r="AZ86" i="78" s="1"/>
  <c r="BA54" i="78"/>
  <c r="AZ57" i="78"/>
  <c r="AZ94" i="78" s="1"/>
  <c r="BA62" i="78"/>
  <c r="AZ65" i="78"/>
  <c r="AZ102" i="78" s="1"/>
  <c r="BB14" i="78"/>
  <c r="BB51" i="78" s="1"/>
  <c r="BB88" i="78" s="1"/>
  <c r="BB22" i="78"/>
  <c r="BB59" i="78" s="1"/>
  <c r="BB96" i="78" s="1"/>
  <c r="BB30" i="78"/>
  <c r="BB67" i="78" s="1"/>
  <c r="BB104" i="78" s="1"/>
  <c r="BA85" i="78"/>
  <c r="BA93" i="78"/>
  <c r="BA101" i="78"/>
  <c r="BB27" i="78"/>
  <c r="BB64" i="78" s="1"/>
  <c r="BB101" i="78" s="1"/>
  <c r="AP101" i="78"/>
  <c r="AO46" i="78"/>
  <c r="AO83" i="78" s="1"/>
  <c r="AP51" i="78"/>
  <c r="AO54" i="78"/>
  <c r="AO91" i="78" s="1"/>
  <c r="AP59" i="78"/>
  <c r="AO62" i="78"/>
  <c r="AO99" i="78" s="1"/>
  <c r="AP67" i="78"/>
  <c r="AP46" i="78"/>
  <c r="AO49" i="78"/>
  <c r="AO86" i="78" s="1"/>
  <c r="AP54" i="78"/>
  <c r="AO57" i="78"/>
  <c r="AO94" i="78" s="1"/>
  <c r="AP62" i="78"/>
  <c r="AO65" i="78"/>
  <c r="AO102" i="78" s="1"/>
  <c r="AQ11" i="78"/>
  <c r="AQ48" i="78" s="1"/>
  <c r="AQ85" i="78" s="1"/>
  <c r="AQ14" i="78"/>
  <c r="AQ51" i="78" s="1"/>
  <c r="AQ88" i="78" s="1"/>
  <c r="AQ30" i="78"/>
  <c r="AQ67" i="78" s="1"/>
  <c r="AQ104" i="78" s="1"/>
  <c r="AQ19" i="78"/>
  <c r="AQ56" i="78" s="1"/>
  <c r="AQ93" i="78" s="1"/>
  <c r="AQ27" i="78"/>
  <c r="AQ64" i="78" s="1"/>
  <c r="AQ101" i="78" s="1"/>
  <c r="AQ22" i="78"/>
  <c r="AQ59" i="78" s="1"/>
  <c r="AQ96" i="78" s="1"/>
  <c r="AP85" i="78"/>
  <c r="AP93" i="78"/>
  <c r="AF13" i="78"/>
  <c r="AF50" i="78" s="1"/>
  <c r="AF87" i="78" s="1"/>
  <c r="AF21" i="78"/>
  <c r="AF58" i="78" s="1"/>
  <c r="AF95" i="78" s="1"/>
  <c r="AF29" i="78"/>
  <c r="AF66" i="78" s="1"/>
  <c r="AF103" i="78" s="1"/>
  <c r="AE46" i="78"/>
  <c r="AD49" i="78"/>
  <c r="AD86" i="78" s="1"/>
  <c r="AE54" i="78"/>
  <c r="AD57" i="78"/>
  <c r="AD94" i="78" s="1"/>
  <c r="AE62" i="78"/>
  <c r="AD65" i="78"/>
  <c r="AD102" i="78" s="1"/>
  <c r="AF8" i="78"/>
  <c r="AF45" i="78" s="1"/>
  <c r="AF82" i="78" s="1"/>
  <c r="AF16" i="78"/>
  <c r="AF53" i="78" s="1"/>
  <c r="AF90" i="78" s="1"/>
  <c r="AF24" i="78"/>
  <c r="AF61" i="78" s="1"/>
  <c r="AF98" i="78" s="1"/>
  <c r="AF32" i="78"/>
  <c r="AF69" i="78" s="1"/>
  <c r="AF106" i="78" s="1"/>
  <c r="AE49" i="78"/>
  <c r="AD52" i="78"/>
  <c r="AD89" i="78" s="1"/>
  <c r="AE57" i="78"/>
  <c r="AD60" i="78"/>
  <c r="AD97" i="78" s="1"/>
  <c r="AE65" i="78"/>
  <c r="AD68" i="78"/>
  <c r="AD105" i="78" s="1"/>
  <c r="AE87" i="78"/>
  <c r="AE95" i="78"/>
  <c r="AE103" i="78"/>
  <c r="AF11" i="78"/>
  <c r="AF48" i="78" s="1"/>
  <c r="AF85" i="78" s="1"/>
  <c r="AF19" i="78"/>
  <c r="AF56" i="78" s="1"/>
  <c r="AF93" i="78" s="1"/>
  <c r="AF27" i="78"/>
  <c r="AF64" i="78" s="1"/>
  <c r="AF101" i="78" s="1"/>
  <c r="AE82" i="78"/>
  <c r="AE90" i="78"/>
  <c r="AE98" i="78"/>
  <c r="AE106" i="78"/>
  <c r="AF17" i="78"/>
  <c r="AF54" i="78" s="1"/>
  <c r="AF91" i="78" s="1"/>
  <c r="AF25" i="78"/>
  <c r="AF62" i="78" s="1"/>
  <c r="AF99" i="78" s="1"/>
  <c r="AE45" i="78"/>
  <c r="AE83" i="78"/>
  <c r="F269" i="49"/>
  <c r="F211" i="49"/>
  <c r="F182" i="49"/>
  <c r="F153" i="49"/>
  <c r="N63" i="49" l="1" a="1"/>
  <c r="N63" i="49" s="1"/>
  <c r="F294" i="49"/>
  <c r="N107" i="49" a="1"/>
  <c r="F265" i="49"/>
  <c r="N96" i="49" a="1"/>
  <c r="N85" i="49" a="1"/>
  <c r="L75" i="49"/>
  <c r="L74" i="49"/>
  <c r="L78" i="49"/>
  <c r="L81" i="49"/>
  <c r="L82" i="49"/>
  <c r="L79" i="49"/>
  <c r="L77" i="49"/>
  <c r="L80" i="49"/>
  <c r="L76" i="49"/>
  <c r="N74" i="49" a="1"/>
  <c r="L96" i="49"/>
  <c r="L101" i="49"/>
  <c r="L103" i="49"/>
  <c r="L97" i="49"/>
  <c r="L102" i="49"/>
  <c r="L100" i="49"/>
  <c r="L98" i="49"/>
  <c r="L104" i="49"/>
  <c r="L99" i="49"/>
  <c r="L63" i="49"/>
  <c r="L69" i="49"/>
  <c r="L70" i="49"/>
  <c r="L67" i="49"/>
  <c r="L66" i="49"/>
  <c r="L65" i="49"/>
  <c r="L71" i="49"/>
  <c r="L68" i="49"/>
  <c r="L64" i="49"/>
  <c r="L85" i="49"/>
  <c r="L92" i="49"/>
  <c r="L86" i="49"/>
  <c r="L93" i="49"/>
  <c r="L91" i="49"/>
  <c r="L87" i="49"/>
  <c r="L90" i="49"/>
  <c r="L89" i="49"/>
  <c r="L88" i="49"/>
  <c r="M82" i="76"/>
  <c r="M79" i="76"/>
  <c r="F178" i="49"/>
  <c r="F207" i="49"/>
  <c r="F236" i="49"/>
  <c r="P22" i="76"/>
  <c r="O22" i="76"/>
  <c r="N22" i="76"/>
  <c r="CT58" i="78"/>
  <c r="CT95" i="78" s="1"/>
  <c r="H4" i="71"/>
  <c r="M2" i="21"/>
  <c r="M11" i="21"/>
  <c r="N11" i="21"/>
  <c r="O11" i="21"/>
  <c r="P11" i="21"/>
  <c r="M18" i="21"/>
  <c r="N18" i="21"/>
  <c r="O18" i="21"/>
  <c r="P18" i="21"/>
  <c r="N33" i="21"/>
  <c r="O33" i="21"/>
  <c r="P33" i="21"/>
  <c r="G127" i="49"/>
  <c r="A122" i="49"/>
  <c r="G147" i="49"/>
  <c r="D147" i="49"/>
  <c r="F147" i="49" s="1"/>
  <c r="G146" i="49"/>
  <c r="D146" i="49"/>
  <c r="F146" i="49" s="1"/>
  <c r="G145" i="49"/>
  <c r="D145" i="49"/>
  <c r="F145" i="49" s="1"/>
  <c r="G144" i="49"/>
  <c r="D144" i="49"/>
  <c r="F144" i="49" s="1"/>
  <c r="G143" i="49"/>
  <c r="D143" i="49"/>
  <c r="F143" i="49" s="1"/>
  <c r="G142" i="49"/>
  <c r="D142" i="49"/>
  <c r="F142" i="49" s="1"/>
  <c r="G141" i="49"/>
  <c r="D141" i="49"/>
  <c r="F141" i="49" s="1"/>
  <c r="G140" i="49"/>
  <c r="D140" i="49"/>
  <c r="F140" i="49" s="1"/>
  <c r="G139" i="49"/>
  <c r="D139" i="49"/>
  <c r="F139" i="49" s="1"/>
  <c r="G138" i="49"/>
  <c r="D138" i="49"/>
  <c r="F138" i="49" s="1"/>
  <c r="G137" i="49"/>
  <c r="D137" i="49"/>
  <c r="F137" i="49" s="1"/>
  <c r="G136" i="49"/>
  <c r="D136" i="49"/>
  <c r="F136" i="49" s="1"/>
  <c r="G135" i="49"/>
  <c r="D135" i="49"/>
  <c r="F135" i="49" s="1"/>
  <c r="G134" i="49"/>
  <c r="D134" i="49"/>
  <c r="F134" i="49" s="1"/>
  <c r="G133" i="49"/>
  <c r="D133" i="49"/>
  <c r="F133" i="49" s="1"/>
  <c r="G132" i="49"/>
  <c r="D132" i="49"/>
  <c r="F132" i="49" s="1"/>
  <c r="G131" i="49"/>
  <c r="D131" i="49"/>
  <c r="F131" i="49" s="1"/>
  <c r="G130" i="49"/>
  <c r="D130" i="49"/>
  <c r="F130" i="49" s="1"/>
  <c r="G129" i="49"/>
  <c r="D129" i="49"/>
  <c r="F129" i="49" s="1"/>
  <c r="G128" i="49"/>
  <c r="D128" i="49"/>
  <c r="F128" i="49" s="1"/>
  <c r="D127" i="49"/>
  <c r="F127" i="49" s="1"/>
  <c r="G126" i="49"/>
  <c r="D126" i="49"/>
  <c r="F126" i="49" s="1"/>
  <c r="G125" i="49"/>
  <c r="D125" i="49"/>
  <c r="F125" i="49" s="1"/>
  <c r="G124" i="49"/>
  <c r="D124" i="49"/>
  <c r="F124" i="49" s="1"/>
  <c r="G123" i="49"/>
  <c r="D123" i="49"/>
  <c r="I7" i="49"/>
  <c r="N69" i="49" l="1"/>
  <c r="N71" i="49"/>
  <c r="N64" i="49"/>
  <c r="N65" i="49"/>
  <c r="N66" i="49"/>
  <c r="N67" i="49"/>
  <c r="N68" i="49"/>
  <c r="N70" i="49"/>
  <c r="N74" i="49"/>
  <c r="N81" i="49"/>
  <c r="N76" i="49"/>
  <c r="N75" i="49"/>
  <c r="N82" i="49"/>
  <c r="N80" i="49"/>
  <c r="N79" i="49"/>
  <c r="N77" i="49"/>
  <c r="N78" i="49"/>
  <c r="N85" i="49"/>
  <c r="N91" i="49"/>
  <c r="N90" i="49"/>
  <c r="N88" i="49"/>
  <c r="N87" i="49"/>
  <c r="N89" i="49"/>
  <c r="N86" i="49"/>
  <c r="N93" i="49"/>
  <c r="N92" i="49"/>
  <c r="N99" i="49"/>
  <c r="N96" i="49"/>
  <c r="N97" i="49"/>
  <c r="N98" i="49"/>
  <c r="N101" i="49"/>
  <c r="N103" i="49"/>
  <c r="N104" i="49"/>
  <c r="N102" i="49"/>
  <c r="N100" i="49"/>
  <c r="L52" i="49" a="1"/>
  <c r="N107" i="49"/>
  <c r="N114" i="49"/>
  <c r="N115" i="49"/>
  <c r="N113" i="49"/>
  <c r="N112" i="49"/>
  <c r="N111" i="49"/>
  <c r="N110" i="49"/>
  <c r="N108" i="49"/>
  <c r="N109" i="49"/>
  <c r="M86" i="76"/>
  <c r="F123" i="49"/>
  <c r="D149" i="49"/>
  <c r="S78" i="71"/>
  <c r="AD78" i="71"/>
  <c r="AD41" i="71"/>
  <c r="S41" i="71"/>
  <c r="N49" i="76"/>
  <c r="N82" i="76" s="1"/>
  <c r="M53" i="76"/>
  <c r="M58" i="76"/>
  <c r="M63" i="76"/>
  <c r="M67" i="76"/>
  <c r="M77" i="76"/>
  <c r="M89" i="76"/>
  <c r="M94" i="76"/>
  <c r="M57" i="76"/>
  <c r="M66" i="76"/>
  <c r="M71" i="76"/>
  <c r="M76" i="76"/>
  <c r="M60" i="76"/>
  <c r="M65" i="76"/>
  <c r="M70" i="76"/>
  <c r="M75" i="76"/>
  <c r="M80" i="76"/>
  <c r="M74" i="76"/>
  <c r="M85" i="76"/>
  <c r="M54" i="76"/>
  <c r="M59" i="76"/>
  <c r="M64" i="76"/>
  <c r="M96" i="76"/>
  <c r="M93" i="76"/>
  <c r="M81" i="76"/>
  <c r="M90" i="76"/>
  <c r="M62" i="76"/>
  <c r="M92" i="76"/>
  <c r="M84" i="76"/>
  <c r="M52" i="76"/>
  <c r="M56" i="76"/>
  <c r="M88" i="76"/>
  <c r="M73" i="76"/>
  <c r="P49" i="76"/>
  <c r="P82" i="76" s="1"/>
  <c r="O49" i="76"/>
  <c r="O82" i="76" s="1"/>
  <c r="M69" i="76"/>
  <c r="M38" i="21"/>
  <c r="P38" i="21"/>
  <c r="N38" i="21"/>
  <c r="O38" i="21"/>
  <c r="G149" i="49"/>
  <c r="F149" i="49" l="1"/>
  <c r="N52" i="49" a="1"/>
  <c r="L52" i="49"/>
  <c r="L59" i="49"/>
  <c r="L58" i="49"/>
  <c r="L57" i="49"/>
  <c r="L55" i="49"/>
  <c r="L56" i="49"/>
  <c r="L54" i="49"/>
  <c r="L53" i="49"/>
  <c r="L60" i="49"/>
  <c r="O53" i="76"/>
  <c r="O63" i="76"/>
  <c r="O67" i="76"/>
  <c r="O77" i="76"/>
  <c r="O58" i="76"/>
  <c r="O71" i="76"/>
  <c r="O76" i="76"/>
  <c r="O57" i="76"/>
  <c r="O66" i="76"/>
  <c r="O81" i="76"/>
  <c r="O60" i="76"/>
  <c r="O65" i="76"/>
  <c r="O70" i="76"/>
  <c r="O75" i="76"/>
  <c r="O80" i="76"/>
  <c r="O86" i="76"/>
  <c r="O54" i="76"/>
  <c r="O59" i="76"/>
  <c r="O64" i="76"/>
  <c r="O96" i="76"/>
  <c r="O90" i="76"/>
  <c r="O74" i="76"/>
  <c r="O94" i="76"/>
  <c r="O93" i="76"/>
  <c r="O89" i="76"/>
  <c r="O85" i="76"/>
  <c r="O52" i="76"/>
  <c r="O84" i="76"/>
  <c r="O88" i="76"/>
  <c r="O56" i="76"/>
  <c r="O79" i="76"/>
  <c r="O92" i="76"/>
  <c r="O62" i="76"/>
  <c r="O73" i="76"/>
  <c r="O69" i="76"/>
  <c r="P54" i="76"/>
  <c r="P59" i="76"/>
  <c r="P64" i="76"/>
  <c r="P74" i="76"/>
  <c r="P85" i="76"/>
  <c r="P90" i="76"/>
  <c r="P96" i="76"/>
  <c r="P53" i="76"/>
  <c r="P58" i="76"/>
  <c r="P63" i="76"/>
  <c r="P67" i="76"/>
  <c r="P77" i="76"/>
  <c r="P57" i="76"/>
  <c r="P66" i="76"/>
  <c r="P71" i="76"/>
  <c r="P76" i="76"/>
  <c r="P81" i="76"/>
  <c r="P93" i="76"/>
  <c r="P86" i="76"/>
  <c r="P60" i="76"/>
  <c r="P65" i="76"/>
  <c r="P70" i="76"/>
  <c r="P75" i="76"/>
  <c r="P80" i="76"/>
  <c r="P94" i="76"/>
  <c r="P89" i="76"/>
  <c r="P92" i="76"/>
  <c r="P62" i="76"/>
  <c r="P52" i="76"/>
  <c r="P56" i="76"/>
  <c r="P79" i="76"/>
  <c r="P88" i="76"/>
  <c r="P84" i="76"/>
  <c r="P73" i="76"/>
  <c r="N53" i="76"/>
  <c r="N58" i="76"/>
  <c r="N63" i="76"/>
  <c r="N67" i="76"/>
  <c r="N77" i="76"/>
  <c r="N89" i="76"/>
  <c r="N94" i="76"/>
  <c r="N57" i="76"/>
  <c r="N66" i="76"/>
  <c r="N71" i="76"/>
  <c r="N76" i="76"/>
  <c r="N81" i="76"/>
  <c r="N93" i="76"/>
  <c r="N60" i="76"/>
  <c r="N65" i="76"/>
  <c r="N70" i="76"/>
  <c r="N75" i="76"/>
  <c r="N80" i="76"/>
  <c r="N86" i="76"/>
  <c r="N54" i="76"/>
  <c r="N59" i="76"/>
  <c r="N64" i="76"/>
  <c r="N74" i="76"/>
  <c r="N85" i="76"/>
  <c r="N90" i="76"/>
  <c r="N96" i="76"/>
  <c r="N92" i="76"/>
  <c r="N79" i="76"/>
  <c r="N84" i="76"/>
  <c r="N52" i="76"/>
  <c r="N56" i="76"/>
  <c r="N88" i="76"/>
  <c r="N62" i="76"/>
  <c r="N73" i="76"/>
  <c r="P69" i="76"/>
  <c r="N69" i="76"/>
  <c r="I13" i="49"/>
  <c r="I24" i="49" s="1"/>
  <c r="I35" i="49" s="1"/>
  <c r="I46" i="49" s="1"/>
  <c r="I57" i="49" s="1"/>
  <c r="I68" i="49" s="1"/>
  <c r="I79" i="49" s="1"/>
  <c r="I90" i="49" s="1"/>
  <c r="I101" i="49" s="1"/>
  <c r="I112" i="49" s="1"/>
  <c r="I14" i="49"/>
  <c r="I25" i="49" s="1"/>
  <c r="I36" i="49" s="1"/>
  <c r="I47" i="49" s="1"/>
  <c r="I58" i="49" s="1"/>
  <c r="I69" i="49" s="1"/>
  <c r="I80" i="49" s="1"/>
  <c r="I91" i="49" s="1"/>
  <c r="I102" i="49" s="1"/>
  <c r="I113" i="49" s="1"/>
  <c r="I15" i="49"/>
  <c r="I26" i="49" s="1"/>
  <c r="I37" i="49" s="1"/>
  <c r="I48" i="49" s="1"/>
  <c r="I59" i="49" s="1"/>
  <c r="I70" i="49" s="1"/>
  <c r="I81" i="49" s="1"/>
  <c r="I92" i="49" s="1"/>
  <c r="I103" i="49" s="1"/>
  <c r="I114" i="49" s="1"/>
  <c r="I16" i="49"/>
  <c r="I27" i="49" s="1"/>
  <c r="I38" i="49" s="1"/>
  <c r="I49" i="49" s="1"/>
  <c r="I60" i="49" s="1"/>
  <c r="I71" i="49" s="1"/>
  <c r="I82" i="49" s="1"/>
  <c r="I93" i="49" s="1"/>
  <c r="I104" i="49" s="1"/>
  <c r="I115" i="49" s="1"/>
  <c r="I9" i="49"/>
  <c r="I10" i="49"/>
  <c r="I11" i="49"/>
  <c r="I12" i="49"/>
  <c r="I8" i="49"/>
  <c r="B82" i="78"/>
  <c r="A8" i="49"/>
  <c r="A9" i="49"/>
  <c r="A10" i="49"/>
  <c r="A11" i="49"/>
  <c r="A12" i="49"/>
  <c r="A13" i="49"/>
  <c r="A14" i="49"/>
  <c r="A15" i="49"/>
  <c r="A16" i="49"/>
  <c r="A17" i="49"/>
  <c r="A18" i="49"/>
  <c r="A19" i="49"/>
  <c r="A20" i="49"/>
  <c r="A21" i="49"/>
  <c r="A22" i="49"/>
  <c r="A23" i="49"/>
  <c r="A24" i="49"/>
  <c r="A25" i="49"/>
  <c r="A26" i="49"/>
  <c r="A27" i="49"/>
  <c r="A28" i="49"/>
  <c r="A29" i="49"/>
  <c r="A30" i="49"/>
  <c r="A31" i="49"/>
  <c r="A7" i="49"/>
  <c r="CO143" i="78"/>
  <c r="CN143" i="78"/>
  <c r="CM143" i="78"/>
  <c r="CL143" i="78"/>
  <c r="CO142" i="78"/>
  <c r="CN142" i="78"/>
  <c r="CM142" i="78"/>
  <c r="CL142" i="78"/>
  <c r="CO141" i="78"/>
  <c r="CN141" i="78"/>
  <c r="CM141" i="78"/>
  <c r="CL141" i="78"/>
  <c r="CO140" i="78"/>
  <c r="CN140" i="78"/>
  <c r="CM140" i="78"/>
  <c r="CL140" i="78"/>
  <c r="CO139" i="78"/>
  <c r="CN139" i="78"/>
  <c r="CM139" i="78"/>
  <c r="CL139" i="78"/>
  <c r="CO138" i="78"/>
  <c r="CN138" i="78"/>
  <c r="CM138" i="78"/>
  <c r="CL138" i="78"/>
  <c r="CO137" i="78"/>
  <c r="CN137" i="78"/>
  <c r="CM137" i="78"/>
  <c r="CL137" i="78"/>
  <c r="CO136" i="78"/>
  <c r="CN136" i="78"/>
  <c r="CM136" i="78"/>
  <c r="CL136" i="78"/>
  <c r="CO135" i="78"/>
  <c r="CN135" i="78"/>
  <c r="CM135" i="78"/>
  <c r="CL135" i="78"/>
  <c r="CO134" i="78"/>
  <c r="CN134" i="78"/>
  <c r="CM134" i="78"/>
  <c r="CL134" i="78"/>
  <c r="CO133" i="78"/>
  <c r="CN133" i="78"/>
  <c r="CM133" i="78"/>
  <c r="CL133" i="78"/>
  <c r="CO132" i="78"/>
  <c r="CN132" i="78"/>
  <c r="CM132" i="78"/>
  <c r="CL132" i="78"/>
  <c r="CO131" i="78"/>
  <c r="CN131" i="78"/>
  <c r="CM131" i="78"/>
  <c r="CL131" i="78"/>
  <c r="CO130" i="78"/>
  <c r="CN130" i="78"/>
  <c r="CM130" i="78"/>
  <c r="CL130" i="78"/>
  <c r="CO129" i="78"/>
  <c r="CN129" i="78"/>
  <c r="CM129" i="78"/>
  <c r="CL129" i="78"/>
  <c r="CO128" i="78"/>
  <c r="CN128" i="78"/>
  <c r="CM128" i="78"/>
  <c r="CL128" i="78"/>
  <c r="CO127" i="78"/>
  <c r="CN127" i="78"/>
  <c r="CM127" i="78"/>
  <c r="CL127" i="78"/>
  <c r="CO126" i="78"/>
  <c r="CN126" i="78"/>
  <c r="CM126" i="78"/>
  <c r="CL126" i="78"/>
  <c r="CO125" i="78"/>
  <c r="CN125" i="78"/>
  <c r="CM125" i="78"/>
  <c r="CL125" i="78"/>
  <c r="CO124" i="78"/>
  <c r="CN124" i="78"/>
  <c r="CM124" i="78"/>
  <c r="CL124" i="78"/>
  <c r="CO123" i="78"/>
  <c r="CN123" i="78"/>
  <c r="CM123" i="78"/>
  <c r="CL123" i="78"/>
  <c r="CO122" i="78"/>
  <c r="CN122" i="78"/>
  <c r="CM122" i="78"/>
  <c r="CL122" i="78"/>
  <c r="CO121" i="78"/>
  <c r="CN121" i="78"/>
  <c r="CM121" i="78"/>
  <c r="CL121" i="78"/>
  <c r="CO120" i="78"/>
  <c r="CN120" i="78"/>
  <c r="CM120" i="78"/>
  <c r="CL120" i="78"/>
  <c r="CO119" i="78"/>
  <c r="CN119" i="78"/>
  <c r="CM119" i="78"/>
  <c r="CL119" i="78"/>
  <c r="CP67" i="78"/>
  <c r="CO63" i="78"/>
  <c r="CN47" i="78"/>
  <c r="CM72" i="78"/>
  <c r="CL48" i="78"/>
  <c r="CD143" i="78"/>
  <c r="CC143" i="78"/>
  <c r="CB143" i="78"/>
  <c r="CA143" i="78"/>
  <c r="CD142" i="78"/>
  <c r="CC142" i="78"/>
  <c r="CB142" i="78"/>
  <c r="CA142" i="78"/>
  <c r="CD141" i="78"/>
  <c r="CC141" i="78"/>
  <c r="CB141" i="78"/>
  <c r="CA141" i="78"/>
  <c r="CD140" i="78"/>
  <c r="CC140" i="78"/>
  <c r="CB140" i="78"/>
  <c r="CA140" i="78"/>
  <c r="CD139" i="78"/>
  <c r="CC139" i="78"/>
  <c r="CB139" i="78"/>
  <c r="CA139" i="78"/>
  <c r="CD138" i="78"/>
  <c r="CC138" i="78"/>
  <c r="CB138" i="78"/>
  <c r="CA138" i="78"/>
  <c r="CD137" i="78"/>
  <c r="CC137" i="78"/>
  <c r="CB137" i="78"/>
  <c r="CA137" i="78"/>
  <c r="CD136" i="78"/>
  <c r="CC136" i="78"/>
  <c r="CB136" i="78"/>
  <c r="CA136" i="78"/>
  <c r="CD135" i="78"/>
  <c r="CC135" i="78"/>
  <c r="CB135" i="78"/>
  <c r="CA135" i="78"/>
  <c r="CD134" i="78"/>
  <c r="CC134" i="78"/>
  <c r="CB134" i="78"/>
  <c r="CA134" i="78"/>
  <c r="CD133" i="78"/>
  <c r="CC133" i="78"/>
  <c r="CB133" i="78"/>
  <c r="CA133" i="78"/>
  <c r="CD132" i="78"/>
  <c r="CC132" i="78"/>
  <c r="CB132" i="78"/>
  <c r="CA132" i="78"/>
  <c r="CD131" i="78"/>
  <c r="CC131" i="78"/>
  <c r="CB131" i="78"/>
  <c r="CA131" i="78"/>
  <c r="CD130" i="78"/>
  <c r="CC130" i="78"/>
  <c r="CB130" i="78"/>
  <c r="CA130" i="78"/>
  <c r="CD129" i="78"/>
  <c r="CC129" i="78"/>
  <c r="CB129" i="78"/>
  <c r="CA129" i="78"/>
  <c r="CD128" i="78"/>
  <c r="CC128" i="78"/>
  <c r="CB128" i="78"/>
  <c r="CA128" i="78"/>
  <c r="CD127" i="78"/>
  <c r="CC127" i="78"/>
  <c r="CB127" i="78"/>
  <c r="CA127" i="78"/>
  <c r="CD126" i="78"/>
  <c r="CC126" i="78"/>
  <c r="CB126" i="78"/>
  <c r="CA126" i="78"/>
  <c r="CD125" i="78"/>
  <c r="CC125" i="78"/>
  <c r="CB125" i="78"/>
  <c r="CA125" i="78"/>
  <c r="CD124" i="78"/>
  <c r="CC124" i="78"/>
  <c r="CB124" i="78"/>
  <c r="CA124" i="78"/>
  <c r="CD123" i="78"/>
  <c r="CC123" i="78"/>
  <c r="CB123" i="78"/>
  <c r="CA123" i="78"/>
  <c r="CD122" i="78"/>
  <c r="CC122" i="78"/>
  <c r="CB122" i="78"/>
  <c r="CA122" i="78"/>
  <c r="CD121" i="78"/>
  <c r="CC121" i="78"/>
  <c r="CB121" i="78"/>
  <c r="CA121" i="78"/>
  <c r="CD120" i="78"/>
  <c r="CC120" i="78"/>
  <c r="CB120" i="78"/>
  <c r="CA120" i="78"/>
  <c r="CD119" i="78"/>
  <c r="CC119" i="78"/>
  <c r="CB119" i="78"/>
  <c r="CA119" i="78"/>
  <c r="CE68" i="78"/>
  <c r="CD69" i="78"/>
  <c r="CC51" i="78"/>
  <c r="CB62" i="78"/>
  <c r="CA47" i="78"/>
  <c r="BS143" i="78"/>
  <c r="BR143" i="78"/>
  <c r="BQ143" i="78"/>
  <c r="BP143" i="78"/>
  <c r="BS142" i="78"/>
  <c r="BR142" i="78"/>
  <c r="BQ142" i="78"/>
  <c r="BP142" i="78"/>
  <c r="BS141" i="78"/>
  <c r="BR141" i="78"/>
  <c r="BQ141" i="78"/>
  <c r="BP141" i="78"/>
  <c r="BS140" i="78"/>
  <c r="BR140" i="78"/>
  <c r="BQ140" i="78"/>
  <c r="BP140" i="78"/>
  <c r="BS139" i="78"/>
  <c r="BR139" i="78"/>
  <c r="BQ139" i="78"/>
  <c r="BP139" i="78"/>
  <c r="BS138" i="78"/>
  <c r="BR138" i="78"/>
  <c r="BQ138" i="78"/>
  <c r="BP138" i="78"/>
  <c r="BS137" i="78"/>
  <c r="BR137" i="78"/>
  <c r="BQ137" i="78"/>
  <c r="BP137" i="78"/>
  <c r="BS136" i="78"/>
  <c r="BR136" i="78"/>
  <c r="BQ136" i="78"/>
  <c r="BP136" i="78"/>
  <c r="BS135" i="78"/>
  <c r="BR135" i="78"/>
  <c r="BQ135" i="78"/>
  <c r="BP135" i="78"/>
  <c r="BS134" i="78"/>
  <c r="BR134" i="78"/>
  <c r="BQ134" i="78"/>
  <c r="BP134" i="78"/>
  <c r="BS133" i="78"/>
  <c r="BR133" i="78"/>
  <c r="BQ133" i="78"/>
  <c r="BP133" i="78"/>
  <c r="BS132" i="78"/>
  <c r="BR132" i="78"/>
  <c r="BQ132" i="78"/>
  <c r="BP132" i="78"/>
  <c r="BS131" i="78"/>
  <c r="BR131" i="78"/>
  <c r="BQ131" i="78"/>
  <c r="BP131" i="78"/>
  <c r="BS130" i="78"/>
  <c r="BR130" i="78"/>
  <c r="BQ130" i="78"/>
  <c r="BP130" i="78"/>
  <c r="BS129" i="78"/>
  <c r="BR129" i="78"/>
  <c r="BQ129" i="78"/>
  <c r="BP129" i="78"/>
  <c r="BS128" i="78"/>
  <c r="BR128" i="78"/>
  <c r="BQ128" i="78"/>
  <c r="BP128" i="78"/>
  <c r="BS127" i="78"/>
  <c r="BR127" i="78"/>
  <c r="BQ127" i="78"/>
  <c r="BP127" i="78"/>
  <c r="BS126" i="78"/>
  <c r="BR126" i="78"/>
  <c r="BQ126" i="78"/>
  <c r="BP126" i="78"/>
  <c r="BS125" i="78"/>
  <c r="BR125" i="78"/>
  <c r="BQ125" i="78"/>
  <c r="BP125" i="78"/>
  <c r="BS124" i="78"/>
  <c r="BR124" i="78"/>
  <c r="BQ124" i="78"/>
  <c r="BP124" i="78"/>
  <c r="BS123" i="78"/>
  <c r="BR123" i="78"/>
  <c r="BQ123" i="78"/>
  <c r="BP123" i="78"/>
  <c r="BS122" i="78"/>
  <c r="BR122" i="78"/>
  <c r="BQ122" i="78"/>
  <c r="BP122" i="78"/>
  <c r="BS121" i="78"/>
  <c r="BR121" i="78"/>
  <c r="BQ121" i="78"/>
  <c r="BP121" i="78"/>
  <c r="BS120" i="78"/>
  <c r="BR120" i="78"/>
  <c r="BQ120" i="78"/>
  <c r="BP120" i="78"/>
  <c r="BS119" i="78"/>
  <c r="BR119" i="78"/>
  <c r="BQ119" i="78"/>
  <c r="BP119" i="78"/>
  <c r="BT67" i="78"/>
  <c r="BS69" i="78"/>
  <c r="BR69" i="78"/>
  <c r="BQ72" i="78"/>
  <c r="BP48" i="78"/>
  <c r="BH143" i="78"/>
  <c r="BG143" i="78"/>
  <c r="BF143" i="78"/>
  <c r="BE143" i="78"/>
  <c r="BH142" i="78"/>
  <c r="BG142" i="78"/>
  <c r="BF142" i="78"/>
  <c r="BE142" i="78"/>
  <c r="BH141" i="78"/>
  <c r="BG141" i="78"/>
  <c r="BF141" i="78"/>
  <c r="BE141" i="78"/>
  <c r="BH140" i="78"/>
  <c r="BG140" i="78"/>
  <c r="BF140" i="78"/>
  <c r="BE140" i="78"/>
  <c r="BH139" i="78"/>
  <c r="BG139" i="78"/>
  <c r="BF139" i="78"/>
  <c r="BE139" i="78"/>
  <c r="BH138" i="78"/>
  <c r="BG138" i="78"/>
  <c r="BF138" i="78"/>
  <c r="BE138" i="78"/>
  <c r="BH137" i="78"/>
  <c r="BG137" i="78"/>
  <c r="BF137" i="78"/>
  <c r="BE137" i="78"/>
  <c r="BH136" i="78"/>
  <c r="BG136" i="78"/>
  <c r="BF136" i="78"/>
  <c r="BE136" i="78"/>
  <c r="BH135" i="78"/>
  <c r="BG135" i="78"/>
  <c r="BF135" i="78"/>
  <c r="BE135" i="78"/>
  <c r="BH134" i="78"/>
  <c r="BG134" i="78"/>
  <c r="BF134" i="78"/>
  <c r="BE134" i="78"/>
  <c r="BH133" i="78"/>
  <c r="BG133" i="78"/>
  <c r="BF133" i="78"/>
  <c r="BE133" i="78"/>
  <c r="BH132" i="78"/>
  <c r="BG132" i="78"/>
  <c r="BF132" i="78"/>
  <c r="BE132" i="78"/>
  <c r="BH131" i="78"/>
  <c r="BG131" i="78"/>
  <c r="BF131" i="78"/>
  <c r="BE131" i="78"/>
  <c r="BH130" i="78"/>
  <c r="BG130" i="78"/>
  <c r="BF130" i="78"/>
  <c r="BE130" i="78"/>
  <c r="BH129" i="78"/>
  <c r="BG129" i="78"/>
  <c r="BF129" i="78"/>
  <c r="BE129" i="78"/>
  <c r="BH128" i="78"/>
  <c r="BG128" i="78"/>
  <c r="BF128" i="78"/>
  <c r="BE128" i="78"/>
  <c r="BH127" i="78"/>
  <c r="BG127" i="78"/>
  <c r="BF127" i="78"/>
  <c r="BE127" i="78"/>
  <c r="BH126" i="78"/>
  <c r="BG126" i="78"/>
  <c r="BF126" i="78"/>
  <c r="BE126" i="78"/>
  <c r="BH125" i="78"/>
  <c r="BG125" i="78"/>
  <c r="BF125" i="78"/>
  <c r="BE125" i="78"/>
  <c r="BH124" i="78"/>
  <c r="BG124" i="78"/>
  <c r="BF124" i="78"/>
  <c r="BE124" i="78"/>
  <c r="BH123" i="78"/>
  <c r="BG123" i="78"/>
  <c r="BF123" i="78"/>
  <c r="BE123" i="78"/>
  <c r="BH122" i="78"/>
  <c r="BG122" i="78"/>
  <c r="BF122" i="78"/>
  <c r="BE122" i="78"/>
  <c r="BH121" i="78"/>
  <c r="BG121" i="78"/>
  <c r="BF121" i="78"/>
  <c r="BE121" i="78"/>
  <c r="BH120" i="78"/>
  <c r="BG120" i="78"/>
  <c r="BF120" i="78"/>
  <c r="BE120" i="78"/>
  <c r="BH119" i="78"/>
  <c r="BG119" i="78"/>
  <c r="BF119" i="78"/>
  <c r="BE119" i="78"/>
  <c r="BI67" i="78"/>
  <c r="BH68" i="78"/>
  <c r="BG63" i="78"/>
  <c r="BF69" i="78"/>
  <c r="BE63" i="78"/>
  <c r="AW143" i="78"/>
  <c r="AV143" i="78"/>
  <c r="AU143" i="78"/>
  <c r="AT143" i="78"/>
  <c r="AW142" i="78"/>
  <c r="AV142" i="78"/>
  <c r="AU142" i="78"/>
  <c r="AT142" i="78"/>
  <c r="AW141" i="78"/>
  <c r="AV141" i="78"/>
  <c r="AU141" i="78"/>
  <c r="AT141" i="78"/>
  <c r="AW140" i="78"/>
  <c r="AV140" i="78"/>
  <c r="AU140" i="78"/>
  <c r="AT140" i="78"/>
  <c r="AW139" i="78"/>
  <c r="AV139" i="78"/>
  <c r="AU139" i="78"/>
  <c r="AT139" i="78"/>
  <c r="AW138" i="78"/>
  <c r="AV138" i="78"/>
  <c r="AU138" i="78"/>
  <c r="AT138" i="78"/>
  <c r="AW137" i="78"/>
  <c r="AV137" i="78"/>
  <c r="AU137" i="78"/>
  <c r="AT137" i="78"/>
  <c r="AW136" i="78"/>
  <c r="AV136" i="78"/>
  <c r="AU136" i="78"/>
  <c r="AT136" i="78"/>
  <c r="AW135" i="78"/>
  <c r="AV135" i="78"/>
  <c r="AU135" i="78"/>
  <c r="AT135" i="78"/>
  <c r="AW134" i="78"/>
  <c r="AV134" i="78"/>
  <c r="AU134" i="78"/>
  <c r="AT134" i="78"/>
  <c r="AW133" i="78"/>
  <c r="AV133" i="78"/>
  <c r="AU133" i="78"/>
  <c r="AT133" i="78"/>
  <c r="AW132" i="78"/>
  <c r="AV132" i="78"/>
  <c r="AU132" i="78"/>
  <c r="AT132" i="78"/>
  <c r="AW131" i="78"/>
  <c r="AV131" i="78"/>
  <c r="AU131" i="78"/>
  <c r="AT131" i="78"/>
  <c r="AW130" i="78"/>
  <c r="AV130" i="78"/>
  <c r="AU130" i="78"/>
  <c r="AT130" i="78"/>
  <c r="AW129" i="78"/>
  <c r="AV129" i="78"/>
  <c r="AU129" i="78"/>
  <c r="AT129" i="78"/>
  <c r="AW128" i="78"/>
  <c r="AV128" i="78"/>
  <c r="AU128" i="78"/>
  <c r="AT128" i="78"/>
  <c r="AW127" i="78"/>
  <c r="AV127" i="78"/>
  <c r="AU127" i="78"/>
  <c r="AT127" i="78"/>
  <c r="AW126" i="78"/>
  <c r="AV126" i="78"/>
  <c r="AU126" i="78"/>
  <c r="AT126" i="78"/>
  <c r="AW125" i="78"/>
  <c r="AV125" i="78"/>
  <c r="AU125" i="78"/>
  <c r="AT125" i="78"/>
  <c r="AW124" i="78"/>
  <c r="AV124" i="78"/>
  <c r="AU124" i="78"/>
  <c r="AT124" i="78"/>
  <c r="AW123" i="78"/>
  <c r="AV123" i="78"/>
  <c r="AU123" i="78"/>
  <c r="AT123" i="78"/>
  <c r="AW122" i="78"/>
  <c r="AV122" i="78"/>
  <c r="AU122" i="78"/>
  <c r="AT122" i="78"/>
  <c r="AW121" i="78"/>
  <c r="AV121" i="78"/>
  <c r="AU121" i="78"/>
  <c r="AT121" i="78"/>
  <c r="AW120" i="78"/>
  <c r="AV120" i="78"/>
  <c r="AU120" i="78"/>
  <c r="AT120" i="78"/>
  <c r="AW119" i="78"/>
  <c r="AV119" i="78"/>
  <c r="AU119" i="78"/>
  <c r="AT119" i="78"/>
  <c r="AW63" i="78"/>
  <c r="AV45" i="78"/>
  <c r="AU72" i="78"/>
  <c r="AT62" i="78"/>
  <c r="AL143" i="78"/>
  <c r="AK143" i="78"/>
  <c r="AJ143" i="78"/>
  <c r="AI143" i="78"/>
  <c r="AL142" i="78"/>
  <c r="AK142" i="78"/>
  <c r="AJ142" i="78"/>
  <c r="AI142" i="78"/>
  <c r="AL141" i="78"/>
  <c r="AK141" i="78"/>
  <c r="AJ141" i="78"/>
  <c r="AI141" i="78"/>
  <c r="AL140" i="78"/>
  <c r="AK140" i="78"/>
  <c r="AJ140" i="78"/>
  <c r="AI140" i="78"/>
  <c r="AL139" i="78"/>
  <c r="AK139" i="78"/>
  <c r="AJ139" i="78"/>
  <c r="AI139" i="78"/>
  <c r="AL138" i="78"/>
  <c r="AK138" i="78"/>
  <c r="AJ138" i="78"/>
  <c r="AI138" i="78"/>
  <c r="AL137" i="78"/>
  <c r="AK137" i="78"/>
  <c r="AJ137" i="78"/>
  <c r="AI137" i="78"/>
  <c r="AL136" i="78"/>
  <c r="AK136" i="78"/>
  <c r="AJ136" i="78"/>
  <c r="AI136" i="78"/>
  <c r="AL135" i="78"/>
  <c r="AK135" i="78"/>
  <c r="AJ135" i="78"/>
  <c r="AI135" i="78"/>
  <c r="AL134" i="78"/>
  <c r="AK134" i="78"/>
  <c r="AJ134" i="78"/>
  <c r="AI134" i="78"/>
  <c r="AL133" i="78"/>
  <c r="AK133" i="78"/>
  <c r="AJ133" i="78"/>
  <c r="AI133" i="78"/>
  <c r="AL132" i="78"/>
  <c r="AK132" i="78"/>
  <c r="AJ132" i="78"/>
  <c r="AI132" i="78"/>
  <c r="AL131" i="78"/>
  <c r="AK131" i="78"/>
  <c r="AJ131" i="78"/>
  <c r="AI131" i="78"/>
  <c r="AL130" i="78"/>
  <c r="AK130" i="78"/>
  <c r="AJ130" i="78"/>
  <c r="AI130" i="78"/>
  <c r="AL129" i="78"/>
  <c r="AK129" i="78"/>
  <c r="AJ129" i="78"/>
  <c r="AI129" i="78"/>
  <c r="AL128" i="78"/>
  <c r="AK128" i="78"/>
  <c r="AJ128" i="78"/>
  <c r="AI128" i="78"/>
  <c r="AL127" i="78"/>
  <c r="AK127" i="78"/>
  <c r="AJ127" i="78"/>
  <c r="AI127" i="78"/>
  <c r="AL126" i="78"/>
  <c r="AK126" i="78"/>
  <c r="AJ126" i="78"/>
  <c r="AI126" i="78"/>
  <c r="AL125" i="78"/>
  <c r="AK125" i="78"/>
  <c r="AJ125" i="78"/>
  <c r="AI125" i="78"/>
  <c r="AL124" i="78"/>
  <c r="AK124" i="78"/>
  <c r="AJ124" i="78"/>
  <c r="AI124" i="78"/>
  <c r="AL123" i="78"/>
  <c r="AK123" i="78"/>
  <c r="AJ123" i="78"/>
  <c r="AI123" i="78"/>
  <c r="AL122" i="78"/>
  <c r="AK122" i="78"/>
  <c r="AJ122" i="78"/>
  <c r="AI122" i="78"/>
  <c r="AL121" i="78"/>
  <c r="AK121" i="78"/>
  <c r="AJ121" i="78"/>
  <c r="AI121" i="78"/>
  <c r="AL120" i="78"/>
  <c r="AK120" i="78"/>
  <c r="AJ120" i="78"/>
  <c r="AI120" i="78"/>
  <c r="AL119" i="78"/>
  <c r="AK119" i="78"/>
  <c r="AJ119" i="78"/>
  <c r="AI119" i="78"/>
  <c r="AM59" i="78"/>
  <c r="AL72" i="78"/>
  <c r="AK56" i="78"/>
  <c r="AJ52" i="78"/>
  <c r="AI66" i="78"/>
  <c r="N53" i="49" l="1"/>
  <c r="N52" i="49"/>
  <c r="N54" i="49"/>
  <c r="N59" i="49"/>
  <c r="N60" i="49"/>
  <c r="N55" i="49"/>
  <c r="N58" i="49"/>
  <c r="N56" i="49"/>
  <c r="N57" i="49"/>
  <c r="BR45" i="78"/>
  <c r="CP68" i="78"/>
  <c r="CP54" i="78"/>
  <c r="CP45" i="78"/>
  <c r="CP51" i="78"/>
  <c r="BT51" i="78"/>
  <c r="CB48" i="78"/>
  <c r="CD57" i="78"/>
  <c r="AW67" i="78"/>
  <c r="CP72" i="78"/>
  <c r="BR54" i="78"/>
  <c r="BT61" i="78"/>
  <c r="CD65" i="78"/>
  <c r="CP59" i="78"/>
  <c r="CP62" i="78"/>
  <c r="AM65" i="78"/>
  <c r="CB46" i="78"/>
  <c r="CD52" i="78"/>
  <c r="CO47" i="78"/>
  <c r="BI45" i="78"/>
  <c r="BT54" i="78"/>
  <c r="BS61" i="78"/>
  <c r="AU50" i="78"/>
  <c r="AW64" i="78"/>
  <c r="BS52" i="78"/>
  <c r="BS62" i="78"/>
  <c r="CD49" i="78"/>
  <c r="CO60" i="78"/>
  <c r="AW50" i="78"/>
  <c r="BT52" i="78"/>
  <c r="BT69" i="78"/>
  <c r="CB56" i="78"/>
  <c r="CO55" i="78"/>
  <c r="CP60" i="78"/>
  <c r="BT45" i="78"/>
  <c r="CN64" i="78"/>
  <c r="AM53" i="78"/>
  <c r="BR63" i="78"/>
  <c r="BT72" i="78"/>
  <c r="CN45" i="78"/>
  <c r="CE51" i="78"/>
  <c r="CE60" i="78"/>
  <c r="AI48" i="78"/>
  <c r="BH48" i="78"/>
  <c r="BH54" i="78"/>
  <c r="BI64" i="78"/>
  <c r="CE48" i="78"/>
  <c r="AJ48" i="78"/>
  <c r="AU47" i="78"/>
  <c r="AW57" i="78"/>
  <c r="AW68" i="78"/>
  <c r="BI54" i="78"/>
  <c r="BI59" i="78"/>
  <c r="CE45" i="78"/>
  <c r="CA66" i="78"/>
  <c r="BI55" i="78"/>
  <c r="AW65" i="78"/>
  <c r="BH46" i="78"/>
  <c r="BI51" i="78"/>
  <c r="BE67" i="78"/>
  <c r="CA50" i="78"/>
  <c r="CB54" i="78"/>
  <c r="CB63" i="78"/>
  <c r="CA68" i="78"/>
  <c r="CP53" i="78"/>
  <c r="CN56" i="78"/>
  <c r="AW52" i="78"/>
  <c r="CA63" i="78"/>
  <c r="CM56" i="78"/>
  <c r="AJ57" i="78"/>
  <c r="AW49" i="78"/>
  <c r="AW60" i="78"/>
  <c r="BI46" i="78"/>
  <c r="BI56" i="78"/>
  <c r="BT53" i="78"/>
  <c r="BT62" i="78"/>
  <c r="BS68" i="78"/>
  <c r="CB47" i="78"/>
  <c r="CE54" i="78"/>
  <c r="AV47" i="78"/>
  <c r="AM62" i="78"/>
  <c r="AW72" i="78"/>
  <c r="AI69" i="78"/>
  <c r="AM52" i="78"/>
  <c r="AM72" i="78"/>
  <c r="AW45" i="78"/>
  <c r="BT59" i="78"/>
  <c r="BT68" i="78"/>
  <c r="CD60" i="78"/>
  <c r="CM54" i="78"/>
  <c r="CO62" i="78"/>
  <c r="AK65" i="78"/>
  <c r="BF59" i="78"/>
  <c r="AL50" i="78"/>
  <c r="AK49" i="78"/>
  <c r="AI65" i="78"/>
  <c r="AU45" i="78"/>
  <c r="AU54" i="78"/>
  <c r="AU56" i="78"/>
  <c r="AU62" i="78"/>
  <c r="BF50" i="78"/>
  <c r="BF58" i="78"/>
  <c r="BF62" i="78"/>
  <c r="BF64" i="78"/>
  <c r="CE146" i="78"/>
  <c r="CI72" i="78"/>
  <c r="CI109" i="78" s="1"/>
  <c r="CE53" i="78"/>
  <c r="CE59" i="78"/>
  <c r="CE62" i="78"/>
  <c r="CM47" i="78"/>
  <c r="CM49" i="78"/>
  <c r="CL64" i="78"/>
  <c r="CN72" i="78"/>
  <c r="AM49" i="78"/>
  <c r="AL56" i="78"/>
  <c r="AL62" i="78"/>
  <c r="AJ65" i="78"/>
  <c r="AL68" i="78"/>
  <c r="AT47" i="78"/>
  <c r="AT52" i="78"/>
  <c r="AW54" i="78"/>
  <c r="AW56" i="78"/>
  <c r="AT60" i="78"/>
  <c r="AW62" i="78"/>
  <c r="BE146" i="78"/>
  <c r="BF48" i="78"/>
  <c r="BG50" i="78"/>
  <c r="BH62" i="78"/>
  <c r="BH64" i="78"/>
  <c r="BF67" i="78"/>
  <c r="BS45" i="78"/>
  <c r="BS47" i="78"/>
  <c r="BS54" i="78"/>
  <c r="BS63" i="78"/>
  <c r="BS72" i="78"/>
  <c r="CE56" i="78"/>
  <c r="CE65" i="78"/>
  <c r="CB68" i="78"/>
  <c r="CM62" i="78"/>
  <c r="CM64" i="78"/>
  <c r="CO72" i="78"/>
  <c r="AK53" i="78"/>
  <c r="AP109" i="78"/>
  <c r="AP72" i="78"/>
  <c r="BF54" i="78"/>
  <c r="AT55" i="78"/>
  <c r="CM46" i="78"/>
  <c r="AQ72" i="78"/>
  <c r="AQ109" i="78" s="1"/>
  <c r="AM146" i="78"/>
  <c r="AL63" i="78"/>
  <c r="BA109" i="78"/>
  <c r="BA72" i="78"/>
  <c r="AU53" i="78"/>
  <c r="AU69" i="78"/>
  <c r="BQ46" i="78"/>
  <c r="BP49" i="78"/>
  <c r="BQ55" i="78"/>
  <c r="BR64" i="78"/>
  <c r="CA69" i="78"/>
  <c r="CN63" i="78"/>
  <c r="CS109" i="78"/>
  <c r="CS72" i="78"/>
  <c r="CM48" i="78"/>
  <c r="CN69" i="78"/>
  <c r="AM63" i="78"/>
  <c r="AU46" i="78"/>
  <c r="AU48" i="78"/>
  <c r="AT51" i="78"/>
  <c r="AW53" i="78"/>
  <c r="AV55" i="78"/>
  <c r="AW58" i="78"/>
  <c r="AW61" i="78"/>
  <c r="AW66" i="78"/>
  <c r="AW69" i="78"/>
  <c r="BI62" i="78"/>
  <c r="BI146" i="78"/>
  <c r="BM72" i="78"/>
  <c r="BM109" i="78" s="1"/>
  <c r="BH49" i="78"/>
  <c r="BF57" i="78"/>
  <c r="BF60" i="78"/>
  <c r="BH63" i="78"/>
  <c r="BF72" i="78"/>
  <c r="BR46" i="78"/>
  <c r="BQ49" i="78"/>
  <c r="BR55" i="78"/>
  <c r="BS60" i="78"/>
  <c r="CE46" i="78"/>
  <c r="CA55" i="78"/>
  <c r="CE61" i="78"/>
  <c r="CB64" i="78"/>
  <c r="CB67" i="78"/>
  <c r="CE69" i="78"/>
  <c r="CO46" i="78"/>
  <c r="CN48" i="78"/>
  <c r="CO52" i="78"/>
  <c r="CL55" i="78"/>
  <c r="CN61" i="78"/>
  <c r="CL63" i="78"/>
  <c r="CO69" i="78"/>
  <c r="AT65" i="78"/>
  <c r="AL60" i="78"/>
  <c r="BG69" i="78"/>
  <c r="BL72" i="78"/>
  <c r="BL109" i="78"/>
  <c r="AK57" i="78"/>
  <c r="AU63" i="78"/>
  <c r="BF49" i="78"/>
  <c r="BF65" i="78"/>
  <c r="AL48" i="78"/>
  <c r="AM57" i="78"/>
  <c r="AL66" i="78"/>
  <c r="AX53" i="78"/>
  <c r="AX146" i="78"/>
  <c r="BB72" i="78"/>
  <c r="BB109" i="78" s="1"/>
  <c r="AV46" i="78"/>
  <c r="AW48" i="78"/>
  <c r="AU51" i="78"/>
  <c r="AT64" i="78"/>
  <c r="AT72" i="78"/>
  <c r="BH47" i="78"/>
  <c r="BF52" i="78"/>
  <c r="BG55" i="78"/>
  <c r="BH57" i="78"/>
  <c r="BI63" i="78"/>
  <c r="BF66" i="78"/>
  <c r="BH72" i="78"/>
  <c r="BX72" i="78"/>
  <c r="BX109" i="78" s="1"/>
  <c r="BT146" i="78"/>
  <c r="BS46" i="78"/>
  <c r="BS55" i="78"/>
  <c r="BT60" i="78"/>
  <c r="BP63" i="78"/>
  <c r="CC69" i="78"/>
  <c r="CH109" i="78"/>
  <c r="CH72" i="78"/>
  <c r="CE49" i="78"/>
  <c r="CE52" i="78"/>
  <c r="CB55" i="78"/>
  <c r="CA58" i="78"/>
  <c r="CE64" i="78"/>
  <c r="CE67" i="78"/>
  <c r="CP146" i="78"/>
  <c r="CP46" i="78"/>
  <c r="CP52" i="78"/>
  <c r="CM55" i="78"/>
  <c r="CL58" i="78"/>
  <c r="CO61" i="78"/>
  <c r="CM63" i="78"/>
  <c r="CL66" i="78"/>
  <c r="CP69" i="78"/>
  <c r="BF46" i="78"/>
  <c r="BF56" i="78"/>
  <c r="AT63" i="78"/>
  <c r="BF51" i="78"/>
  <c r="BQ64" i="78"/>
  <c r="AK48" i="78"/>
  <c r="AK69" i="78"/>
  <c r="AT46" i="78"/>
  <c r="AU55" i="78"/>
  <c r="AU61" i="78"/>
  <c r="BW72" i="78"/>
  <c r="BW109" i="78"/>
  <c r="CE57" i="78"/>
  <c r="CN46" i="78"/>
  <c r="CM65" i="78"/>
  <c r="AK51" i="78"/>
  <c r="AI61" i="78"/>
  <c r="AM69" i="78"/>
  <c r="AM45" i="78"/>
  <c r="AM51" i="78"/>
  <c r="AI56" i="78"/>
  <c r="AK61" i="78"/>
  <c r="AJ49" i="78"/>
  <c r="AJ56" i="78"/>
  <c r="AL58" i="78"/>
  <c r="AM61" i="78"/>
  <c r="AM67" i="78"/>
  <c r="AW46" i="78"/>
  <c r="AW51" i="78"/>
  <c r="AT54" i="78"/>
  <c r="AT56" i="78"/>
  <c r="AW59" i="78"/>
  <c r="AU64" i="78"/>
  <c r="AU67" i="78"/>
  <c r="BG45" i="78"/>
  <c r="BI47" i="78"/>
  <c r="BE50" i="78"/>
  <c r="BH52" i="78"/>
  <c r="BH55" i="78"/>
  <c r="BI72" i="78"/>
  <c r="BT46" i="78"/>
  <c r="BQ54" i="78"/>
  <c r="BQ63" i="78"/>
  <c r="BP66" i="78"/>
  <c r="CE72" i="78"/>
  <c r="CL49" i="78"/>
  <c r="CN55" i="78"/>
  <c r="CP61" i="78"/>
  <c r="CL57" i="78"/>
  <c r="CM69" i="78"/>
  <c r="CM61" i="78"/>
  <c r="CM53" i="78"/>
  <c r="CM45" i="78"/>
  <c r="CM58" i="78"/>
  <c r="CM50" i="78"/>
  <c r="CM68" i="78"/>
  <c r="CM60" i="78"/>
  <c r="CM52" i="78"/>
  <c r="CL146" i="78"/>
  <c r="CM67" i="78"/>
  <c r="CM59" i="78"/>
  <c r="CM51" i="78"/>
  <c r="CM66" i="78"/>
  <c r="CO45" i="78"/>
  <c r="CN54" i="78"/>
  <c r="CM57" i="78"/>
  <c r="CO68" i="78"/>
  <c r="CL72" i="78"/>
  <c r="CL62" i="78"/>
  <c r="CL54" i="78"/>
  <c r="CL46" i="78"/>
  <c r="CL59" i="78"/>
  <c r="CL51" i="78"/>
  <c r="CL69" i="78"/>
  <c r="CL61" i="78"/>
  <c r="CL53" i="78"/>
  <c r="CL45" i="78"/>
  <c r="CL68" i="78"/>
  <c r="CL60" i="78"/>
  <c r="CL52" i="78"/>
  <c r="CL67" i="78"/>
  <c r="CN68" i="78"/>
  <c r="CN60" i="78"/>
  <c r="CN52" i="78"/>
  <c r="CN57" i="78"/>
  <c r="CN49" i="78"/>
  <c r="CN67" i="78"/>
  <c r="CN59" i="78"/>
  <c r="CN51" i="78"/>
  <c r="CN66" i="78"/>
  <c r="CN58" i="78"/>
  <c r="CN50" i="78"/>
  <c r="CM146" i="78"/>
  <c r="CN65" i="78"/>
  <c r="CN53" i="78"/>
  <c r="CO54" i="78"/>
  <c r="CL65" i="78"/>
  <c r="CO67" i="78"/>
  <c r="CO59" i="78"/>
  <c r="CO51" i="78"/>
  <c r="CO56" i="78"/>
  <c r="CO48" i="78"/>
  <c r="CO66" i="78"/>
  <c r="CO58" i="78"/>
  <c r="CO50" i="78"/>
  <c r="CN146" i="78"/>
  <c r="CO65" i="78"/>
  <c r="CO57" i="78"/>
  <c r="CO49" i="78"/>
  <c r="CO64" i="78"/>
  <c r="CL47" i="78"/>
  <c r="CL50" i="78"/>
  <c r="CO53" i="78"/>
  <c r="CL56" i="78"/>
  <c r="CN62" i="78"/>
  <c r="CP48" i="78"/>
  <c r="CP56" i="78"/>
  <c r="CP64" i="78"/>
  <c r="CP49" i="78"/>
  <c r="CP57" i="78"/>
  <c r="CP65" i="78"/>
  <c r="CO146" i="78"/>
  <c r="CP47" i="78"/>
  <c r="CP55" i="78"/>
  <c r="CP63" i="78"/>
  <c r="CP50" i="78"/>
  <c r="CP58" i="78"/>
  <c r="CP66" i="78"/>
  <c r="CC59" i="78"/>
  <c r="CC72" i="78"/>
  <c r="CA72" i="78"/>
  <c r="CA62" i="78"/>
  <c r="CA54" i="78"/>
  <c r="CA46" i="78"/>
  <c r="CA67" i="78"/>
  <c r="CA59" i="78"/>
  <c r="CA51" i="78"/>
  <c r="CA49" i="78"/>
  <c r="CC50" i="78"/>
  <c r="CA57" i="78"/>
  <c r="CC58" i="78"/>
  <c r="CA65" i="78"/>
  <c r="CC66" i="78"/>
  <c r="CB69" i="78"/>
  <c r="CB61" i="78"/>
  <c r="CB53" i="78"/>
  <c r="CB45" i="78"/>
  <c r="CB66" i="78"/>
  <c r="CB58" i="78"/>
  <c r="CB50" i="78"/>
  <c r="CA146" i="78"/>
  <c r="CA48" i="78"/>
  <c r="CB49" i="78"/>
  <c r="CD50" i="78"/>
  <c r="CA56" i="78"/>
  <c r="CB57" i="78"/>
  <c r="CD58" i="78"/>
  <c r="CA64" i="78"/>
  <c r="CB65" i="78"/>
  <c r="CD66" i="78"/>
  <c r="CC68" i="78"/>
  <c r="CC60" i="78"/>
  <c r="CC52" i="78"/>
  <c r="CB146" i="78"/>
  <c r="CC65" i="78"/>
  <c r="CC57" i="78"/>
  <c r="CC49" i="78"/>
  <c r="CD67" i="78"/>
  <c r="CD59" i="78"/>
  <c r="CD51" i="78"/>
  <c r="CD146" i="78"/>
  <c r="CD64" i="78"/>
  <c r="CD56" i="78"/>
  <c r="CD48" i="78"/>
  <c r="CD72" i="78"/>
  <c r="CC48" i="78"/>
  <c r="CC56" i="78"/>
  <c r="CC64" i="78"/>
  <c r="CA45" i="78"/>
  <c r="CC46" i="78"/>
  <c r="CC47" i="78"/>
  <c r="CA53" i="78"/>
  <c r="CC54" i="78"/>
  <c r="CA61" i="78"/>
  <c r="CC62" i="78"/>
  <c r="CC63" i="78"/>
  <c r="CD68" i="78"/>
  <c r="CC45" i="78"/>
  <c r="CD46" i="78"/>
  <c r="CD47" i="78"/>
  <c r="CA52" i="78"/>
  <c r="CC53" i="78"/>
  <c r="CD54" i="78"/>
  <c r="CD55" i="78"/>
  <c r="CA60" i="78"/>
  <c r="CC61" i="78"/>
  <c r="CD62" i="78"/>
  <c r="CD63" i="78"/>
  <c r="CC55" i="78"/>
  <c r="CD45" i="78"/>
  <c r="CB51" i="78"/>
  <c r="CB52" i="78"/>
  <c r="CD53" i="78"/>
  <c r="CB59" i="78"/>
  <c r="CB60" i="78"/>
  <c r="CD61" i="78"/>
  <c r="CC67" i="78"/>
  <c r="CB72" i="78"/>
  <c r="CC146" i="78"/>
  <c r="CE47" i="78"/>
  <c r="CE55" i="78"/>
  <c r="CE63" i="78"/>
  <c r="CE50" i="78"/>
  <c r="CE58" i="78"/>
  <c r="CE66" i="78"/>
  <c r="BP57" i="78"/>
  <c r="BR68" i="78"/>
  <c r="BR60" i="78"/>
  <c r="BR52" i="78"/>
  <c r="BR67" i="78"/>
  <c r="BR59" i="78"/>
  <c r="BR51" i="78"/>
  <c r="BR49" i="78"/>
  <c r="BR66" i="78"/>
  <c r="BR58" i="78"/>
  <c r="BR50" i="78"/>
  <c r="BQ146" i="78"/>
  <c r="BR65" i="78"/>
  <c r="BR57" i="78"/>
  <c r="BQ48" i="78"/>
  <c r="BR53" i="78"/>
  <c r="BQ62" i="78"/>
  <c r="BP65" i="78"/>
  <c r="BS67" i="78"/>
  <c r="BS59" i="78"/>
  <c r="BS51" i="78"/>
  <c r="BS66" i="78"/>
  <c r="BS58" i="78"/>
  <c r="BS50" i="78"/>
  <c r="BS56" i="78"/>
  <c r="BS48" i="78"/>
  <c r="BR146" i="78"/>
  <c r="BS65" i="78"/>
  <c r="BS57" i="78"/>
  <c r="BS49" i="78"/>
  <c r="BS64" i="78"/>
  <c r="BP47" i="78"/>
  <c r="BR48" i="78"/>
  <c r="BP50" i="78"/>
  <c r="BS53" i="78"/>
  <c r="BP56" i="78"/>
  <c r="BR62" i="78"/>
  <c r="BQ65" i="78"/>
  <c r="BQ69" i="78"/>
  <c r="BQ61" i="78"/>
  <c r="BQ53" i="78"/>
  <c r="BQ45" i="78"/>
  <c r="BQ68" i="78"/>
  <c r="BQ60" i="78"/>
  <c r="BQ52" i="78"/>
  <c r="BQ50" i="78"/>
  <c r="BQ67" i="78"/>
  <c r="BQ59" i="78"/>
  <c r="BQ51" i="78"/>
  <c r="BQ66" i="78"/>
  <c r="BQ58" i="78"/>
  <c r="BP146" i="78"/>
  <c r="BQ57" i="78"/>
  <c r="BQ47" i="78"/>
  <c r="BQ56" i="78"/>
  <c r="BR61" i="78"/>
  <c r="BR72" i="78"/>
  <c r="BP72" i="78"/>
  <c r="BP62" i="78"/>
  <c r="BP54" i="78"/>
  <c r="BP46" i="78"/>
  <c r="BP69" i="78"/>
  <c r="BP61" i="78"/>
  <c r="BP53" i="78"/>
  <c r="BP45" i="78"/>
  <c r="BP51" i="78"/>
  <c r="BP68" i="78"/>
  <c r="BP60" i="78"/>
  <c r="BP52" i="78"/>
  <c r="BP67" i="78"/>
  <c r="BP59" i="78"/>
  <c r="BR47" i="78"/>
  <c r="BP55" i="78"/>
  <c r="BR56" i="78"/>
  <c r="BP58" i="78"/>
  <c r="BP64" i="78"/>
  <c r="BT55" i="78"/>
  <c r="BT63" i="78"/>
  <c r="BT48" i="78"/>
  <c r="BT56" i="78"/>
  <c r="BT64" i="78"/>
  <c r="BT47" i="78"/>
  <c r="BT49" i="78"/>
  <c r="BT57" i="78"/>
  <c r="BT65" i="78"/>
  <c r="BS146" i="78"/>
  <c r="BT50" i="78"/>
  <c r="BT58" i="78"/>
  <c r="BT66" i="78"/>
  <c r="BE58" i="78"/>
  <c r="BE47" i="78"/>
  <c r="BE51" i="78"/>
  <c r="BG56" i="78"/>
  <c r="BG65" i="78"/>
  <c r="BE68" i="78"/>
  <c r="BG47" i="78"/>
  <c r="BI48" i="78"/>
  <c r="BE55" i="78"/>
  <c r="BH56" i="78"/>
  <c r="BE59" i="78"/>
  <c r="BH60" i="78"/>
  <c r="BG64" i="78"/>
  <c r="BH65" i="78"/>
  <c r="BE66" i="78"/>
  <c r="BG53" i="78"/>
  <c r="BH67" i="78"/>
  <c r="BH59" i="78"/>
  <c r="BH51" i="78"/>
  <c r="BH66" i="78"/>
  <c r="BH58" i="78"/>
  <c r="BH50" i="78"/>
  <c r="BG146" i="78"/>
  <c r="BH69" i="78"/>
  <c r="BH61" i="78"/>
  <c r="BH53" i="78"/>
  <c r="BH45" i="78"/>
  <c r="BG49" i="78"/>
  <c r="BE52" i="78"/>
  <c r="BI53" i="78"/>
  <c r="BG61" i="78"/>
  <c r="BE65" i="78"/>
  <c r="BG66" i="78"/>
  <c r="BE72" i="78"/>
  <c r="BE62" i="78"/>
  <c r="BE54" i="78"/>
  <c r="BE46" i="78"/>
  <c r="BE69" i="78"/>
  <c r="BE61" i="78"/>
  <c r="BE53" i="78"/>
  <c r="BE45" i="78"/>
  <c r="BE64" i="78"/>
  <c r="BE56" i="78"/>
  <c r="BE48" i="78"/>
  <c r="BE49" i="78"/>
  <c r="BG68" i="78"/>
  <c r="BG60" i="78"/>
  <c r="BG52" i="78"/>
  <c r="BG67" i="78"/>
  <c r="BG59" i="78"/>
  <c r="BG51" i="78"/>
  <c r="BG72" i="78"/>
  <c r="BG62" i="78"/>
  <c r="BG54" i="78"/>
  <c r="BG46" i="78"/>
  <c r="BE57" i="78"/>
  <c r="BG58" i="78"/>
  <c r="BI66" i="78"/>
  <c r="BI58" i="78"/>
  <c r="BI50" i="78"/>
  <c r="BH146" i="78"/>
  <c r="BI65" i="78"/>
  <c r="BI57" i="78"/>
  <c r="BI49" i="78"/>
  <c r="BI68" i="78"/>
  <c r="BI60" i="78"/>
  <c r="BI52" i="78"/>
  <c r="BG48" i="78"/>
  <c r="BG57" i="78"/>
  <c r="BE60" i="78"/>
  <c r="BI61" i="78"/>
  <c r="BI69" i="78"/>
  <c r="BF146" i="78"/>
  <c r="BF47" i="78"/>
  <c r="BF55" i="78"/>
  <c r="BF63" i="78"/>
  <c r="BF68" i="78"/>
  <c r="BF45" i="78"/>
  <c r="BF53" i="78"/>
  <c r="BF61" i="78"/>
  <c r="AX66" i="78"/>
  <c r="AX67" i="78"/>
  <c r="AV67" i="78"/>
  <c r="AV59" i="78"/>
  <c r="AV51" i="78"/>
  <c r="AV146" i="78"/>
  <c r="AV64" i="78"/>
  <c r="AV56" i="78"/>
  <c r="AV48" i="78"/>
  <c r="AX50" i="78"/>
  <c r="AX51" i="78"/>
  <c r="AV57" i="78"/>
  <c r="AX60" i="78"/>
  <c r="AV66" i="78"/>
  <c r="AX58" i="78"/>
  <c r="AX59" i="78"/>
  <c r="AV65" i="78"/>
  <c r="AX68" i="78"/>
  <c r="AX48" i="78"/>
  <c r="AV54" i="78"/>
  <c r="AV63" i="78"/>
  <c r="AV72" i="78"/>
  <c r="AV52" i="78"/>
  <c r="AV62" i="78"/>
  <c r="AT69" i="78"/>
  <c r="AT61" i="78"/>
  <c r="AT53" i="78"/>
  <c r="AT45" i="78"/>
  <c r="AT66" i="78"/>
  <c r="AT58" i="78"/>
  <c r="AT50" i="78"/>
  <c r="AT49" i="78"/>
  <c r="AV50" i="78"/>
  <c r="AU58" i="78"/>
  <c r="AT59" i="78"/>
  <c r="AV60" i="78"/>
  <c r="AT68" i="78"/>
  <c r="AV69" i="78"/>
  <c r="AW146" i="78"/>
  <c r="AX65" i="78"/>
  <c r="AX57" i="78"/>
  <c r="AX49" i="78"/>
  <c r="AX72" i="78"/>
  <c r="AX62" i="78"/>
  <c r="AX54" i="78"/>
  <c r="AX46" i="78"/>
  <c r="AX69" i="78"/>
  <c r="AX47" i="78"/>
  <c r="AX56" i="78"/>
  <c r="AV53" i="78"/>
  <c r="AX55" i="78"/>
  <c r="AX64" i="78"/>
  <c r="AX45" i="78"/>
  <c r="AV61" i="78"/>
  <c r="AX63" i="78"/>
  <c r="AU68" i="78"/>
  <c r="AU60" i="78"/>
  <c r="AU52" i="78"/>
  <c r="AT146" i="78"/>
  <c r="AU65" i="78"/>
  <c r="AU57" i="78"/>
  <c r="AU49" i="78"/>
  <c r="AT48" i="78"/>
  <c r="AV49" i="78"/>
  <c r="AX52" i="78"/>
  <c r="AT57" i="78"/>
  <c r="AV58" i="78"/>
  <c r="AU59" i="78"/>
  <c r="AX61" i="78"/>
  <c r="AU66" i="78"/>
  <c r="AT67" i="78"/>
  <c r="AV68" i="78"/>
  <c r="AU146" i="78"/>
  <c r="AW47" i="78"/>
  <c r="AW55" i="78"/>
  <c r="AJ46" i="78"/>
  <c r="AJ55" i="78"/>
  <c r="AJ60" i="78"/>
  <c r="AJ64" i="78"/>
  <c r="AI45" i="78"/>
  <c r="AK47" i="78"/>
  <c r="AI53" i="78"/>
  <c r="AK55" i="78"/>
  <c r="AL67" i="78"/>
  <c r="AL59" i="78"/>
  <c r="AL51" i="78"/>
  <c r="AK146" i="78"/>
  <c r="AL65" i="78"/>
  <c r="AL57" i="78"/>
  <c r="AL49" i="78"/>
  <c r="AL69" i="78"/>
  <c r="AL61" i="78"/>
  <c r="AK45" i="78"/>
  <c r="AL46" i="78"/>
  <c r="AL47" i="78"/>
  <c r="AL54" i="78"/>
  <c r="AL55" i="78"/>
  <c r="AI59" i="78"/>
  <c r="AI63" i="78"/>
  <c r="AL64" i="78"/>
  <c r="AI67" i="78"/>
  <c r="AI47" i="78"/>
  <c r="AJ69" i="78"/>
  <c r="AJ61" i="78"/>
  <c r="AJ53" i="78"/>
  <c r="AJ45" i="78"/>
  <c r="AJ67" i="78"/>
  <c r="AJ59" i="78"/>
  <c r="AJ51" i="78"/>
  <c r="AJ63" i="78"/>
  <c r="AJ47" i="78"/>
  <c r="AJ54" i="78"/>
  <c r="AJ68" i="78"/>
  <c r="AK68" i="78"/>
  <c r="AK60" i="78"/>
  <c r="AK52" i="78"/>
  <c r="AK66" i="78"/>
  <c r="AK58" i="78"/>
  <c r="AK50" i="78"/>
  <c r="AJ146" i="78"/>
  <c r="AK72" i="78"/>
  <c r="AK62" i="78"/>
  <c r="AK46" i="78"/>
  <c r="AK54" i="78"/>
  <c r="AK64" i="78"/>
  <c r="AM66" i="78"/>
  <c r="AM58" i="78"/>
  <c r="AM50" i="78"/>
  <c r="AL146" i="78"/>
  <c r="AM64" i="78"/>
  <c r="AM56" i="78"/>
  <c r="AM48" i="78"/>
  <c r="AM68" i="78"/>
  <c r="AM60" i="78"/>
  <c r="AL45" i="78"/>
  <c r="AM46" i="78"/>
  <c r="AM47" i="78"/>
  <c r="AI51" i="78"/>
  <c r="AL52" i="78"/>
  <c r="AL53" i="78"/>
  <c r="AM54" i="78"/>
  <c r="AM55" i="78"/>
  <c r="AK59" i="78"/>
  <c r="AK63" i="78"/>
  <c r="AK67" i="78"/>
  <c r="AJ62" i="78"/>
  <c r="AJ72" i="78"/>
  <c r="AI72" i="78"/>
  <c r="AI62" i="78"/>
  <c r="AI54" i="78"/>
  <c r="AI46" i="78"/>
  <c r="AI68" i="78"/>
  <c r="AI60" i="78"/>
  <c r="AI52" i="78"/>
  <c r="AI64" i="78"/>
  <c r="AI55" i="78"/>
  <c r="AI50" i="78"/>
  <c r="AI58" i="78"/>
  <c r="AI49" i="78"/>
  <c r="AJ50" i="78"/>
  <c r="AI57" i="78"/>
  <c r="AJ58" i="78"/>
  <c r="AJ66" i="78"/>
  <c r="AI146" i="78"/>
  <c r="CG72" i="78" l="1"/>
  <c r="CG109" i="78" s="1"/>
  <c r="BV72" i="78"/>
  <c r="BV109" i="78" s="1"/>
  <c r="AO72" i="78"/>
  <c r="AO109" i="78" s="1"/>
  <c r="AZ72" i="78"/>
  <c r="AZ109" i="78" s="1"/>
  <c r="BK72" i="78"/>
  <c r="BK109" i="78" s="1"/>
  <c r="CR72" i="78"/>
  <c r="CR109" i="78" s="1"/>
  <c r="CT72" i="78"/>
  <c r="CT109" i="78" s="1"/>
  <c r="D99" i="52"/>
  <c r="B94" i="52"/>
  <c r="C94" i="52"/>
  <c r="D94" i="52"/>
  <c r="B95" i="52"/>
  <c r="C95" i="52"/>
  <c r="D95" i="52"/>
  <c r="B96" i="52"/>
  <c r="C96" i="52"/>
  <c r="D96" i="52"/>
  <c r="B97" i="52"/>
  <c r="C97" i="52"/>
  <c r="D97" i="52"/>
  <c r="B98" i="52"/>
  <c r="C98" i="52"/>
  <c r="D98" i="52"/>
  <c r="B99" i="52"/>
  <c r="C99" i="52"/>
  <c r="B100" i="52"/>
  <c r="C100" i="52"/>
  <c r="D100" i="52"/>
  <c r="B101" i="52"/>
  <c r="C101" i="52"/>
  <c r="D101" i="52"/>
  <c r="C93" i="52"/>
  <c r="D93" i="52"/>
  <c r="B93" i="52"/>
  <c r="AN92" i="52"/>
  <c r="AM92" i="52"/>
  <c r="AL92" i="52"/>
  <c r="AJ92" i="52"/>
  <c r="AI92" i="52"/>
  <c r="AH92" i="52"/>
  <c r="AF92" i="52"/>
  <c r="AE92" i="52"/>
  <c r="AD92" i="52"/>
  <c r="D76" i="52"/>
  <c r="D83" i="52"/>
  <c r="C83" i="52"/>
  <c r="B83" i="52"/>
  <c r="D82" i="52"/>
  <c r="C82" i="52"/>
  <c r="B82" i="52"/>
  <c r="D81" i="52"/>
  <c r="C81" i="52"/>
  <c r="B81" i="52"/>
  <c r="D80" i="52"/>
  <c r="C80" i="52"/>
  <c r="B80" i="52"/>
  <c r="D79" i="52"/>
  <c r="C79" i="52"/>
  <c r="B79" i="52"/>
  <c r="D78" i="52"/>
  <c r="C78" i="52"/>
  <c r="B78" i="52"/>
  <c r="D77" i="52"/>
  <c r="C77" i="52"/>
  <c r="B77" i="52"/>
  <c r="C76" i="52"/>
  <c r="B76" i="52"/>
  <c r="D75" i="52"/>
  <c r="C75" i="52"/>
  <c r="B75" i="52"/>
  <c r="D71" i="52"/>
  <c r="C71" i="52"/>
  <c r="B71" i="52"/>
  <c r="D70" i="52"/>
  <c r="C70" i="52"/>
  <c r="B70" i="52"/>
  <c r="D69" i="52"/>
  <c r="C69" i="52"/>
  <c r="B69" i="52"/>
  <c r="D68" i="52"/>
  <c r="C68" i="52"/>
  <c r="B68" i="52"/>
  <c r="D67" i="52"/>
  <c r="C67" i="52"/>
  <c r="B67" i="52"/>
  <c r="D66" i="52"/>
  <c r="C66" i="52"/>
  <c r="B66" i="52"/>
  <c r="D65" i="52"/>
  <c r="C65" i="52"/>
  <c r="B65" i="52"/>
  <c r="D64" i="52"/>
  <c r="C64" i="52"/>
  <c r="B64" i="52"/>
  <c r="D63" i="52"/>
  <c r="C63" i="52"/>
  <c r="B63" i="52"/>
  <c r="B52" i="52"/>
  <c r="C52" i="52"/>
  <c r="D52" i="52"/>
  <c r="B53" i="52"/>
  <c r="C53" i="52"/>
  <c r="D53" i="52"/>
  <c r="B54" i="52"/>
  <c r="C54" i="52"/>
  <c r="D54" i="52"/>
  <c r="B55" i="52"/>
  <c r="C55" i="52"/>
  <c r="D55" i="52"/>
  <c r="B56" i="52"/>
  <c r="C56" i="52"/>
  <c r="D56" i="52"/>
  <c r="B57" i="52"/>
  <c r="C57" i="52"/>
  <c r="D57" i="52"/>
  <c r="B58" i="52"/>
  <c r="C58" i="52"/>
  <c r="D58" i="52"/>
  <c r="B59" i="52"/>
  <c r="C59" i="52"/>
  <c r="D59" i="52"/>
  <c r="C51" i="52"/>
  <c r="D51" i="52"/>
  <c r="B51" i="52"/>
  <c r="AN74" i="52"/>
  <c r="AM74" i="52"/>
  <c r="AL74" i="52"/>
  <c r="AN62" i="52"/>
  <c r="AM62" i="52"/>
  <c r="AL62" i="52"/>
  <c r="AN50" i="52"/>
  <c r="AM50" i="52"/>
  <c r="AL50" i="52"/>
  <c r="AJ74" i="52"/>
  <c r="AI74" i="52"/>
  <c r="AH74" i="52"/>
  <c r="AJ62" i="52"/>
  <c r="AI62" i="52"/>
  <c r="AH62" i="52"/>
  <c r="AJ50" i="52"/>
  <c r="AI50" i="52"/>
  <c r="AH50" i="52"/>
  <c r="AF74" i="52"/>
  <c r="AE74" i="52"/>
  <c r="AD74" i="52"/>
  <c r="AF62" i="52"/>
  <c r="AE62" i="52"/>
  <c r="AD62" i="52"/>
  <c r="AF50" i="52"/>
  <c r="AE50" i="52"/>
  <c r="AD50" i="52"/>
  <c r="AD9" i="52"/>
  <c r="D41" i="52"/>
  <c r="C41" i="52"/>
  <c r="B41" i="52"/>
  <c r="D40" i="52"/>
  <c r="C40" i="52"/>
  <c r="B40" i="52"/>
  <c r="D39" i="52"/>
  <c r="C39" i="52"/>
  <c r="B39" i="52"/>
  <c r="D38" i="52"/>
  <c r="C38" i="52"/>
  <c r="B38" i="52"/>
  <c r="D37" i="52"/>
  <c r="C37" i="52"/>
  <c r="B37" i="52"/>
  <c r="D36" i="52"/>
  <c r="C36" i="52"/>
  <c r="B36" i="52"/>
  <c r="D35" i="52"/>
  <c r="C35" i="52"/>
  <c r="B35" i="52"/>
  <c r="D34" i="52"/>
  <c r="C34" i="52"/>
  <c r="B34" i="52"/>
  <c r="D33" i="52"/>
  <c r="C33" i="52"/>
  <c r="B33" i="52"/>
  <c r="B22" i="52"/>
  <c r="C22" i="52"/>
  <c r="D22" i="52"/>
  <c r="B23" i="52"/>
  <c r="C23" i="52"/>
  <c r="D23" i="52"/>
  <c r="B24" i="52"/>
  <c r="C24" i="52"/>
  <c r="D24" i="52"/>
  <c r="B25" i="52"/>
  <c r="C25" i="52"/>
  <c r="D25" i="52"/>
  <c r="B26" i="52"/>
  <c r="C26" i="52"/>
  <c r="D26" i="52"/>
  <c r="B27" i="52"/>
  <c r="C27" i="52"/>
  <c r="D27" i="52"/>
  <c r="B28" i="52"/>
  <c r="C28" i="52"/>
  <c r="D28" i="52"/>
  <c r="B29" i="52"/>
  <c r="C29" i="52"/>
  <c r="D29" i="52"/>
  <c r="C21" i="52"/>
  <c r="D21" i="52"/>
  <c r="AL4" i="52"/>
  <c r="AM88" i="52" s="1"/>
  <c r="AH4" i="52"/>
  <c r="AH46" i="52" s="1"/>
  <c r="AD4" i="52"/>
  <c r="AD88" i="52" s="1"/>
  <c r="AN32" i="52"/>
  <c r="AM32" i="52"/>
  <c r="AL32" i="52"/>
  <c r="AN20" i="52"/>
  <c r="AM20" i="52"/>
  <c r="AL20" i="52"/>
  <c r="AN17" i="52"/>
  <c r="AM17" i="52"/>
  <c r="AL17" i="52"/>
  <c r="AN16" i="52"/>
  <c r="AM16" i="52"/>
  <c r="AL16" i="52"/>
  <c r="AN15" i="52"/>
  <c r="AM15" i="52"/>
  <c r="AL15" i="52"/>
  <c r="AN14" i="52"/>
  <c r="AM14" i="52"/>
  <c r="AL14" i="52"/>
  <c r="AN13" i="52"/>
  <c r="AM13" i="52"/>
  <c r="AL13" i="52"/>
  <c r="AN12" i="52"/>
  <c r="AM12" i="52"/>
  <c r="AL12" i="52"/>
  <c r="AN11" i="52"/>
  <c r="AM11" i="52"/>
  <c r="AL11" i="52"/>
  <c r="AN10" i="52"/>
  <c r="AM10" i="52"/>
  <c r="AL10" i="52"/>
  <c r="AN9" i="52"/>
  <c r="AM9" i="52"/>
  <c r="AL9" i="52"/>
  <c r="AJ32" i="52"/>
  <c r="AI32" i="52"/>
  <c r="AH32" i="52"/>
  <c r="AJ20" i="52"/>
  <c r="AI20" i="52"/>
  <c r="AH20" i="52"/>
  <c r="AJ17" i="52"/>
  <c r="AI17" i="52"/>
  <c r="AH17" i="52"/>
  <c r="AJ16" i="52"/>
  <c r="AI16" i="52"/>
  <c r="AH16" i="52"/>
  <c r="AJ15" i="52"/>
  <c r="AI15" i="52"/>
  <c r="AH15" i="52"/>
  <c r="AJ14" i="52"/>
  <c r="AI14" i="52"/>
  <c r="AH14" i="52"/>
  <c r="AJ13" i="52"/>
  <c r="AI13" i="52"/>
  <c r="AH13" i="52"/>
  <c r="AJ12" i="52"/>
  <c r="AI12" i="52"/>
  <c r="AH12" i="52"/>
  <c r="AJ11" i="52"/>
  <c r="AI11" i="52"/>
  <c r="AH11" i="52"/>
  <c r="AJ10" i="52"/>
  <c r="AI10" i="52"/>
  <c r="AH10" i="52"/>
  <c r="AJ9" i="52"/>
  <c r="AI9" i="52"/>
  <c r="AH9" i="52"/>
  <c r="AF32" i="52"/>
  <c r="AE32" i="52"/>
  <c r="AD32" i="52"/>
  <c r="AF20" i="52"/>
  <c r="AE20" i="52"/>
  <c r="AD20" i="52"/>
  <c r="AF17" i="52"/>
  <c r="AE17" i="52"/>
  <c r="AD17" i="52"/>
  <c r="AF16" i="52"/>
  <c r="AE16" i="52"/>
  <c r="AD16" i="52"/>
  <c r="AF15" i="52"/>
  <c r="AE15" i="52"/>
  <c r="AD15" i="52"/>
  <c r="AF14" i="52"/>
  <c r="AE14" i="52"/>
  <c r="AD14" i="52"/>
  <c r="AF13" i="52"/>
  <c r="AE13" i="52"/>
  <c r="AD13" i="52"/>
  <c r="AF12" i="52"/>
  <c r="AE12" i="52"/>
  <c r="AD12" i="52"/>
  <c r="AF11" i="52"/>
  <c r="AE11" i="52"/>
  <c r="AD11" i="52"/>
  <c r="AF10" i="52"/>
  <c r="AE10" i="52"/>
  <c r="AD10" i="52"/>
  <c r="AF9" i="52"/>
  <c r="AE9" i="52"/>
  <c r="Z4" i="52"/>
  <c r="Z88" i="52" s="1"/>
  <c r="V4" i="52"/>
  <c r="V46" i="52" s="1"/>
  <c r="R4" i="52"/>
  <c r="R88" i="52" s="1"/>
  <c r="N5" i="52"/>
  <c r="Z5" i="52" s="1"/>
  <c r="AL5" i="52" s="1"/>
  <c r="N4" i="52"/>
  <c r="J4" i="52"/>
  <c r="F4" i="52"/>
  <c r="A35" i="78"/>
  <c r="A9" i="78"/>
  <c r="A10" i="78"/>
  <c r="A11" i="78"/>
  <c r="A12" i="78"/>
  <c r="A13" i="78"/>
  <c r="A14" i="78"/>
  <c r="A15" i="78"/>
  <c r="A16" i="78"/>
  <c r="A17" i="78"/>
  <c r="A18" i="78"/>
  <c r="A19" i="78"/>
  <c r="A20" i="78"/>
  <c r="A21" i="78"/>
  <c r="A22" i="78"/>
  <c r="A23" i="78"/>
  <c r="A24" i="78"/>
  <c r="A25" i="78"/>
  <c r="A26" i="78"/>
  <c r="A27" i="78"/>
  <c r="A28" i="78"/>
  <c r="A29" i="78"/>
  <c r="A30" i="78"/>
  <c r="A31" i="78"/>
  <c r="A32" i="78"/>
  <c r="A8" i="78"/>
  <c r="AB92" i="52"/>
  <c r="AA92" i="52"/>
  <c r="Z92" i="52"/>
  <c r="X92" i="52"/>
  <c r="W92" i="52"/>
  <c r="V92" i="52"/>
  <c r="T92" i="52"/>
  <c r="S92" i="52"/>
  <c r="R92" i="52"/>
  <c r="AB12" i="52"/>
  <c r="AB74" i="52"/>
  <c r="AA74" i="52"/>
  <c r="Z74" i="52"/>
  <c r="AB62" i="52"/>
  <c r="AA62" i="52"/>
  <c r="Z62" i="52"/>
  <c r="AB50" i="52"/>
  <c r="AA50" i="52"/>
  <c r="Z50" i="52"/>
  <c r="X74" i="52"/>
  <c r="W74" i="52"/>
  <c r="V74" i="52"/>
  <c r="X62" i="52"/>
  <c r="W62" i="52"/>
  <c r="V62" i="52"/>
  <c r="X50" i="52"/>
  <c r="W50" i="52"/>
  <c r="V50" i="52"/>
  <c r="T74" i="52"/>
  <c r="S74" i="52"/>
  <c r="R74" i="52"/>
  <c r="T62" i="52"/>
  <c r="S62" i="52"/>
  <c r="R62" i="52"/>
  <c r="T50" i="52"/>
  <c r="S50" i="52"/>
  <c r="R50" i="52"/>
  <c r="R14" i="52"/>
  <c r="AB32" i="52"/>
  <c r="AA32" i="52"/>
  <c r="Z32" i="52"/>
  <c r="AB20" i="52"/>
  <c r="AA20" i="52"/>
  <c r="Z20" i="52"/>
  <c r="AB17" i="52"/>
  <c r="AA17" i="52"/>
  <c r="Z17" i="52"/>
  <c r="AB16" i="52"/>
  <c r="AA16" i="52"/>
  <c r="Z16" i="52"/>
  <c r="AB15" i="52"/>
  <c r="AA15" i="52"/>
  <c r="Z15" i="52"/>
  <c r="AB14" i="52"/>
  <c r="AA14" i="52"/>
  <c r="Z14" i="52"/>
  <c r="AB13" i="52"/>
  <c r="AA13" i="52"/>
  <c r="Z13" i="52"/>
  <c r="AA12" i="52"/>
  <c r="Z12" i="52"/>
  <c r="AB11" i="52"/>
  <c r="AA11" i="52"/>
  <c r="Z11" i="52"/>
  <c r="AB10" i="52"/>
  <c r="AA10" i="52"/>
  <c r="Z10" i="52"/>
  <c r="AB9" i="52"/>
  <c r="AA9" i="52"/>
  <c r="Z9" i="52"/>
  <c r="X32" i="52"/>
  <c r="W32" i="52"/>
  <c r="V32" i="52"/>
  <c r="X20" i="52"/>
  <c r="W20" i="52"/>
  <c r="V20" i="52"/>
  <c r="X17" i="52"/>
  <c r="W17" i="52"/>
  <c r="V17" i="52"/>
  <c r="X16" i="52"/>
  <c r="W16" i="52"/>
  <c r="V16" i="52"/>
  <c r="X15" i="52"/>
  <c r="W15" i="52"/>
  <c r="V15" i="52"/>
  <c r="X14" i="52"/>
  <c r="W14" i="52"/>
  <c r="V14" i="52"/>
  <c r="X13" i="52"/>
  <c r="W13" i="52"/>
  <c r="V13" i="52"/>
  <c r="X12" i="52"/>
  <c r="W12" i="52"/>
  <c r="V12" i="52"/>
  <c r="X11" i="52"/>
  <c r="W11" i="52"/>
  <c r="V11" i="52"/>
  <c r="X10" i="52"/>
  <c r="W10" i="52"/>
  <c r="V10" i="52"/>
  <c r="X9" i="52"/>
  <c r="W9" i="52"/>
  <c r="V9" i="52"/>
  <c r="T32" i="52"/>
  <c r="S32" i="52"/>
  <c r="R32" i="52"/>
  <c r="T20" i="52"/>
  <c r="S20" i="52"/>
  <c r="R20" i="52"/>
  <c r="T17" i="52"/>
  <c r="S17" i="52"/>
  <c r="R17" i="52"/>
  <c r="T16" i="52"/>
  <c r="S16" i="52"/>
  <c r="R16" i="52"/>
  <c r="T15" i="52"/>
  <c r="S15" i="52"/>
  <c r="R15" i="52"/>
  <c r="T14" i="52"/>
  <c r="S14" i="52"/>
  <c r="T13" i="52"/>
  <c r="S13" i="52"/>
  <c r="R13" i="52"/>
  <c r="T12" i="52"/>
  <c r="S12" i="52"/>
  <c r="R12" i="52"/>
  <c r="T11" i="52"/>
  <c r="S11" i="52"/>
  <c r="R11" i="52"/>
  <c r="T10" i="52"/>
  <c r="S10" i="52"/>
  <c r="R10" i="52"/>
  <c r="T9" i="52"/>
  <c r="S9" i="52"/>
  <c r="R9" i="52"/>
  <c r="AD46" i="52" l="1"/>
  <c r="AL46" i="52"/>
  <c r="Z46" i="52"/>
  <c r="R46" i="52"/>
  <c r="AH88" i="52"/>
  <c r="B92" i="52"/>
  <c r="AA8" i="52"/>
  <c r="AN8" i="52"/>
  <c r="AJ8" i="52"/>
  <c r="AE8" i="52"/>
  <c r="B11" i="52"/>
  <c r="B50" i="52"/>
  <c r="AL8" i="52"/>
  <c r="AM8" i="52"/>
  <c r="AH8" i="52"/>
  <c r="AI8" i="52"/>
  <c r="AD8" i="52"/>
  <c r="AF8" i="52"/>
  <c r="B9" i="52"/>
  <c r="D11" i="52"/>
  <c r="V88" i="52"/>
  <c r="T8" i="52"/>
  <c r="AB8" i="52"/>
  <c r="Z8" i="52"/>
  <c r="V8" i="52"/>
  <c r="W8" i="52"/>
  <c r="X8" i="52"/>
  <c r="R8" i="52"/>
  <c r="S8" i="52"/>
  <c r="A13" i="44"/>
  <c r="A27" i="44" s="1"/>
  <c r="A41" i="44" s="1"/>
  <c r="A55" i="44" s="1"/>
  <c r="A12" i="44"/>
  <c r="A26" i="44" s="1"/>
  <c r="A40" i="44" s="1"/>
  <c r="A54" i="44" s="1"/>
  <c r="A8" i="44"/>
  <c r="A22" i="44" s="1"/>
  <c r="A36" i="44" s="1"/>
  <c r="A50" i="44" s="1"/>
  <c r="A9" i="44"/>
  <c r="A23" i="44" s="1"/>
  <c r="A37" i="44" s="1"/>
  <c r="A51" i="44" s="1"/>
  <c r="A10" i="44"/>
  <c r="A24" i="44" s="1"/>
  <c r="A38" i="44" s="1"/>
  <c r="A52" i="44" s="1"/>
  <c r="A11" i="44"/>
  <c r="A25" i="44" s="1"/>
  <c r="A39" i="44" s="1"/>
  <c r="A53" i="44" s="1"/>
  <c r="R45" i="76"/>
  <c r="S45" i="76"/>
  <c r="T45" i="76"/>
  <c r="U45" i="76"/>
  <c r="V45" i="76"/>
  <c r="W45" i="76"/>
  <c r="X45" i="76"/>
  <c r="Y45" i="76"/>
  <c r="Z45" i="76"/>
  <c r="AA45" i="76"/>
  <c r="AB45" i="76"/>
  <c r="AC45" i="76"/>
  <c r="AD45" i="76"/>
  <c r="AE45" i="76"/>
  <c r="AF45" i="76"/>
  <c r="AG45" i="76"/>
  <c r="Q45" i="76"/>
  <c r="R41" i="76"/>
  <c r="S41" i="76"/>
  <c r="T41" i="76"/>
  <c r="U41" i="76"/>
  <c r="V41" i="76"/>
  <c r="W41" i="76"/>
  <c r="X41" i="76"/>
  <c r="Y41" i="76"/>
  <c r="Z41" i="76"/>
  <c r="AA41" i="76"/>
  <c r="AB41" i="76"/>
  <c r="AC41" i="76"/>
  <c r="AD41" i="76"/>
  <c r="AE41" i="76"/>
  <c r="AF41" i="76"/>
  <c r="AG41" i="76"/>
  <c r="Q41" i="76"/>
  <c r="R37" i="76"/>
  <c r="S37" i="76"/>
  <c r="T37" i="76"/>
  <c r="U37" i="76"/>
  <c r="V37" i="76"/>
  <c r="W37" i="76"/>
  <c r="X37" i="76"/>
  <c r="Y37" i="76"/>
  <c r="Z37" i="76"/>
  <c r="AA37" i="76"/>
  <c r="AB37" i="76"/>
  <c r="AC37" i="76"/>
  <c r="AD37" i="76"/>
  <c r="AE37" i="76"/>
  <c r="AF37" i="76"/>
  <c r="AG37" i="76"/>
  <c r="Q37" i="76"/>
  <c r="R15" i="76"/>
  <c r="S15" i="76"/>
  <c r="T15" i="76"/>
  <c r="U15" i="76"/>
  <c r="V15" i="76"/>
  <c r="W15" i="76"/>
  <c r="X15" i="76"/>
  <c r="Y15" i="76"/>
  <c r="Z15" i="76"/>
  <c r="AA15" i="76"/>
  <c r="AB15" i="76"/>
  <c r="AC15" i="76"/>
  <c r="AD15" i="76"/>
  <c r="AE15" i="76"/>
  <c r="AF15" i="76"/>
  <c r="AG15" i="76"/>
  <c r="Q15" i="76"/>
  <c r="Q9" i="76"/>
  <c r="R5" i="76"/>
  <c r="S5" i="76"/>
  <c r="T5" i="76"/>
  <c r="U5" i="76"/>
  <c r="V5" i="76"/>
  <c r="W5" i="76"/>
  <c r="X5" i="76"/>
  <c r="Y5" i="76"/>
  <c r="Z5" i="76"/>
  <c r="AA5" i="76"/>
  <c r="AB5" i="76"/>
  <c r="AC5" i="76"/>
  <c r="AD5" i="76"/>
  <c r="AE5" i="76"/>
  <c r="AF5" i="76"/>
  <c r="AG5" i="76"/>
  <c r="Q5" i="76"/>
  <c r="B35" i="18" l="1"/>
  <c r="C35" i="18"/>
  <c r="D35" i="18"/>
  <c r="E35" i="18"/>
  <c r="F35" i="18"/>
  <c r="B36" i="18"/>
  <c r="C36" i="18"/>
  <c r="D36" i="18"/>
  <c r="E36" i="18"/>
  <c r="F36" i="18"/>
  <c r="B29" i="18"/>
  <c r="C29" i="18"/>
  <c r="D29" i="18"/>
  <c r="E29" i="18"/>
  <c r="F29" i="18"/>
  <c r="B30" i="18"/>
  <c r="C30" i="18"/>
  <c r="D30" i="18"/>
  <c r="E30" i="18"/>
  <c r="F30" i="18"/>
  <c r="B31" i="18"/>
  <c r="C31" i="18"/>
  <c r="D31" i="18"/>
  <c r="E31" i="18"/>
  <c r="F31" i="18"/>
  <c r="B32" i="18"/>
  <c r="C32" i="18"/>
  <c r="D32" i="18"/>
  <c r="E32" i="18"/>
  <c r="F32" i="18"/>
  <c r="B18" i="18"/>
  <c r="C18" i="18"/>
  <c r="D18" i="18"/>
  <c r="E18" i="18"/>
  <c r="F18" i="18"/>
  <c r="B19" i="18"/>
  <c r="C19" i="18"/>
  <c r="D19" i="18"/>
  <c r="E19" i="18"/>
  <c r="F19" i="18"/>
  <c r="B20" i="18"/>
  <c r="C20" i="18"/>
  <c r="D20" i="18"/>
  <c r="E20" i="18"/>
  <c r="F20" i="18"/>
  <c r="B21" i="18"/>
  <c r="C21" i="18"/>
  <c r="D21" i="18"/>
  <c r="E21" i="18"/>
  <c r="F21" i="18"/>
  <c r="B22" i="18"/>
  <c r="C22" i="18"/>
  <c r="D22" i="18"/>
  <c r="E22" i="18"/>
  <c r="F22" i="18"/>
  <c r="B12" i="18"/>
  <c r="C12" i="18"/>
  <c r="D12" i="18"/>
  <c r="E12" i="18"/>
  <c r="F12" i="18"/>
  <c r="B13" i="18"/>
  <c r="C13" i="18"/>
  <c r="D13" i="18"/>
  <c r="E13" i="18"/>
  <c r="F13" i="18"/>
  <c r="B14" i="18"/>
  <c r="C14" i="18"/>
  <c r="D14" i="18"/>
  <c r="E14" i="18"/>
  <c r="F14" i="18"/>
  <c r="B15" i="18"/>
  <c r="C15" i="18"/>
  <c r="D15" i="18"/>
  <c r="E15" i="18"/>
  <c r="F15" i="18"/>
  <c r="B9" i="18"/>
  <c r="C9" i="18"/>
  <c r="D9" i="18"/>
  <c r="E9" i="18"/>
  <c r="F9" i="18"/>
  <c r="C8" i="18"/>
  <c r="D8" i="18"/>
  <c r="E8" i="18"/>
  <c r="F8" i="18"/>
  <c r="B8" i="18"/>
  <c r="F180" i="71"/>
  <c r="B80" i="16"/>
  <c r="B106" i="71"/>
  <c r="A35" i="71"/>
  <c r="A180" i="71" s="1"/>
  <c r="A9" i="71"/>
  <c r="A10" i="71"/>
  <c r="A11" i="71"/>
  <c r="A12" i="71"/>
  <c r="A13" i="71"/>
  <c r="A158" i="71" s="1"/>
  <c r="A14" i="71"/>
  <c r="A15" i="71"/>
  <c r="A160" i="71" s="1"/>
  <c r="A16" i="71"/>
  <c r="A17" i="71"/>
  <c r="A18" i="71"/>
  <c r="A19" i="71"/>
  <c r="A164" i="71" s="1"/>
  <c r="A20" i="71"/>
  <c r="A21" i="71"/>
  <c r="A22" i="71"/>
  <c r="A167" i="71" s="1"/>
  <c r="A23" i="71"/>
  <c r="A24" i="71"/>
  <c r="A25" i="71"/>
  <c r="A26" i="71"/>
  <c r="A27" i="71"/>
  <c r="A28" i="71"/>
  <c r="A29" i="71"/>
  <c r="A30" i="71"/>
  <c r="A31" i="71"/>
  <c r="A32" i="71"/>
  <c r="A8" i="18"/>
  <c r="L53" i="76" s="1"/>
  <c r="B331" i="97"/>
  <c r="B323" i="97"/>
  <c r="C323" i="97"/>
  <c r="D323" i="97"/>
  <c r="E323" i="97"/>
  <c r="B324" i="97"/>
  <c r="C324" i="97"/>
  <c r="D324" i="97"/>
  <c r="E324" i="97"/>
  <c r="B325" i="97"/>
  <c r="C325" i="97"/>
  <c r="D325" i="97"/>
  <c r="E325" i="97"/>
  <c r="B326" i="97"/>
  <c r="C326" i="97"/>
  <c r="D326" i="97"/>
  <c r="E326" i="97"/>
  <c r="B327" i="97"/>
  <c r="C327" i="97"/>
  <c r="D327" i="97"/>
  <c r="E327" i="97"/>
  <c r="B328" i="97"/>
  <c r="C328" i="97"/>
  <c r="D328" i="97"/>
  <c r="E328" i="97"/>
  <c r="B329" i="97"/>
  <c r="C329" i="97"/>
  <c r="D329" i="97"/>
  <c r="E329" i="97"/>
  <c r="B330" i="97"/>
  <c r="C330" i="97"/>
  <c r="D330" i="97"/>
  <c r="E330" i="97"/>
  <c r="C331" i="97"/>
  <c r="D331" i="97"/>
  <c r="E331" i="97"/>
  <c r="B247" i="97"/>
  <c r="B239" i="97"/>
  <c r="C239" i="97"/>
  <c r="D239" i="97"/>
  <c r="E239" i="97"/>
  <c r="B240" i="97"/>
  <c r="C240" i="97"/>
  <c r="D240" i="97"/>
  <c r="E240" i="97"/>
  <c r="B241" i="97"/>
  <c r="C241" i="97"/>
  <c r="D241" i="97"/>
  <c r="E241" i="97"/>
  <c r="B242" i="97"/>
  <c r="C242" i="97"/>
  <c r="D242" i="97"/>
  <c r="E242" i="97"/>
  <c r="B243" i="97"/>
  <c r="C243" i="97"/>
  <c r="D243" i="97"/>
  <c r="E243" i="97"/>
  <c r="B244" i="97"/>
  <c r="C244" i="97"/>
  <c r="D244" i="97"/>
  <c r="E244" i="97"/>
  <c r="B245" i="97"/>
  <c r="C245" i="97"/>
  <c r="D245" i="97"/>
  <c r="E245" i="97"/>
  <c r="B246" i="97"/>
  <c r="C246" i="97"/>
  <c r="D246" i="97"/>
  <c r="E246" i="97"/>
  <c r="C247" i="97"/>
  <c r="D247" i="97"/>
  <c r="E247" i="97"/>
  <c r="B81" i="97"/>
  <c r="B165" i="97" s="1"/>
  <c r="F5" i="12" a="1"/>
  <c r="F5" i="12" s="1"/>
  <c r="E5" i="12" a="1"/>
  <c r="E5" i="12" s="1"/>
  <c r="D5" i="12" a="1"/>
  <c r="D5" i="12" s="1"/>
  <c r="C5" i="12" a="1"/>
  <c r="C5" i="12" s="1"/>
  <c r="B5" i="12" a="1"/>
  <c r="B8" i="12" s="1"/>
  <c r="A28" i="12"/>
  <c r="A21" i="12"/>
  <c r="A48" i="12" s="1"/>
  <c r="A22" i="12"/>
  <c r="A49" i="12" s="1"/>
  <c r="A23" i="12"/>
  <c r="A50" i="12" s="1"/>
  <c r="A24" i="12"/>
  <c r="A51" i="12" s="1"/>
  <c r="A25" i="12"/>
  <c r="A52" i="12" s="1"/>
  <c r="A26" i="12"/>
  <c r="A53" i="12" s="1"/>
  <c r="A6" i="12"/>
  <c r="A7" i="12"/>
  <c r="A8" i="12"/>
  <c r="A9" i="12"/>
  <c r="A10" i="12"/>
  <c r="A11" i="12"/>
  <c r="A11" i="15" s="1"/>
  <c r="A93" i="15" s="1"/>
  <c r="A12" i="12"/>
  <c r="A13" i="12"/>
  <c r="A21" i="15" s="1"/>
  <c r="A103" i="15" s="1"/>
  <c r="A14" i="12"/>
  <c r="A22" i="15" s="1"/>
  <c r="A104" i="15" s="1"/>
  <c r="A15" i="12"/>
  <c r="A23" i="15" s="1"/>
  <c r="A105" i="15" s="1"/>
  <c r="A16" i="12"/>
  <c r="A26" i="15" s="1"/>
  <c r="A108" i="15" s="1"/>
  <c r="A17" i="12"/>
  <c r="A27" i="15" s="1"/>
  <c r="A109" i="15" s="1"/>
  <c r="A18" i="12"/>
  <c r="A28" i="15" s="1"/>
  <c r="A110" i="15" s="1"/>
  <c r="A19" i="12"/>
  <c r="A29" i="15" s="1"/>
  <c r="A111" i="15" s="1"/>
  <c r="A20" i="12"/>
  <c r="A47" i="12" s="1"/>
  <c r="A5" i="12"/>
  <c r="F7" i="11" a="1"/>
  <c r="F8" i="11" s="1"/>
  <c r="E7" i="11" a="1"/>
  <c r="E7" i="11" s="1"/>
  <c r="D7" i="11" a="1"/>
  <c r="D7" i="11" s="1"/>
  <c r="C7" i="11" a="1"/>
  <c r="C8" i="11" s="1"/>
  <c r="B7" i="11" a="1"/>
  <c r="B7" i="11" s="1"/>
  <c r="C81" i="97"/>
  <c r="C157" i="97" s="1"/>
  <c r="D81" i="97"/>
  <c r="E81" i="97"/>
  <c r="E155" i="97" s="1"/>
  <c r="F81" i="97"/>
  <c r="A79" i="97"/>
  <c r="A163" i="97" s="1"/>
  <c r="A76" i="97"/>
  <c r="A160" i="97" s="1"/>
  <c r="A77" i="97"/>
  <c r="A161" i="97" s="1"/>
  <c r="A78" i="97"/>
  <c r="A162" i="97" s="1"/>
  <c r="A71" i="97"/>
  <c r="A155" i="97" s="1"/>
  <c r="A72" i="97"/>
  <c r="A156" i="97" s="1"/>
  <c r="A73" i="97"/>
  <c r="A157" i="97" s="1"/>
  <c r="A74" i="97"/>
  <c r="A158" i="97" s="1"/>
  <c r="A75" i="97"/>
  <c r="A159" i="97" s="1"/>
  <c r="F90" i="12" l="1"/>
  <c r="F158" i="97"/>
  <c r="F333" i="97"/>
  <c r="D160" i="97"/>
  <c r="F249" i="97"/>
  <c r="H26" i="16"/>
  <c r="J9" i="18"/>
  <c r="A35" i="18"/>
  <c r="A170" i="71"/>
  <c r="A32" i="18"/>
  <c r="A169" i="71"/>
  <c r="A14" i="18"/>
  <c r="A157" i="71"/>
  <c r="A31" i="18"/>
  <c r="A168" i="71"/>
  <c r="A13" i="18"/>
  <c r="A156" i="71"/>
  <c r="A15" i="18"/>
  <c r="A12" i="18"/>
  <c r="A155" i="71"/>
  <c r="A19" i="18"/>
  <c r="A29" i="18"/>
  <c r="A166" i="71"/>
  <c r="A9" i="18"/>
  <c r="L54" i="76" s="1"/>
  <c r="A154" i="71"/>
  <c r="A177" i="71"/>
  <c r="A26" i="18"/>
  <c r="A165" i="71"/>
  <c r="A176" i="71"/>
  <c r="A175" i="71"/>
  <c r="A22" i="18"/>
  <c r="A163" i="71"/>
  <c r="A174" i="71"/>
  <c r="A21" i="18"/>
  <c r="A162" i="71"/>
  <c r="A173" i="71"/>
  <c r="A20" i="18"/>
  <c r="A161" i="71"/>
  <c r="M153" i="75"/>
  <c r="A172" i="71"/>
  <c r="A36" i="18"/>
  <c r="A171" i="71"/>
  <c r="A18" i="18"/>
  <c r="A159" i="71"/>
  <c r="A30" i="18"/>
  <c r="I20" i="11"/>
  <c r="L22" i="18"/>
  <c r="N266" i="21"/>
  <c r="N153" i="75"/>
  <c r="X4" i="106"/>
  <c r="Z4" i="106"/>
  <c r="Y4" i="106"/>
  <c r="AB4" i="106"/>
  <c r="AC4" i="106"/>
  <c r="AA4" i="106"/>
  <c r="L7" i="76"/>
  <c r="A72" i="15"/>
  <c r="L18" i="19" s="1"/>
  <c r="L27" i="21"/>
  <c r="A60" i="18"/>
  <c r="L50" i="75"/>
  <c r="L6" i="76"/>
  <c r="A54" i="15"/>
  <c r="L36" i="19" s="1"/>
  <c r="L9" i="21"/>
  <c r="A36" i="15"/>
  <c r="A118" i="15" s="1"/>
  <c r="A38" i="15"/>
  <c r="A120" i="15" s="1"/>
  <c r="A37" i="15"/>
  <c r="A119" i="15" s="1"/>
  <c r="A327" i="97"/>
  <c r="A32" i="15"/>
  <c r="A114" i="15" s="1"/>
  <c r="A111" i="12"/>
  <c r="A331" i="97"/>
  <c r="A33" i="15"/>
  <c r="A115" i="15" s="1"/>
  <c r="A31" i="15"/>
  <c r="A113" i="15" s="1"/>
  <c r="A30" i="15"/>
  <c r="A112" i="15" s="1"/>
  <c r="L30" i="18"/>
  <c r="L41" i="18"/>
  <c r="L9" i="18"/>
  <c r="L19" i="18"/>
  <c r="L13" i="18"/>
  <c r="L32" i="18"/>
  <c r="L48" i="18"/>
  <c r="L49" i="18"/>
  <c r="L12" i="18"/>
  <c r="L31" i="18"/>
  <c r="C160" i="97"/>
  <c r="K8" i="18"/>
  <c r="L8" i="18"/>
  <c r="D158" i="97"/>
  <c r="L15" i="18"/>
  <c r="L18" i="18"/>
  <c r="L36" i="18"/>
  <c r="L45" i="18"/>
  <c r="C155" i="97"/>
  <c r="L21" i="18"/>
  <c r="L29" i="18"/>
  <c r="L40" i="18"/>
  <c r="L14" i="18"/>
  <c r="L35" i="18"/>
  <c r="L44" i="18"/>
  <c r="F64" i="16"/>
  <c r="N3" i="107" s="1"/>
  <c r="L20" i="18"/>
  <c r="I8" i="18"/>
  <c r="I9" i="18"/>
  <c r="K9" i="18"/>
  <c r="H8" i="18"/>
  <c r="J8" i="18"/>
  <c r="H9" i="18"/>
  <c r="B86" i="16"/>
  <c r="A329" i="97"/>
  <c r="C158" i="97"/>
  <c r="A243" i="97"/>
  <c r="A330" i="97"/>
  <c r="A326" i="97"/>
  <c r="B158" i="97"/>
  <c r="A323" i="97"/>
  <c r="B157" i="97"/>
  <c r="A324" i="97"/>
  <c r="B162" i="97"/>
  <c r="D155" i="97"/>
  <c r="A325" i="97"/>
  <c r="B160" i="97"/>
  <c r="B155" i="97"/>
  <c r="E158" i="97"/>
  <c r="B163" i="97"/>
  <c r="B249" i="97"/>
  <c r="A328" i="97"/>
  <c r="A244" i="97"/>
  <c r="A240" i="97"/>
  <c r="E163" i="97"/>
  <c r="F156" i="97"/>
  <c r="A241" i="97"/>
  <c r="C161" i="97"/>
  <c r="F157" i="97"/>
  <c r="E162" i="97"/>
  <c r="F160" i="97"/>
  <c r="C159" i="97"/>
  <c r="E157" i="97"/>
  <c r="B156" i="97"/>
  <c r="A245" i="97"/>
  <c r="D163" i="97"/>
  <c r="E161" i="97"/>
  <c r="F159" i="97"/>
  <c r="E156" i="97"/>
  <c r="A242" i="97"/>
  <c r="F162" i="97"/>
  <c r="D159" i="97"/>
  <c r="C156" i="97"/>
  <c r="D162" i="97"/>
  <c r="E160" i="97"/>
  <c r="B159" i="97"/>
  <c r="D157" i="97"/>
  <c r="F155" i="97"/>
  <c r="A246" i="97"/>
  <c r="F163" i="97"/>
  <c r="F161" i="97"/>
  <c r="C163" i="97"/>
  <c r="D161" i="97"/>
  <c r="E159" i="97"/>
  <c r="D156" i="97"/>
  <c r="C162" i="97"/>
  <c r="A239" i="97"/>
  <c r="A247" i="97"/>
  <c r="B161" i="97"/>
  <c r="A106" i="12"/>
  <c r="A107" i="12"/>
  <c r="A108" i="12"/>
  <c r="A109" i="12"/>
  <c r="A110" i="12"/>
  <c r="A83" i="12"/>
  <c r="A79" i="12"/>
  <c r="A80" i="12"/>
  <c r="A81" i="12"/>
  <c r="A82" i="12"/>
  <c r="A84" i="12"/>
  <c r="F8" i="12"/>
  <c r="F23" i="12"/>
  <c r="F15" i="12"/>
  <c r="F7" i="12"/>
  <c r="F12" i="12"/>
  <c r="F19" i="12"/>
  <c r="F18" i="12"/>
  <c r="F25" i="12"/>
  <c r="F17" i="12"/>
  <c r="F16" i="12"/>
  <c r="F22" i="12"/>
  <c r="F14" i="12"/>
  <c r="F6" i="12"/>
  <c r="F20" i="12"/>
  <c r="F11" i="12"/>
  <c r="F26" i="12"/>
  <c r="F10" i="12"/>
  <c r="F9" i="12"/>
  <c r="F24" i="12"/>
  <c r="F21" i="12"/>
  <c r="F13" i="12"/>
  <c r="E12" i="12"/>
  <c r="E19" i="12"/>
  <c r="E29" i="15" s="1"/>
  <c r="E10" i="12"/>
  <c r="E25" i="12"/>
  <c r="E32" i="15" s="1"/>
  <c r="E9" i="12"/>
  <c r="E24" i="12"/>
  <c r="E38" i="15" s="1"/>
  <c r="E16" i="12"/>
  <c r="E26" i="15" s="1"/>
  <c r="E8" i="12"/>
  <c r="E22" i="12"/>
  <c r="E36" i="15" s="1"/>
  <c r="E20" i="12"/>
  <c r="E30" i="15" s="1"/>
  <c r="E11" i="12"/>
  <c r="E11" i="15" s="1"/>
  <c r="E26" i="12"/>
  <c r="E33" i="15" s="1"/>
  <c r="E18" i="12"/>
  <c r="E28" i="15" s="1"/>
  <c r="E17" i="12"/>
  <c r="E27" i="15" s="1"/>
  <c r="E23" i="12"/>
  <c r="E37" i="15" s="1"/>
  <c r="E15" i="12"/>
  <c r="E23" i="15" s="1"/>
  <c r="E7" i="12"/>
  <c r="E14" i="12"/>
  <c r="E22" i="15" s="1"/>
  <c r="E6" i="12"/>
  <c r="E21" i="12"/>
  <c r="E31" i="15" s="1"/>
  <c r="E13" i="12"/>
  <c r="E21" i="15" s="1"/>
  <c r="D20" i="12"/>
  <c r="D30" i="15" s="1"/>
  <c r="D26" i="12"/>
  <c r="D18" i="12"/>
  <c r="D28" i="15" s="1"/>
  <c r="D10" i="12"/>
  <c r="D12" i="12"/>
  <c r="D9" i="12"/>
  <c r="D8" i="12"/>
  <c r="D23" i="12"/>
  <c r="D37" i="15" s="1"/>
  <c r="D15" i="12"/>
  <c r="D23" i="15" s="1"/>
  <c r="D7" i="12"/>
  <c r="D11" i="12"/>
  <c r="D11" i="15" s="1"/>
  <c r="D25" i="12"/>
  <c r="D32" i="15" s="1"/>
  <c r="D16" i="12"/>
  <c r="D26" i="15" s="1"/>
  <c r="D22" i="12"/>
  <c r="D36" i="15" s="1"/>
  <c r="D14" i="12"/>
  <c r="D22" i="15" s="1"/>
  <c r="D6" i="12"/>
  <c r="D19" i="12"/>
  <c r="D29" i="15" s="1"/>
  <c r="D17" i="12"/>
  <c r="D27" i="15" s="1"/>
  <c r="D24" i="12"/>
  <c r="D38" i="15" s="1"/>
  <c r="D21" i="12"/>
  <c r="D31" i="15" s="1"/>
  <c r="D13" i="12"/>
  <c r="D21" i="15" s="1"/>
  <c r="C20" i="12"/>
  <c r="C30" i="15" s="1"/>
  <c r="C19" i="12"/>
  <c r="C29" i="15" s="1"/>
  <c r="C11" i="12"/>
  <c r="C11" i="15" s="1"/>
  <c r="C26" i="12"/>
  <c r="C33" i="15" s="1"/>
  <c r="C18" i="12"/>
  <c r="C28" i="15" s="1"/>
  <c r="C10" i="12"/>
  <c r="C25" i="12"/>
  <c r="C32" i="15" s="1"/>
  <c r="C17" i="12"/>
  <c r="C27" i="15" s="1"/>
  <c r="C9" i="12"/>
  <c r="C24" i="12"/>
  <c r="C38" i="15" s="1"/>
  <c r="C16" i="12"/>
  <c r="C26" i="15" s="1"/>
  <c r="C8" i="12"/>
  <c r="C12" i="12"/>
  <c r="C23" i="12"/>
  <c r="C37" i="15" s="1"/>
  <c r="C15" i="12"/>
  <c r="C23" i="15" s="1"/>
  <c r="C7" i="12"/>
  <c r="C22" i="12"/>
  <c r="C36" i="15" s="1"/>
  <c r="C14" i="12"/>
  <c r="C22" i="15" s="1"/>
  <c r="C6" i="12"/>
  <c r="C21" i="12"/>
  <c r="C31" i="15" s="1"/>
  <c r="C13" i="12"/>
  <c r="C21" i="15" s="1"/>
  <c r="B23" i="12"/>
  <c r="B37" i="15" s="1"/>
  <c r="B15" i="12"/>
  <c r="B23" i="15" s="1"/>
  <c r="B7" i="12"/>
  <c r="B22" i="12"/>
  <c r="B36" i="15" s="1"/>
  <c r="B14" i="12"/>
  <c r="B22" i="15" s="1"/>
  <c r="B6" i="12"/>
  <c r="B21" i="12"/>
  <c r="B31" i="15" s="1"/>
  <c r="B13" i="12"/>
  <c r="B21" i="15" s="1"/>
  <c r="B5" i="12"/>
  <c r="B20" i="12"/>
  <c r="B30" i="15" s="1"/>
  <c r="B12" i="12"/>
  <c r="B19" i="12"/>
  <c r="B29" i="15" s="1"/>
  <c r="B11" i="12"/>
  <c r="B11" i="15" s="1"/>
  <c r="B26" i="12"/>
  <c r="B33" i="15" s="1"/>
  <c r="B18" i="12"/>
  <c r="B28" i="15" s="1"/>
  <c r="B10" i="12"/>
  <c r="B25" i="12"/>
  <c r="B32" i="15" s="1"/>
  <c r="B17" i="12"/>
  <c r="B27" i="15" s="1"/>
  <c r="B9" i="12"/>
  <c r="B24" i="12"/>
  <c r="B38" i="15" s="1"/>
  <c r="B16" i="12"/>
  <c r="B26" i="15" s="1"/>
  <c r="F7" i="11"/>
  <c r="F12" i="11"/>
  <c r="F11" i="11"/>
  <c r="F10" i="11"/>
  <c r="F9" i="11"/>
  <c r="E11" i="11"/>
  <c r="E9" i="11"/>
  <c r="E8" i="11"/>
  <c r="E12" i="11"/>
  <c r="E10" i="11"/>
  <c r="D11" i="11"/>
  <c r="D9" i="11"/>
  <c r="D8" i="11"/>
  <c r="D12" i="11"/>
  <c r="D10" i="11"/>
  <c r="C7" i="11"/>
  <c r="C12" i="11"/>
  <c r="C11" i="11"/>
  <c r="C10" i="11"/>
  <c r="C9" i="11"/>
  <c r="B12" i="11"/>
  <c r="B11" i="11"/>
  <c r="B10" i="11"/>
  <c r="B9" i="11"/>
  <c r="B8" i="11"/>
  <c r="F95" i="12" l="1"/>
  <c r="F94" i="12"/>
  <c r="F31" i="15"/>
  <c r="F106" i="12"/>
  <c r="F22" i="15"/>
  <c r="F99" i="12"/>
  <c r="F92" i="12"/>
  <c r="F38" i="15"/>
  <c r="L38" i="15" s="1"/>
  <c r="F109" i="12"/>
  <c r="F36" i="15"/>
  <c r="L36" i="15" s="1"/>
  <c r="F107" i="12"/>
  <c r="F23" i="15"/>
  <c r="L23" i="15" s="1"/>
  <c r="F100" i="12"/>
  <c r="F37" i="15"/>
  <c r="F108" i="12"/>
  <c r="F27" i="15"/>
  <c r="F102" i="12"/>
  <c r="F93" i="12"/>
  <c r="F26" i="15"/>
  <c r="F101" i="12"/>
  <c r="F33" i="15"/>
  <c r="K33" i="15" s="1"/>
  <c r="F111" i="12"/>
  <c r="F28" i="15"/>
  <c r="L28" i="15" s="1"/>
  <c r="F103" i="12"/>
  <c r="F30" i="15"/>
  <c r="K30" i="15" s="1"/>
  <c r="F105" i="12"/>
  <c r="F29" i="15"/>
  <c r="K29" i="15" s="1"/>
  <c r="F104" i="12"/>
  <c r="F32" i="15"/>
  <c r="F110" i="12"/>
  <c r="F11" i="15"/>
  <c r="K11" i="15" s="1"/>
  <c r="F96" i="12"/>
  <c r="F21" i="15"/>
  <c r="L21" i="15" s="1"/>
  <c r="F98" i="12"/>
  <c r="F91" i="12"/>
  <c r="F97" i="12"/>
  <c r="H10" i="11"/>
  <c r="J10" i="11" s="1"/>
  <c r="J23" i="11" s="1"/>
  <c r="X5" i="106"/>
  <c r="X6" i="106"/>
  <c r="M155" i="75"/>
  <c r="L49" i="75"/>
  <c r="A61" i="18"/>
  <c r="M156" i="75"/>
  <c r="M157" i="75"/>
  <c r="L10" i="76"/>
  <c r="L57" i="76"/>
  <c r="L28" i="76"/>
  <c r="L75" i="76"/>
  <c r="L18" i="76"/>
  <c r="L65" i="76"/>
  <c r="L46" i="76"/>
  <c r="L93" i="76"/>
  <c r="L13" i="76"/>
  <c r="L60" i="76"/>
  <c r="L34" i="76"/>
  <c r="L81" i="76"/>
  <c r="L19" i="76"/>
  <c r="L66" i="76"/>
  <c r="L47" i="76"/>
  <c r="L94" i="76"/>
  <c r="L29" i="76"/>
  <c r="L76" i="76"/>
  <c r="L16" i="76"/>
  <c r="L63" i="76"/>
  <c r="L11" i="76"/>
  <c r="L58" i="76"/>
  <c r="M160" i="75"/>
  <c r="L38" i="76"/>
  <c r="L85" i="76"/>
  <c r="L42" i="76"/>
  <c r="L89" i="76"/>
  <c r="L12" i="76"/>
  <c r="L59" i="76"/>
  <c r="L43" i="76"/>
  <c r="L90" i="76"/>
  <c r="L24" i="76"/>
  <c r="L71" i="76"/>
  <c r="M158" i="75"/>
  <c r="L39" i="76"/>
  <c r="L86" i="76"/>
  <c r="L20" i="76"/>
  <c r="L67" i="76"/>
  <c r="L27" i="76"/>
  <c r="L74" i="76"/>
  <c r="L30" i="76"/>
  <c r="L77" i="76"/>
  <c r="M159" i="75"/>
  <c r="L17" i="76"/>
  <c r="L64" i="76"/>
  <c r="L33" i="76"/>
  <c r="L80" i="76"/>
  <c r="H9" i="11"/>
  <c r="J9" i="11" s="1"/>
  <c r="J22" i="11" s="1"/>
  <c r="I24" i="11"/>
  <c r="I23" i="11"/>
  <c r="H11" i="11"/>
  <c r="J11" i="11" s="1"/>
  <c r="J24" i="11" s="1"/>
  <c r="I25" i="11"/>
  <c r="H12" i="11"/>
  <c r="J12" i="11" s="1"/>
  <c r="J25" i="11" s="1"/>
  <c r="I21" i="11"/>
  <c r="F45" i="11"/>
  <c r="H7" i="11"/>
  <c r="I22" i="11"/>
  <c r="H8" i="11"/>
  <c r="J8" i="11" s="1"/>
  <c r="J21" i="11" s="1"/>
  <c r="N261" i="21"/>
  <c r="N262" i="21"/>
  <c r="M161" i="75"/>
  <c r="M154" i="75"/>
  <c r="Z11" i="106"/>
  <c r="N263" i="21"/>
  <c r="N264" i="21"/>
  <c r="F46" i="11"/>
  <c r="N265" i="21"/>
  <c r="Z9" i="106"/>
  <c r="Z8" i="106"/>
  <c r="Z6" i="106"/>
  <c r="X11" i="106"/>
  <c r="Z5" i="106"/>
  <c r="AA11" i="106"/>
  <c r="AC11" i="106"/>
  <c r="AB5" i="106"/>
  <c r="Y5" i="106"/>
  <c r="AB7" i="106"/>
  <c r="Y7" i="106"/>
  <c r="X12" i="106"/>
  <c r="AB8" i="106"/>
  <c r="Y8" i="106"/>
  <c r="AC12" i="106"/>
  <c r="AA12" i="106"/>
  <c r="Y9" i="106"/>
  <c r="AB9" i="106"/>
  <c r="AC5" i="106"/>
  <c r="AA5" i="106"/>
  <c r="AB10" i="106"/>
  <c r="Y10" i="106"/>
  <c r="AA6" i="106"/>
  <c r="AC6" i="106"/>
  <c r="AB6" i="106"/>
  <c r="Y6" i="106"/>
  <c r="X7" i="106"/>
  <c r="AB11" i="106"/>
  <c r="Y11" i="106"/>
  <c r="AC7" i="106"/>
  <c r="AA7" i="106"/>
  <c r="X8" i="106"/>
  <c r="Y12" i="106"/>
  <c r="AB12" i="106"/>
  <c r="AA8" i="106"/>
  <c r="AC8" i="106"/>
  <c r="X9" i="106"/>
  <c r="Z7" i="106"/>
  <c r="AA9" i="106"/>
  <c r="AC9" i="106"/>
  <c r="Z12" i="106"/>
  <c r="X10" i="106"/>
  <c r="Z10" i="106"/>
  <c r="AA10" i="106"/>
  <c r="AC10" i="106"/>
  <c r="A73" i="15"/>
  <c r="L17" i="19" s="1"/>
  <c r="L28" i="21"/>
  <c r="L29" i="21"/>
  <c r="A74" i="15"/>
  <c r="L16" i="19" s="1"/>
  <c r="L31" i="21"/>
  <c r="A76" i="15"/>
  <c r="L14" i="19" s="1"/>
  <c r="L30" i="21"/>
  <c r="A75" i="15"/>
  <c r="L15" i="19" s="1"/>
  <c r="H11" i="15"/>
  <c r="H31" i="15"/>
  <c r="K31" i="15"/>
  <c r="L22" i="15"/>
  <c r="F47" i="11"/>
  <c r="I11" i="15"/>
  <c r="J30" i="15"/>
  <c r="J29" i="15"/>
  <c r="F69" i="16"/>
  <c r="N8" i="107" s="1"/>
  <c r="H13" i="16"/>
  <c r="H30" i="15"/>
  <c r="I31" i="15"/>
  <c r="I32" i="15"/>
  <c r="L29" i="15"/>
  <c r="H32" i="15"/>
  <c r="H14" i="16"/>
  <c r="F70" i="16"/>
  <c r="N9" i="107" s="1"/>
  <c r="F48" i="11"/>
  <c r="H15" i="16"/>
  <c r="F71" i="16"/>
  <c r="N10" i="107" s="1"/>
  <c r="K32" i="15"/>
  <c r="L32" i="15"/>
  <c r="F49" i="11"/>
  <c r="C111" i="12"/>
  <c r="D33" i="15"/>
  <c r="J33" i="15" s="1"/>
  <c r="F50" i="11"/>
  <c r="I29" i="15"/>
  <c r="I30" i="15"/>
  <c r="H9" i="16"/>
  <c r="H27" i="16" s="1"/>
  <c r="F65" i="16"/>
  <c r="N4" i="107" s="1"/>
  <c r="L26" i="15"/>
  <c r="L37" i="15"/>
  <c r="D82" i="16"/>
  <c r="H10" i="16"/>
  <c r="F66" i="16"/>
  <c r="N5" i="107" s="1"/>
  <c r="L31" i="15"/>
  <c r="J11" i="15"/>
  <c r="H16" i="16"/>
  <c r="F72" i="16"/>
  <c r="N11" i="107" s="1"/>
  <c r="J31" i="15"/>
  <c r="J32" i="15"/>
  <c r="L27" i="15"/>
  <c r="H33" i="15"/>
  <c r="H11" i="16"/>
  <c r="F67" i="16"/>
  <c r="N6" i="107" s="1"/>
  <c r="H29" i="15"/>
  <c r="F68" i="16"/>
  <c r="N7" i="107" s="1"/>
  <c r="H12" i="16"/>
  <c r="B18" i="16"/>
  <c r="B51" i="18" s="1"/>
  <c r="D108" i="12"/>
  <c r="B111" i="12"/>
  <c r="C109" i="12"/>
  <c r="D107" i="12"/>
  <c r="B106" i="12"/>
  <c r="E109" i="12"/>
  <c r="C108" i="12"/>
  <c r="E108" i="12"/>
  <c r="E107" i="12"/>
  <c r="B109" i="12"/>
  <c r="D106" i="12"/>
  <c r="D111" i="12"/>
  <c r="D110" i="12"/>
  <c r="B108" i="12"/>
  <c r="E106" i="12"/>
  <c r="D109" i="12"/>
  <c r="B107" i="12"/>
  <c r="C107" i="12"/>
  <c r="E111" i="12"/>
  <c r="E110" i="12"/>
  <c r="B110" i="12"/>
  <c r="C106" i="12"/>
  <c r="C110" i="12"/>
  <c r="B28" i="12"/>
  <c r="B35" i="12" s="1"/>
  <c r="E28" i="12"/>
  <c r="E32" i="12" s="1"/>
  <c r="F28" i="12"/>
  <c r="C28" i="12"/>
  <c r="D28" i="12"/>
  <c r="D32" i="12" s="1"/>
  <c r="L11" i="15" l="1"/>
  <c r="X18" i="106"/>
  <c r="H23" i="11"/>
  <c r="L30" i="15"/>
  <c r="F32" i="12"/>
  <c r="F113" i="12"/>
  <c r="H21" i="11"/>
  <c r="H22" i="11"/>
  <c r="H25" i="11"/>
  <c r="H14" i="11"/>
  <c r="J7" i="11"/>
  <c r="H20" i="11"/>
  <c r="H24" i="11"/>
  <c r="H33" i="16"/>
  <c r="N160" i="75"/>
  <c r="H29" i="16"/>
  <c r="N156" i="75"/>
  <c r="P7" i="31"/>
  <c r="N161" i="75"/>
  <c r="N154" i="75"/>
  <c r="H31" i="16"/>
  <c r="N158" i="75"/>
  <c r="H28" i="16"/>
  <c r="N155" i="75"/>
  <c r="H30" i="16"/>
  <c r="N157" i="75"/>
  <c r="H32" i="16"/>
  <c r="N159" i="75"/>
  <c r="X19" i="106"/>
  <c r="H18" i="16"/>
  <c r="N163" i="75" s="1"/>
  <c r="L33" i="15"/>
  <c r="H34" i="16"/>
  <c r="I33" i="15"/>
  <c r="H61" i="18"/>
  <c r="H60" i="18"/>
  <c r="C32" i="12"/>
  <c r="B113" i="12"/>
  <c r="E39" i="12"/>
  <c r="E49" i="12"/>
  <c r="E34" i="12"/>
  <c r="E48" i="12"/>
  <c r="F48" i="12"/>
  <c r="C39" i="12"/>
  <c r="D40" i="12"/>
  <c r="C44" i="12"/>
  <c r="B40" i="12"/>
  <c r="B34" i="12"/>
  <c r="B33" i="12"/>
  <c r="E37" i="12"/>
  <c r="B38" i="12"/>
  <c r="F34" i="12"/>
  <c r="B51" i="12"/>
  <c r="B43" i="12"/>
  <c r="B37" i="12"/>
  <c r="F44" i="12"/>
  <c r="F50" i="12"/>
  <c r="C50" i="12"/>
  <c r="E44" i="12"/>
  <c r="C43" i="12"/>
  <c r="E46" i="12"/>
  <c r="F40" i="12"/>
  <c r="C42" i="12"/>
  <c r="B32" i="12"/>
  <c r="D47" i="12"/>
  <c r="B42" i="12"/>
  <c r="F36" i="12"/>
  <c r="E43" i="12"/>
  <c r="F45" i="12"/>
  <c r="E38" i="12"/>
  <c r="F41" i="12"/>
  <c r="B47" i="12"/>
  <c r="E36" i="12"/>
  <c r="E50" i="12"/>
  <c r="F38" i="12"/>
  <c r="E33" i="12"/>
  <c r="F39" i="12"/>
  <c r="B44" i="12"/>
  <c r="D33" i="12"/>
  <c r="B49" i="12"/>
  <c r="F47" i="12"/>
  <c r="E53" i="12"/>
  <c r="C38" i="12"/>
  <c r="C40" i="12"/>
  <c r="D43" i="12"/>
  <c r="B46" i="12"/>
  <c r="E42" i="12"/>
  <c r="D41" i="12"/>
  <c r="C33" i="12"/>
  <c r="C34" i="12"/>
  <c r="D36" i="12"/>
  <c r="D37" i="12"/>
  <c r="C46" i="12"/>
  <c r="D53" i="12"/>
  <c r="D49" i="12"/>
  <c r="D38" i="12"/>
  <c r="D52" i="12"/>
  <c r="F35" i="12"/>
  <c r="C51" i="12"/>
  <c r="E45" i="12"/>
  <c r="B53" i="12"/>
  <c r="D34" i="12"/>
  <c r="E35" i="12"/>
  <c r="E47" i="12"/>
  <c r="B39" i="12"/>
  <c r="C47" i="12"/>
  <c r="F42" i="12"/>
  <c r="C35" i="12"/>
  <c r="C37" i="12"/>
  <c r="F52" i="12"/>
  <c r="F33" i="12"/>
  <c r="C53" i="12"/>
  <c r="D48" i="12"/>
  <c r="F37" i="12"/>
  <c r="C41" i="12"/>
  <c r="E40" i="12"/>
  <c r="F49" i="12"/>
  <c r="D44" i="12"/>
  <c r="D45" i="12"/>
  <c r="E41" i="12"/>
  <c r="B36" i="12"/>
  <c r="C36" i="12"/>
  <c r="F51" i="12"/>
  <c r="C48" i="12"/>
  <c r="B50" i="12"/>
  <c r="D35" i="12"/>
  <c r="D42" i="12"/>
  <c r="D46" i="12"/>
  <c r="F43" i="12"/>
  <c r="F46" i="12"/>
  <c r="C52" i="12"/>
  <c r="E52" i="12"/>
  <c r="B41" i="12"/>
  <c r="D50" i="12"/>
  <c r="B48" i="12"/>
  <c r="C45" i="12"/>
  <c r="D51" i="12"/>
  <c r="D39" i="12"/>
  <c r="F53" i="12"/>
  <c r="C49" i="12"/>
  <c r="E51" i="12"/>
  <c r="B45" i="12"/>
  <c r="B52" i="12"/>
  <c r="Y18" i="106" l="1"/>
  <c r="Z18" i="106" s="1"/>
  <c r="J14" i="11"/>
  <c r="J20" i="11"/>
  <c r="A52" i="5"/>
  <c r="A53" i="5"/>
  <c r="A54" i="5"/>
  <c r="A55" i="5"/>
  <c r="A56" i="5"/>
  <c r="A51" i="5"/>
  <c r="B50" i="5" a="1"/>
  <c r="D50" i="5" s="1"/>
  <c r="A49" i="5"/>
  <c r="Y19" i="106" l="1"/>
  <c r="H50" i="5"/>
  <c r="G50" i="5"/>
  <c r="F50" i="5"/>
  <c r="E50" i="5"/>
  <c r="C50" i="5"/>
  <c r="J50" i="5"/>
  <c r="B50" i="5"/>
  <c r="I50" i="5"/>
  <c r="A27" i="5" l="1"/>
  <c r="A29" i="5"/>
  <c r="A30" i="5"/>
  <c r="A31" i="5"/>
  <c r="A32" i="5"/>
  <c r="A33" i="5"/>
  <c r="A28" i="5"/>
  <c r="B2" i="5" a="1"/>
  <c r="B2" i="5" s="1"/>
  <c r="A1" i="5"/>
  <c r="BT2" i="5" l="1"/>
  <c r="BD2" i="5"/>
  <c r="AN2" i="5"/>
  <c r="X2" i="5"/>
  <c r="H2" i="5"/>
  <c r="BS2" i="5"/>
  <c r="BC2" i="5"/>
  <c r="AM2" i="5"/>
  <c r="W2" i="5"/>
  <c r="G2" i="5"/>
  <c r="BR2" i="5"/>
  <c r="BB2" i="5"/>
  <c r="AL2" i="5"/>
  <c r="V2" i="5"/>
  <c r="F2" i="5"/>
  <c r="BQ2" i="5"/>
  <c r="BA2" i="5"/>
  <c r="AK2" i="5"/>
  <c r="U2" i="5"/>
  <c r="E2" i="5"/>
  <c r="BP2" i="5"/>
  <c r="AZ2" i="5"/>
  <c r="AJ2" i="5"/>
  <c r="T2" i="5"/>
  <c r="D2" i="5"/>
  <c r="BW2" i="5"/>
  <c r="BO2" i="5"/>
  <c r="BG2" i="5"/>
  <c r="AY2" i="5"/>
  <c r="AQ2" i="5"/>
  <c r="AI2" i="5"/>
  <c r="AA2" i="5"/>
  <c r="S2" i="5"/>
  <c r="K2" i="5"/>
  <c r="C2" i="5"/>
  <c r="BU2" i="5"/>
  <c r="BM2" i="5"/>
  <c r="BE2" i="5"/>
  <c r="AW2" i="5"/>
  <c r="AO2" i="5"/>
  <c r="AG2" i="5"/>
  <c r="Y2" i="5"/>
  <c r="Q2" i="5"/>
  <c r="I2" i="5"/>
  <c r="BL2" i="5"/>
  <c r="AV2" i="5"/>
  <c r="AF2" i="5"/>
  <c r="P2" i="5"/>
  <c r="BK2" i="5"/>
  <c r="AU2" i="5"/>
  <c r="AE2" i="5"/>
  <c r="O2" i="5"/>
  <c r="BJ2" i="5"/>
  <c r="AT2" i="5"/>
  <c r="AD2" i="5"/>
  <c r="N2" i="5"/>
  <c r="BI2" i="5"/>
  <c r="AS2" i="5"/>
  <c r="AC2" i="5"/>
  <c r="M2" i="5"/>
  <c r="BX2" i="5"/>
  <c r="BH2" i="5"/>
  <c r="AR2" i="5"/>
  <c r="AB2" i="5"/>
  <c r="L2" i="5"/>
  <c r="BV2" i="5"/>
  <c r="BN2" i="5"/>
  <c r="BF2" i="5"/>
  <c r="AX2" i="5"/>
  <c r="AP2" i="5"/>
  <c r="AH2" i="5"/>
  <c r="Z2" i="5"/>
  <c r="R2" i="5"/>
  <c r="J2" i="5"/>
  <c r="K9" i="80" l="1"/>
  <c r="K10" i="80"/>
  <c r="K11" i="80"/>
  <c r="K14" i="80"/>
  <c r="L14" i="80" s="1"/>
  <c r="K15" i="80"/>
  <c r="K16" i="80"/>
  <c r="K17" i="80"/>
  <c r="K18" i="80"/>
  <c r="K19" i="80"/>
  <c r="K20" i="80"/>
  <c r="K21" i="80"/>
  <c r="K22" i="80"/>
  <c r="K23" i="80"/>
  <c r="K24" i="80"/>
  <c r="K25" i="80"/>
  <c r="K26" i="80"/>
  <c r="K27" i="80"/>
  <c r="K28" i="80"/>
  <c r="K29" i="80"/>
  <c r="K30" i="80"/>
  <c r="K31" i="80"/>
  <c r="K32" i="80"/>
  <c r="Y140" i="78" l="1"/>
  <c r="Y143" i="78"/>
  <c r="Y142" i="78"/>
  <c r="Y141" i="78"/>
  <c r="Y139" i="78"/>
  <c r="Y138" i="78"/>
  <c r="Y137" i="78"/>
  <c r="Y136" i="78"/>
  <c r="Y135" i="78"/>
  <c r="Y134" i="78"/>
  <c r="Y133" i="78"/>
  <c r="Y132" i="78"/>
  <c r="Y131" i="78"/>
  <c r="Y130" i="78"/>
  <c r="Y129" i="78"/>
  <c r="Y128" i="78"/>
  <c r="Y127" i="78"/>
  <c r="Y126" i="78"/>
  <c r="Y125" i="78"/>
  <c r="Y124" i="78"/>
  <c r="Y123" i="78"/>
  <c r="Y122" i="78"/>
  <c r="Y121" i="78"/>
  <c r="Y120" i="78"/>
  <c r="Y119" i="78"/>
  <c r="N143" i="78"/>
  <c r="N142" i="78"/>
  <c r="N141" i="78"/>
  <c r="N140" i="78"/>
  <c r="N139" i="78"/>
  <c r="N138" i="78"/>
  <c r="N137" i="78"/>
  <c r="N136" i="78"/>
  <c r="N135" i="78"/>
  <c r="N134" i="78"/>
  <c r="N133" i="78"/>
  <c r="N132" i="78"/>
  <c r="N131" i="78"/>
  <c r="N130" i="78"/>
  <c r="N129" i="78"/>
  <c r="N128" i="78"/>
  <c r="N127" i="78"/>
  <c r="N126" i="78"/>
  <c r="N125" i="78"/>
  <c r="N124" i="78"/>
  <c r="N123" i="78"/>
  <c r="N122" i="78"/>
  <c r="N121" i="78"/>
  <c r="N120" i="78"/>
  <c r="N119" i="78"/>
  <c r="C120" i="78"/>
  <c r="C121" i="78"/>
  <c r="C122" i="78"/>
  <c r="C123" i="78"/>
  <c r="C124" i="78"/>
  <c r="C125" i="78"/>
  <c r="C126" i="78"/>
  <c r="C127" i="78"/>
  <c r="C128" i="78"/>
  <c r="C129" i="78"/>
  <c r="C130" i="78"/>
  <c r="C131" i="78"/>
  <c r="C132" i="78"/>
  <c r="C133" i="78"/>
  <c r="C134" i="78"/>
  <c r="C135" i="78"/>
  <c r="C136" i="78"/>
  <c r="C137" i="78"/>
  <c r="C138" i="78"/>
  <c r="C139" i="78"/>
  <c r="C140" i="78"/>
  <c r="C141" i="78"/>
  <c r="C142" i="78"/>
  <c r="C143" i="78"/>
  <c r="C119" i="78"/>
  <c r="C117" i="78"/>
  <c r="F83" i="78"/>
  <c r="F84" i="78"/>
  <c r="F85" i="78"/>
  <c r="F86" i="78"/>
  <c r="F87" i="78"/>
  <c r="F88" i="78"/>
  <c r="F89" i="78"/>
  <c r="F90" i="78"/>
  <c r="F91" i="78"/>
  <c r="F92" i="78"/>
  <c r="F93" i="78"/>
  <c r="F94" i="78"/>
  <c r="F95" i="78"/>
  <c r="F96" i="78"/>
  <c r="F97" i="78"/>
  <c r="F98" i="78"/>
  <c r="F99" i="78"/>
  <c r="F100" i="78"/>
  <c r="F101" i="78"/>
  <c r="F102" i="78"/>
  <c r="F103" i="78"/>
  <c r="F104" i="78"/>
  <c r="F105" i="78"/>
  <c r="F106" i="78"/>
  <c r="F82" i="78"/>
  <c r="F80" i="78"/>
  <c r="C83" i="78"/>
  <c r="C84" i="78"/>
  <c r="C85" i="78"/>
  <c r="C86" i="78"/>
  <c r="C87" i="78"/>
  <c r="C88" i="78"/>
  <c r="C89" i="78"/>
  <c r="C90" i="78"/>
  <c r="C91" i="78"/>
  <c r="C92" i="78"/>
  <c r="C93" i="78"/>
  <c r="C94" i="78"/>
  <c r="C95" i="78"/>
  <c r="C96" i="78"/>
  <c r="C97" i="78"/>
  <c r="C98" i="78"/>
  <c r="C99" i="78"/>
  <c r="C100" i="78"/>
  <c r="C101" i="78"/>
  <c r="C102" i="78"/>
  <c r="C103" i="78"/>
  <c r="C104" i="78"/>
  <c r="C105" i="78"/>
  <c r="C106" i="78"/>
  <c r="C82" i="78"/>
  <c r="C80" i="78"/>
  <c r="C120" i="71" l="1"/>
  <c r="C121" i="71"/>
  <c r="C122" i="71"/>
  <c r="C123" i="71"/>
  <c r="C124" i="71"/>
  <c r="C125" i="71"/>
  <c r="C126" i="71"/>
  <c r="C127" i="71"/>
  <c r="C128" i="71"/>
  <c r="C129" i="71"/>
  <c r="C130" i="71"/>
  <c r="C131" i="71"/>
  <c r="C132" i="71"/>
  <c r="C133" i="71"/>
  <c r="C134" i="71"/>
  <c r="C135" i="71"/>
  <c r="C136" i="71"/>
  <c r="C137" i="71"/>
  <c r="C138" i="71"/>
  <c r="C139" i="71"/>
  <c r="C140" i="71"/>
  <c r="C141" i="71"/>
  <c r="C142" i="71"/>
  <c r="C143" i="71"/>
  <c r="C119" i="71"/>
  <c r="C117" i="71"/>
  <c r="C83" i="71"/>
  <c r="C84" i="71"/>
  <c r="C85" i="71"/>
  <c r="C86" i="71"/>
  <c r="C87" i="71"/>
  <c r="C88" i="71"/>
  <c r="C89" i="71"/>
  <c r="C90" i="71"/>
  <c r="C91" i="71"/>
  <c r="C92" i="71"/>
  <c r="C93" i="71"/>
  <c r="C94" i="71"/>
  <c r="C95" i="71"/>
  <c r="C96" i="71"/>
  <c r="C97" i="71"/>
  <c r="C98" i="71"/>
  <c r="C99" i="71"/>
  <c r="C100" i="71"/>
  <c r="C101" i="71"/>
  <c r="C102" i="71"/>
  <c r="C103" i="71"/>
  <c r="C104" i="71"/>
  <c r="C105" i="71"/>
  <c r="C106" i="71"/>
  <c r="C82" i="71"/>
  <c r="C80" i="71"/>
  <c r="I17" i="15"/>
  <c r="C258" i="97"/>
  <c r="C259" i="97"/>
  <c r="C260" i="97"/>
  <c r="C261" i="97"/>
  <c r="C262" i="97"/>
  <c r="C263" i="97"/>
  <c r="C264" i="97"/>
  <c r="C265" i="97"/>
  <c r="C266" i="97"/>
  <c r="C267" i="97"/>
  <c r="C268" i="97"/>
  <c r="C269" i="97"/>
  <c r="C270" i="97"/>
  <c r="C271" i="97"/>
  <c r="C272" i="97"/>
  <c r="C273" i="97"/>
  <c r="C274" i="97"/>
  <c r="C275" i="97"/>
  <c r="C276" i="97"/>
  <c r="C277" i="97"/>
  <c r="C278" i="97"/>
  <c r="C279" i="97"/>
  <c r="C280" i="97"/>
  <c r="C281" i="97"/>
  <c r="C282" i="97"/>
  <c r="C283" i="97"/>
  <c r="C284" i="97"/>
  <c r="C285" i="97"/>
  <c r="C286" i="97"/>
  <c r="C287" i="97"/>
  <c r="C288" i="97"/>
  <c r="C289" i="97"/>
  <c r="C290" i="97"/>
  <c r="C291" i="97"/>
  <c r="C292" i="97"/>
  <c r="C293" i="97"/>
  <c r="C294" i="97"/>
  <c r="C295" i="97"/>
  <c r="C296" i="97"/>
  <c r="C297" i="97"/>
  <c r="C298" i="97"/>
  <c r="C299" i="97"/>
  <c r="C300" i="97"/>
  <c r="C301" i="97"/>
  <c r="C302" i="97"/>
  <c r="C303" i="97"/>
  <c r="C304" i="97"/>
  <c r="C305" i="97"/>
  <c r="C306" i="97"/>
  <c r="C307" i="97"/>
  <c r="C308" i="97"/>
  <c r="C309" i="97"/>
  <c r="C310" i="97"/>
  <c r="C311" i="97"/>
  <c r="C312" i="97"/>
  <c r="C313" i="97"/>
  <c r="C314" i="97"/>
  <c r="C315" i="97"/>
  <c r="C316" i="97"/>
  <c r="C317" i="97"/>
  <c r="C318" i="97"/>
  <c r="C319" i="97"/>
  <c r="C320" i="97"/>
  <c r="C321" i="97"/>
  <c r="C322" i="97"/>
  <c r="C257" i="97"/>
  <c r="C255" i="97"/>
  <c r="C174" i="97"/>
  <c r="C175" i="97"/>
  <c r="C176" i="97"/>
  <c r="C177" i="97"/>
  <c r="C178" i="97"/>
  <c r="C179" i="97"/>
  <c r="C180" i="97"/>
  <c r="C181" i="97"/>
  <c r="C182" i="97"/>
  <c r="C183" i="97"/>
  <c r="C184" i="97"/>
  <c r="C185" i="97"/>
  <c r="C186" i="97"/>
  <c r="C187" i="97"/>
  <c r="C188" i="97"/>
  <c r="C189" i="97"/>
  <c r="C190" i="97"/>
  <c r="C191" i="97"/>
  <c r="C192" i="97"/>
  <c r="C193" i="97"/>
  <c r="C194" i="97"/>
  <c r="C195" i="97"/>
  <c r="C196" i="97"/>
  <c r="C197" i="97"/>
  <c r="C198" i="97"/>
  <c r="C199" i="97"/>
  <c r="C200" i="97"/>
  <c r="C201" i="97"/>
  <c r="C202" i="97"/>
  <c r="C203" i="97"/>
  <c r="C204" i="97"/>
  <c r="C205" i="97"/>
  <c r="C206" i="97"/>
  <c r="C207" i="97"/>
  <c r="C208" i="97"/>
  <c r="C209" i="97"/>
  <c r="C210" i="97"/>
  <c r="C211" i="97"/>
  <c r="C212" i="97"/>
  <c r="C213" i="97"/>
  <c r="C214" i="97"/>
  <c r="C215" i="97"/>
  <c r="C216" i="97"/>
  <c r="C217" i="97"/>
  <c r="C218" i="97"/>
  <c r="C219" i="97"/>
  <c r="C220" i="97"/>
  <c r="C221" i="97"/>
  <c r="C222" i="97"/>
  <c r="C223" i="97"/>
  <c r="C224" i="97"/>
  <c r="C225" i="97"/>
  <c r="C226" i="97"/>
  <c r="C227" i="97"/>
  <c r="C228" i="97"/>
  <c r="C229" i="97"/>
  <c r="C230" i="97"/>
  <c r="C231" i="97"/>
  <c r="C232" i="97"/>
  <c r="C233" i="97"/>
  <c r="C234" i="97"/>
  <c r="C235" i="97"/>
  <c r="C236" i="97"/>
  <c r="C237" i="97"/>
  <c r="C238" i="97"/>
  <c r="C173" i="97"/>
  <c r="C171" i="97"/>
  <c r="C4" i="13" l="1"/>
  <c r="D12" i="13" l="1"/>
  <c r="E12" i="13"/>
  <c r="F12" i="13"/>
  <c r="G12" i="13"/>
  <c r="C12" i="13"/>
  <c r="G40" i="49" l="1"/>
  <c r="D40" i="49"/>
  <c r="F40" i="49" l="1"/>
  <c r="F9" i="52" l="1"/>
  <c r="K10" i="79" l="1"/>
  <c r="K11" i="79"/>
  <c r="K12" i="79"/>
  <c r="K13" i="79"/>
  <c r="K14" i="79"/>
  <c r="K15" i="79"/>
  <c r="K16" i="79"/>
  <c r="K17" i="79"/>
  <c r="K18" i="79"/>
  <c r="K19" i="79"/>
  <c r="K20" i="79"/>
  <c r="K21" i="79"/>
  <c r="K22" i="79"/>
  <c r="K23" i="79"/>
  <c r="K24" i="79"/>
  <c r="K25" i="79"/>
  <c r="K26" i="79"/>
  <c r="K27" i="79"/>
  <c r="K28" i="79"/>
  <c r="K29" i="79"/>
  <c r="K30" i="79"/>
  <c r="K31" i="79"/>
  <c r="K32" i="79"/>
  <c r="K35" i="79" l="1"/>
  <c r="X35" i="79" s="1"/>
  <c r="AE16" i="79"/>
  <c r="AF16" i="79"/>
  <c r="Z16" i="79"/>
  <c r="Y16" i="79"/>
  <c r="AG16" i="79"/>
  <c r="AA16" i="79"/>
  <c r="AB16" i="79"/>
  <c r="AC16" i="79"/>
  <c r="AD16" i="79"/>
  <c r="AF15" i="79"/>
  <c r="AB15" i="79"/>
  <c r="Y15" i="79"/>
  <c r="AG15" i="79"/>
  <c r="AC15" i="79"/>
  <c r="Z15" i="79"/>
  <c r="AA15" i="79"/>
  <c r="AD15" i="79"/>
  <c r="AE15" i="79"/>
  <c r="Y14" i="79"/>
  <c r="AG14" i="79"/>
  <c r="AB14" i="79"/>
  <c r="Z14" i="79"/>
  <c r="AC14" i="79"/>
  <c r="AA14" i="79"/>
  <c r="AE14" i="79"/>
  <c r="AF14" i="79"/>
  <c r="AD14" i="79"/>
  <c r="AE24" i="79"/>
  <c r="Z24" i="79"/>
  <c r="AA24" i="79"/>
  <c r="AB24" i="79"/>
  <c r="AF24" i="79"/>
  <c r="Y24" i="79"/>
  <c r="AG24" i="79"/>
  <c r="AC24" i="79"/>
  <c r="AD24" i="79"/>
  <c r="AF23" i="79"/>
  <c r="Y23" i="79"/>
  <c r="AG23" i="79"/>
  <c r="AB23" i="79"/>
  <c r="Z23" i="79"/>
  <c r="AA23" i="79"/>
  <c r="AC23" i="79"/>
  <c r="AD23" i="79"/>
  <c r="AE23" i="79"/>
  <c r="Z29" i="79"/>
  <c r="AC29" i="79"/>
  <c r="AA29" i="79"/>
  <c r="AD29" i="79"/>
  <c r="AB29" i="79"/>
  <c r="AF29" i="79"/>
  <c r="Y29" i="79"/>
  <c r="AG29" i="79"/>
  <c r="AE29" i="79"/>
  <c r="AA12" i="79"/>
  <c r="AB12" i="79"/>
  <c r="AD12" i="79"/>
  <c r="AC12" i="79"/>
  <c r="AE12" i="79"/>
  <c r="AF12" i="79"/>
  <c r="Y12" i="79"/>
  <c r="AG12" i="79"/>
  <c r="Z12" i="79"/>
  <c r="AB19" i="79"/>
  <c r="AF19" i="79"/>
  <c r="AC19" i="79"/>
  <c r="AE19" i="79"/>
  <c r="Y19" i="79"/>
  <c r="AD19" i="79"/>
  <c r="AG19" i="79"/>
  <c r="Z19" i="79"/>
  <c r="AA19" i="79"/>
  <c r="AB11" i="79"/>
  <c r="AC11" i="79"/>
  <c r="AF11" i="79"/>
  <c r="AG11" i="79"/>
  <c r="AD11" i="79"/>
  <c r="AE11" i="79"/>
  <c r="Z11" i="79"/>
  <c r="AA11" i="79"/>
  <c r="Y11" i="79"/>
  <c r="AE32" i="79"/>
  <c r="Z32" i="79"/>
  <c r="AF32" i="79"/>
  <c r="AA32" i="79"/>
  <c r="AB32" i="79"/>
  <c r="Y32" i="79"/>
  <c r="AG32" i="79"/>
  <c r="AC32" i="79"/>
  <c r="AD32" i="79"/>
  <c r="AF31" i="79"/>
  <c r="Y31" i="79"/>
  <c r="AG31" i="79"/>
  <c r="Z31" i="79"/>
  <c r="AA31" i="79"/>
  <c r="AB31" i="79"/>
  <c r="AC31" i="79"/>
  <c r="AD31" i="79"/>
  <c r="AE31" i="79"/>
  <c r="Y30" i="79"/>
  <c r="AG30" i="79"/>
  <c r="AC30" i="79"/>
  <c r="AD30" i="79"/>
  <c r="Z30" i="79"/>
  <c r="AB30" i="79"/>
  <c r="AA30" i="79"/>
  <c r="AE30" i="79"/>
  <c r="AF30" i="79"/>
  <c r="Z13" i="79"/>
  <c r="AD13" i="79"/>
  <c r="AE13" i="79"/>
  <c r="AA13" i="79"/>
  <c r="AB13" i="79"/>
  <c r="AC13" i="79"/>
  <c r="AF13" i="79"/>
  <c r="Y13" i="79"/>
  <c r="AG13" i="79"/>
  <c r="AA28" i="79"/>
  <c r="AE28" i="79"/>
  <c r="AB28" i="79"/>
  <c r="AF28" i="79"/>
  <c r="AC28" i="79"/>
  <c r="AD28" i="79"/>
  <c r="Y28" i="79"/>
  <c r="AG28" i="79"/>
  <c r="Z28" i="79"/>
  <c r="AB27" i="79"/>
  <c r="Y27" i="79"/>
  <c r="AC27" i="79"/>
  <c r="AE27" i="79"/>
  <c r="AD27" i="79"/>
  <c r="AF27" i="79"/>
  <c r="AG27" i="79"/>
  <c r="Z27" i="79"/>
  <c r="AA27" i="79"/>
  <c r="AC26" i="79"/>
  <c r="AF26" i="79"/>
  <c r="AG26" i="79"/>
  <c r="AD26" i="79"/>
  <c r="Y26" i="79"/>
  <c r="Z26" i="79"/>
  <c r="AE26" i="79"/>
  <c r="AA26" i="79"/>
  <c r="AB26" i="79"/>
  <c r="AC18" i="79"/>
  <c r="AF18" i="79"/>
  <c r="Y18" i="79"/>
  <c r="AD18" i="79"/>
  <c r="AE18" i="79"/>
  <c r="AG18" i="79"/>
  <c r="AA18" i="79"/>
  <c r="AB18" i="79"/>
  <c r="Z18" i="79"/>
  <c r="AC10" i="79"/>
  <c r="AF10" i="79"/>
  <c r="AG10" i="79"/>
  <c r="Z10" i="79"/>
  <c r="AD10" i="79"/>
  <c r="AE10" i="79"/>
  <c r="Y10" i="79"/>
  <c r="AA10" i="79"/>
  <c r="AB10" i="79"/>
  <c r="Y22" i="79"/>
  <c r="AG22" i="79"/>
  <c r="AC22" i="79"/>
  <c r="Z22" i="79"/>
  <c r="AB22" i="79"/>
  <c r="AD22" i="79"/>
  <c r="AA22" i="79"/>
  <c r="AE22" i="79"/>
  <c r="AF22" i="79"/>
  <c r="Z21" i="79"/>
  <c r="AC21" i="79"/>
  <c r="AA21" i="79"/>
  <c r="AB21" i="79"/>
  <c r="AD21" i="79"/>
  <c r="AF21" i="79"/>
  <c r="Y21" i="79"/>
  <c r="AG21" i="79"/>
  <c r="AE21" i="79"/>
  <c r="AA20" i="79"/>
  <c r="AF20" i="79"/>
  <c r="AB20" i="79"/>
  <c r="AE20" i="79"/>
  <c r="AC20" i="79"/>
  <c r="AD20" i="79"/>
  <c r="Y20" i="79"/>
  <c r="AG20" i="79"/>
  <c r="Z20" i="79"/>
  <c r="AD25" i="79"/>
  <c r="AE25" i="79"/>
  <c r="Y25" i="79"/>
  <c r="AF25" i="79"/>
  <c r="AG25" i="79"/>
  <c r="Z25" i="79"/>
  <c r="AB25" i="79"/>
  <c r="AC25" i="79"/>
  <c r="AA25" i="79"/>
  <c r="AD17" i="79"/>
  <c r="Y17" i="79"/>
  <c r="AA17" i="79"/>
  <c r="AE17" i="79"/>
  <c r="Z17" i="79"/>
  <c r="AF17" i="79"/>
  <c r="AG17" i="79"/>
  <c r="AB17" i="79"/>
  <c r="AC17" i="79"/>
  <c r="AD9" i="79"/>
  <c r="AE9" i="79"/>
  <c r="Z9" i="79"/>
  <c r="AF9" i="79"/>
  <c r="Y9" i="79"/>
  <c r="AG9" i="79"/>
  <c r="AA9" i="79"/>
  <c r="AB9" i="79"/>
  <c r="AC9" i="79"/>
  <c r="I9" i="71"/>
  <c r="I20" i="71"/>
  <c r="I46" i="71" l="1"/>
  <c r="I83" i="71"/>
  <c r="J9" i="71"/>
  <c r="Q38" i="31" s="1"/>
  <c r="I8" i="71"/>
  <c r="I94" i="71"/>
  <c r="I57" i="71"/>
  <c r="T9" i="78"/>
  <c r="T10" i="78"/>
  <c r="T11" i="78"/>
  <c r="T12" i="78"/>
  <c r="T13" i="78"/>
  <c r="T14" i="78"/>
  <c r="T15" i="78"/>
  <c r="T16" i="78"/>
  <c r="T17" i="78"/>
  <c r="T18" i="78"/>
  <c r="T19" i="78"/>
  <c r="T20" i="78"/>
  <c r="T21" i="78"/>
  <c r="T22" i="78"/>
  <c r="T23" i="78"/>
  <c r="T24" i="78"/>
  <c r="T25" i="78"/>
  <c r="T26" i="78"/>
  <c r="T27" i="78"/>
  <c r="T28" i="78"/>
  <c r="T29" i="78"/>
  <c r="T30" i="78"/>
  <c r="T31" i="78"/>
  <c r="T32" i="78"/>
  <c r="I9" i="78"/>
  <c r="I10" i="78"/>
  <c r="I11" i="78"/>
  <c r="I12" i="78"/>
  <c r="I13" i="78"/>
  <c r="I14" i="78"/>
  <c r="I15" i="78"/>
  <c r="I16" i="78"/>
  <c r="I17" i="78"/>
  <c r="I18" i="78"/>
  <c r="I19" i="78"/>
  <c r="I20" i="78"/>
  <c r="I21" i="78"/>
  <c r="I22" i="78"/>
  <c r="I23" i="78"/>
  <c r="I24" i="78"/>
  <c r="I25" i="78"/>
  <c r="I26" i="78"/>
  <c r="I27" i="78"/>
  <c r="I28" i="78"/>
  <c r="I29" i="78"/>
  <c r="I30" i="78"/>
  <c r="I31" i="78"/>
  <c r="I32" i="78"/>
  <c r="I82" i="71" l="1"/>
  <c r="I35" i="78"/>
  <c r="I109" i="78" s="1"/>
  <c r="T35" i="78"/>
  <c r="U35" i="78" s="1"/>
  <c r="E33" i="49"/>
  <c r="I45" i="71"/>
  <c r="J8" i="71"/>
  <c r="I60" i="78"/>
  <c r="I97" i="78"/>
  <c r="T105" i="78"/>
  <c r="T68" i="78"/>
  <c r="T52" i="78"/>
  <c r="T89" i="78"/>
  <c r="I59" i="78"/>
  <c r="I96" i="78"/>
  <c r="T104" i="78"/>
  <c r="T67" i="78"/>
  <c r="T88" i="78"/>
  <c r="T51" i="78"/>
  <c r="I103" i="78"/>
  <c r="I66" i="78"/>
  <c r="T66" i="78"/>
  <c r="T103" i="78"/>
  <c r="T87" i="78"/>
  <c r="T50" i="78"/>
  <c r="I57" i="78"/>
  <c r="I94" i="78"/>
  <c r="T65" i="78"/>
  <c r="T102" i="78"/>
  <c r="T86" i="78"/>
  <c r="T49" i="78"/>
  <c r="I101" i="78"/>
  <c r="I64" i="78"/>
  <c r="T101" i="78"/>
  <c r="T64" i="78"/>
  <c r="T85" i="78"/>
  <c r="T48" i="78"/>
  <c r="I105" i="78"/>
  <c r="I68" i="78"/>
  <c r="I89" i="78"/>
  <c r="I52" i="78"/>
  <c r="T97" i="78"/>
  <c r="T60" i="78"/>
  <c r="I67" i="78"/>
  <c r="I104" i="78"/>
  <c r="I51" i="78"/>
  <c r="I88" i="78"/>
  <c r="T59" i="78"/>
  <c r="T96" i="78"/>
  <c r="I95" i="78"/>
  <c r="I58" i="78"/>
  <c r="I87" i="78"/>
  <c r="I50" i="78"/>
  <c r="T58" i="78"/>
  <c r="T95" i="78"/>
  <c r="I102" i="78"/>
  <c r="I65" i="78"/>
  <c r="I86" i="78"/>
  <c r="I49" i="78"/>
  <c r="T94" i="78"/>
  <c r="T57" i="78"/>
  <c r="I93" i="78"/>
  <c r="I56" i="78"/>
  <c r="I85" i="78"/>
  <c r="I48" i="78"/>
  <c r="T93" i="78"/>
  <c r="T56" i="78"/>
  <c r="I100" i="78"/>
  <c r="I63" i="78"/>
  <c r="I55" i="78"/>
  <c r="I92" i="78"/>
  <c r="I84" i="78"/>
  <c r="I47" i="78"/>
  <c r="T100" i="78"/>
  <c r="T63" i="78"/>
  <c r="T55" i="78"/>
  <c r="T92" i="78"/>
  <c r="T84" i="78"/>
  <c r="T47" i="78"/>
  <c r="I99" i="78"/>
  <c r="I62" i="78"/>
  <c r="I54" i="78"/>
  <c r="I91" i="78"/>
  <c r="I46" i="78"/>
  <c r="I83" i="78"/>
  <c r="T62" i="78"/>
  <c r="T99" i="78"/>
  <c r="T91" i="78"/>
  <c r="T54" i="78"/>
  <c r="T83" i="78"/>
  <c r="T46" i="78"/>
  <c r="I106" i="78"/>
  <c r="I69" i="78"/>
  <c r="I98" i="78"/>
  <c r="I61" i="78"/>
  <c r="I90" i="78"/>
  <c r="I53" i="78"/>
  <c r="T69" i="78"/>
  <c r="T106" i="78"/>
  <c r="T98" i="78"/>
  <c r="T61" i="78"/>
  <c r="T90" i="78"/>
  <c r="T53" i="78"/>
  <c r="S4" i="78"/>
  <c r="AD4" i="78" s="1"/>
  <c r="AO4" i="78" s="1"/>
  <c r="AZ4" i="78" s="1"/>
  <c r="BK4" i="78" s="1"/>
  <c r="BV4" i="78" s="1"/>
  <c r="CG4" i="78" s="1"/>
  <c r="CR4" i="78" s="1"/>
  <c r="G35" i="49"/>
  <c r="G64" i="49"/>
  <c r="G151" i="49" s="1"/>
  <c r="G238" i="49" s="1"/>
  <c r="G93" i="49"/>
  <c r="G180" i="49" s="1"/>
  <c r="G267" i="49" s="1"/>
  <c r="J35" i="78" l="1"/>
  <c r="J72" i="78" s="1"/>
  <c r="J109" i="78" s="1"/>
  <c r="I72" i="78"/>
  <c r="G32" i="49"/>
  <c r="G122" i="49"/>
  <c r="G209" i="49" s="1"/>
  <c r="V35" i="49"/>
  <c r="J45" i="71"/>
  <c r="J82" i="71" s="1"/>
  <c r="Q37" i="31"/>
  <c r="A93" i="49"/>
  <c r="A64" i="49"/>
  <c r="A35" i="49"/>
  <c r="G120" i="49"/>
  <c r="G118" i="49"/>
  <c r="G117" i="49"/>
  <c r="G116" i="49"/>
  <c r="G115" i="49"/>
  <c r="G114" i="49"/>
  <c r="G113" i="49"/>
  <c r="G112" i="49"/>
  <c r="G111" i="49"/>
  <c r="G110" i="49"/>
  <c r="G109" i="49"/>
  <c r="G108" i="49"/>
  <c r="G107" i="49"/>
  <c r="G106" i="49"/>
  <c r="G105" i="49"/>
  <c r="G104" i="49"/>
  <c r="G103" i="49"/>
  <c r="G102" i="49"/>
  <c r="G101" i="49"/>
  <c r="G100" i="49"/>
  <c r="G99" i="49"/>
  <c r="G98" i="49"/>
  <c r="G97" i="49"/>
  <c r="G96" i="49"/>
  <c r="G95" i="49"/>
  <c r="G94" i="49"/>
  <c r="G91" i="49"/>
  <c r="G89" i="49"/>
  <c r="G88" i="49"/>
  <c r="G87" i="49"/>
  <c r="G86" i="49"/>
  <c r="G85" i="49"/>
  <c r="G84" i="49"/>
  <c r="G83" i="49"/>
  <c r="G82" i="49"/>
  <c r="G81" i="49"/>
  <c r="G80" i="49"/>
  <c r="G79" i="49"/>
  <c r="G78" i="49"/>
  <c r="G77" i="49"/>
  <c r="G76" i="49"/>
  <c r="G75" i="49"/>
  <c r="G74" i="49"/>
  <c r="G73" i="49"/>
  <c r="G72" i="49"/>
  <c r="G71" i="49"/>
  <c r="G70" i="49"/>
  <c r="G69" i="49"/>
  <c r="G68" i="49"/>
  <c r="G67" i="49"/>
  <c r="G66" i="49"/>
  <c r="G65" i="49"/>
  <c r="G62" i="49"/>
  <c r="G60" i="49"/>
  <c r="G59" i="49"/>
  <c r="G58" i="49"/>
  <c r="G57" i="49"/>
  <c r="G56" i="49"/>
  <c r="G55" i="49"/>
  <c r="G54" i="49"/>
  <c r="G53" i="49"/>
  <c r="G52" i="49"/>
  <c r="G51" i="49"/>
  <c r="G50" i="49"/>
  <c r="G49" i="49"/>
  <c r="G48" i="49"/>
  <c r="G47" i="49"/>
  <c r="G46" i="49"/>
  <c r="G45" i="49"/>
  <c r="G44" i="49"/>
  <c r="G43" i="49"/>
  <c r="G42" i="49"/>
  <c r="G41" i="49"/>
  <c r="G39" i="49"/>
  <c r="G38" i="49"/>
  <c r="G37" i="49"/>
  <c r="G36" i="49"/>
  <c r="A6" i="49"/>
  <c r="D36" i="49"/>
  <c r="I10" i="71"/>
  <c r="I13" i="71"/>
  <c r="I14" i="71"/>
  <c r="I15" i="71"/>
  <c r="I18" i="71"/>
  <c r="I22" i="71"/>
  <c r="I23" i="71"/>
  <c r="I26" i="71"/>
  <c r="I29" i="71"/>
  <c r="I30" i="71"/>
  <c r="I31" i="71"/>
  <c r="I96" i="71" l="1"/>
  <c r="I59" i="71"/>
  <c r="I55" i="71"/>
  <c r="I92" i="71"/>
  <c r="I89" i="71"/>
  <c r="I52" i="71"/>
  <c r="I88" i="71"/>
  <c r="I51" i="71"/>
  <c r="I87" i="71"/>
  <c r="I50" i="71"/>
  <c r="I103" i="71"/>
  <c r="I66" i="71"/>
  <c r="I47" i="71"/>
  <c r="I84" i="71"/>
  <c r="I68" i="71"/>
  <c r="I105" i="71"/>
  <c r="I104" i="71"/>
  <c r="I67" i="71"/>
  <c r="I63" i="71"/>
  <c r="I100" i="71"/>
  <c r="I60" i="71"/>
  <c r="I97" i="71"/>
  <c r="G27" i="49"/>
  <c r="I28" i="71"/>
  <c r="G19" i="49"/>
  <c r="G11" i="49"/>
  <c r="I12" i="71"/>
  <c r="G26" i="49"/>
  <c r="I27" i="71"/>
  <c r="G24" i="49"/>
  <c r="I25" i="71"/>
  <c r="G16" i="49"/>
  <c r="I17" i="71"/>
  <c r="G10" i="49"/>
  <c r="I11" i="71"/>
  <c r="G31" i="49"/>
  <c r="I32" i="71"/>
  <c r="G23" i="49"/>
  <c r="I24" i="71"/>
  <c r="G15" i="49"/>
  <c r="I16" i="71"/>
  <c r="G20" i="49"/>
  <c r="I21" i="71"/>
  <c r="G18" i="49"/>
  <c r="I19" i="71"/>
  <c r="I8" i="16" s="1" a="1"/>
  <c r="G28" i="49"/>
  <c r="G12" i="49"/>
  <c r="G14" i="49"/>
  <c r="G29" i="49"/>
  <c r="G25" i="49"/>
  <c r="G21" i="49"/>
  <c r="G17" i="49"/>
  <c r="G13" i="49"/>
  <c r="G9" i="49"/>
  <c r="G30" i="49"/>
  <c r="G22" i="49"/>
  <c r="I9" i="16" l="1"/>
  <c r="I16" i="16"/>
  <c r="I8" i="16"/>
  <c r="I12" i="16"/>
  <c r="I14" i="16"/>
  <c r="I15" i="16"/>
  <c r="I11" i="16"/>
  <c r="I10" i="16"/>
  <c r="I13" i="16"/>
  <c r="I35" i="71"/>
  <c r="I72" i="71" s="1"/>
  <c r="I61" i="71"/>
  <c r="I98" i="71"/>
  <c r="I65" i="71"/>
  <c r="I102" i="71"/>
  <c r="I99" i="71"/>
  <c r="I62" i="71"/>
  <c r="I93" i="71"/>
  <c r="I56" i="71"/>
  <c r="I69" i="71"/>
  <c r="I106" i="71"/>
  <c r="I101" i="71"/>
  <c r="I64" i="71"/>
  <c r="I53" i="71"/>
  <c r="I90" i="71"/>
  <c r="I91" i="71"/>
  <c r="I54" i="71"/>
  <c r="I95" i="71"/>
  <c r="I58" i="71"/>
  <c r="I85" i="71"/>
  <c r="I48" i="71"/>
  <c r="I86" i="71"/>
  <c r="I49" i="71"/>
  <c r="I109" i="71" l="1"/>
  <c r="I26" i="16"/>
  <c r="I27" i="16"/>
  <c r="I29" i="16"/>
  <c r="I32" i="16"/>
  <c r="I31" i="16"/>
  <c r="I30" i="16"/>
  <c r="I28" i="16"/>
  <c r="C249" i="97"/>
  <c r="B333" i="97"/>
  <c r="C333" i="97"/>
  <c r="A72" i="83"/>
  <c r="A52" i="83"/>
  <c r="A53" i="83"/>
  <c r="A54" i="83"/>
  <c r="A55" i="83"/>
  <c r="A56" i="83"/>
  <c r="A57" i="83"/>
  <c r="A58" i="83"/>
  <c r="A59" i="83"/>
  <c r="A60" i="83"/>
  <c r="A61" i="83"/>
  <c r="A62" i="83"/>
  <c r="A63" i="83"/>
  <c r="A64" i="83"/>
  <c r="A65" i="83"/>
  <c r="A66" i="83"/>
  <c r="A67" i="83"/>
  <c r="A68" i="83"/>
  <c r="A69" i="83"/>
  <c r="A70" i="83"/>
  <c r="A71" i="83"/>
  <c r="A7" i="83"/>
  <c r="A8" i="83"/>
  <c r="A9" i="83"/>
  <c r="A10" i="83"/>
  <c r="A11" i="83"/>
  <c r="A12" i="83"/>
  <c r="A13" i="83"/>
  <c r="A14" i="83"/>
  <c r="A15" i="83"/>
  <c r="A16" i="83"/>
  <c r="A17" i="83"/>
  <c r="A18" i="83"/>
  <c r="A19" i="83"/>
  <c r="A20" i="83"/>
  <c r="A21" i="83"/>
  <c r="A22" i="83"/>
  <c r="A23" i="83"/>
  <c r="A24" i="83"/>
  <c r="A25" i="83"/>
  <c r="A26" i="83"/>
  <c r="A27" i="83"/>
  <c r="A28" i="83"/>
  <c r="A29" i="83"/>
  <c r="A30" i="83"/>
  <c r="A31" i="83"/>
  <c r="A32" i="83"/>
  <c r="A33" i="83"/>
  <c r="A34" i="83"/>
  <c r="A35" i="83"/>
  <c r="A36" i="83"/>
  <c r="A37" i="83"/>
  <c r="A38" i="83"/>
  <c r="A39" i="83"/>
  <c r="A40" i="83"/>
  <c r="A41" i="83"/>
  <c r="A42" i="83"/>
  <c r="A43" i="83"/>
  <c r="A44" i="83"/>
  <c r="A45" i="83"/>
  <c r="A46" i="83"/>
  <c r="A47" i="83"/>
  <c r="A48" i="83"/>
  <c r="A49" i="83"/>
  <c r="A50" i="83"/>
  <c r="A51" i="83"/>
  <c r="A6" i="83"/>
  <c r="J16" i="16" l="1"/>
  <c r="I34" i="16"/>
  <c r="I33" i="16"/>
  <c r="AM4" i="21"/>
  <c r="O2" i="21" s="1"/>
  <c r="C3" i="12"/>
  <c r="D3" i="12"/>
  <c r="E3" i="12"/>
  <c r="F3" i="12"/>
  <c r="B3" i="12"/>
  <c r="D5" i="11"/>
  <c r="E5" i="11"/>
  <c r="F5" i="11"/>
  <c r="C5" i="11"/>
  <c r="B5" i="11"/>
  <c r="A197" i="21" l="1"/>
  <c r="A137" i="21"/>
  <c r="A107" i="21"/>
  <c r="A167" i="21"/>
  <c r="A77" i="21"/>
  <c r="A47" i="21"/>
  <c r="A1" i="21"/>
  <c r="A1" i="11"/>
  <c r="A31" i="11" s="1"/>
  <c r="L1" i="11"/>
  <c r="A1" i="12"/>
  <c r="F67" i="12"/>
  <c r="F75" i="12"/>
  <c r="F83" i="12"/>
  <c r="F68" i="12"/>
  <c r="F71" i="12"/>
  <c r="F69" i="12"/>
  <c r="F77" i="12"/>
  <c r="F63" i="12"/>
  <c r="F70" i="12"/>
  <c r="F78" i="12"/>
  <c r="F86" i="12"/>
  <c r="F64" i="12"/>
  <c r="F72" i="12"/>
  <c r="F80" i="12"/>
  <c r="F76" i="12"/>
  <c r="F79" i="12"/>
  <c r="F65" i="12"/>
  <c r="F73" i="12"/>
  <c r="F81" i="12"/>
  <c r="F84" i="12"/>
  <c r="F66" i="12"/>
  <c r="F74" i="12"/>
  <c r="F82" i="12"/>
  <c r="F89" i="12"/>
  <c r="F61" i="12"/>
  <c r="H3" i="11"/>
  <c r="J34" i="16"/>
  <c r="Q7" i="31"/>
  <c r="F35" i="11"/>
  <c r="F39" i="11"/>
  <c r="F36" i="11"/>
  <c r="F37" i="11"/>
  <c r="F38" i="11"/>
  <c r="F34" i="11"/>
  <c r="S5" i="11" s="1"/>
  <c r="R5" i="11"/>
  <c r="F33" i="11"/>
  <c r="S4" i="11" s="1"/>
  <c r="R6" i="11"/>
  <c r="R8" i="11"/>
  <c r="R9" i="11"/>
  <c r="F44" i="11"/>
  <c r="R7" i="11"/>
  <c r="R10" i="11"/>
  <c r="B33" i="11"/>
  <c r="R4" i="11"/>
  <c r="N260" i="21" s="1"/>
  <c r="B39" i="11"/>
  <c r="B34" i="11"/>
  <c r="B35" i="11"/>
  <c r="B36" i="11"/>
  <c r="B38" i="11"/>
  <c r="B37" i="11"/>
  <c r="E80" i="12"/>
  <c r="E83" i="12"/>
  <c r="E82" i="12"/>
  <c r="E79" i="12"/>
  <c r="E84" i="12"/>
  <c r="E81" i="12"/>
  <c r="D80" i="12"/>
  <c r="D82" i="12"/>
  <c r="D79" i="12"/>
  <c r="D84" i="12"/>
  <c r="D81" i="12"/>
  <c r="D83" i="12"/>
  <c r="C82" i="12"/>
  <c r="C80" i="12"/>
  <c r="C79" i="12"/>
  <c r="C84" i="12"/>
  <c r="C81" i="12"/>
  <c r="C83" i="12"/>
  <c r="B83" i="12"/>
  <c r="B82" i="12"/>
  <c r="B79" i="12"/>
  <c r="B84" i="12"/>
  <c r="B63" i="12"/>
  <c r="B81" i="12"/>
  <c r="B80" i="12"/>
  <c r="B86" i="12"/>
  <c r="C44" i="11"/>
  <c r="C33" i="11"/>
  <c r="C89" i="12"/>
  <c r="C61" i="12"/>
  <c r="C97" i="12"/>
  <c r="C71" i="12"/>
  <c r="C63" i="12"/>
  <c r="C91" i="12"/>
  <c r="C67" i="12" l="1"/>
  <c r="C78" i="12"/>
  <c r="C96" i="12"/>
  <c r="C100" i="12"/>
  <c r="C75" i="12"/>
  <c r="C92" i="12"/>
  <c r="C72" i="12"/>
  <c r="C95" i="12"/>
  <c r="C103" i="12"/>
  <c r="C99" i="12"/>
  <c r="C68" i="12"/>
  <c r="C104" i="12"/>
  <c r="C69" i="12"/>
  <c r="C74" i="12"/>
  <c r="C66" i="12"/>
  <c r="C73" i="12"/>
  <c r="C101" i="12"/>
  <c r="C105" i="12"/>
  <c r="C65" i="12"/>
  <c r="C76" i="12"/>
  <c r="C93" i="12"/>
  <c r="C94" i="12"/>
  <c r="C102" i="12"/>
  <c r="C98" i="12"/>
  <c r="C77" i="12"/>
  <c r="C64" i="12"/>
  <c r="C90" i="12"/>
  <c r="C70" i="12"/>
  <c r="C46" i="11" l="1"/>
  <c r="C35" i="11"/>
  <c r="C45" i="11"/>
  <c r="C34" i="11"/>
  <c r="C48" i="11"/>
  <c r="C37" i="11"/>
  <c r="C39" i="11"/>
  <c r="C49" i="11"/>
  <c r="C38" i="11"/>
  <c r="C47" i="11"/>
  <c r="C36" i="11"/>
  <c r="C50" i="11"/>
  <c r="A4" i="5" l="1"/>
  <c r="A5" i="5"/>
  <c r="A6" i="5"/>
  <c r="A7" i="5"/>
  <c r="A8" i="5"/>
  <c r="A9" i="5"/>
  <c r="A10" i="5"/>
  <c r="A11" i="5"/>
  <c r="A12" i="5"/>
  <c r="A13" i="5"/>
  <c r="A14" i="5"/>
  <c r="A15" i="5"/>
  <c r="A16" i="5"/>
  <c r="A17" i="5"/>
  <c r="A18" i="5"/>
  <c r="A19" i="5"/>
  <c r="A20" i="5"/>
  <c r="A21" i="5"/>
  <c r="A22" i="5"/>
  <c r="A23" i="5"/>
  <c r="A24" i="5"/>
  <c r="A3" i="5"/>
  <c r="E180" i="97"/>
  <c r="E265" i="97"/>
  <c r="E183" i="97"/>
  <c r="E269" i="97"/>
  <c r="E187" i="97"/>
  <c r="E188" i="97"/>
  <c r="E288" i="97"/>
  <c r="E295" i="97"/>
  <c r="E296" i="97"/>
  <c r="E213" i="97"/>
  <c r="E217" i="97"/>
  <c r="F136" i="97"/>
  <c r="E305" i="97"/>
  <c r="E225" i="97"/>
  <c r="F142" i="97"/>
  <c r="F143" i="97"/>
  <c r="E312" i="97"/>
  <c r="E229" i="97"/>
  <c r="F147" i="97"/>
  <c r="F150" i="97"/>
  <c r="E319" i="97"/>
  <c r="E236" i="97"/>
  <c r="E237" i="97"/>
  <c r="E260" i="97"/>
  <c r="D177" i="97"/>
  <c r="E262" i="97"/>
  <c r="E263" i="97"/>
  <c r="D265" i="97"/>
  <c r="D186" i="97"/>
  <c r="E192" i="97"/>
  <c r="E277" i="97"/>
  <c r="D194" i="97"/>
  <c r="E195" i="97"/>
  <c r="E281" i="97"/>
  <c r="E200" i="97"/>
  <c r="D201" i="97"/>
  <c r="D286" i="97"/>
  <c r="D289" i="97"/>
  <c r="E292" i="97"/>
  <c r="E209" i="97"/>
  <c r="E210" i="97"/>
  <c r="D300" i="97"/>
  <c r="E133" i="97"/>
  <c r="D219" i="97"/>
  <c r="E137" i="97"/>
  <c r="E224" i="97"/>
  <c r="D309" i="97"/>
  <c r="E142" i="97"/>
  <c r="D227" i="97"/>
  <c r="E232" i="97"/>
  <c r="E149" i="97"/>
  <c r="D234" i="97"/>
  <c r="E151" i="97"/>
  <c r="D321" i="97"/>
  <c r="D94" i="97"/>
  <c r="D96" i="97"/>
  <c r="D105" i="97"/>
  <c r="D275" i="97"/>
  <c r="D283" i="97"/>
  <c r="D126" i="97"/>
  <c r="D295" i="97"/>
  <c r="D297" i="97"/>
  <c r="D304" i="97"/>
  <c r="D147" i="97"/>
  <c r="D232" i="97"/>
  <c r="D236" i="97"/>
  <c r="B90" i="97"/>
  <c r="B91" i="97"/>
  <c r="B92" i="97"/>
  <c r="B93" i="97"/>
  <c r="B94" i="97"/>
  <c r="B95" i="97"/>
  <c r="B96" i="97"/>
  <c r="B97" i="97"/>
  <c r="B98" i="97"/>
  <c r="B99" i="97"/>
  <c r="B100" i="97"/>
  <c r="B101" i="97"/>
  <c r="B102" i="97"/>
  <c r="B103" i="97"/>
  <c r="B104" i="97"/>
  <c r="B105" i="97"/>
  <c r="B106" i="97"/>
  <c r="B107" i="97"/>
  <c r="B108" i="97"/>
  <c r="B109" i="97"/>
  <c r="B110" i="97"/>
  <c r="B111" i="97"/>
  <c r="B112" i="97"/>
  <c r="B113" i="97"/>
  <c r="B114" i="97"/>
  <c r="B115" i="97"/>
  <c r="B116" i="97"/>
  <c r="B117" i="97"/>
  <c r="B118" i="97"/>
  <c r="B119" i="97"/>
  <c r="B120" i="97"/>
  <c r="B121" i="97"/>
  <c r="B122" i="97"/>
  <c r="B123" i="97"/>
  <c r="B124" i="97"/>
  <c r="B125" i="97"/>
  <c r="B126" i="97"/>
  <c r="B127" i="97"/>
  <c r="B128" i="97"/>
  <c r="B129" i="97"/>
  <c r="B130" i="97"/>
  <c r="B131" i="97"/>
  <c r="B132" i="97"/>
  <c r="B133" i="97"/>
  <c r="B134" i="97"/>
  <c r="B135" i="97"/>
  <c r="B136" i="97"/>
  <c r="B137" i="97"/>
  <c r="B138" i="97"/>
  <c r="B139" i="97"/>
  <c r="B140" i="97"/>
  <c r="B141" i="97"/>
  <c r="B142" i="97"/>
  <c r="B143" i="97"/>
  <c r="B144" i="97"/>
  <c r="B145" i="97"/>
  <c r="B146" i="97"/>
  <c r="B147" i="97"/>
  <c r="B148" i="97"/>
  <c r="B149" i="97"/>
  <c r="B150" i="97"/>
  <c r="B151" i="97"/>
  <c r="B152" i="97"/>
  <c r="B153" i="97"/>
  <c r="B154" i="97"/>
  <c r="B89" i="97"/>
  <c r="C89" i="97"/>
  <c r="B259" i="97"/>
  <c r="B260" i="97"/>
  <c r="B178" i="97"/>
  <c r="B180" i="97"/>
  <c r="B181" i="97"/>
  <c r="B268" i="97"/>
  <c r="C102" i="97"/>
  <c r="B272" i="97"/>
  <c r="B273" i="97"/>
  <c r="B194" i="97"/>
  <c r="B195" i="97"/>
  <c r="B280" i="97"/>
  <c r="B281" i="97"/>
  <c r="C116" i="97"/>
  <c r="B202" i="97"/>
  <c r="B203" i="97"/>
  <c r="B204" i="97"/>
  <c r="B289" i="97"/>
  <c r="B291" i="97"/>
  <c r="C124" i="97"/>
  <c r="C127" i="97"/>
  <c r="C128" i="97"/>
  <c r="C129" i="97"/>
  <c r="B216" i="97"/>
  <c r="C134" i="97"/>
  <c r="B304" i="97"/>
  <c r="B305" i="97"/>
  <c r="B308" i="97"/>
  <c r="C143" i="97"/>
  <c r="B228" i="97"/>
  <c r="B229" i="97"/>
  <c r="C148" i="97"/>
  <c r="C150" i="97"/>
  <c r="B236" i="97"/>
  <c r="C153" i="97"/>
  <c r="B322" i="97"/>
  <c r="B179" i="97"/>
  <c r="B267" i="97"/>
  <c r="B187" i="97"/>
  <c r="B275" i="97"/>
  <c r="B283" i="97"/>
  <c r="B211" i="97"/>
  <c r="B300" i="97"/>
  <c r="B217" i="97"/>
  <c r="B302" i="97"/>
  <c r="B220" i="97"/>
  <c r="B225" i="97"/>
  <c r="B231" i="97"/>
  <c r="B233" i="97"/>
  <c r="B318" i="97"/>
  <c r="D322" i="97"/>
  <c r="E322" i="97"/>
  <c r="B238" i="97"/>
  <c r="D238" i="97"/>
  <c r="E238" i="97"/>
  <c r="C151" i="97"/>
  <c r="D151" i="97"/>
  <c r="E152" i="97"/>
  <c r="E153" i="97"/>
  <c r="C154" i="97"/>
  <c r="D154" i="97"/>
  <c r="E154" i="97"/>
  <c r="F154" i="97"/>
  <c r="B314" i="97"/>
  <c r="D314" i="97"/>
  <c r="E314" i="97"/>
  <c r="B315" i="97"/>
  <c r="D315" i="97"/>
  <c r="E315" i="97"/>
  <c r="D316" i="97"/>
  <c r="E316" i="97"/>
  <c r="B317" i="97"/>
  <c r="D318" i="97"/>
  <c r="E318" i="97"/>
  <c r="B298" i="97"/>
  <c r="D298" i="97"/>
  <c r="E298" i="97"/>
  <c r="B299" i="97"/>
  <c r="D299" i="97"/>
  <c r="E299" i="97"/>
  <c r="E300" i="97"/>
  <c r="B301" i="97"/>
  <c r="D301" i="97"/>
  <c r="E301" i="97"/>
  <c r="E304" i="97"/>
  <c r="B306" i="97"/>
  <c r="D306" i="97"/>
  <c r="E306" i="97"/>
  <c r="B307" i="97"/>
  <c r="D307" i="97"/>
  <c r="E307" i="97"/>
  <c r="E308" i="97"/>
  <c r="B309" i="97"/>
  <c r="E310" i="97"/>
  <c r="D312" i="97"/>
  <c r="D231" i="97"/>
  <c r="E231" i="97"/>
  <c r="D233" i="97"/>
  <c r="E233" i="97"/>
  <c r="B214" i="97"/>
  <c r="D214" i="97"/>
  <c r="E214" i="97"/>
  <c r="B215" i="97"/>
  <c r="D215" i="97"/>
  <c r="E215" i="97"/>
  <c r="D216" i="97"/>
  <c r="E216" i="97"/>
  <c r="D217" i="97"/>
  <c r="B222" i="97"/>
  <c r="D222" i="97"/>
  <c r="E222" i="97"/>
  <c r="B223" i="97"/>
  <c r="D223" i="97"/>
  <c r="E223" i="97"/>
  <c r="B224" i="97"/>
  <c r="D226" i="97"/>
  <c r="E228" i="97"/>
  <c r="B230" i="97"/>
  <c r="D230" i="97"/>
  <c r="E230" i="97"/>
  <c r="C130" i="97"/>
  <c r="D130" i="97"/>
  <c r="E130" i="97"/>
  <c r="F130" i="97"/>
  <c r="C131" i="97"/>
  <c r="D131" i="97"/>
  <c r="E131" i="97"/>
  <c r="F131" i="97"/>
  <c r="E132" i="97"/>
  <c r="F132" i="97"/>
  <c r="C133" i="97"/>
  <c r="D133" i="97"/>
  <c r="C135" i="97"/>
  <c r="D135" i="97"/>
  <c r="F135" i="97"/>
  <c r="E136" i="97"/>
  <c r="C138" i="97"/>
  <c r="D138" i="97"/>
  <c r="E138" i="97"/>
  <c r="F138" i="97"/>
  <c r="C139" i="97"/>
  <c r="D139" i="97"/>
  <c r="E139" i="97"/>
  <c r="F139" i="97"/>
  <c r="C140" i="97"/>
  <c r="E140" i="97"/>
  <c r="F140" i="97"/>
  <c r="C141" i="97"/>
  <c r="D141" i="97"/>
  <c r="F141" i="97"/>
  <c r="C142" i="97"/>
  <c r="D142" i="97"/>
  <c r="E143" i="97"/>
  <c r="C144" i="97"/>
  <c r="E144" i="97"/>
  <c r="F144" i="97"/>
  <c r="E145" i="97"/>
  <c r="C146" i="97"/>
  <c r="D146" i="97"/>
  <c r="E146" i="97"/>
  <c r="F146" i="97"/>
  <c r="C147" i="97"/>
  <c r="E147" i="97"/>
  <c r="D148" i="97"/>
  <c r="E148" i="97"/>
  <c r="F148" i="97"/>
  <c r="C149" i="97"/>
  <c r="D149" i="97"/>
  <c r="F149" i="97"/>
  <c r="D150" i="97"/>
  <c r="A169" i="97"/>
  <c r="A81" i="97"/>
  <c r="A165" i="97" s="1"/>
  <c r="A69" i="97"/>
  <c r="A321" i="97" s="1"/>
  <c r="A70" i="97"/>
  <c r="A322" i="97" s="1"/>
  <c r="A64" i="97"/>
  <c r="A316" i="97" s="1"/>
  <c r="A65" i="97"/>
  <c r="A317" i="97" s="1"/>
  <c r="A66" i="97"/>
  <c r="A318" i="97" s="1"/>
  <c r="A67" i="97"/>
  <c r="A319" i="97" s="1"/>
  <c r="A68" i="97"/>
  <c r="A320" i="97" s="1"/>
  <c r="A46" i="97"/>
  <c r="A298" i="97" s="1"/>
  <c r="A47" i="97"/>
  <c r="A299" i="97" s="1"/>
  <c r="A48" i="97"/>
  <c r="A300" i="97" s="1"/>
  <c r="A49" i="97"/>
  <c r="A301" i="97" s="1"/>
  <c r="A50" i="97"/>
  <c r="A302" i="97" s="1"/>
  <c r="A51" i="97"/>
  <c r="A303" i="97" s="1"/>
  <c r="A52" i="97"/>
  <c r="A304" i="97" s="1"/>
  <c r="A53" i="97"/>
  <c r="A305" i="97" s="1"/>
  <c r="A54" i="97"/>
  <c r="A306" i="97" s="1"/>
  <c r="A55" i="97"/>
  <c r="A307" i="97" s="1"/>
  <c r="A56" i="97"/>
  <c r="A308" i="97" s="1"/>
  <c r="A57" i="97"/>
  <c r="A309" i="97" s="1"/>
  <c r="A58" i="97"/>
  <c r="A310" i="97" s="1"/>
  <c r="A59" i="97"/>
  <c r="A311" i="97" s="1"/>
  <c r="A60" i="97"/>
  <c r="A312" i="97" s="1"/>
  <c r="A61" i="97"/>
  <c r="A313" i="97" s="1"/>
  <c r="A62" i="97"/>
  <c r="A314" i="97" s="1"/>
  <c r="A63" i="97"/>
  <c r="A315" i="97" s="1"/>
  <c r="A6" i="97"/>
  <c r="A258" i="97" s="1"/>
  <c r="A7" i="97"/>
  <c r="A259" i="97" s="1"/>
  <c r="A8" i="97"/>
  <c r="A260" i="97" s="1"/>
  <c r="A9" i="97"/>
  <c r="A10" i="97"/>
  <c r="A262" i="97" s="1"/>
  <c r="A11" i="97"/>
  <c r="A263" i="97" s="1"/>
  <c r="A12" i="97"/>
  <c r="A264" i="97" s="1"/>
  <c r="A13" i="97"/>
  <c r="A14" i="97"/>
  <c r="A266" i="97" s="1"/>
  <c r="A15" i="97"/>
  <c r="A267" i="97" s="1"/>
  <c r="A16" i="97"/>
  <c r="A268" i="97" s="1"/>
  <c r="A17" i="97"/>
  <c r="A18" i="97"/>
  <c r="A270" i="97" s="1"/>
  <c r="A19" i="97"/>
  <c r="A271" i="97" s="1"/>
  <c r="A20" i="97"/>
  <c r="A272" i="97" s="1"/>
  <c r="A21" i="97"/>
  <c r="A273" i="97" s="1"/>
  <c r="A22" i="97"/>
  <c r="A23" i="97"/>
  <c r="A24" i="97"/>
  <c r="A276" i="97" s="1"/>
  <c r="A25" i="97"/>
  <c r="A26" i="97"/>
  <c r="A27" i="97"/>
  <c r="A28" i="97"/>
  <c r="A29" i="97"/>
  <c r="A281" i="97" s="1"/>
  <c r="A30" i="97"/>
  <c r="A282" i="97" s="1"/>
  <c r="A31" i="97"/>
  <c r="A283" i="97" s="1"/>
  <c r="A32" i="97"/>
  <c r="A33" i="97"/>
  <c r="A285" i="97" s="1"/>
  <c r="A34" i="97"/>
  <c r="A286" i="97" s="1"/>
  <c r="A35" i="97"/>
  <c r="A287" i="97" s="1"/>
  <c r="A36" i="97"/>
  <c r="A37" i="97"/>
  <c r="A289" i="97" s="1"/>
  <c r="A38" i="97"/>
  <c r="A290" i="97" s="1"/>
  <c r="A39" i="97"/>
  <c r="A291" i="97" s="1"/>
  <c r="A40" i="97"/>
  <c r="A41" i="97"/>
  <c r="A293" i="97" s="1"/>
  <c r="A42" i="97"/>
  <c r="A294" i="97" s="1"/>
  <c r="A43" i="97"/>
  <c r="A295" i="97" s="1"/>
  <c r="A44" i="97"/>
  <c r="A296" i="97" s="1"/>
  <c r="A45" i="97"/>
  <c r="A297" i="97" s="1"/>
  <c r="A5" i="97"/>
  <c r="A257" i="97" s="1"/>
  <c r="E297" i="97"/>
  <c r="B297" i="97"/>
  <c r="E293" i="97"/>
  <c r="E291" i="97"/>
  <c r="D291" i="97"/>
  <c r="E290" i="97"/>
  <c r="D290" i="97"/>
  <c r="B290" i="97"/>
  <c r="B288" i="97"/>
  <c r="D285" i="97"/>
  <c r="E284" i="97"/>
  <c r="B284" i="97"/>
  <c r="E283" i="97"/>
  <c r="E282" i="97"/>
  <c r="D282" i="97"/>
  <c r="B282" i="97"/>
  <c r="E276" i="97"/>
  <c r="B276" i="97"/>
  <c r="E275" i="97"/>
  <c r="E274" i="97"/>
  <c r="D274" i="97"/>
  <c r="B274" i="97"/>
  <c r="E268" i="97"/>
  <c r="E267" i="97"/>
  <c r="D267" i="97"/>
  <c r="E266" i="97"/>
  <c r="D266" i="97"/>
  <c r="B266" i="97"/>
  <c r="B265" i="97"/>
  <c r="E264" i="97"/>
  <c r="D262" i="97"/>
  <c r="E259" i="97"/>
  <c r="D259" i="97"/>
  <c r="E258" i="97"/>
  <c r="D258" i="97"/>
  <c r="B258" i="97"/>
  <c r="E257" i="97"/>
  <c r="D257" i="97"/>
  <c r="B257" i="97"/>
  <c r="E255" i="97"/>
  <c r="D255" i="97"/>
  <c r="B255" i="97"/>
  <c r="D212" i="97"/>
  <c r="B212" i="97"/>
  <c r="D210" i="97"/>
  <c r="B210" i="97"/>
  <c r="E208" i="97"/>
  <c r="D208" i="97"/>
  <c r="E207" i="97"/>
  <c r="D207" i="97"/>
  <c r="B207" i="97"/>
  <c r="E206" i="97"/>
  <c r="D206" i="97"/>
  <c r="B206" i="97"/>
  <c r="E204" i="97"/>
  <c r="D204" i="97"/>
  <c r="D202" i="97"/>
  <c r="D200" i="97"/>
  <c r="E199" i="97"/>
  <c r="B199" i="97"/>
  <c r="E198" i="97"/>
  <c r="D198" i="97"/>
  <c r="B198" i="97"/>
  <c r="E196" i="97"/>
  <c r="D196" i="97"/>
  <c r="E191" i="97"/>
  <c r="D191" i="97"/>
  <c r="B191" i="97"/>
  <c r="E190" i="97"/>
  <c r="D190" i="97"/>
  <c r="B190" i="97"/>
  <c r="E189" i="97"/>
  <c r="B186" i="97"/>
  <c r="E184" i="97"/>
  <c r="D183" i="97"/>
  <c r="B183" i="97"/>
  <c r="E182" i="97"/>
  <c r="D182" i="97"/>
  <c r="B182" i="97"/>
  <c r="D178" i="97"/>
  <c r="E175" i="97"/>
  <c r="D175" i="97"/>
  <c r="B175" i="97"/>
  <c r="E174" i="97"/>
  <c r="D174" i="97"/>
  <c r="B174" i="97"/>
  <c r="E173" i="97"/>
  <c r="D173" i="97"/>
  <c r="B173" i="97"/>
  <c r="E171" i="97"/>
  <c r="D171" i="97"/>
  <c r="B171" i="97"/>
  <c r="D165" i="97"/>
  <c r="C165" i="97"/>
  <c r="C126" i="97"/>
  <c r="D125" i="97"/>
  <c r="C125" i="97"/>
  <c r="D122" i="97"/>
  <c r="C122" i="97"/>
  <c r="D118" i="97"/>
  <c r="C118" i="97"/>
  <c r="D117" i="97"/>
  <c r="C117" i="97"/>
  <c r="D114" i="97"/>
  <c r="C114" i="97"/>
  <c r="C113" i="97"/>
  <c r="D110" i="97"/>
  <c r="D109" i="97"/>
  <c r="C109" i="97"/>
  <c r="C108" i="97"/>
  <c r="D106" i="97"/>
  <c r="C106" i="97"/>
  <c r="C104" i="97"/>
  <c r="D102" i="97"/>
  <c r="D101" i="97"/>
  <c r="C101" i="97"/>
  <c r="D100" i="97"/>
  <c r="C100" i="97"/>
  <c r="D98" i="97"/>
  <c r="C98" i="97"/>
  <c r="C94" i="97"/>
  <c r="D93" i="97"/>
  <c r="C93" i="97"/>
  <c r="D92" i="97"/>
  <c r="D90" i="97"/>
  <c r="C90" i="97"/>
  <c r="D89" i="97"/>
  <c r="F87" i="97"/>
  <c r="E87" i="97"/>
  <c r="D87" i="97"/>
  <c r="C87" i="97"/>
  <c r="B87" i="97"/>
  <c r="E129" i="97"/>
  <c r="D127" i="97"/>
  <c r="A204" i="97" l="1"/>
  <c r="A288" i="97"/>
  <c r="A193" i="97"/>
  <c r="A277" i="97"/>
  <c r="A185" i="97"/>
  <c r="A269" i="97"/>
  <c r="A177" i="97"/>
  <c r="A261" i="97"/>
  <c r="A196" i="97"/>
  <c r="A280" i="97"/>
  <c r="A195" i="97"/>
  <c r="A279" i="97"/>
  <c r="A194" i="97"/>
  <c r="A278" i="97"/>
  <c r="A208" i="97"/>
  <c r="A292" i="97"/>
  <c r="A200" i="97"/>
  <c r="A284" i="97"/>
  <c r="A181" i="97"/>
  <c r="A265" i="97"/>
  <c r="A191" i="97"/>
  <c r="A275" i="97"/>
  <c r="A190" i="97"/>
  <c r="A274" i="97"/>
  <c r="A205" i="97"/>
  <c r="A105" i="97"/>
  <c r="A189" i="97"/>
  <c r="A147" i="97"/>
  <c r="A231" i="97"/>
  <c r="A153" i="97"/>
  <c r="A237" i="97"/>
  <c r="A188" i="97"/>
  <c r="A146" i="97"/>
  <c r="A230" i="97"/>
  <c r="A203" i="97"/>
  <c r="A95" i="97"/>
  <c r="A179" i="97"/>
  <c r="A178" i="97"/>
  <c r="A144" i="97"/>
  <c r="A228" i="97"/>
  <c r="A151" i="97"/>
  <c r="A235" i="97"/>
  <c r="A201" i="97"/>
  <c r="A143" i="97"/>
  <c r="A227" i="97"/>
  <c r="A135" i="97"/>
  <c r="A219" i="97"/>
  <c r="A108" i="97"/>
  <c r="A192" i="97"/>
  <c r="A100" i="97"/>
  <c r="A184" i="97"/>
  <c r="A92" i="97"/>
  <c r="A176" i="97"/>
  <c r="A142" i="97"/>
  <c r="A226" i="97"/>
  <c r="A134" i="97"/>
  <c r="A218" i="97"/>
  <c r="A149" i="97"/>
  <c r="A233" i="97"/>
  <c r="A131" i="97"/>
  <c r="A215" i="97"/>
  <c r="A212" i="97"/>
  <c r="A96" i="97"/>
  <c r="A180" i="97"/>
  <c r="A138" i="97"/>
  <c r="A222" i="97"/>
  <c r="A130" i="97"/>
  <c r="A214" i="97"/>
  <c r="A211" i="97"/>
  <c r="A187" i="97"/>
  <c r="A145" i="97"/>
  <c r="A229" i="97"/>
  <c r="A137" i="97"/>
  <c r="A221" i="97"/>
  <c r="A152" i="97"/>
  <c r="A236" i="97"/>
  <c r="A126" i="97"/>
  <c r="A210" i="97"/>
  <c r="A118" i="97"/>
  <c r="A202" i="97"/>
  <c r="A102" i="97"/>
  <c r="A186" i="97"/>
  <c r="A136" i="97"/>
  <c r="A220" i="97"/>
  <c r="A125" i="97"/>
  <c r="A209" i="97"/>
  <c r="A150" i="97"/>
  <c r="A234" i="97"/>
  <c r="A123" i="97"/>
  <c r="A207" i="97"/>
  <c r="A115" i="97"/>
  <c r="A199" i="97"/>
  <c r="A183" i="97"/>
  <c r="A175" i="97"/>
  <c r="A141" i="97"/>
  <c r="A225" i="97"/>
  <c r="A133" i="97"/>
  <c r="A217" i="97"/>
  <c r="A148" i="97"/>
  <c r="A232" i="97"/>
  <c r="A129" i="97"/>
  <c r="A213" i="97"/>
  <c r="A197" i="97"/>
  <c r="A139" i="97"/>
  <c r="A223" i="97"/>
  <c r="A173" i="97"/>
  <c r="A206" i="97"/>
  <c r="A198" i="97"/>
  <c r="A182" i="97"/>
  <c r="A90" i="97"/>
  <c r="A174" i="97"/>
  <c r="A140" i="97"/>
  <c r="A224" i="97"/>
  <c r="A132" i="97"/>
  <c r="A216" i="97"/>
  <c r="A154" i="97"/>
  <c r="A238" i="97"/>
  <c r="E197" i="97"/>
  <c r="E221" i="97"/>
  <c r="F153" i="97"/>
  <c r="E272" i="97"/>
  <c r="E321" i="97"/>
  <c r="E273" i="97"/>
  <c r="E181" i="97"/>
  <c r="E280" i="97"/>
  <c r="E287" i="97"/>
  <c r="F134" i="97"/>
  <c r="E313" i="97"/>
  <c r="E302" i="97"/>
  <c r="E203" i="97"/>
  <c r="F133" i="97"/>
  <c r="F151" i="97"/>
  <c r="E320" i="97"/>
  <c r="E220" i="97"/>
  <c r="F152" i="97"/>
  <c r="E212" i="97"/>
  <c r="E270" i="97"/>
  <c r="F145" i="97"/>
  <c r="F137" i="97"/>
  <c r="D294" i="97"/>
  <c r="E150" i="97"/>
  <c r="E177" i="97"/>
  <c r="E185" i="97"/>
  <c r="D193" i="97"/>
  <c r="E201" i="97"/>
  <c r="D261" i="97"/>
  <c r="D278" i="97"/>
  <c r="E286" i="97"/>
  <c r="E141" i="97"/>
  <c r="D218" i="97"/>
  <c r="E234" i="97"/>
  <c r="D302" i="97"/>
  <c r="D287" i="97"/>
  <c r="E193" i="97"/>
  <c r="E205" i="97"/>
  <c r="E261" i="97"/>
  <c r="D270" i="97"/>
  <c r="E278" i="97"/>
  <c r="D293" i="97"/>
  <c r="E226" i="97"/>
  <c r="E311" i="97"/>
  <c r="D319" i="97"/>
  <c r="D308" i="97"/>
  <c r="D263" i="97"/>
  <c r="E135" i="97"/>
  <c r="E235" i="97"/>
  <c r="D271" i="97"/>
  <c r="E186" i="97"/>
  <c r="E194" i="97"/>
  <c r="D277" i="97"/>
  <c r="E294" i="97"/>
  <c r="D225" i="97"/>
  <c r="E309" i="97"/>
  <c r="E317" i="97"/>
  <c r="E176" i="97"/>
  <c r="E179" i="97"/>
  <c r="D195" i="97"/>
  <c r="D209" i="97"/>
  <c r="E211" i="97"/>
  <c r="D269" i="97"/>
  <c r="E289" i="97"/>
  <c r="E227" i="97"/>
  <c r="E303" i="97"/>
  <c r="D317" i="97"/>
  <c r="E279" i="97"/>
  <c r="E178" i="97"/>
  <c r="E202" i="97"/>
  <c r="E271" i="97"/>
  <c r="E219" i="97"/>
  <c r="E285" i="97"/>
  <c r="D185" i="97"/>
  <c r="E134" i="97"/>
  <c r="E218" i="97"/>
  <c r="D180" i="97"/>
  <c r="D188" i="97"/>
  <c r="D264" i="97"/>
  <c r="D272" i="97"/>
  <c r="D280" i="97"/>
  <c r="D296" i="97"/>
  <c r="D137" i="97"/>
  <c r="D184" i="97"/>
  <c r="D192" i="97"/>
  <c r="D288" i="97"/>
  <c r="D143" i="97"/>
  <c r="D132" i="97"/>
  <c r="D229" i="97"/>
  <c r="D224" i="97"/>
  <c r="D305" i="97"/>
  <c r="D303" i="97"/>
  <c r="D153" i="97"/>
  <c r="D237" i="97"/>
  <c r="D235" i="97"/>
  <c r="D320" i="97"/>
  <c r="D176" i="97"/>
  <c r="D203" i="97"/>
  <c r="D205" i="97"/>
  <c r="D211" i="97"/>
  <c r="D260" i="97"/>
  <c r="D268" i="97"/>
  <c r="D276" i="97"/>
  <c r="D284" i="97"/>
  <c r="D292" i="97"/>
  <c r="D145" i="97"/>
  <c r="D134" i="97"/>
  <c r="D220" i="97"/>
  <c r="D313" i="97"/>
  <c r="D311" i="97"/>
  <c r="D221" i="97"/>
  <c r="D129" i="97"/>
  <c r="D197" i="97"/>
  <c r="D213" i="97"/>
  <c r="D136" i="97"/>
  <c r="D97" i="97"/>
  <c r="D121" i="97"/>
  <c r="D179" i="97"/>
  <c r="D181" i="97"/>
  <c r="D187" i="97"/>
  <c r="D189" i="97"/>
  <c r="D273" i="97"/>
  <c r="D279" i="97"/>
  <c r="D281" i="97"/>
  <c r="D140" i="97"/>
  <c r="D228" i="97"/>
  <c r="D152" i="97"/>
  <c r="D113" i="97"/>
  <c r="D199" i="97"/>
  <c r="D144" i="97"/>
  <c r="D310" i="97"/>
  <c r="B312" i="97"/>
  <c r="C96" i="97"/>
  <c r="C105" i="97"/>
  <c r="C121" i="97"/>
  <c r="B264" i="97"/>
  <c r="B296" i="97"/>
  <c r="C145" i="97"/>
  <c r="C136" i="97"/>
  <c r="B321" i="97"/>
  <c r="B197" i="97"/>
  <c r="C92" i="97"/>
  <c r="C110" i="97"/>
  <c r="B292" i="97"/>
  <c r="C132" i="97"/>
  <c r="B234" i="97"/>
  <c r="B232" i="97"/>
  <c r="C152" i="97"/>
  <c r="B188" i="97"/>
  <c r="B221" i="97"/>
  <c r="B313" i="97"/>
  <c r="B320" i="97"/>
  <c r="B205" i="97"/>
  <c r="C112" i="97"/>
  <c r="B196" i="97"/>
  <c r="C137" i="97"/>
  <c r="B189" i="97"/>
  <c r="C120" i="97"/>
  <c r="C97" i="97"/>
  <c r="B227" i="97"/>
  <c r="B219" i="97"/>
  <c r="B185" i="97"/>
  <c r="B193" i="97"/>
  <c r="B310" i="97"/>
  <c r="B176" i="97"/>
  <c r="B184" i="97"/>
  <c r="B192" i="97"/>
  <c r="B200" i="97"/>
  <c r="B208" i="97"/>
  <c r="B311" i="97"/>
  <c r="B303" i="97"/>
  <c r="B316" i="97"/>
  <c r="B213" i="97"/>
  <c r="B261" i="97"/>
  <c r="B269" i="97"/>
  <c r="B277" i="97"/>
  <c r="B285" i="97"/>
  <c r="B293" i="97"/>
  <c r="B226" i="97"/>
  <c r="B218" i="97"/>
  <c r="B237" i="97"/>
  <c r="B263" i="97"/>
  <c r="B271" i="97"/>
  <c r="B279" i="97"/>
  <c r="B287" i="97"/>
  <c r="B295" i="97"/>
  <c r="B235" i="97"/>
  <c r="B319" i="97"/>
  <c r="B177" i="97"/>
  <c r="B201" i="97"/>
  <c r="B209" i="97"/>
  <c r="B262" i="97"/>
  <c r="B270" i="97"/>
  <c r="B278" i="97"/>
  <c r="B286" i="97"/>
  <c r="B294" i="97"/>
  <c r="A89" i="97"/>
  <c r="A98" i="97"/>
  <c r="A106" i="97"/>
  <c r="A124" i="97"/>
  <c r="A99" i="97"/>
  <c r="A114" i="97"/>
  <c r="A122" i="97"/>
  <c r="A116" i="97"/>
  <c r="A91" i="97"/>
  <c r="A101" i="97"/>
  <c r="A93" i="97"/>
  <c r="A109" i="97"/>
  <c r="A333" i="97"/>
  <c r="A107" i="97"/>
  <c r="A117" i="97"/>
  <c r="A249" i="97"/>
  <c r="A121" i="97"/>
  <c r="A97" i="97"/>
  <c r="A113" i="97"/>
  <c r="E95" i="97"/>
  <c r="E115" i="97"/>
  <c r="E119" i="97"/>
  <c r="E127" i="97"/>
  <c r="F91" i="97"/>
  <c r="F95" i="97"/>
  <c r="F99" i="97"/>
  <c r="F103" i="97"/>
  <c r="A112" i="97"/>
  <c r="E114" i="97"/>
  <c r="E118" i="97"/>
  <c r="E126" i="97"/>
  <c r="E165" i="97"/>
  <c r="F90" i="97"/>
  <c r="F94" i="97"/>
  <c r="F165" i="97"/>
  <c r="E89" i="97"/>
  <c r="E93" i="97"/>
  <c r="E101" i="97"/>
  <c r="A111" i="97"/>
  <c r="A119" i="97"/>
  <c r="E121" i="97"/>
  <c r="E125" i="97"/>
  <c r="F89" i="97"/>
  <c r="F93" i="97"/>
  <c r="F97" i="97"/>
  <c r="F101" i="97"/>
  <c r="D104" i="97"/>
  <c r="F105" i="97"/>
  <c r="D108" i="97"/>
  <c r="F109" i="97"/>
  <c r="D112" i="97"/>
  <c r="F113" i="97"/>
  <c r="D116" i="97"/>
  <c r="F117" i="97"/>
  <c r="D120" i="97"/>
  <c r="F121" i="97"/>
  <c r="D124" i="97"/>
  <c r="F125" i="97"/>
  <c r="D128" i="97"/>
  <c r="F129" i="97"/>
  <c r="D333" i="97"/>
  <c r="E111" i="97"/>
  <c r="F107" i="97"/>
  <c r="F111" i="97"/>
  <c r="F115" i="97"/>
  <c r="E94" i="97"/>
  <c r="A104" i="97"/>
  <c r="E106" i="97"/>
  <c r="E110" i="97"/>
  <c r="A128" i="97"/>
  <c r="F98" i="97"/>
  <c r="F106" i="97"/>
  <c r="F110" i="97"/>
  <c r="F114" i="97"/>
  <c r="F118" i="97"/>
  <c r="A103" i="97"/>
  <c r="E105" i="97"/>
  <c r="A127" i="97"/>
  <c r="E249" i="97"/>
  <c r="C91" i="97"/>
  <c r="E92" i="97"/>
  <c r="A94" i="97"/>
  <c r="C95" i="97"/>
  <c r="E96" i="97"/>
  <c r="C99" i="97"/>
  <c r="E100" i="97"/>
  <c r="C103" i="97"/>
  <c r="E104" i="97"/>
  <c r="C107" i="97"/>
  <c r="E108" i="97"/>
  <c r="A110" i="97"/>
  <c r="C111" i="97"/>
  <c r="E112" i="97"/>
  <c r="C115" i="97"/>
  <c r="E116" i="97"/>
  <c r="C119" i="97"/>
  <c r="E120" i="97"/>
  <c r="C123" i="97"/>
  <c r="E124" i="97"/>
  <c r="E128" i="97"/>
  <c r="A253" i="97"/>
  <c r="E333" i="97"/>
  <c r="E91" i="97"/>
  <c r="E99" i="97"/>
  <c r="E103" i="97"/>
  <c r="E107" i="97"/>
  <c r="E123" i="97"/>
  <c r="F119" i="97"/>
  <c r="F123" i="97"/>
  <c r="F127" i="97"/>
  <c r="A85" i="97"/>
  <c r="E90" i="97"/>
  <c r="E98" i="97"/>
  <c r="E102" i="97"/>
  <c r="A120" i="97"/>
  <c r="E122" i="97"/>
  <c r="F102" i="97"/>
  <c r="F122" i="97"/>
  <c r="F126" i="97"/>
  <c r="D249" i="97"/>
  <c r="E97" i="97"/>
  <c r="E109" i="97"/>
  <c r="E113" i="97"/>
  <c r="E117" i="97"/>
  <c r="D91" i="97"/>
  <c r="F92" i="97"/>
  <c r="D95" i="97"/>
  <c r="F96" i="97"/>
  <c r="D99" i="97"/>
  <c r="F100" i="97"/>
  <c r="D103" i="97"/>
  <c r="F104" i="97"/>
  <c r="D107" i="97"/>
  <c r="F108" i="97"/>
  <c r="D111" i="97"/>
  <c r="F112" i="97"/>
  <c r="D115" i="97"/>
  <c r="F116" i="97"/>
  <c r="D119" i="97"/>
  <c r="F120" i="97"/>
  <c r="D123" i="97"/>
  <c r="F124" i="97"/>
  <c r="F128" i="97"/>
  <c r="A94" i="60" l="1"/>
  <c r="A88" i="60"/>
  <c r="A89" i="60"/>
  <c r="A90" i="60"/>
  <c r="A91" i="60"/>
  <c r="A92" i="60"/>
  <c r="A87" i="60"/>
  <c r="A77" i="60"/>
  <c r="A61" i="60"/>
  <c r="A62" i="60"/>
  <c r="A63" i="60"/>
  <c r="A64" i="60"/>
  <c r="A65" i="60"/>
  <c r="A66" i="60"/>
  <c r="A67" i="60"/>
  <c r="A68" i="60"/>
  <c r="A69" i="60"/>
  <c r="A70" i="60"/>
  <c r="A71" i="60"/>
  <c r="A72" i="60"/>
  <c r="A73" i="60"/>
  <c r="A74" i="60"/>
  <c r="A75" i="60"/>
  <c r="A60" i="60"/>
  <c r="A50" i="60"/>
  <c r="A9" i="60"/>
  <c r="A10" i="60"/>
  <c r="A11" i="60"/>
  <c r="A12" i="60"/>
  <c r="A13" i="60"/>
  <c r="A14" i="60"/>
  <c r="A15" i="60"/>
  <c r="A16" i="60"/>
  <c r="A17" i="60"/>
  <c r="A18" i="60"/>
  <c r="A19" i="60"/>
  <c r="A20" i="60"/>
  <c r="A21" i="60"/>
  <c r="A22" i="60"/>
  <c r="A23" i="60"/>
  <c r="A24" i="60"/>
  <c r="A25" i="60"/>
  <c r="A26" i="60"/>
  <c r="A27" i="60"/>
  <c r="A28" i="60"/>
  <c r="A29" i="60"/>
  <c r="A30" i="60"/>
  <c r="A31" i="60"/>
  <c r="A32" i="60"/>
  <c r="A33" i="60"/>
  <c r="A34" i="60"/>
  <c r="A35" i="60"/>
  <c r="A36" i="60"/>
  <c r="A37" i="60"/>
  <c r="A38" i="60"/>
  <c r="A39" i="60"/>
  <c r="A40" i="60"/>
  <c r="A41" i="60"/>
  <c r="A42" i="60"/>
  <c r="A43" i="60"/>
  <c r="A44" i="60"/>
  <c r="A45" i="60"/>
  <c r="A46" i="60"/>
  <c r="A47" i="60"/>
  <c r="A48" i="60"/>
  <c r="A8" i="60"/>
  <c r="A91" i="52" l="1"/>
  <c r="A73" i="52"/>
  <c r="A61" i="52"/>
  <c r="A49" i="52"/>
  <c r="A31" i="52"/>
  <c r="A19" i="52"/>
  <c r="A7" i="52"/>
  <c r="A14" i="11" l="1"/>
  <c r="A8" i="11"/>
  <c r="A9" i="11"/>
  <c r="A10" i="11"/>
  <c r="A11" i="11"/>
  <c r="A12" i="11"/>
  <c r="A7" i="11"/>
  <c r="AQ49" i="93" l="1"/>
  <c r="Y49" i="93"/>
  <c r="A49" i="93"/>
  <c r="AQ1" i="93"/>
  <c r="Y1" i="93"/>
  <c r="A1" i="93"/>
  <c r="F3" i="83" l="1"/>
  <c r="BH83" i="93" l="1"/>
  <c r="BG83" i="93"/>
  <c r="BF83" i="93"/>
  <c r="BE83" i="93"/>
  <c r="BD83" i="93"/>
  <c r="BB83" i="93"/>
  <c r="BA83" i="93"/>
  <c r="AZ83" i="93"/>
  <c r="AY83" i="93"/>
  <c r="AX83" i="93"/>
  <c r="AV83" i="93"/>
  <c r="AU83" i="93"/>
  <c r="AT83" i="93"/>
  <c r="AS83" i="93"/>
  <c r="AR83" i="93"/>
  <c r="AP83" i="93"/>
  <c r="AO83" i="93"/>
  <c r="AN83" i="93"/>
  <c r="AM83" i="93"/>
  <c r="AL83" i="93"/>
  <c r="AJ83" i="93"/>
  <c r="AI83" i="93"/>
  <c r="AH83" i="93"/>
  <c r="AG83" i="93"/>
  <c r="AF83" i="93"/>
  <c r="AD83" i="93"/>
  <c r="AC83" i="93"/>
  <c r="AB83" i="93"/>
  <c r="AA83" i="93"/>
  <c r="Z83" i="93"/>
  <c r="X83" i="93"/>
  <c r="W83" i="93"/>
  <c r="V83" i="93"/>
  <c r="U83" i="93"/>
  <c r="T83" i="93"/>
  <c r="R83" i="93"/>
  <c r="Q83" i="93"/>
  <c r="P83" i="93"/>
  <c r="O83" i="93"/>
  <c r="N83" i="93"/>
  <c r="L83" i="93"/>
  <c r="K83" i="93"/>
  <c r="J83" i="93"/>
  <c r="I83" i="93"/>
  <c r="H83" i="93"/>
  <c r="F83" i="93"/>
  <c r="E83" i="93"/>
  <c r="D83" i="93"/>
  <c r="C83" i="93"/>
  <c r="B83" i="93"/>
  <c r="BH69" i="93"/>
  <c r="BG69" i="93"/>
  <c r="BF69" i="93"/>
  <c r="BE69" i="93"/>
  <c r="BD69" i="93"/>
  <c r="BB69" i="93"/>
  <c r="BA69" i="93"/>
  <c r="AZ69" i="93"/>
  <c r="AZ55" i="93" s="1"/>
  <c r="AY69" i="93"/>
  <c r="AX69" i="93"/>
  <c r="AV69" i="93"/>
  <c r="AU69" i="93"/>
  <c r="AT69" i="93"/>
  <c r="AS69" i="93"/>
  <c r="AR69" i="93"/>
  <c r="AP69" i="93"/>
  <c r="AO69" i="93"/>
  <c r="AN69" i="93"/>
  <c r="AM69" i="93"/>
  <c r="AL69" i="93"/>
  <c r="AJ69" i="93"/>
  <c r="AI69" i="93"/>
  <c r="AH69" i="93"/>
  <c r="AG69" i="93"/>
  <c r="AF69" i="93"/>
  <c r="AD69" i="93"/>
  <c r="AC69" i="93"/>
  <c r="AB69" i="93"/>
  <c r="AA69" i="93"/>
  <c r="Z69" i="93"/>
  <c r="X69" i="93"/>
  <c r="W69" i="93"/>
  <c r="W55" i="93" s="1"/>
  <c r="V69" i="93"/>
  <c r="U69" i="93"/>
  <c r="T69" i="93"/>
  <c r="R69" i="93"/>
  <c r="Q69" i="93"/>
  <c r="P69" i="93"/>
  <c r="O69" i="93"/>
  <c r="N69" i="93"/>
  <c r="L69" i="93"/>
  <c r="K69" i="93"/>
  <c r="J69" i="93"/>
  <c r="I69" i="93"/>
  <c r="H69" i="93"/>
  <c r="F69" i="93"/>
  <c r="E69" i="93"/>
  <c r="D69" i="93"/>
  <c r="C69" i="93"/>
  <c r="B69" i="93"/>
  <c r="BH66" i="93"/>
  <c r="BG66" i="93"/>
  <c r="BF66" i="93"/>
  <c r="BE66" i="93"/>
  <c r="BD66" i="93"/>
  <c r="BB66" i="93"/>
  <c r="BA66" i="93"/>
  <c r="AZ66" i="93"/>
  <c r="AY66" i="93"/>
  <c r="AX66" i="93"/>
  <c r="AV66" i="93"/>
  <c r="AU66" i="93"/>
  <c r="AT66" i="93"/>
  <c r="AS66" i="93"/>
  <c r="AR66" i="93"/>
  <c r="AP66" i="93"/>
  <c r="AO66" i="93"/>
  <c r="AN66" i="93"/>
  <c r="AM66" i="93"/>
  <c r="AL66" i="93"/>
  <c r="AJ66" i="93"/>
  <c r="AI66" i="93"/>
  <c r="AH66" i="93"/>
  <c r="AG66" i="93"/>
  <c r="AF66" i="93"/>
  <c r="AD66" i="93"/>
  <c r="AC66" i="93"/>
  <c r="AB66" i="93"/>
  <c r="AA66" i="93"/>
  <c r="Z66" i="93"/>
  <c r="X66" i="93"/>
  <c r="W66" i="93"/>
  <c r="V66" i="93"/>
  <c r="U66" i="93"/>
  <c r="T66" i="93"/>
  <c r="R66" i="93"/>
  <c r="Q66" i="93"/>
  <c r="P66" i="93"/>
  <c r="O66" i="93"/>
  <c r="N66" i="93"/>
  <c r="L66" i="93"/>
  <c r="K66" i="93"/>
  <c r="J66" i="93"/>
  <c r="I66" i="93"/>
  <c r="H66" i="93"/>
  <c r="F66" i="93"/>
  <c r="E66" i="93"/>
  <c r="D66" i="93"/>
  <c r="C66" i="93"/>
  <c r="B66" i="93"/>
  <c r="A66" i="93"/>
  <c r="BH65" i="93"/>
  <c r="BG65" i="93"/>
  <c r="BF65" i="93"/>
  <c r="BE65" i="93"/>
  <c r="BD65" i="93"/>
  <c r="BB65" i="93"/>
  <c r="BA65" i="93"/>
  <c r="AZ65" i="93"/>
  <c r="AY65" i="93"/>
  <c r="AX65" i="93"/>
  <c r="AV65" i="93"/>
  <c r="AU65" i="93"/>
  <c r="AT65" i="93"/>
  <c r="AS65" i="93"/>
  <c r="AR65" i="93"/>
  <c r="AP65" i="93"/>
  <c r="AO65" i="93"/>
  <c r="AN65" i="93"/>
  <c r="AM65" i="93"/>
  <c r="AL65" i="93"/>
  <c r="AJ65" i="93"/>
  <c r="AI65" i="93"/>
  <c r="AH65" i="93"/>
  <c r="AG65" i="93"/>
  <c r="AF65" i="93"/>
  <c r="AD65" i="93"/>
  <c r="AC65" i="93"/>
  <c r="AB65" i="93"/>
  <c r="AA65" i="93"/>
  <c r="Z65" i="93"/>
  <c r="X65" i="93"/>
  <c r="W65" i="93"/>
  <c r="V65" i="93"/>
  <c r="U65" i="93"/>
  <c r="T65" i="93"/>
  <c r="R65" i="93"/>
  <c r="Q65" i="93"/>
  <c r="P65" i="93"/>
  <c r="O65" i="93"/>
  <c r="N65" i="93"/>
  <c r="L65" i="93"/>
  <c r="K65" i="93"/>
  <c r="J65" i="93"/>
  <c r="I65" i="93"/>
  <c r="H65" i="93"/>
  <c r="F65" i="93"/>
  <c r="E65" i="93"/>
  <c r="D65" i="93"/>
  <c r="C65" i="93"/>
  <c r="B65" i="93"/>
  <c r="BH64" i="93"/>
  <c r="BG64" i="93"/>
  <c r="BF64" i="93"/>
  <c r="BE64" i="93"/>
  <c r="BD64" i="93"/>
  <c r="BB64" i="93"/>
  <c r="BA64" i="93"/>
  <c r="AZ64" i="93"/>
  <c r="AY64" i="93"/>
  <c r="AX64" i="93"/>
  <c r="AV64" i="93"/>
  <c r="AU64" i="93"/>
  <c r="AT64" i="93"/>
  <c r="AS64" i="93"/>
  <c r="AR64" i="93"/>
  <c r="AP64" i="93"/>
  <c r="AO64" i="93"/>
  <c r="AN64" i="93"/>
  <c r="AM64" i="93"/>
  <c r="AL64" i="93"/>
  <c r="AJ64" i="93"/>
  <c r="AI64" i="93"/>
  <c r="AH64" i="93"/>
  <c r="AG64" i="93"/>
  <c r="AF64" i="93"/>
  <c r="AD64" i="93"/>
  <c r="AC64" i="93"/>
  <c r="AB64" i="93"/>
  <c r="AA64" i="93"/>
  <c r="Z64" i="93"/>
  <c r="X64" i="93"/>
  <c r="W64" i="93"/>
  <c r="V64" i="93"/>
  <c r="U64" i="93"/>
  <c r="T64" i="93"/>
  <c r="R64" i="93"/>
  <c r="Q64" i="93"/>
  <c r="P64" i="93"/>
  <c r="O64" i="93"/>
  <c r="N64" i="93"/>
  <c r="L64" i="93"/>
  <c r="K64" i="93"/>
  <c r="J64" i="93"/>
  <c r="I64" i="93"/>
  <c r="H64" i="93"/>
  <c r="F64" i="93"/>
  <c r="E64" i="93"/>
  <c r="D64" i="93"/>
  <c r="C64" i="93"/>
  <c r="B64" i="93"/>
  <c r="BH63" i="93"/>
  <c r="BG63" i="93"/>
  <c r="BF63" i="93"/>
  <c r="BE63" i="93"/>
  <c r="BD63" i="93"/>
  <c r="BB63" i="93"/>
  <c r="BA63" i="93"/>
  <c r="AZ63" i="93"/>
  <c r="AY63" i="93"/>
  <c r="AX63" i="93"/>
  <c r="AV63" i="93"/>
  <c r="AU63" i="93"/>
  <c r="AT63" i="93"/>
  <c r="AS63" i="93"/>
  <c r="AR63" i="93"/>
  <c r="AP63" i="93"/>
  <c r="AO63" i="93"/>
  <c r="AN63" i="93"/>
  <c r="AM63" i="93"/>
  <c r="AL63" i="93"/>
  <c r="AJ63" i="93"/>
  <c r="AI63" i="93"/>
  <c r="AH63" i="93"/>
  <c r="AG63" i="93"/>
  <c r="AF63" i="93"/>
  <c r="AD63" i="93"/>
  <c r="AC63" i="93"/>
  <c r="AB63" i="93"/>
  <c r="AA63" i="93"/>
  <c r="Z63" i="93"/>
  <c r="X63" i="93"/>
  <c r="W63" i="93"/>
  <c r="V63" i="93"/>
  <c r="U63" i="93"/>
  <c r="T63" i="93"/>
  <c r="R63" i="93"/>
  <c r="Q63" i="93"/>
  <c r="P63" i="93"/>
  <c r="O63" i="93"/>
  <c r="N63" i="93"/>
  <c r="L63" i="93"/>
  <c r="K63" i="93"/>
  <c r="J63" i="93"/>
  <c r="I63" i="93"/>
  <c r="H63" i="93"/>
  <c r="F63" i="93"/>
  <c r="E63" i="93"/>
  <c r="D63" i="93"/>
  <c r="C63" i="93"/>
  <c r="B63" i="93"/>
  <c r="A63" i="93"/>
  <c r="BH62" i="93"/>
  <c r="BG62" i="93"/>
  <c r="BF62" i="93"/>
  <c r="BE62" i="93"/>
  <c r="BD62" i="93"/>
  <c r="BB62" i="93"/>
  <c r="BA62" i="93"/>
  <c r="AZ62" i="93"/>
  <c r="AY62" i="93"/>
  <c r="AX62" i="93"/>
  <c r="AV62" i="93"/>
  <c r="AU62" i="93"/>
  <c r="AT62" i="93"/>
  <c r="AS62" i="93"/>
  <c r="AR62" i="93"/>
  <c r="AP62" i="93"/>
  <c r="AO62" i="93"/>
  <c r="AN62" i="93"/>
  <c r="AM62" i="93"/>
  <c r="AL62" i="93"/>
  <c r="AJ62" i="93"/>
  <c r="AI62" i="93"/>
  <c r="AH62" i="93"/>
  <c r="AG62" i="93"/>
  <c r="AF62" i="93"/>
  <c r="AD62" i="93"/>
  <c r="AC62" i="93"/>
  <c r="AB62" i="93"/>
  <c r="AA62" i="93"/>
  <c r="Z62" i="93"/>
  <c r="X62" i="93"/>
  <c r="W62" i="93"/>
  <c r="V62" i="93"/>
  <c r="U62" i="93"/>
  <c r="T62" i="93"/>
  <c r="R62" i="93"/>
  <c r="Q62" i="93"/>
  <c r="P62" i="93"/>
  <c r="O62" i="93"/>
  <c r="N62" i="93"/>
  <c r="L62" i="93"/>
  <c r="K62" i="93"/>
  <c r="J62" i="93"/>
  <c r="I62" i="93"/>
  <c r="H62" i="93"/>
  <c r="F62" i="93"/>
  <c r="E62" i="93"/>
  <c r="D62" i="93"/>
  <c r="C62" i="93"/>
  <c r="B62" i="93"/>
  <c r="BH61" i="93"/>
  <c r="BG61" i="93"/>
  <c r="BF61" i="93"/>
  <c r="BE61" i="93"/>
  <c r="BD61" i="93"/>
  <c r="BB61" i="93"/>
  <c r="BA61" i="93"/>
  <c r="AZ61" i="93"/>
  <c r="AY61" i="93"/>
  <c r="AX61" i="93"/>
  <c r="AV61" i="93"/>
  <c r="AU61" i="93"/>
  <c r="AT61" i="93"/>
  <c r="AS61" i="93"/>
  <c r="AR61" i="93"/>
  <c r="AP61" i="93"/>
  <c r="AO61" i="93"/>
  <c r="AN61" i="93"/>
  <c r="AM61" i="93"/>
  <c r="AL61" i="93"/>
  <c r="AJ61" i="93"/>
  <c r="AI61" i="93"/>
  <c r="AH61" i="93"/>
  <c r="AG61" i="93"/>
  <c r="AF61" i="93"/>
  <c r="AD61" i="93"/>
  <c r="AC61" i="93"/>
  <c r="AB61" i="93"/>
  <c r="AA61" i="93"/>
  <c r="Z61" i="93"/>
  <c r="X61" i="93"/>
  <c r="W61" i="93"/>
  <c r="V61" i="93"/>
  <c r="U61" i="93"/>
  <c r="T61" i="93"/>
  <c r="R61" i="93"/>
  <c r="Q61" i="93"/>
  <c r="P61" i="93"/>
  <c r="O61" i="93"/>
  <c r="N61" i="93"/>
  <c r="L61" i="93"/>
  <c r="K61" i="93"/>
  <c r="J61" i="93"/>
  <c r="I61" i="93"/>
  <c r="H61" i="93"/>
  <c r="F61" i="93"/>
  <c r="E61" i="93"/>
  <c r="D61" i="93"/>
  <c r="C61" i="93"/>
  <c r="B61" i="93"/>
  <c r="BH60" i="93"/>
  <c r="BG60" i="93"/>
  <c r="BF60" i="93"/>
  <c r="BE60" i="93"/>
  <c r="BD60" i="93"/>
  <c r="BB60" i="93"/>
  <c r="BA60" i="93"/>
  <c r="AZ60" i="93"/>
  <c r="AY60" i="93"/>
  <c r="AX60" i="93"/>
  <c r="AV60" i="93"/>
  <c r="AU60" i="93"/>
  <c r="AT60" i="93"/>
  <c r="AS60" i="93"/>
  <c r="AR60" i="93"/>
  <c r="AP60" i="93"/>
  <c r="AO60" i="93"/>
  <c r="AN60" i="93"/>
  <c r="AM60" i="93"/>
  <c r="AL60" i="93"/>
  <c r="AJ60" i="93"/>
  <c r="AI60" i="93"/>
  <c r="AH60" i="93"/>
  <c r="AG60" i="93"/>
  <c r="AF60" i="93"/>
  <c r="AD60" i="93"/>
  <c r="AC60" i="93"/>
  <c r="AB60" i="93"/>
  <c r="AA60" i="93"/>
  <c r="Z60" i="93"/>
  <c r="X60" i="93"/>
  <c r="W60" i="93"/>
  <c r="V60" i="93"/>
  <c r="U60" i="93"/>
  <c r="T60" i="93"/>
  <c r="R60" i="93"/>
  <c r="Q60" i="93"/>
  <c r="P60" i="93"/>
  <c r="O60" i="93"/>
  <c r="N60" i="93"/>
  <c r="L60" i="93"/>
  <c r="K60" i="93"/>
  <c r="J60" i="93"/>
  <c r="I60" i="93"/>
  <c r="H60" i="93"/>
  <c r="F60" i="93"/>
  <c r="E60" i="93"/>
  <c r="D60" i="93"/>
  <c r="C60" i="93"/>
  <c r="B60" i="93"/>
  <c r="A60" i="93"/>
  <c r="BH59" i="93"/>
  <c r="BG59" i="93"/>
  <c r="BF59" i="93"/>
  <c r="BE59" i="93"/>
  <c r="BD59" i="93"/>
  <c r="BB59" i="93"/>
  <c r="BA59" i="93"/>
  <c r="AZ59" i="93"/>
  <c r="AY59" i="93"/>
  <c r="AX59" i="93"/>
  <c r="AV59" i="93"/>
  <c r="AU59" i="93"/>
  <c r="AT59" i="93"/>
  <c r="AS59" i="93"/>
  <c r="AR59" i="93"/>
  <c r="AP59" i="93"/>
  <c r="AO59" i="93"/>
  <c r="AN59" i="93"/>
  <c r="AM59" i="93"/>
  <c r="AL59" i="93"/>
  <c r="AJ59" i="93"/>
  <c r="AI59" i="93"/>
  <c r="AH59" i="93"/>
  <c r="AG59" i="93"/>
  <c r="AF59" i="93"/>
  <c r="AD59" i="93"/>
  <c r="AC59" i="93"/>
  <c r="AB59" i="93"/>
  <c r="AA59" i="93"/>
  <c r="Z59" i="93"/>
  <c r="X59" i="93"/>
  <c r="W59" i="93"/>
  <c r="V59" i="93"/>
  <c r="U59" i="93"/>
  <c r="T59" i="93"/>
  <c r="R59" i="93"/>
  <c r="Q59" i="93"/>
  <c r="P59" i="93"/>
  <c r="O59" i="93"/>
  <c r="N59" i="93"/>
  <c r="L59" i="93"/>
  <c r="K59" i="93"/>
  <c r="J59" i="93"/>
  <c r="I59" i="93"/>
  <c r="H59" i="93"/>
  <c r="F59" i="93"/>
  <c r="E59" i="93"/>
  <c r="D59" i="93"/>
  <c r="C59" i="93"/>
  <c r="B59" i="93"/>
  <c r="BH58" i="93"/>
  <c r="BG58" i="93"/>
  <c r="BF58" i="93"/>
  <c r="BE58" i="93"/>
  <c r="BD58" i="93"/>
  <c r="BB58" i="93"/>
  <c r="BA58" i="93"/>
  <c r="AZ58" i="93"/>
  <c r="AY58" i="93"/>
  <c r="AX58" i="93"/>
  <c r="AV58" i="93"/>
  <c r="AU58" i="93"/>
  <c r="AT58" i="93"/>
  <c r="AS58" i="93"/>
  <c r="AR58" i="93"/>
  <c r="AP58" i="93"/>
  <c r="AO58" i="93"/>
  <c r="AN58" i="93"/>
  <c r="AM58" i="93"/>
  <c r="AL58" i="93"/>
  <c r="AJ58" i="93"/>
  <c r="AI58" i="93"/>
  <c r="AH58" i="93"/>
  <c r="AG58" i="93"/>
  <c r="AF58" i="93"/>
  <c r="AD58" i="93"/>
  <c r="AC58" i="93"/>
  <c r="AB58" i="93"/>
  <c r="AA58" i="93"/>
  <c r="Z58" i="93"/>
  <c r="X58" i="93"/>
  <c r="W58" i="93"/>
  <c r="V58" i="93"/>
  <c r="U58" i="93"/>
  <c r="T58" i="93"/>
  <c r="R58" i="93"/>
  <c r="Q58" i="93"/>
  <c r="P58" i="93"/>
  <c r="O58" i="93"/>
  <c r="N58" i="93"/>
  <c r="L58" i="93"/>
  <c r="K58" i="93"/>
  <c r="J58" i="93"/>
  <c r="I58" i="93"/>
  <c r="H58" i="93"/>
  <c r="F58" i="93"/>
  <c r="E58" i="93"/>
  <c r="D58" i="93"/>
  <c r="C58" i="93"/>
  <c r="B58" i="93"/>
  <c r="A58" i="93"/>
  <c r="BH57" i="93"/>
  <c r="BG57" i="93"/>
  <c r="BF57" i="93"/>
  <c r="BE57" i="93"/>
  <c r="BD57" i="93"/>
  <c r="BB57" i="93"/>
  <c r="BA57" i="93"/>
  <c r="AZ57" i="93"/>
  <c r="AY57" i="93"/>
  <c r="AX57" i="93"/>
  <c r="AV57" i="93"/>
  <c r="AU57" i="93"/>
  <c r="AT57" i="93"/>
  <c r="AS57" i="93"/>
  <c r="AR57" i="93"/>
  <c r="AP57" i="93"/>
  <c r="AO57" i="93"/>
  <c r="AN57" i="93"/>
  <c r="AM57" i="93"/>
  <c r="AL57" i="93"/>
  <c r="AJ57" i="93"/>
  <c r="AI57" i="93"/>
  <c r="AH57" i="93"/>
  <c r="AG57" i="93"/>
  <c r="AF57" i="93"/>
  <c r="AD57" i="93"/>
  <c r="AC57" i="93"/>
  <c r="AB57" i="93"/>
  <c r="AA57" i="93"/>
  <c r="Z57" i="93"/>
  <c r="X57" i="93"/>
  <c r="W57" i="93"/>
  <c r="V57" i="93"/>
  <c r="U57" i="93"/>
  <c r="T57" i="93"/>
  <c r="R57" i="93"/>
  <c r="Q57" i="93"/>
  <c r="P57" i="93"/>
  <c r="O57" i="93"/>
  <c r="N57" i="93"/>
  <c r="L57" i="93"/>
  <c r="K57" i="93"/>
  <c r="J57" i="93"/>
  <c r="I57" i="93"/>
  <c r="H57" i="93"/>
  <c r="F57" i="93"/>
  <c r="E57" i="93"/>
  <c r="D57" i="93"/>
  <c r="C57" i="93"/>
  <c r="B57" i="93"/>
  <c r="A57" i="93"/>
  <c r="BH56" i="93"/>
  <c r="BG56" i="93"/>
  <c r="BF56" i="93"/>
  <c r="BE56" i="93"/>
  <c r="BD56" i="93"/>
  <c r="BB56" i="93"/>
  <c r="BA56" i="93"/>
  <c r="AZ56" i="93"/>
  <c r="AY56" i="93"/>
  <c r="AX56" i="93"/>
  <c r="AV56" i="93"/>
  <c r="AU56" i="93"/>
  <c r="AT56" i="93"/>
  <c r="AS56" i="93"/>
  <c r="AR56" i="93"/>
  <c r="AP56" i="93"/>
  <c r="AO56" i="93"/>
  <c r="AN56" i="93"/>
  <c r="AM56" i="93"/>
  <c r="AL56" i="93"/>
  <c r="AJ56" i="93"/>
  <c r="AI56" i="93"/>
  <c r="AH56" i="93"/>
  <c r="AG56" i="93"/>
  <c r="AF56" i="93"/>
  <c r="AD56" i="93"/>
  <c r="AC56" i="93"/>
  <c r="AB56" i="93"/>
  <c r="AA56" i="93"/>
  <c r="Z56" i="93"/>
  <c r="X56" i="93"/>
  <c r="W56" i="93"/>
  <c r="V56" i="93"/>
  <c r="U56" i="93"/>
  <c r="T56" i="93"/>
  <c r="R56" i="93"/>
  <c r="Q56" i="93"/>
  <c r="P56" i="93"/>
  <c r="O56" i="93"/>
  <c r="N56" i="93"/>
  <c r="L56" i="93"/>
  <c r="K56" i="93"/>
  <c r="J56" i="93"/>
  <c r="I56" i="93"/>
  <c r="H56" i="93"/>
  <c r="F56" i="93"/>
  <c r="E56" i="93"/>
  <c r="D56" i="93"/>
  <c r="C56" i="93"/>
  <c r="B56" i="93"/>
  <c r="A55" i="93"/>
  <c r="BH53" i="93"/>
  <c r="BG53" i="93"/>
  <c r="BF53" i="93"/>
  <c r="BE53" i="93"/>
  <c r="BD53" i="93"/>
  <c r="BB53" i="93"/>
  <c r="BA53" i="93"/>
  <c r="AZ53" i="93"/>
  <c r="AY53" i="93"/>
  <c r="AX53" i="93"/>
  <c r="AP53" i="93"/>
  <c r="AO53" i="93"/>
  <c r="AN53" i="93"/>
  <c r="AM53" i="93"/>
  <c r="AL53" i="93"/>
  <c r="AJ53" i="93"/>
  <c r="AI53" i="93"/>
  <c r="AH53" i="93"/>
  <c r="AG53" i="93"/>
  <c r="AF53" i="93"/>
  <c r="X53" i="93"/>
  <c r="W53" i="93"/>
  <c r="V53" i="93"/>
  <c r="U53" i="93"/>
  <c r="T53" i="93"/>
  <c r="R53" i="93"/>
  <c r="Q53" i="93"/>
  <c r="P53" i="93"/>
  <c r="O53" i="93"/>
  <c r="N53" i="93"/>
  <c r="L53" i="93"/>
  <c r="K53" i="93"/>
  <c r="J53" i="93"/>
  <c r="I53" i="93"/>
  <c r="H53" i="93"/>
  <c r="BD51" i="93"/>
  <c r="AX51" i="93"/>
  <c r="AR51" i="93"/>
  <c r="N51" i="93"/>
  <c r="H51" i="93"/>
  <c r="B51" i="93"/>
  <c r="BH50" i="93"/>
  <c r="AP50" i="93"/>
  <c r="AQ46" i="93"/>
  <c r="AQ94" i="93" s="1"/>
  <c r="Y46" i="93"/>
  <c r="Y94" i="93" s="1"/>
  <c r="A46" i="93"/>
  <c r="A94" i="93" s="1"/>
  <c r="Y44" i="93"/>
  <c r="Y92" i="93" s="1"/>
  <c r="AQ43" i="93"/>
  <c r="AQ91" i="93" s="1"/>
  <c r="Y43" i="93"/>
  <c r="Y91" i="93" s="1"/>
  <c r="A43" i="93"/>
  <c r="A91" i="93" s="1"/>
  <c r="AQ41" i="93"/>
  <c r="AQ89" i="93" s="1"/>
  <c r="AQ40" i="93"/>
  <c r="AQ88" i="93" s="1"/>
  <c r="Y40" i="93"/>
  <c r="Y88" i="93" s="1"/>
  <c r="A40" i="93"/>
  <c r="A88" i="93" s="1"/>
  <c r="A39" i="93"/>
  <c r="A87" i="93" s="1"/>
  <c r="AQ38" i="93"/>
  <c r="AQ86" i="93" s="1"/>
  <c r="Y38" i="93"/>
  <c r="Y86" i="93" s="1"/>
  <c r="A38" i="93"/>
  <c r="A86" i="93" s="1"/>
  <c r="A36" i="93"/>
  <c r="A84" i="93" s="1"/>
  <c r="BH35" i="93"/>
  <c r="BG35" i="93"/>
  <c r="BF35" i="93"/>
  <c r="BE35" i="93"/>
  <c r="BD35" i="93"/>
  <c r="BB35" i="93"/>
  <c r="BA35" i="93"/>
  <c r="AZ35" i="93"/>
  <c r="AY35" i="93"/>
  <c r="AX35" i="93"/>
  <c r="AV35" i="93"/>
  <c r="AU35" i="93"/>
  <c r="AT35" i="93"/>
  <c r="AS35" i="93"/>
  <c r="AR35" i="93"/>
  <c r="AQ35" i="93"/>
  <c r="AQ83" i="93" s="1"/>
  <c r="AP35" i="93"/>
  <c r="AO35" i="93"/>
  <c r="AN35" i="93"/>
  <c r="AM35" i="93"/>
  <c r="AL35" i="93"/>
  <c r="AJ35" i="93"/>
  <c r="AI35" i="93"/>
  <c r="AH35" i="93"/>
  <c r="AG35" i="93"/>
  <c r="AF35" i="93"/>
  <c r="AD35" i="93"/>
  <c r="AC35" i="93"/>
  <c r="AB35" i="93"/>
  <c r="AA35" i="93"/>
  <c r="Z35" i="93"/>
  <c r="Y35" i="93"/>
  <c r="Y83" i="93" s="1"/>
  <c r="X35" i="93"/>
  <c r="W35" i="93"/>
  <c r="V35" i="93"/>
  <c r="U35" i="93"/>
  <c r="T35" i="93"/>
  <c r="R35" i="93"/>
  <c r="Q35" i="93"/>
  <c r="P35" i="93"/>
  <c r="O35" i="93"/>
  <c r="N35" i="93"/>
  <c r="L35" i="93"/>
  <c r="K35" i="93"/>
  <c r="J35" i="93"/>
  <c r="I35" i="93"/>
  <c r="H35" i="93"/>
  <c r="F35" i="93"/>
  <c r="E35" i="93"/>
  <c r="D35" i="93"/>
  <c r="C35" i="93"/>
  <c r="B35" i="93"/>
  <c r="A35" i="93"/>
  <c r="A83" i="93" s="1"/>
  <c r="Y34" i="93"/>
  <c r="Y82" i="93" s="1"/>
  <c r="Y32" i="93"/>
  <c r="Y80" i="93" s="1"/>
  <c r="A32" i="93"/>
  <c r="AQ32" i="93" s="1"/>
  <c r="AQ80" i="93" s="1"/>
  <c r="Y30" i="93"/>
  <c r="Y78" i="93" s="1"/>
  <c r="Y29" i="93"/>
  <c r="Y77" i="93" s="1"/>
  <c r="A29" i="93"/>
  <c r="A77" i="93" s="1"/>
  <c r="Y26" i="93"/>
  <c r="Y74" i="93" s="1"/>
  <c r="A26" i="93"/>
  <c r="A74" i="93" s="1"/>
  <c r="Y25" i="93"/>
  <c r="Y73" i="93" s="1"/>
  <c r="A25" i="93"/>
  <c r="Y24" i="93"/>
  <c r="Y72" i="93" s="1"/>
  <c r="A24" i="93"/>
  <c r="AQ24" i="93" s="1"/>
  <c r="AQ72" i="93" s="1"/>
  <c r="Y22" i="93"/>
  <c r="Y70" i="93" s="1"/>
  <c r="BH21" i="93"/>
  <c r="BG21" i="93"/>
  <c r="BF21" i="93"/>
  <c r="BE21" i="93"/>
  <c r="BD21" i="93"/>
  <c r="BB21" i="93"/>
  <c r="BA21" i="93"/>
  <c r="AZ21" i="93"/>
  <c r="AY21" i="93"/>
  <c r="AX21" i="93"/>
  <c r="AV21" i="93"/>
  <c r="AU21" i="93"/>
  <c r="AT21" i="93"/>
  <c r="AS21" i="93"/>
  <c r="AR21" i="93"/>
  <c r="AP21" i="93"/>
  <c r="AO21" i="93"/>
  <c r="AN21" i="93"/>
  <c r="AM21" i="93"/>
  <c r="AL21" i="93"/>
  <c r="AJ21" i="93"/>
  <c r="AJ7" i="93" s="1"/>
  <c r="AI21" i="93"/>
  <c r="AH21" i="93"/>
  <c r="AG21" i="93"/>
  <c r="AF21" i="93"/>
  <c r="AD21" i="93"/>
  <c r="AC21" i="93"/>
  <c r="AB21" i="93"/>
  <c r="AA21" i="93"/>
  <c r="AA7" i="93" s="1"/>
  <c r="Z21" i="93"/>
  <c r="Y21" i="93"/>
  <c r="Y69" i="93" s="1"/>
  <c r="X21" i="93"/>
  <c r="W21" i="93"/>
  <c r="W7" i="93" s="1"/>
  <c r="V21" i="93"/>
  <c r="U21" i="93"/>
  <c r="T21" i="93"/>
  <c r="R21" i="93"/>
  <c r="Q21" i="93"/>
  <c r="P21" i="93"/>
  <c r="O21" i="93"/>
  <c r="N21" i="93"/>
  <c r="N7" i="93" s="1"/>
  <c r="L21" i="93"/>
  <c r="K21" i="93"/>
  <c r="J21" i="93"/>
  <c r="I21" i="93"/>
  <c r="I7" i="93" s="1"/>
  <c r="H21" i="93"/>
  <c r="F21" i="93"/>
  <c r="E21" i="93"/>
  <c r="D21" i="93"/>
  <c r="C21" i="93"/>
  <c r="B21" i="93"/>
  <c r="A21" i="93"/>
  <c r="AQ21" i="93" s="1"/>
  <c r="AQ69" i="93" s="1"/>
  <c r="AQ20" i="93"/>
  <c r="AQ68" i="93" s="1"/>
  <c r="Y20" i="93"/>
  <c r="Y68" i="93" s="1"/>
  <c r="A68" i="93"/>
  <c r="BH18" i="93"/>
  <c r="BG18" i="93"/>
  <c r="BF18" i="93"/>
  <c r="BE18" i="93"/>
  <c r="BD18" i="93"/>
  <c r="BB18" i="93"/>
  <c r="BA18" i="93"/>
  <c r="AZ18" i="93"/>
  <c r="AY18" i="93"/>
  <c r="AX18" i="93"/>
  <c r="AV18" i="93"/>
  <c r="AU18" i="93"/>
  <c r="AT18" i="93"/>
  <c r="AS18" i="93"/>
  <c r="AR18" i="93"/>
  <c r="AQ18" i="93"/>
  <c r="AQ66" i="93" s="1"/>
  <c r="AP18" i="93"/>
  <c r="AO18" i="93"/>
  <c r="AN18" i="93"/>
  <c r="AM18" i="93"/>
  <c r="AL18" i="93"/>
  <c r="AJ18" i="93"/>
  <c r="AI18" i="93"/>
  <c r="AH18" i="93"/>
  <c r="AG18" i="93"/>
  <c r="AF18" i="93"/>
  <c r="AD18" i="93"/>
  <c r="AC18" i="93"/>
  <c r="AB18" i="93"/>
  <c r="AA18" i="93"/>
  <c r="Z18" i="93"/>
  <c r="Y18" i="93"/>
  <c r="Y66" i="93" s="1"/>
  <c r="X18" i="93"/>
  <c r="W18" i="93"/>
  <c r="V18" i="93"/>
  <c r="U18" i="93"/>
  <c r="T18" i="93"/>
  <c r="R18" i="93"/>
  <c r="Q18" i="93"/>
  <c r="P18" i="93"/>
  <c r="O18" i="93"/>
  <c r="N18" i="93"/>
  <c r="L18" i="93"/>
  <c r="K18" i="93"/>
  <c r="J18" i="93"/>
  <c r="I18" i="93"/>
  <c r="H18" i="93"/>
  <c r="F18" i="93"/>
  <c r="E18" i="93"/>
  <c r="D18" i="93"/>
  <c r="C18" i="93"/>
  <c r="B18" i="93"/>
  <c r="BH17" i="93"/>
  <c r="BG17" i="93"/>
  <c r="BF17" i="93"/>
  <c r="BE17" i="93"/>
  <c r="BD17" i="93"/>
  <c r="BB17" i="93"/>
  <c r="BA17" i="93"/>
  <c r="AZ17" i="93"/>
  <c r="AY17" i="93"/>
  <c r="AX17" i="93"/>
  <c r="AV17" i="93"/>
  <c r="AU17" i="93"/>
  <c r="AT17" i="93"/>
  <c r="AS17" i="93"/>
  <c r="AR17" i="93"/>
  <c r="AP17" i="93"/>
  <c r="AO17" i="93"/>
  <c r="AN17" i="93"/>
  <c r="AM17" i="93"/>
  <c r="AL17" i="93"/>
  <c r="AJ17" i="93"/>
  <c r="AI17" i="93"/>
  <c r="AH17" i="93"/>
  <c r="AG17" i="93"/>
  <c r="AF17" i="93"/>
  <c r="AD17" i="93"/>
  <c r="AC17" i="93"/>
  <c r="AB17" i="93"/>
  <c r="AA17" i="93"/>
  <c r="Z17" i="93"/>
  <c r="X17" i="93"/>
  <c r="W17" i="93"/>
  <c r="V17" i="93"/>
  <c r="U17" i="93"/>
  <c r="T17" i="93"/>
  <c r="R17" i="93"/>
  <c r="Q17" i="93"/>
  <c r="P17" i="93"/>
  <c r="O17" i="93"/>
  <c r="N17" i="93"/>
  <c r="L17" i="93"/>
  <c r="K17" i="93"/>
  <c r="J17" i="93"/>
  <c r="I17" i="93"/>
  <c r="H17" i="93"/>
  <c r="F17" i="93"/>
  <c r="E17" i="93"/>
  <c r="D17" i="93"/>
  <c r="C17" i="93"/>
  <c r="B17" i="93"/>
  <c r="BH16" i="93"/>
  <c r="BG16" i="93"/>
  <c r="BF16" i="93"/>
  <c r="BE16" i="93"/>
  <c r="BD16" i="93"/>
  <c r="BB16" i="93"/>
  <c r="BA16" i="93"/>
  <c r="AZ16" i="93"/>
  <c r="AY16" i="93"/>
  <c r="AX16" i="93"/>
  <c r="AV16" i="93"/>
  <c r="AU16" i="93"/>
  <c r="AT16" i="93"/>
  <c r="AS16" i="93"/>
  <c r="AR16" i="93"/>
  <c r="AQ16" i="93"/>
  <c r="AQ64" i="93" s="1"/>
  <c r="AP16" i="93"/>
  <c r="AO16" i="93"/>
  <c r="AN16" i="93"/>
  <c r="AM16" i="93"/>
  <c r="AL16" i="93"/>
  <c r="AJ16" i="93"/>
  <c r="AI16" i="93"/>
  <c r="AH16" i="93"/>
  <c r="AG16" i="93"/>
  <c r="AF16" i="93"/>
  <c r="AD16" i="93"/>
  <c r="AC16" i="93"/>
  <c r="AB16" i="93"/>
  <c r="AA16" i="93"/>
  <c r="Z16" i="93"/>
  <c r="Y16" i="93"/>
  <c r="Y64" i="93" s="1"/>
  <c r="X16" i="93"/>
  <c r="W16" i="93"/>
  <c r="V16" i="93"/>
  <c r="U16" i="93"/>
  <c r="T16" i="93"/>
  <c r="R16" i="93"/>
  <c r="Q16" i="93"/>
  <c r="P16" i="93"/>
  <c r="O16" i="93"/>
  <c r="N16" i="93"/>
  <c r="L16" i="93"/>
  <c r="K16" i="93"/>
  <c r="J16" i="93"/>
  <c r="I16" i="93"/>
  <c r="H16" i="93"/>
  <c r="F16" i="93"/>
  <c r="E16" i="93"/>
  <c r="D16" i="93"/>
  <c r="C16" i="93"/>
  <c r="B16" i="93"/>
  <c r="A44" i="93"/>
  <c r="A92" i="93" s="1"/>
  <c r="BH15" i="93"/>
  <c r="BG15" i="93"/>
  <c r="BF15" i="93"/>
  <c r="BE15" i="93"/>
  <c r="BD15" i="93"/>
  <c r="BB15" i="93"/>
  <c r="BA15" i="93"/>
  <c r="AZ15" i="93"/>
  <c r="AY15" i="93"/>
  <c r="AX15" i="93"/>
  <c r="AV15" i="93"/>
  <c r="AU15" i="93"/>
  <c r="AT15" i="93"/>
  <c r="AS15" i="93"/>
  <c r="AR15" i="93"/>
  <c r="AQ15" i="93"/>
  <c r="AQ63" i="93" s="1"/>
  <c r="AP15" i="93"/>
  <c r="AO15" i="93"/>
  <c r="AN15" i="93"/>
  <c r="AM15" i="93"/>
  <c r="AL15" i="93"/>
  <c r="AJ15" i="93"/>
  <c r="AI15" i="93"/>
  <c r="AH15" i="93"/>
  <c r="AG15" i="93"/>
  <c r="AF15" i="93"/>
  <c r="AD15" i="93"/>
  <c r="AC15" i="93"/>
  <c r="AB15" i="93"/>
  <c r="AA15" i="93"/>
  <c r="Z15" i="93"/>
  <c r="Y15" i="93"/>
  <c r="Y63" i="93" s="1"/>
  <c r="X15" i="93"/>
  <c r="W15" i="93"/>
  <c r="V15" i="93"/>
  <c r="U15" i="93"/>
  <c r="T15" i="93"/>
  <c r="R15" i="93"/>
  <c r="Q15" i="93"/>
  <c r="P15" i="93"/>
  <c r="O15" i="93"/>
  <c r="N15" i="93"/>
  <c r="L15" i="93"/>
  <c r="K15" i="93"/>
  <c r="J15" i="93"/>
  <c r="I15" i="93"/>
  <c r="H15" i="93"/>
  <c r="F15" i="93"/>
  <c r="E15" i="93"/>
  <c r="D15" i="93"/>
  <c r="C15" i="93"/>
  <c r="B15" i="93"/>
  <c r="BH14" i="93"/>
  <c r="BG14" i="93"/>
  <c r="BF14" i="93"/>
  <c r="BE14" i="93"/>
  <c r="BD14" i="93"/>
  <c r="BB14" i="93"/>
  <c r="BA14" i="93"/>
  <c r="AZ14" i="93"/>
  <c r="AY14" i="93"/>
  <c r="AX14" i="93"/>
  <c r="AV14" i="93"/>
  <c r="AU14" i="93"/>
  <c r="AT14" i="93"/>
  <c r="AS14" i="93"/>
  <c r="AR14" i="93"/>
  <c r="AP14" i="93"/>
  <c r="AO14" i="93"/>
  <c r="AN14" i="93"/>
  <c r="AM14" i="93"/>
  <c r="AL14" i="93"/>
  <c r="AJ14" i="93"/>
  <c r="AI14" i="93"/>
  <c r="AH14" i="93"/>
  <c r="AG14" i="93"/>
  <c r="AF14" i="93"/>
  <c r="AD14" i="93"/>
  <c r="AC14" i="93"/>
  <c r="AB14" i="93"/>
  <c r="AA14" i="93"/>
  <c r="Z14" i="93"/>
  <c r="X14" i="93"/>
  <c r="W14" i="93"/>
  <c r="V14" i="93"/>
  <c r="U14" i="93"/>
  <c r="T14" i="93"/>
  <c r="R14" i="93"/>
  <c r="Q14" i="93"/>
  <c r="P14" i="93"/>
  <c r="O14" i="93"/>
  <c r="N14" i="93"/>
  <c r="L14" i="93"/>
  <c r="K14" i="93"/>
  <c r="J14" i="93"/>
  <c r="I14" i="93"/>
  <c r="H14" i="93"/>
  <c r="F14" i="93"/>
  <c r="E14" i="93"/>
  <c r="D14" i="93"/>
  <c r="C14" i="93"/>
  <c r="B14" i="93"/>
  <c r="A62" i="93"/>
  <c r="BH13" i="93"/>
  <c r="BG13" i="93"/>
  <c r="BF13" i="93"/>
  <c r="BE13" i="93"/>
  <c r="BD13" i="93"/>
  <c r="BB13" i="93"/>
  <c r="BA13" i="93"/>
  <c r="AZ13" i="93"/>
  <c r="AY13" i="93"/>
  <c r="AX13" i="93"/>
  <c r="AV13" i="93"/>
  <c r="AU13" i="93"/>
  <c r="AT13" i="93"/>
  <c r="AS13" i="93"/>
  <c r="AR13" i="93"/>
  <c r="AP13" i="93"/>
  <c r="AO13" i="93"/>
  <c r="AN13" i="93"/>
  <c r="AM13" i="93"/>
  <c r="AL13" i="93"/>
  <c r="AJ13" i="93"/>
  <c r="AI13" i="93"/>
  <c r="AH13" i="93"/>
  <c r="AG13" i="93"/>
  <c r="AF13" i="93"/>
  <c r="AD13" i="93"/>
  <c r="AC13" i="93"/>
  <c r="AB13" i="93"/>
  <c r="AA13" i="93"/>
  <c r="Z13" i="93"/>
  <c r="X13" i="93"/>
  <c r="W13" i="93"/>
  <c r="V13" i="93"/>
  <c r="U13" i="93"/>
  <c r="T13" i="93"/>
  <c r="R13" i="93"/>
  <c r="Q13" i="93"/>
  <c r="P13" i="93"/>
  <c r="O13" i="93"/>
  <c r="N13" i="93"/>
  <c r="L13" i="93"/>
  <c r="K13" i="93"/>
  <c r="J13" i="93"/>
  <c r="I13" i="93"/>
  <c r="H13" i="93"/>
  <c r="F13" i="93"/>
  <c r="E13" i="93"/>
  <c r="D13" i="93"/>
  <c r="C13" i="93"/>
  <c r="B13" i="93"/>
  <c r="BH12" i="93"/>
  <c r="BG12" i="93"/>
  <c r="BF12" i="93"/>
  <c r="BE12" i="93"/>
  <c r="BD12" i="93"/>
  <c r="BB12" i="93"/>
  <c r="BA12" i="93"/>
  <c r="AZ12" i="93"/>
  <c r="AY12" i="93"/>
  <c r="AX12" i="93"/>
  <c r="AV12" i="93"/>
  <c r="AU12" i="93"/>
  <c r="AT12" i="93"/>
  <c r="AS12" i="93"/>
  <c r="AR12" i="93"/>
  <c r="AQ12" i="93"/>
  <c r="AQ60" i="93" s="1"/>
  <c r="AP12" i="93"/>
  <c r="AO12" i="93"/>
  <c r="AN12" i="93"/>
  <c r="AM12" i="93"/>
  <c r="AL12" i="93"/>
  <c r="AJ12" i="93"/>
  <c r="AI12" i="93"/>
  <c r="AH12" i="93"/>
  <c r="AG12" i="93"/>
  <c r="AF12" i="93"/>
  <c r="AD12" i="93"/>
  <c r="AC12" i="93"/>
  <c r="AB12" i="93"/>
  <c r="AA12" i="93"/>
  <c r="Z12" i="93"/>
  <c r="Y12" i="93"/>
  <c r="Y60" i="93" s="1"/>
  <c r="X12" i="93"/>
  <c r="W12" i="93"/>
  <c r="V12" i="93"/>
  <c r="U12" i="93"/>
  <c r="T12" i="93"/>
  <c r="R12" i="93"/>
  <c r="Q12" i="93"/>
  <c r="P12" i="93"/>
  <c r="O12" i="93"/>
  <c r="N12" i="93"/>
  <c r="L12" i="93"/>
  <c r="K12" i="93"/>
  <c r="J12" i="93"/>
  <c r="I12" i="93"/>
  <c r="H12" i="93"/>
  <c r="F12" i="93"/>
  <c r="E12" i="93"/>
  <c r="D12" i="93"/>
  <c r="C12" i="93"/>
  <c r="B12" i="93"/>
  <c r="BH11" i="93"/>
  <c r="BG11" i="93"/>
  <c r="BF11" i="93"/>
  <c r="BE11" i="93"/>
  <c r="BD11" i="93"/>
  <c r="BB11" i="93"/>
  <c r="BA11" i="93"/>
  <c r="AZ11" i="93"/>
  <c r="AY11" i="93"/>
  <c r="AX11" i="93"/>
  <c r="AV11" i="93"/>
  <c r="AU11" i="93"/>
  <c r="AT11" i="93"/>
  <c r="AS11" i="93"/>
  <c r="AR11" i="93"/>
  <c r="AP11" i="93"/>
  <c r="AO11" i="93"/>
  <c r="AN11" i="93"/>
  <c r="AM11" i="93"/>
  <c r="AL11" i="93"/>
  <c r="AJ11" i="93"/>
  <c r="AI11" i="93"/>
  <c r="AH11" i="93"/>
  <c r="AG11" i="93"/>
  <c r="AF11" i="93"/>
  <c r="AD11" i="93"/>
  <c r="AC11" i="93"/>
  <c r="AB11" i="93"/>
  <c r="AA11" i="93"/>
  <c r="Z11" i="93"/>
  <c r="X11" i="93"/>
  <c r="W11" i="93"/>
  <c r="V11" i="93"/>
  <c r="U11" i="93"/>
  <c r="T11" i="93"/>
  <c r="R11" i="93"/>
  <c r="Q11" i="93"/>
  <c r="P11" i="93"/>
  <c r="O11" i="93"/>
  <c r="N11" i="93"/>
  <c r="L11" i="93"/>
  <c r="K11" i="93"/>
  <c r="J11" i="93"/>
  <c r="I11" i="93"/>
  <c r="H11" i="93"/>
  <c r="F11" i="93"/>
  <c r="E11" i="93"/>
  <c r="D11" i="93"/>
  <c r="C11" i="93"/>
  <c r="B11" i="93"/>
  <c r="AQ11" i="93"/>
  <c r="AQ59" i="93" s="1"/>
  <c r="BH10" i="93"/>
  <c r="BG10" i="93"/>
  <c r="BF10" i="93"/>
  <c r="BE10" i="93"/>
  <c r="BD10" i="93"/>
  <c r="BB10" i="93"/>
  <c r="BA10" i="93"/>
  <c r="AZ10" i="93"/>
  <c r="AY10" i="93"/>
  <c r="AX10" i="93"/>
  <c r="AV10" i="93"/>
  <c r="AU10" i="93"/>
  <c r="AT10" i="93"/>
  <c r="AS10" i="93"/>
  <c r="AR10" i="93"/>
  <c r="AQ10" i="93"/>
  <c r="AQ58" i="93" s="1"/>
  <c r="AP10" i="93"/>
  <c r="AO10" i="93"/>
  <c r="AN10" i="93"/>
  <c r="AM10" i="93"/>
  <c r="AL10" i="93"/>
  <c r="AJ10" i="93"/>
  <c r="AI10" i="93"/>
  <c r="AH10" i="93"/>
  <c r="AG10" i="93"/>
  <c r="AF10" i="93"/>
  <c r="AD10" i="93"/>
  <c r="AC10" i="93"/>
  <c r="AB10" i="93"/>
  <c r="AA10" i="93"/>
  <c r="Z10" i="93"/>
  <c r="Y10" i="93"/>
  <c r="Y58" i="93" s="1"/>
  <c r="X10" i="93"/>
  <c r="W10" i="93"/>
  <c r="V10" i="93"/>
  <c r="U10" i="93"/>
  <c r="T10" i="93"/>
  <c r="R10" i="93"/>
  <c r="Q10" i="93"/>
  <c r="P10" i="93"/>
  <c r="O10" i="93"/>
  <c r="N10" i="93"/>
  <c r="L10" i="93"/>
  <c r="K10" i="93"/>
  <c r="J10" i="93"/>
  <c r="I10" i="93"/>
  <c r="H10" i="93"/>
  <c r="F10" i="93"/>
  <c r="E10" i="93"/>
  <c r="D10" i="93"/>
  <c r="C10" i="93"/>
  <c r="B10" i="93"/>
  <c r="BH9" i="93"/>
  <c r="BG9" i="93"/>
  <c r="BF9" i="93"/>
  <c r="BE9" i="93"/>
  <c r="BD9" i="93"/>
  <c r="BB9" i="93"/>
  <c r="BA9" i="93"/>
  <c r="AZ9" i="93"/>
  <c r="AY9" i="93"/>
  <c r="AX9" i="93"/>
  <c r="AV9" i="93"/>
  <c r="AU9" i="93"/>
  <c r="AT9" i="93"/>
  <c r="AS9" i="93"/>
  <c r="AR9" i="93"/>
  <c r="AP9" i="93"/>
  <c r="AO9" i="93"/>
  <c r="AN9" i="93"/>
  <c r="AM9" i="93"/>
  <c r="AL9" i="93"/>
  <c r="AJ9" i="93"/>
  <c r="AI9" i="93"/>
  <c r="AH9" i="93"/>
  <c r="AG9" i="93"/>
  <c r="AF9" i="93"/>
  <c r="AD9" i="93"/>
  <c r="AC9" i="93"/>
  <c r="AB9" i="93"/>
  <c r="AA9" i="93"/>
  <c r="Z9" i="93"/>
  <c r="X9" i="93"/>
  <c r="W9" i="93"/>
  <c r="V9" i="93"/>
  <c r="U9" i="93"/>
  <c r="T9" i="93"/>
  <c r="R9" i="93"/>
  <c r="Q9" i="93"/>
  <c r="P9" i="93"/>
  <c r="O9" i="93"/>
  <c r="N9" i="93"/>
  <c r="L9" i="93"/>
  <c r="K9" i="93"/>
  <c r="J9" i="93"/>
  <c r="I9" i="93"/>
  <c r="H9" i="93"/>
  <c r="F9" i="93"/>
  <c r="E9" i="93"/>
  <c r="D9" i="93"/>
  <c r="C9" i="93"/>
  <c r="B9" i="93"/>
  <c r="BH8" i="93"/>
  <c r="BG8" i="93"/>
  <c r="BF8" i="93"/>
  <c r="BE8" i="93"/>
  <c r="BD8" i="93"/>
  <c r="BB8" i="93"/>
  <c r="BA8" i="93"/>
  <c r="AZ8" i="93"/>
  <c r="AY8" i="93"/>
  <c r="AX8" i="93"/>
  <c r="AV8" i="93"/>
  <c r="AU8" i="93"/>
  <c r="AT8" i="93"/>
  <c r="AS8" i="93"/>
  <c r="AR8" i="93"/>
  <c r="AQ8" i="93"/>
  <c r="AQ56" i="93" s="1"/>
  <c r="AP8" i="93"/>
  <c r="AO8" i="93"/>
  <c r="AN8" i="93"/>
  <c r="AM8" i="93"/>
  <c r="AL8" i="93"/>
  <c r="AJ8" i="93"/>
  <c r="AI8" i="93"/>
  <c r="AH8" i="93"/>
  <c r="AG8" i="93"/>
  <c r="AF8" i="93"/>
  <c r="AD8" i="93"/>
  <c r="AC8" i="93"/>
  <c r="AB8" i="93"/>
  <c r="AA8" i="93"/>
  <c r="Z8" i="93"/>
  <c r="Y8" i="93"/>
  <c r="Y56" i="93" s="1"/>
  <c r="X8" i="93"/>
  <c r="W8" i="93"/>
  <c r="V8" i="93"/>
  <c r="U8" i="93"/>
  <c r="T8" i="93"/>
  <c r="R8" i="93"/>
  <c r="Q8" i="93"/>
  <c r="P8" i="93"/>
  <c r="O8" i="93"/>
  <c r="N8" i="93"/>
  <c r="L8" i="93"/>
  <c r="K8" i="93"/>
  <c r="J8" i="93"/>
  <c r="I8" i="93"/>
  <c r="H8" i="93"/>
  <c r="F8" i="93"/>
  <c r="E8" i="93"/>
  <c r="D8" i="93"/>
  <c r="C8" i="93"/>
  <c r="B8" i="93"/>
  <c r="AQ7" i="93"/>
  <c r="AQ55" i="93" s="1"/>
  <c r="Y7" i="93"/>
  <c r="Y55" i="93" s="1"/>
  <c r="BH5" i="93"/>
  <c r="BG5" i="93"/>
  <c r="BF5" i="93"/>
  <c r="BE5" i="93"/>
  <c r="BD5" i="93"/>
  <c r="BB5" i="93"/>
  <c r="BA5" i="93"/>
  <c r="AZ5" i="93"/>
  <c r="AY5" i="93"/>
  <c r="AX5" i="93"/>
  <c r="AP5" i="93"/>
  <c r="AO5" i="93"/>
  <c r="AN5" i="93"/>
  <c r="AM5" i="93"/>
  <c r="AL5" i="93"/>
  <c r="AJ5" i="93"/>
  <c r="AI5" i="93"/>
  <c r="AH5" i="93"/>
  <c r="AG5" i="93"/>
  <c r="AF5" i="93"/>
  <c r="X5" i="93"/>
  <c r="W5" i="93"/>
  <c r="V5" i="93"/>
  <c r="U5" i="93"/>
  <c r="T5" i="93"/>
  <c r="R5" i="93"/>
  <c r="Q5" i="93"/>
  <c r="P5" i="93"/>
  <c r="O5" i="93"/>
  <c r="N5" i="93"/>
  <c r="L5" i="93"/>
  <c r="K5" i="93"/>
  <c r="J5" i="93"/>
  <c r="I5" i="93"/>
  <c r="H5" i="93"/>
  <c r="AL51" i="93"/>
  <c r="AF51" i="93"/>
  <c r="Z51" i="93"/>
  <c r="T51" i="93"/>
  <c r="R7" i="93" l="1"/>
  <c r="D55" i="93"/>
  <c r="AG55" i="93"/>
  <c r="H7" i="93"/>
  <c r="N55" i="93"/>
  <c r="AP55" i="93"/>
  <c r="AU7" i="93"/>
  <c r="AH55" i="93"/>
  <c r="AR55" i="93"/>
  <c r="BA55" i="93"/>
  <c r="AR7" i="93"/>
  <c r="B55" i="93"/>
  <c r="K55" i="93"/>
  <c r="U55" i="93"/>
  <c r="AN55" i="93"/>
  <c r="AX55" i="93"/>
  <c r="BG55" i="93"/>
  <c r="Z7" i="93"/>
  <c r="AS7" i="93"/>
  <c r="BB7" i="93"/>
  <c r="C55" i="93"/>
  <c r="L55" i="93"/>
  <c r="V55" i="93"/>
  <c r="AF55" i="93"/>
  <c r="AO55" i="93"/>
  <c r="AY55" i="93"/>
  <c r="BH55" i="93"/>
  <c r="R55" i="93"/>
  <c r="B7" i="93"/>
  <c r="K7" i="93"/>
  <c r="U7" i="93"/>
  <c r="AC7" i="93"/>
  <c r="AM7" i="93"/>
  <c r="BF55" i="93"/>
  <c r="AZ7" i="93"/>
  <c r="E55" i="93"/>
  <c r="O55" i="93"/>
  <c r="X55" i="93"/>
  <c r="AF7" i="93"/>
  <c r="AT7" i="93"/>
  <c r="BD7" i="93"/>
  <c r="F55" i="93"/>
  <c r="P55" i="93"/>
  <c r="Z55" i="93"/>
  <c r="AI55" i="93"/>
  <c r="AS55" i="93"/>
  <c r="BB55" i="93"/>
  <c r="J55" i="93"/>
  <c r="AV55" i="93"/>
  <c r="J7" i="93"/>
  <c r="T7" i="93"/>
  <c r="AB7" i="93"/>
  <c r="AL7" i="93"/>
  <c r="BE7" i="93"/>
  <c r="Q7" i="93"/>
  <c r="AI7" i="93"/>
  <c r="BA7" i="93"/>
  <c r="P7" i="93"/>
  <c r="H55" i="93"/>
  <c r="Q55" i="93"/>
  <c r="AA55" i="93"/>
  <c r="AJ55" i="93"/>
  <c r="AX7" i="93"/>
  <c r="BG7" i="93"/>
  <c r="AU55" i="93"/>
  <c r="BE55" i="93"/>
  <c r="F7" i="93"/>
  <c r="AH7" i="93"/>
  <c r="D7" i="93"/>
  <c r="AO7" i="93"/>
  <c r="T55" i="93"/>
  <c r="AC55" i="93"/>
  <c r="AM55" i="93"/>
  <c r="AT55" i="93"/>
  <c r="BD55" i="93"/>
  <c r="A80" i="93"/>
  <c r="I55" i="93"/>
  <c r="AB55" i="93"/>
  <c r="AL55" i="93"/>
  <c r="A69" i="93"/>
  <c r="O7" i="93"/>
  <c r="AY7" i="93"/>
  <c r="AQ26" i="93"/>
  <c r="AQ74" i="93" s="1"/>
  <c r="X7" i="93"/>
  <c r="BH7" i="93"/>
  <c r="C7" i="93"/>
  <c r="L7" i="93"/>
  <c r="V7" i="93"/>
  <c r="AD7" i="93"/>
  <c r="AN7" i="93"/>
  <c r="AV7" i="93"/>
  <c r="BF7" i="93"/>
  <c r="A72" i="93"/>
  <c r="E7" i="93"/>
  <c r="AG7" i="93"/>
  <c r="AP7" i="93"/>
  <c r="AD55" i="93"/>
  <c r="AQ29" i="93"/>
  <c r="AQ77" i="93" s="1"/>
  <c r="A54" i="93"/>
  <c r="AQ6" i="93"/>
  <c r="AQ54" i="93" s="1"/>
  <c r="Y6" i="93"/>
  <c r="Y54" i="93" s="1"/>
  <c r="Y37" i="93"/>
  <c r="Y85" i="93" s="1"/>
  <c r="A37" i="93"/>
  <c r="A85" i="93" s="1"/>
  <c r="Y23" i="93"/>
  <c r="Y71" i="93" s="1"/>
  <c r="A23" i="93"/>
  <c r="AQ9" i="93"/>
  <c r="AQ57" i="93" s="1"/>
  <c r="Y9" i="93"/>
  <c r="Y57" i="93" s="1"/>
  <c r="AQ37" i="93"/>
  <c r="AQ85" i="93" s="1"/>
  <c r="A61" i="93"/>
  <c r="A41" i="93"/>
  <c r="A89" i="93" s="1"/>
  <c r="Y27" i="93"/>
  <c r="Y75" i="93" s="1"/>
  <c r="Y41" i="93"/>
  <c r="Y89" i="93" s="1"/>
  <c r="AQ13" i="93"/>
  <c r="AQ61" i="93" s="1"/>
  <c r="Y13" i="93"/>
  <c r="Y61" i="93" s="1"/>
  <c r="A27" i="93"/>
  <c r="Y45" i="93"/>
  <c r="Y93" i="93" s="1"/>
  <c r="A45" i="93"/>
  <c r="A93" i="93" s="1"/>
  <c r="Y31" i="93"/>
  <c r="Y79" i="93" s="1"/>
  <c r="A31" i="93"/>
  <c r="AQ17" i="93"/>
  <c r="AQ65" i="93" s="1"/>
  <c r="Y17" i="93"/>
  <c r="Y65" i="93" s="1"/>
  <c r="AQ45" i="93"/>
  <c r="AQ93" i="93" s="1"/>
  <c r="A65" i="93"/>
  <c r="A56" i="93"/>
  <c r="AQ36" i="93"/>
  <c r="AQ84" i="93" s="1"/>
  <c r="A22" i="93"/>
  <c r="AQ42" i="93"/>
  <c r="AQ90" i="93" s="1"/>
  <c r="Y42" i="93"/>
  <c r="Y90" i="93" s="1"/>
  <c r="AQ14" i="93"/>
  <c r="AQ62" i="93" s="1"/>
  <c r="Y14" i="93"/>
  <c r="Y62" i="93" s="1"/>
  <c r="A42" i="93"/>
  <c r="A90" i="93" s="1"/>
  <c r="Y28" i="93"/>
  <c r="Y76" i="93" s="1"/>
  <c r="A64" i="93"/>
  <c r="AQ44" i="93"/>
  <c r="AQ92" i="93" s="1"/>
  <c r="A30" i="93"/>
  <c r="A28" i="93"/>
  <c r="A82" i="93"/>
  <c r="AQ34" i="93"/>
  <c r="AQ82" i="93" s="1"/>
  <c r="Y36" i="93"/>
  <c r="Y84" i="93" s="1"/>
  <c r="A73" i="93"/>
  <c r="AQ25" i="93"/>
  <c r="AQ73" i="93" s="1"/>
  <c r="Y39" i="93"/>
  <c r="Y87" i="93" s="1"/>
  <c r="A59" i="93"/>
  <c r="AQ39" i="93"/>
  <c r="AQ87" i="93" s="1"/>
  <c r="Y11" i="93"/>
  <c r="Y59" i="93" s="1"/>
  <c r="AQ31" i="93" l="1"/>
  <c r="AQ79" i="93" s="1"/>
  <c r="A79" i="93"/>
  <c r="A76" i="93"/>
  <c r="AQ28" i="93"/>
  <c r="AQ76" i="93" s="1"/>
  <c r="A78" i="93"/>
  <c r="AQ30" i="93"/>
  <c r="AQ78" i="93" s="1"/>
  <c r="A75" i="93"/>
  <c r="AQ27" i="93"/>
  <c r="AQ75" i="93" s="1"/>
  <c r="AQ23" i="93"/>
  <c r="AQ71" i="93" s="1"/>
  <c r="A71" i="93"/>
  <c r="A70" i="93"/>
  <c r="AQ22" i="93"/>
  <c r="AQ70" i="93" s="1"/>
  <c r="N6" i="78" l="1"/>
  <c r="O6" i="78"/>
  <c r="N107" i="78" s="1"/>
  <c r="P6" i="78"/>
  <c r="Q6" i="78"/>
  <c r="M6" i="78"/>
  <c r="L1" i="78" s="1"/>
  <c r="P107" i="78" l="1"/>
  <c r="Q107" i="78"/>
  <c r="AA6" i="78"/>
  <c r="O107" i="78"/>
  <c r="M107" i="78"/>
  <c r="Q117" i="78"/>
  <c r="AB6" i="78"/>
  <c r="Q103" i="78"/>
  <c r="Q95" i="78"/>
  <c r="Q87" i="78"/>
  <c r="Q102" i="78"/>
  <c r="Q94" i="78"/>
  <c r="Q86" i="78"/>
  <c r="Q99" i="78"/>
  <c r="Q91" i="78"/>
  <c r="Q83" i="78"/>
  <c r="Q105" i="78"/>
  <c r="Q92" i="78"/>
  <c r="Q104" i="78"/>
  <c r="Q90" i="78"/>
  <c r="Q101" i="78"/>
  <c r="Q89" i="78"/>
  <c r="Q98" i="78"/>
  <c r="Q85" i="78"/>
  <c r="Q97" i="78"/>
  <c r="Q84" i="78"/>
  <c r="Q106" i="78"/>
  <c r="Q93" i="78"/>
  <c r="Q100" i="78"/>
  <c r="Q96" i="78"/>
  <c r="Q88" i="78"/>
  <c r="Q82" i="78"/>
  <c r="Z6" i="78"/>
  <c r="N104" i="78"/>
  <c r="N96" i="78"/>
  <c r="N88" i="78"/>
  <c r="N103" i="78"/>
  <c r="N95" i="78"/>
  <c r="N87" i="78"/>
  <c r="N100" i="78"/>
  <c r="N92" i="78"/>
  <c r="N84" i="78"/>
  <c r="N94" i="78"/>
  <c r="N82" i="78"/>
  <c r="N91" i="78"/>
  <c r="N106" i="78"/>
  <c r="N93" i="78"/>
  <c r="N105" i="78"/>
  <c r="N101" i="78"/>
  <c r="N89" i="78"/>
  <c r="N99" i="78"/>
  <c r="N86" i="78"/>
  <c r="N102" i="78"/>
  <c r="N97" i="78"/>
  <c r="N98" i="78"/>
  <c r="N90" i="78"/>
  <c r="N85" i="78"/>
  <c r="N83" i="78"/>
  <c r="Y6" i="78"/>
  <c r="N80" i="78"/>
  <c r="N117" i="78"/>
  <c r="Q80" i="78"/>
  <c r="X6" i="78"/>
  <c r="W1" i="78" s="1"/>
  <c r="Y107" i="78" l="1"/>
  <c r="AM6" i="78"/>
  <c r="AA107" i="78"/>
  <c r="AB107" i="78"/>
  <c r="AL6" i="78"/>
  <c r="AL88" i="78" s="1"/>
  <c r="Z107" i="78"/>
  <c r="AJ6" i="78"/>
  <c r="AM97" i="78" s="1"/>
  <c r="X107" i="78"/>
  <c r="AI6" i="78"/>
  <c r="AH1" i="78" s="1"/>
  <c r="AK6" i="78"/>
  <c r="AB117" i="78"/>
  <c r="AL83" i="78"/>
  <c r="AX6" i="78"/>
  <c r="AM43" i="78"/>
  <c r="Y80" i="78"/>
  <c r="AB80" i="78"/>
  <c r="Y117" i="78"/>
  <c r="Y101" i="78"/>
  <c r="Y93" i="78"/>
  <c r="Y85" i="78"/>
  <c r="Y100" i="78"/>
  <c r="Y92" i="78"/>
  <c r="Y84" i="78"/>
  <c r="Y105" i="78"/>
  <c r="Y97" i="78"/>
  <c r="Y89" i="78"/>
  <c r="Y103" i="78"/>
  <c r="Y90" i="78"/>
  <c r="Y102" i="78"/>
  <c r="Y88" i="78"/>
  <c r="Y99" i="78"/>
  <c r="Y87" i="78"/>
  <c r="Y96" i="78"/>
  <c r="Y83" i="78"/>
  <c r="Y95" i="78"/>
  <c r="Y82" i="78"/>
  <c r="Y94" i="78"/>
  <c r="Y86" i="78"/>
  <c r="Y91" i="78"/>
  <c r="Y104" i="78"/>
  <c r="Y106" i="78"/>
  <c r="Y98" i="78"/>
  <c r="AB101" i="78"/>
  <c r="AB93" i="78"/>
  <c r="AB85" i="78"/>
  <c r="AB83" i="78"/>
  <c r="AB100" i="78"/>
  <c r="AB92" i="78"/>
  <c r="AB84" i="78"/>
  <c r="AB105" i="78"/>
  <c r="AB97" i="78"/>
  <c r="AB89" i="78"/>
  <c r="AB102" i="78"/>
  <c r="AB88" i="78"/>
  <c r="AB99" i="78"/>
  <c r="AB87" i="78"/>
  <c r="AB98" i="78"/>
  <c r="AB86" i="78"/>
  <c r="AB95" i="78"/>
  <c r="AB106" i="78"/>
  <c r="AB94" i="78"/>
  <c r="AB96" i="78"/>
  <c r="AB91" i="78"/>
  <c r="AB90" i="78"/>
  <c r="AB82" i="78"/>
  <c r="AB103" i="78"/>
  <c r="AB104" i="78"/>
  <c r="N33" i="79"/>
  <c r="O33" i="79"/>
  <c r="B46" i="78"/>
  <c r="AK93" i="78" l="1"/>
  <c r="AM93" i="78"/>
  <c r="AM106" i="78"/>
  <c r="AM104" i="78"/>
  <c r="AM84" i="78"/>
  <c r="AM89" i="78"/>
  <c r="AM100" i="78"/>
  <c r="AL100" i="78"/>
  <c r="AI96" i="78"/>
  <c r="AI103" i="78"/>
  <c r="AL99" i="78"/>
  <c r="AI101" i="78"/>
  <c r="AL84" i="78"/>
  <c r="AI86" i="78"/>
  <c r="AL98" i="78"/>
  <c r="AM101" i="78"/>
  <c r="AM96" i="78"/>
  <c r="AI105" i="78"/>
  <c r="AM99" i="78"/>
  <c r="AL94" i="78"/>
  <c r="AI90" i="78"/>
  <c r="AM94" i="78"/>
  <c r="AL103" i="78"/>
  <c r="AI43" i="78"/>
  <c r="AL80" i="78"/>
  <c r="AI82" i="78"/>
  <c r="AI107" i="78"/>
  <c r="AI102" i="78"/>
  <c r="AM102" i="78"/>
  <c r="AL96" i="78"/>
  <c r="AI106" i="78"/>
  <c r="AM88" i="78"/>
  <c r="AK87" i="78"/>
  <c r="AL117" i="78"/>
  <c r="AI98" i="78"/>
  <c r="AM85" i="78"/>
  <c r="AL102" i="78"/>
  <c r="AL105" i="78"/>
  <c r="AL106" i="78"/>
  <c r="AL86" i="78"/>
  <c r="AL91" i="78"/>
  <c r="AL82" i="78"/>
  <c r="AL97" i="78"/>
  <c r="AL101" i="78"/>
  <c r="AL95" i="78"/>
  <c r="M8" i="79"/>
  <c r="M33" i="79"/>
  <c r="AL89" i="78"/>
  <c r="AL85" i="78"/>
  <c r="AI95" i="78"/>
  <c r="AI85" i="78"/>
  <c r="AM91" i="78"/>
  <c r="AM87" i="78"/>
  <c r="AM83" i="78"/>
  <c r="AI100" i="78"/>
  <c r="AI99" i="78"/>
  <c r="AM82" i="78"/>
  <c r="AM98" i="78"/>
  <c r="AI92" i="78"/>
  <c r="AI93" i="78"/>
  <c r="AI109" i="78"/>
  <c r="AM109" i="78"/>
  <c r="AM103" i="78"/>
  <c r="AI94" i="78"/>
  <c r="AI83" i="78"/>
  <c r="AI89" i="78"/>
  <c r="AM105" i="78"/>
  <c r="AJ43" i="78"/>
  <c r="AK107" i="78"/>
  <c r="AW6" i="78"/>
  <c r="AW106" i="78" s="1"/>
  <c r="AL43" i="78"/>
  <c r="AI117" i="78"/>
  <c r="AI91" i="78"/>
  <c r="AT6" i="78"/>
  <c r="AS1" i="78" s="1"/>
  <c r="AM90" i="78"/>
  <c r="AM92" i="78"/>
  <c r="AM117" i="78"/>
  <c r="AJ107" i="78"/>
  <c r="AI88" i="78"/>
  <c r="AI87" i="78"/>
  <c r="AI97" i="78"/>
  <c r="AM86" i="78"/>
  <c r="AU6" i="78"/>
  <c r="AX107" i="78" s="1"/>
  <c r="AL104" i="78"/>
  <c r="AL90" i="78"/>
  <c r="AI84" i="78"/>
  <c r="AI80" i="78"/>
  <c r="AI104" i="78"/>
  <c r="AM95" i="78"/>
  <c r="AM80" i="78"/>
  <c r="AL93" i="78"/>
  <c r="AL109" i="78"/>
  <c r="AL87" i="78"/>
  <c r="AL92" i="78"/>
  <c r="AL107" i="78"/>
  <c r="AM107" i="78"/>
  <c r="AJ106" i="78"/>
  <c r="AJ102" i="78"/>
  <c r="AJ93" i="78"/>
  <c r="AJ103" i="78"/>
  <c r="AK43" i="78"/>
  <c r="AK102" i="78"/>
  <c r="AJ99" i="78"/>
  <c r="AJ86" i="78"/>
  <c r="AK85" i="78"/>
  <c r="AK117" i="78"/>
  <c r="AJ109" i="78"/>
  <c r="AK96" i="78"/>
  <c r="AK88" i="78"/>
  <c r="AJ100" i="78"/>
  <c r="AJ89" i="78"/>
  <c r="AJ87" i="78"/>
  <c r="AK94" i="78"/>
  <c r="AK105" i="78"/>
  <c r="AJ83" i="78"/>
  <c r="AK92" i="78"/>
  <c r="AJ117" i="78"/>
  <c r="AK91" i="78"/>
  <c r="AV6" i="78"/>
  <c r="AJ98" i="78"/>
  <c r="AK89" i="78"/>
  <c r="AJ96" i="78"/>
  <c r="AJ97" i="78"/>
  <c r="AK80" i="78"/>
  <c r="AK97" i="78"/>
  <c r="Q146" i="78"/>
  <c r="S72" i="78"/>
  <c r="S109" i="78" s="1"/>
  <c r="AJ101" i="78"/>
  <c r="AJ88" i="78"/>
  <c r="AJ105" i="78"/>
  <c r="AJ94" i="78"/>
  <c r="AJ90" i="78"/>
  <c r="AK103" i="78"/>
  <c r="AK106" i="78"/>
  <c r="AK100" i="78"/>
  <c r="AK99" i="78"/>
  <c r="AE109" i="78"/>
  <c r="AE72" i="78"/>
  <c r="AF72" i="78"/>
  <c r="AF109" i="78" s="1"/>
  <c r="AB146" i="78"/>
  <c r="AJ84" i="78"/>
  <c r="AK98" i="78"/>
  <c r="AK104" i="78"/>
  <c r="AK101" i="78"/>
  <c r="AK95" i="78"/>
  <c r="AJ80" i="78"/>
  <c r="AJ91" i="78"/>
  <c r="AJ85" i="78"/>
  <c r="AK82" i="78"/>
  <c r="AK109" i="78"/>
  <c r="AK86" i="78"/>
  <c r="AJ104" i="78"/>
  <c r="AJ92" i="78"/>
  <c r="AJ82" i="78"/>
  <c r="AJ95" i="78"/>
  <c r="AK90" i="78"/>
  <c r="AK84" i="78"/>
  <c r="AK83" i="78"/>
  <c r="BI6" i="78"/>
  <c r="AX43" i="78"/>
  <c r="BF6" i="78"/>
  <c r="AX109" i="78"/>
  <c r="AX88" i="78"/>
  <c r="AX91" i="78"/>
  <c r="AX97" i="78"/>
  <c r="AU43" i="78"/>
  <c r="AX103" i="78"/>
  <c r="AX94" i="78"/>
  <c r="AX106" i="78"/>
  <c r="AX80" i="78"/>
  <c r="AX89" i="78"/>
  <c r="AX95" i="78"/>
  <c r="AX100" i="78"/>
  <c r="AX98" i="78"/>
  <c r="AX99" i="78"/>
  <c r="AX90" i="78"/>
  <c r="AX85" i="78"/>
  <c r="AX83" i="78"/>
  <c r="AX105" i="78"/>
  <c r="AX86" i="78"/>
  <c r="AX101" i="78"/>
  <c r="AX96" i="78"/>
  <c r="AX102" i="78"/>
  <c r="AX84" i="78"/>
  <c r="AX82" i="78"/>
  <c r="AX104" i="78"/>
  <c r="AX92" i="78"/>
  <c r="AX93" i="78"/>
  <c r="AX87" i="78"/>
  <c r="AH38" i="78"/>
  <c r="AH75" i="78"/>
  <c r="AH112" i="78"/>
  <c r="BE6" i="78"/>
  <c r="BD1" i="78" s="1"/>
  <c r="AT43" i="78"/>
  <c r="AT100" i="78"/>
  <c r="AT90" i="78"/>
  <c r="AT84" i="78"/>
  <c r="AT101" i="78"/>
  <c r="AT109" i="78"/>
  <c r="AT104" i="78"/>
  <c r="AT93" i="78"/>
  <c r="AT82" i="78"/>
  <c r="AT102" i="78"/>
  <c r="AT91" i="78"/>
  <c r="AT97" i="78"/>
  <c r="AT83" i="78"/>
  <c r="AT92" i="78"/>
  <c r="AT94" i="78"/>
  <c r="AT99" i="78"/>
  <c r="AT96" i="78"/>
  <c r="AT88" i="78"/>
  <c r="AT85" i="78"/>
  <c r="AT103" i="78"/>
  <c r="AT95" i="78"/>
  <c r="AT106" i="78"/>
  <c r="AT87" i="78"/>
  <c r="AT105" i="78"/>
  <c r="AT117" i="78"/>
  <c r="AT98" i="78"/>
  <c r="AT86" i="78"/>
  <c r="AT89" i="78"/>
  <c r="AT80" i="78"/>
  <c r="C146" i="78"/>
  <c r="AB109" i="78"/>
  <c r="F109" i="78"/>
  <c r="C109" i="78"/>
  <c r="Y146" i="78"/>
  <c r="N109" i="78"/>
  <c r="Q109" i="78"/>
  <c r="Y109" i="78"/>
  <c r="N146" i="78"/>
  <c r="V33" i="79"/>
  <c r="P17" i="52"/>
  <c r="O17" i="52"/>
  <c r="N17" i="52"/>
  <c r="P16" i="52"/>
  <c r="O16" i="52"/>
  <c r="N16" i="52"/>
  <c r="P15" i="52"/>
  <c r="O15" i="52"/>
  <c r="N15" i="52"/>
  <c r="P14" i="52"/>
  <c r="O14" i="52"/>
  <c r="N14" i="52"/>
  <c r="P13" i="52"/>
  <c r="O13" i="52"/>
  <c r="N13" i="52"/>
  <c r="P12" i="52"/>
  <c r="O12" i="52"/>
  <c r="N12" i="52"/>
  <c r="P11" i="52"/>
  <c r="O11" i="52"/>
  <c r="N11" i="52"/>
  <c r="P10" i="52"/>
  <c r="O10" i="52"/>
  <c r="N10" i="52"/>
  <c r="P9" i="52"/>
  <c r="O9" i="52"/>
  <c r="N9" i="52"/>
  <c r="L17" i="52"/>
  <c r="K17" i="52"/>
  <c r="J17" i="52"/>
  <c r="L16" i="52"/>
  <c r="K16" i="52"/>
  <c r="J16" i="52"/>
  <c r="L15" i="52"/>
  <c r="K15" i="52"/>
  <c r="J15" i="52"/>
  <c r="L14" i="52"/>
  <c r="K14" i="52"/>
  <c r="J14" i="52"/>
  <c r="L13" i="52"/>
  <c r="K13" i="52"/>
  <c r="J13" i="52"/>
  <c r="L12" i="52"/>
  <c r="K12" i="52"/>
  <c r="J12" i="52"/>
  <c r="L11" i="52"/>
  <c r="K11" i="52"/>
  <c r="J11" i="52"/>
  <c r="L10" i="52"/>
  <c r="K10" i="52"/>
  <c r="J10" i="52"/>
  <c r="L9" i="52"/>
  <c r="K9" i="52"/>
  <c r="J9" i="52"/>
  <c r="H17" i="52"/>
  <c r="G17" i="52"/>
  <c r="F17" i="52"/>
  <c r="H16" i="52"/>
  <c r="G16" i="52"/>
  <c r="F16" i="52"/>
  <c r="H15" i="52"/>
  <c r="G15" i="52"/>
  <c r="F15" i="52"/>
  <c r="H14" i="52"/>
  <c r="G14" i="52"/>
  <c r="F14" i="52"/>
  <c r="H13" i="52"/>
  <c r="G13" i="52"/>
  <c r="F13" i="52"/>
  <c r="H12" i="52"/>
  <c r="G12" i="52"/>
  <c r="F12" i="52"/>
  <c r="H11" i="52"/>
  <c r="G11" i="52"/>
  <c r="F11" i="52"/>
  <c r="H10" i="52"/>
  <c r="G10" i="52"/>
  <c r="F10" i="52"/>
  <c r="H9" i="52"/>
  <c r="G9" i="52"/>
  <c r="P92" i="52"/>
  <c r="O92" i="52"/>
  <c r="N92" i="52"/>
  <c r="L92" i="52"/>
  <c r="K92" i="52"/>
  <c r="J92" i="52"/>
  <c r="H92" i="52"/>
  <c r="G92" i="52"/>
  <c r="F92" i="52"/>
  <c r="P74" i="52"/>
  <c r="O74" i="52"/>
  <c r="N74" i="52"/>
  <c r="L74" i="52"/>
  <c r="K74" i="52"/>
  <c r="J74" i="52"/>
  <c r="H74" i="52"/>
  <c r="G74" i="52"/>
  <c r="F74" i="52"/>
  <c r="P62" i="52"/>
  <c r="O62" i="52"/>
  <c r="N62" i="52"/>
  <c r="L62" i="52"/>
  <c r="K62" i="52"/>
  <c r="J62" i="52"/>
  <c r="H62" i="52"/>
  <c r="G62" i="52"/>
  <c r="F62" i="52"/>
  <c r="P50" i="52"/>
  <c r="O50" i="52"/>
  <c r="N50" i="52"/>
  <c r="L50" i="52"/>
  <c r="K50" i="52"/>
  <c r="J50" i="52"/>
  <c r="H50" i="52"/>
  <c r="G50" i="52"/>
  <c r="F50" i="52"/>
  <c r="P32" i="52"/>
  <c r="O32" i="52"/>
  <c r="N32" i="52"/>
  <c r="L32" i="52"/>
  <c r="K32" i="52"/>
  <c r="J32" i="52"/>
  <c r="H32" i="52"/>
  <c r="G32" i="52"/>
  <c r="F32" i="52"/>
  <c r="P20" i="52"/>
  <c r="O20" i="52"/>
  <c r="N20" i="52"/>
  <c r="L20" i="52"/>
  <c r="K20" i="52"/>
  <c r="J20" i="52"/>
  <c r="H20" i="52"/>
  <c r="G20" i="52"/>
  <c r="F20" i="52"/>
  <c r="R26" i="76"/>
  <c r="S26" i="76"/>
  <c r="T26" i="76"/>
  <c r="U26" i="76"/>
  <c r="V26" i="76"/>
  <c r="W26" i="76"/>
  <c r="X26" i="76"/>
  <c r="Y26" i="76"/>
  <c r="Z26" i="76"/>
  <c r="AA26" i="76"/>
  <c r="AB26" i="76"/>
  <c r="AC26" i="76"/>
  <c r="AD26" i="76"/>
  <c r="AE26" i="76"/>
  <c r="AF26" i="76"/>
  <c r="AG26" i="76"/>
  <c r="Q26" i="76"/>
  <c r="AE22" i="76"/>
  <c r="AF22" i="76"/>
  <c r="R9" i="76"/>
  <c r="S9" i="76"/>
  <c r="T9" i="76"/>
  <c r="U9" i="76"/>
  <c r="V9" i="76"/>
  <c r="W9" i="76"/>
  <c r="X9" i="76"/>
  <c r="Y9" i="76"/>
  <c r="Z9" i="76"/>
  <c r="AA9" i="76"/>
  <c r="AB9" i="76"/>
  <c r="AC9" i="76"/>
  <c r="AD9" i="76"/>
  <c r="AE9" i="76"/>
  <c r="AF9" i="76"/>
  <c r="AG9" i="76"/>
  <c r="AW96" i="78" l="1"/>
  <c r="AW102" i="78"/>
  <c r="AW104" i="78"/>
  <c r="AW90" i="78"/>
  <c r="AW117" i="78"/>
  <c r="AV107" i="78"/>
  <c r="BH6" i="78"/>
  <c r="BH98" i="78" s="1"/>
  <c r="AW43" i="78"/>
  <c r="BI107" i="78"/>
  <c r="AW92" i="78"/>
  <c r="AW99" i="78"/>
  <c r="AX117" i="78"/>
  <c r="AU107" i="78"/>
  <c r="AW101" i="78"/>
  <c r="AW103" i="78"/>
  <c r="AW86" i="78"/>
  <c r="AW87" i="78"/>
  <c r="AW88" i="78"/>
  <c r="AW98" i="78"/>
  <c r="AW84" i="78"/>
  <c r="AW107" i="78"/>
  <c r="AW97" i="78"/>
  <c r="AW83" i="78"/>
  <c r="AW91" i="78"/>
  <c r="AW82" i="78"/>
  <c r="AW85" i="78"/>
  <c r="AW94" i="78"/>
  <c r="AW95" i="78"/>
  <c r="BE107" i="78"/>
  <c r="AW93" i="78"/>
  <c r="AW100" i="78"/>
  <c r="AW89" i="78"/>
  <c r="AW109" i="78"/>
  <c r="AW105" i="78"/>
  <c r="AW80" i="78"/>
  <c r="AT107" i="78"/>
  <c r="X22" i="76"/>
  <c r="W22" i="76"/>
  <c r="Y22" i="76"/>
  <c r="V22" i="76"/>
  <c r="AG22" i="76"/>
  <c r="AG49" i="76" s="1"/>
  <c r="AG82" i="76" s="1"/>
  <c r="T22" i="76"/>
  <c r="T49" i="76" s="1"/>
  <c r="AC22" i="76"/>
  <c r="Q22" i="76"/>
  <c r="R22" i="76"/>
  <c r="R49" i="76" s="1"/>
  <c r="R82" i="76" s="1"/>
  <c r="AB22" i="76"/>
  <c r="AB49" i="76" s="1"/>
  <c r="U22" i="76"/>
  <c r="U49" i="76" s="1"/>
  <c r="AD22" i="76"/>
  <c r="AA22" i="76"/>
  <c r="AA49" i="76" s="1"/>
  <c r="AA82" i="76" s="1"/>
  <c r="S22" i="76"/>
  <c r="Z22" i="76"/>
  <c r="AV95" i="78"/>
  <c r="AV91" i="78"/>
  <c r="BH101" i="78"/>
  <c r="BH87" i="78"/>
  <c r="AU104" i="78"/>
  <c r="AU101" i="78"/>
  <c r="AV117" i="78"/>
  <c r="AU88" i="78"/>
  <c r="AU96" i="78"/>
  <c r="BG6" i="78"/>
  <c r="AV96" i="78"/>
  <c r="AU103" i="78"/>
  <c r="AV94" i="78"/>
  <c r="AU105" i="78"/>
  <c r="AV97" i="78"/>
  <c r="BH99" i="78"/>
  <c r="AV103" i="78"/>
  <c r="BH100" i="78"/>
  <c r="AU87" i="78"/>
  <c r="AU100" i="78"/>
  <c r="AU80" i="78"/>
  <c r="AV90" i="78"/>
  <c r="AV101" i="78"/>
  <c r="AU90" i="78"/>
  <c r="AU92" i="78"/>
  <c r="AU89" i="78"/>
  <c r="AV88" i="78"/>
  <c r="AV80" i="78"/>
  <c r="AU86" i="78"/>
  <c r="AV43" i="78"/>
  <c r="AV105" i="78"/>
  <c r="AV84" i="78"/>
  <c r="AV83" i="78"/>
  <c r="AU98" i="78"/>
  <c r="AU106" i="78"/>
  <c r="AU95" i="78"/>
  <c r="AU85" i="78"/>
  <c r="AV98" i="78"/>
  <c r="AV86" i="78"/>
  <c r="AV92" i="78"/>
  <c r="AV100" i="78"/>
  <c r="BH109" i="78"/>
  <c r="BH86" i="78"/>
  <c r="AU117" i="78"/>
  <c r="AU91" i="78"/>
  <c r="AU83" i="78"/>
  <c r="AV82" i="78"/>
  <c r="AV109" i="78"/>
  <c r="AV102" i="78"/>
  <c r="BH93" i="78"/>
  <c r="BH95" i="78"/>
  <c r="BH103" i="78"/>
  <c r="AU94" i="78"/>
  <c r="AU97" i="78"/>
  <c r="AU99" i="78"/>
  <c r="AV93" i="78"/>
  <c r="AV85" i="78"/>
  <c r="AV99" i="78"/>
  <c r="BH83" i="78"/>
  <c r="BH90" i="78"/>
  <c r="BH80" i="78"/>
  <c r="BH106" i="78"/>
  <c r="AU82" i="78"/>
  <c r="AU102" i="78"/>
  <c r="AU109" i="78"/>
  <c r="AU84" i="78"/>
  <c r="AU93" i="78"/>
  <c r="AV106" i="78"/>
  <c r="AV89" i="78"/>
  <c r="AV87" i="78"/>
  <c r="AV104" i="78"/>
  <c r="BH96" i="78"/>
  <c r="BH117" i="78"/>
  <c r="BH88" i="78"/>
  <c r="BH84" i="78"/>
  <c r="AE49" i="76"/>
  <c r="AD72" i="78"/>
  <c r="AD109" i="78" s="1"/>
  <c r="BH91" i="78"/>
  <c r="BH82" i="78"/>
  <c r="BH89" i="78"/>
  <c r="BH97" i="78"/>
  <c r="V8" i="79"/>
  <c r="AD35" i="79"/>
  <c r="Z35" i="79"/>
  <c r="AE35" i="79"/>
  <c r="Y35" i="79"/>
  <c r="AF35" i="79"/>
  <c r="AG35" i="79"/>
  <c r="AB35" i="79"/>
  <c r="AC35" i="79"/>
  <c r="AA35" i="79"/>
  <c r="BH102" i="78"/>
  <c r="BH105" i="78"/>
  <c r="BT6" i="78"/>
  <c r="BI43" i="78"/>
  <c r="BQ6" i="78"/>
  <c r="BI97" i="78"/>
  <c r="BI83" i="78"/>
  <c r="BI103" i="78"/>
  <c r="BI94" i="78"/>
  <c r="BI90" i="78"/>
  <c r="BI92" i="78"/>
  <c r="BI91" i="78"/>
  <c r="BI99" i="78"/>
  <c r="BI93" i="78"/>
  <c r="BI106" i="78"/>
  <c r="BI109" i="78"/>
  <c r="BI100" i="78"/>
  <c r="BF43" i="78"/>
  <c r="BI96" i="78"/>
  <c r="BI89" i="78"/>
  <c r="BI80" i="78"/>
  <c r="BI104" i="78"/>
  <c r="BI95" i="78"/>
  <c r="BI86" i="78"/>
  <c r="BI82" i="78"/>
  <c r="BI87" i="78"/>
  <c r="BI101" i="78"/>
  <c r="BI88" i="78"/>
  <c r="BI102" i="78"/>
  <c r="BI98" i="78"/>
  <c r="BI84" i="78"/>
  <c r="BI85" i="78"/>
  <c r="BI105" i="78"/>
  <c r="BE117" i="78"/>
  <c r="BE85" i="78"/>
  <c r="BE98" i="78"/>
  <c r="BE105" i="78"/>
  <c r="BE103" i="78"/>
  <c r="BE95" i="78"/>
  <c r="BE88" i="78"/>
  <c r="BE87" i="78"/>
  <c r="BE43" i="78"/>
  <c r="BE106" i="78"/>
  <c r="BE90" i="78"/>
  <c r="BE97" i="78"/>
  <c r="BE104" i="78"/>
  <c r="BE101" i="78"/>
  <c r="BE93" i="78"/>
  <c r="BE89" i="78"/>
  <c r="BP6" i="78"/>
  <c r="BO1" i="78" s="1"/>
  <c r="BE96" i="78"/>
  <c r="BE80" i="78"/>
  <c r="BE82" i="78"/>
  <c r="BE100" i="78"/>
  <c r="BE84" i="78"/>
  <c r="BE109" i="78"/>
  <c r="BE102" i="78"/>
  <c r="BE92" i="78"/>
  <c r="BE99" i="78"/>
  <c r="BE83" i="78"/>
  <c r="BE86" i="78"/>
  <c r="BE94" i="78"/>
  <c r="BE91" i="78"/>
  <c r="AS112" i="78"/>
  <c r="AS75" i="78"/>
  <c r="AS38" i="78"/>
  <c r="W49" i="76"/>
  <c r="AF49" i="76"/>
  <c r="X49" i="76"/>
  <c r="X82" i="76" s="1"/>
  <c r="B20" i="52"/>
  <c r="Z49" i="76"/>
  <c r="Z82" i="76" s="1"/>
  <c r="F8" i="52"/>
  <c r="C13" i="52"/>
  <c r="C14" i="52"/>
  <c r="C9" i="52"/>
  <c r="B12" i="52"/>
  <c r="C17" i="52"/>
  <c r="D20" i="52"/>
  <c r="B15" i="52"/>
  <c r="C16" i="52"/>
  <c r="B32" i="52"/>
  <c r="B17" i="52"/>
  <c r="C10" i="52"/>
  <c r="D13" i="52"/>
  <c r="C50" i="52"/>
  <c r="C11" i="52"/>
  <c r="B14" i="52"/>
  <c r="D16" i="52"/>
  <c r="C32" i="52"/>
  <c r="D14" i="52"/>
  <c r="D9" i="52"/>
  <c r="C12" i="52"/>
  <c r="D17" i="52"/>
  <c r="D74" i="52"/>
  <c r="B10" i="52"/>
  <c r="D12" i="52"/>
  <c r="C15" i="52"/>
  <c r="D10" i="52"/>
  <c r="B16" i="52"/>
  <c r="B13" i="52"/>
  <c r="D15" i="52"/>
  <c r="D62" i="52"/>
  <c r="D50" i="52"/>
  <c r="C62" i="52"/>
  <c r="B74" i="52"/>
  <c r="D92" i="52"/>
  <c r="C20" i="52"/>
  <c r="D32" i="52"/>
  <c r="B62" i="52"/>
  <c r="C74" i="52"/>
  <c r="C92" i="52"/>
  <c r="O8" i="52"/>
  <c r="AG33" i="21"/>
  <c r="AF33" i="21"/>
  <c r="AE33" i="21"/>
  <c r="AD33" i="21"/>
  <c r="AD38" i="21" s="1"/>
  <c r="AC33" i="21"/>
  <c r="AB33" i="21"/>
  <c r="AA33" i="21"/>
  <c r="Z33" i="21"/>
  <c r="Y33" i="21"/>
  <c r="X33" i="21"/>
  <c r="W33" i="21"/>
  <c r="V33" i="21"/>
  <c r="U33" i="21"/>
  <c r="T33" i="21"/>
  <c r="S33" i="21"/>
  <c r="R33" i="21"/>
  <c r="Q33" i="21"/>
  <c r="AG18" i="21"/>
  <c r="AF18" i="21"/>
  <c r="AE18" i="21"/>
  <c r="AC18" i="21"/>
  <c r="AB18" i="21"/>
  <c r="AA18" i="21"/>
  <c r="Z18" i="21"/>
  <c r="Y18" i="21"/>
  <c r="X18" i="21"/>
  <c r="W18" i="21"/>
  <c r="V18" i="21"/>
  <c r="U18" i="21"/>
  <c r="T18" i="21"/>
  <c r="S18" i="21"/>
  <c r="R18" i="21"/>
  <c r="Q18" i="21"/>
  <c r="AG11" i="21"/>
  <c r="AF11" i="21"/>
  <c r="AE11" i="21"/>
  <c r="AC11" i="21"/>
  <c r="AB11" i="21"/>
  <c r="AA11" i="21"/>
  <c r="Z11" i="21"/>
  <c r="Y11" i="21"/>
  <c r="X11" i="21"/>
  <c r="W11" i="21"/>
  <c r="V11" i="21"/>
  <c r="U11" i="21"/>
  <c r="T11" i="21"/>
  <c r="S11" i="21"/>
  <c r="R11" i="21"/>
  <c r="Q11" i="21"/>
  <c r="C180" i="71"/>
  <c r="E180" i="71"/>
  <c r="BH92" i="78" l="1"/>
  <c r="BH85" i="78"/>
  <c r="BH104" i="78"/>
  <c r="BH94" i="78"/>
  <c r="BH107" i="78"/>
  <c r="AE73" i="76"/>
  <c r="AE82" i="76"/>
  <c r="T73" i="76"/>
  <c r="T82" i="76"/>
  <c r="U73" i="76"/>
  <c r="U82" i="76"/>
  <c r="AF69" i="76"/>
  <c r="AF82" i="76"/>
  <c r="AB73" i="76"/>
  <c r="AB82" i="76"/>
  <c r="W73" i="76"/>
  <c r="W82" i="76"/>
  <c r="BP107" i="78"/>
  <c r="BT107" i="78"/>
  <c r="BG107" i="78"/>
  <c r="BH43" i="78"/>
  <c r="BS6" i="78"/>
  <c r="BI117" i="78"/>
  <c r="BF107" i="78"/>
  <c r="D180" i="71"/>
  <c r="H180" i="71" s="1"/>
  <c r="M7" i="75" s="1"/>
  <c r="M109" i="75"/>
  <c r="W56" i="76"/>
  <c r="AF73" i="76"/>
  <c r="AE56" i="76"/>
  <c r="AG65" i="76"/>
  <c r="AG70" i="76"/>
  <c r="AG80" i="76"/>
  <c r="AG60" i="76"/>
  <c r="AG75" i="76"/>
  <c r="AG74" i="76"/>
  <c r="AG54" i="76"/>
  <c r="AG59" i="76"/>
  <c r="AG64" i="76"/>
  <c r="AG53" i="76"/>
  <c r="AG58" i="76"/>
  <c r="AG63" i="76"/>
  <c r="AG67" i="76"/>
  <c r="AG77" i="76"/>
  <c r="AG89" i="76"/>
  <c r="AG94" i="76"/>
  <c r="AG57" i="76"/>
  <c r="AG66" i="76"/>
  <c r="AG81" i="76"/>
  <c r="AG85" i="76"/>
  <c r="AG71" i="76"/>
  <c r="AG93" i="76"/>
  <c r="AG86" i="76"/>
  <c r="AG96" i="76"/>
  <c r="AG76" i="76"/>
  <c r="AG90" i="76"/>
  <c r="AG79" i="76"/>
  <c r="AG88" i="76"/>
  <c r="AG84" i="76"/>
  <c r="AG92" i="76"/>
  <c r="AG62" i="76"/>
  <c r="AG52" i="76"/>
  <c r="AE60" i="76"/>
  <c r="AE65" i="76"/>
  <c r="AE70" i="76"/>
  <c r="AE75" i="76"/>
  <c r="AE80" i="76"/>
  <c r="AE86" i="76"/>
  <c r="AE54" i="76"/>
  <c r="AE59" i="76"/>
  <c r="AE64" i="76"/>
  <c r="AE74" i="76"/>
  <c r="AE53" i="76"/>
  <c r="AE58" i="76"/>
  <c r="AE63" i="76"/>
  <c r="AE67" i="76"/>
  <c r="AE77" i="76"/>
  <c r="AE89" i="76"/>
  <c r="AE94" i="76"/>
  <c r="AE66" i="76"/>
  <c r="AE71" i="76"/>
  <c r="AE57" i="76"/>
  <c r="AE76" i="76"/>
  <c r="AE81" i="76"/>
  <c r="AE85" i="76"/>
  <c r="AE93" i="76"/>
  <c r="AE96" i="76"/>
  <c r="AE90" i="76"/>
  <c r="AE62" i="76"/>
  <c r="AE88" i="76"/>
  <c r="AE84" i="76"/>
  <c r="AE79" i="76"/>
  <c r="AE52" i="76"/>
  <c r="AE92" i="76"/>
  <c r="AG56" i="76"/>
  <c r="U75" i="76"/>
  <c r="U60" i="76"/>
  <c r="U65" i="76"/>
  <c r="U70" i="76"/>
  <c r="U80" i="76"/>
  <c r="U74" i="76"/>
  <c r="U54" i="76"/>
  <c r="U59" i="76"/>
  <c r="U64" i="76"/>
  <c r="U53" i="76"/>
  <c r="U58" i="76"/>
  <c r="U63" i="76"/>
  <c r="U67" i="76"/>
  <c r="U77" i="76"/>
  <c r="U89" i="76"/>
  <c r="U94" i="76"/>
  <c r="U57" i="76"/>
  <c r="U66" i="76"/>
  <c r="U71" i="76"/>
  <c r="U86" i="76"/>
  <c r="U85" i="76"/>
  <c r="U96" i="76"/>
  <c r="U90" i="76"/>
  <c r="U76" i="76"/>
  <c r="U81" i="76"/>
  <c r="U93" i="76"/>
  <c r="U79" i="76"/>
  <c r="U52" i="76"/>
  <c r="U84" i="76"/>
  <c r="U62" i="76"/>
  <c r="U88" i="76"/>
  <c r="U92" i="76"/>
  <c r="U69" i="76"/>
  <c r="T69" i="76"/>
  <c r="AA67" i="76"/>
  <c r="AA53" i="76"/>
  <c r="AA58" i="76"/>
  <c r="AA63" i="76"/>
  <c r="AA77" i="76"/>
  <c r="AA76" i="76"/>
  <c r="AA81" i="76"/>
  <c r="AA57" i="76"/>
  <c r="AA66" i="76"/>
  <c r="AA71" i="76"/>
  <c r="AA60" i="76"/>
  <c r="AA65" i="76"/>
  <c r="AA70" i="76"/>
  <c r="AA75" i="76"/>
  <c r="AA80" i="76"/>
  <c r="AA86" i="76"/>
  <c r="AA54" i="76"/>
  <c r="AA59" i="76"/>
  <c r="AA64" i="76"/>
  <c r="AA93" i="76"/>
  <c r="AA96" i="76"/>
  <c r="AA74" i="76"/>
  <c r="AA90" i="76"/>
  <c r="AA85" i="76"/>
  <c r="AA94" i="76"/>
  <c r="AA89" i="76"/>
  <c r="AA88" i="76"/>
  <c r="AA84" i="76"/>
  <c r="AA92" i="76"/>
  <c r="AA79" i="76"/>
  <c r="AA52" i="76"/>
  <c r="AA62" i="76"/>
  <c r="R54" i="76"/>
  <c r="R59" i="76"/>
  <c r="R64" i="76"/>
  <c r="R74" i="76"/>
  <c r="R85" i="76"/>
  <c r="R53" i="76"/>
  <c r="R67" i="76"/>
  <c r="R58" i="76"/>
  <c r="R63" i="76"/>
  <c r="R77" i="76"/>
  <c r="R57" i="76"/>
  <c r="R66" i="76"/>
  <c r="R71" i="76"/>
  <c r="R76" i="76"/>
  <c r="R81" i="76"/>
  <c r="R93" i="76"/>
  <c r="R60" i="76"/>
  <c r="R65" i="76"/>
  <c r="R70" i="76"/>
  <c r="R86" i="76"/>
  <c r="R96" i="76"/>
  <c r="R90" i="76"/>
  <c r="R75" i="76"/>
  <c r="R89" i="76"/>
  <c r="R80" i="76"/>
  <c r="R94" i="76"/>
  <c r="R92" i="76"/>
  <c r="R84" i="76"/>
  <c r="R79" i="76"/>
  <c r="R52" i="76"/>
  <c r="R62" i="76"/>
  <c r="R88" i="76"/>
  <c r="AB69" i="76"/>
  <c r="AG73" i="76"/>
  <c r="U56" i="76"/>
  <c r="AG69" i="76"/>
  <c r="AB54" i="76"/>
  <c r="AB59" i="76"/>
  <c r="AB64" i="76"/>
  <c r="AB74" i="76"/>
  <c r="AB85" i="76"/>
  <c r="AB90" i="76"/>
  <c r="AB96" i="76"/>
  <c r="AB53" i="76"/>
  <c r="AB58" i="76"/>
  <c r="AB63" i="76"/>
  <c r="AB67" i="76"/>
  <c r="AB77" i="76"/>
  <c r="AB57" i="76"/>
  <c r="AB66" i="76"/>
  <c r="AB71" i="76"/>
  <c r="AB76" i="76"/>
  <c r="AB81" i="76"/>
  <c r="AB93" i="76"/>
  <c r="AB70" i="76"/>
  <c r="AB75" i="76"/>
  <c r="AB60" i="76"/>
  <c r="AB65" i="76"/>
  <c r="AB89" i="76"/>
  <c r="AB86" i="76"/>
  <c r="AB80" i="76"/>
  <c r="AB94" i="76"/>
  <c r="AB88" i="76"/>
  <c r="AB79" i="76"/>
  <c r="AB92" i="76"/>
  <c r="AB62" i="76"/>
  <c r="AB84" i="76"/>
  <c r="AB52" i="76"/>
  <c r="AC49" i="76"/>
  <c r="AC82" i="76" s="1"/>
  <c r="AA73" i="76"/>
  <c r="R73" i="76"/>
  <c r="AA56" i="76"/>
  <c r="W69" i="76"/>
  <c r="X71" i="76"/>
  <c r="X76" i="76"/>
  <c r="X81" i="76"/>
  <c r="X57" i="76"/>
  <c r="X66" i="76"/>
  <c r="X65" i="76"/>
  <c r="X70" i="76"/>
  <c r="X80" i="76"/>
  <c r="X60" i="76"/>
  <c r="X75" i="76"/>
  <c r="X54" i="76"/>
  <c r="X59" i="76"/>
  <c r="X64" i="76"/>
  <c r="X74" i="76"/>
  <c r="X85" i="76"/>
  <c r="X90" i="76"/>
  <c r="X96" i="76"/>
  <c r="X53" i="76"/>
  <c r="X58" i="76"/>
  <c r="X63" i="76"/>
  <c r="X67" i="76"/>
  <c r="X77" i="76"/>
  <c r="X93" i="76"/>
  <c r="X94" i="76"/>
  <c r="X86" i="76"/>
  <c r="X89" i="76"/>
  <c r="X62" i="76"/>
  <c r="X88" i="76"/>
  <c r="X92" i="76"/>
  <c r="X84" i="76"/>
  <c r="X52" i="76"/>
  <c r="X79" i="76"/>
  <c r="AD49" i="76"/>
  <c r="AA69" i="76"/>
  <c r="R69" i="76"/>
  <c r="T60" i="76"/>
  <c r="T65" i="76"/>
  <c r="T70" i="76"/>
  <c r="T75" i="76"/>
  <c r="T80" i="76"/>
  <c r="T86" i="76"/>
  <c r="T54" i="76"/>
  <c r="T59" i="76"/>
  <c r="T64" i="76"/>
  <c r="T74" i="76"/>
  <c r="T85" i="76"/>
  <c r="T90" i="76"/>
  <c r="T96" i="76"/>
  <c r="T53" i="76"/>
  <c r="T58" i="76"/>
  <c r="T63" i="76"/>
  <c r="T67" i="76"/>
  <c r="T77" i="76"/>
  <c r="T89" i="76"/>
  <c r="T94" i="76"/>
  <c r="T57" i="76"/>
  <c r="T66" i="76"/>
  <c r="T71" i="76"/>
  <c r="T76" i="76"/>
  <c r="T81" i="76"/>
  <c r="T93" i="76"/>
  <c r="T62" i="76"/>
  <c r="T84" i="76"/>
  <c r="T88" i="76"/>
  <c r="T92" i="76"/>
  <c r="T79" i="76"/>
  <c r="T52" i="76"/>
  <c r="AF60" i="76"/>
  <c r="AF65" i="76"/>
  <c r="AF70" i="76"/>
  <c r="AF75" i="76"/>
  <c r="AF80" i="76"/>
  <c r="AF86" i="76"/>
  <c r="AF54" i="76"/>
  <c r="AF59" i="76"/>
  <c r="AF64" i="76"/>
  <c r="AF74" i="76"/>
  <c r="AF85" i="76"/>
  <c r="AF90" i="76"/>
  <c r="AF96" i="76"/>
  <c r="AF53" i="76"/>
  <c r="AF58" i="76"/>
  <c r="AF63" i="76"/>
  <c r="AF67" i="76"/>
  <c r="AF77" i="76"/>
  <c r="AF89" i="76"/>
  <c r="AF94" i="76"/>
  <c r="AF57" i="76"/>
  <c r="AF66" i="76"/>
  <c r="AF71" i="76"/>
  <c r="AF76" i="76"/>
  <c r="AF81" i="76"/>
  <c r="AF93" i="76"/>
  <c r="AF88" i="76"/>
  <c r="AF92" i="76"/>
  <c r="AF84" i="76"/>
  <c r="AF79" i="76"/>
  <c r="AF62" i="76"/>
  <c r="AF52" i="76"/>
  <c r="T56" i="76"/>
  <c r="X56" i="76"/>
  <c r="X73" i="76"/>
  <c r="Z53" i="76"/>
  <c r="Z58" i="76"/>
  <c r="Z63" i="76"/>
  <c r="Z67" i="76"/>
  <c r="Z77" i="76"/>
  <c r="Z89" i="76"/>
  <c r="Z94" i="76"/>
  <c r="Z57" i="76"/>
  <c r="Z66" i="76"/>
  <c r="Z71" i="76"/>
  <c r="Z76" i="76"/>
  <c r="Z81" i="76"/>
  <c r="Z93" i="76"/>
  <c r="Z60" i="76"/>
  <c r="Z65" i="76"/>
  <c r="Z70" i="76"/>
  <c r="Z75" i="76"/>
  <c r="Z80" i="76"/>
  <c r="Z86" i="76"/>
  <c r="Z54" i="76"/>
  <c r="Z59" i="76"/>
  <c r="Z64" i="76"/>
  <c r="Z74" i="76"/>
  <c r="Z85" i="76"/>
  <c r="Z90" i="76"/>
  <c r="Z96" i="76"/>
  <c r="Z62" i="76"/>
  <c r="Z52" i="76"/>
  <c r="Z88" i="76"/>
  <c r="Z84" i="76"/>
  <c r="Z79" i="76"/>
  <c r="Z92" i="76"/>
  <c r="AB56" i="76"/>
  <c r="W57" i="76"/>
  <c r="W66" i="76"/>
  <c r="W71" i="76"/>
  <c r="W76" i="76"/>
  <c r="W81" i="76"/>
  <c r="W93" i="76"/>
  <c r="W60" i="76"/>
  <c r="W65" i="76"/>
  <c r="W70" i="76"/>
  <c r="W75" i="76"/>
  <c r="W80" i="76"/>
  <c r="W86" i="76"/>
  <c r="W54" i="76"/>
  <c r="W59" i="76"/>
  <c r="W64" i="76"/>
  <c r="W74" i="76"/>
  <c r="W85" i="76"/>
  <c r="W90" i="76"/>
  <c r="W96" i="76"/>
  <c r="W53" i="76"/>
  <c r="W58" i="76"/>
  <c r="W63" i="76"/>
  <c r="W67" i="76"/>
  <c r="W77" i="76"/>
  <c r="W89" i="76"/>
  <c r="W94" i="76"/>
  <c r="W84" i="76"/>
  <c r="W52" i="76"/>
  <c r="W88" i="76"/>
  <c r="W79" i="76"/>
  <c r="W62" i="76"/>
  <c r="W92" i="76"/>
  <c r="Z73" i="76"/>
  <c r="AF56" i="76"/>
  <c r="Z56" i="76"/>
  <c r="X69" i="76"/>
  <c r="V49" i="76"/>
  <c r="V82" i="76" s="1"/>
  <c r="S49" i="76"/>
  <c r="S82" i="76" s="1"/>
  <c r="Y49" i="76"/>
  <c r="Y82" i="76" s="1"/>
  <c r="Z69" i="76"/>
  <c r="Q49" i="76"/>
  <c r="AE69" i="76"/>
  <c r="R56" i="76"/>
  <c r="BF109" i="78"/>
  <c r="BG93" i="78"/>
  <c r="BG43" i="78"/>
  <c r="BF99" i="78"/>
  <c r="BF101" i="78"/>
  <c r="BG100" i="78"/>
  <c r="BF80" i="78"/>
  <c r="BG97" i="78"/>
  <c r="BF92" i="78"/>
  <c r="BF117" i="78"/>
  <c r="BF91" i="78"/>
  <c r="BF104" i="78"/>
  <c r="BG82" i="78"/>
  <c r="BG99" i="78"/>
  <c r="BG84" i="78"/>
  <c r="BF83" i="78"/>
  <c r="BG90" i="78"/>
  <c r="BG94" i="78"/>
  <c r="BG103" i="78"/>
  <c r="BF90" i="78"/>
  <c r="BG101" i="78"/>
  <c r="BF100" i="78"/>
  <c r="BF105" i="78"/>
  <c r="BF93" i="78"/>
  <c r="BF82" i="78"/>
  <c r="BF87" i="78"/>
  <c r="BF88" i="78"/>
  <c r="BG88" i="78"/>
  <c r="BG80" i="78"/>
  <c r="BG86" i="78"/>
  <c r="BF106" i="78"/>
  <c r="BF84" i="78"/>
  <c r="BF94" i="78"/>
  <c r="BG89" i="78"/>
  <c r="BG104" i="78"/>
  <c r="BG92" i="78"/>
  <c r="BR6" i="78"/>
  <c r="BF97" i="78"/>
  <c r="BG109" i="78"/>
  <c r="BG105" i="78"/>
  <c r="BF103" i="78"/>
  <c r="BF102" i="78"/>
  <c r="BG117" i="78"/>
  <c r="BG83" i="78"/>
  <c r="BG87" i="78"/>
  <c r="BG85" i="78"/>
  <c r="BF89" i="78"/>
  <c r="BF95" i="78"/>
  <c r="BG106" i="78"/>
  <c r="BG102" i="78"/>
  <c r="BF98" i="78"/>
  <c r="BF96" i="78"/>
  <c r="BF86" i="78"/>
  <c r="BF85" i="78"/>
  <c r="BG98" i="78"/>
  <c r="BG95" i="78"/>
  <c r="BG96" i="78"/>
  <c r="BG91" i="78"/>
  <c r="BS87" i="78"/>
  <c r="BS88" i="78"/>
  <c r="BS84" i="78"/>
  <c r="BS92" i="78"/>
  <c r="BS94" i="78"/>
  <c r="BS98" i="78"/>
  <c r="BS106" i="78"/>
  <c r="BS82" i="78"/>
  <c r="BS91" i="78"/>
  <c r="BS86" i="78"/>
  <c r="BS103" i="78"/>
  <c r="BS97" i="78"/>
  <c r="BS117" i="78"/>
  <c r="BS99" i="78"/>
  <c r="BS95" i="78"/>
  <c r="BS93" i="78"/>
  <c r="BS104" i="78"/>
  <c r="BS101" i="78"/>
  <c r="BS83" i="78"/>
  <c r="BS80" i="78"/>
  <c r="BS102" i="78"/>
  <c r="BS89" i="78"/>
  <c r="BS96" i="78"/>
  <c r="BS105" i="78"/>
  <c r="BS85" i="78"/>
  <c r="BS100" i="78"/>
  <c r="BS90" i="78"/>
  <c r="F109" i="71"/>
  <c r="F146" i="71"/>
  <c r="N109" i="75" s="1"/>
  <c r="B109" i="71"/>
  <c r="CE6" i="78"/>
  <c r="BT43" i="78"/>
  <c r="CB6" i="78"/>
  <c r="BT106" i="78"/>
  <c r="BT84" i="78"/>
  <c r="BT97" i="78"/>
  <c r="BT83" i="78"/>
  <c r="BT103" i="78"/>
  <c r="BT92" i="78"/>
  <c r="BQ43" i="78"/>
  <c r="BT91" i="78"/>
  <c r="BT90" i="78"/>
  <c r="BT89" i="78"/>
  <c r="BT109" i="78"/>
  <c r="BT88" i="78"/>
  <c r="BT94" i="78"/>
  <c r="BT93" i="78"/>
  <c r="BT87" i="78"/>
  <c r="BT85" i="78"/>
  <c r="BT95" i="78"/>
  <c r="BT86" i="78"/>
  <c r="BT82" i="78"/>
  <c r="BT98" i="78"/>
  <c r="BT100" i="78"/>
  <c r="BT105" i="78"/>
  <c r="BT96" i="78"/>
  <c r="BT102" i="78"/>
  <c r="BT99" i="78"/>
  <c r="BT80" i="78"/>
  <c r="BT104" i="78"/>
  <c r="BT101" i="78"/>
  <c r="BD75" i="78"/>
  <c r="BD112" i="78"/>
  <c r="BD38" i="78"/>
  <c r="BP117" i="78"/>
  <c r="BP104" i="78"/>
  <c r="BP93" i="78"/>
  <c r="BP102" i="78"/>
  <c r="CA6" i="78"/>
  <c r="BP96" i="78"/>
  <c r="BP88" i="78"/>
  <c r="BP85" i="78"/>
  <c r="BP95" i="78"/>
  <c r="BP87" i="78"/>
  <c r="BP103" i="78"/>
  <c r="BP80" i="78"/>
  <c r="BP105" i="78"/>
  <c r="BP97" i="78"/>
  <c r="BP94" i="78"/>
  <c r="BP89" i="78"/>
  <c r="BP86" i="78"/>
  <c r="BP101" i="78"/>
  <c r="BP106" i="78"/>
  <c r="BP109" i="78"/>
  <c r="BP100" i="78"/>
  <c r="BP91" i="78"/>
  <c r="BP99" i="78"/>
  <c r="BP82" i="78"/>
  <c r="BP83" i="78"/>
  <c r="BP84" i="78"/>
  <c r="BP92" i="78"/>
  <c r="BP43" i="78"/>
  <c r="BP90" i="78"/>
  <c r="BP98" i="78"/>
  <c r="Q38" i="21"/>
  <c r="B8" i="52"/>
  <c r="C146" i="71"/>
  <c r="C109" i="71"/>
  <c r="P8" i="52"/>
  <c r="N8" i="52"/>
  <c r="L8" i="52"/>
  <c r="K8" i="52"/>
  <c r="J8" i="52"/>
  <c r="H8" i="52"/>
  <c r="G8" i="52"/>
  <c r="AD69" i="76" l="1"/>
  <c r="AD82" i="76"/>
  <c r="Q69" i="76"/>
  <c r="Q82" i="76"/>
  <c r="I180" i="71"/>
  <c r="N7" i="75" s="1"/>
  <c r="CA107" i="78"/>
  <c r="BR107" i="78"/>
  <c r="CD6" i="78"/>
  <c r="CD99" i="78" s="1"/>
  <c r="BS43" i="78"/>
  <c r="CE107" i="78"/>
  <c r="BS107" i="78"/>
  <c r="BR109" i="78"/>
  <c r="BQ107" i="78"/>
  <c r="BS109" i="78"/>
  <c r="BZ1" i="78"/>
  <c r="Y53" i="76"/>
  <c r="Y58" i="76"/>
  <c r="Y63" i="76"/>
  <c r="Y67" i="76"/>
  <c r="Y77" i="76"/>
  <c r="Y89" i="76"/>
  <c r="Y94" i="76"/>
  <c r="Y57" i="76"/>
  <c r="Y66" i="76"/>
  <c r="Y71" i="76"/>
  <c r="Y76" i="76"/>
  <c r="Y60" i="76"/>
  <c r="Y65" i="76"/>
  <c r="Y70" i="76"/>
  <c r="Y75" i="76"/>
  <c r="Y80" i="76"/>
  <c r="Y86" i="76"/>
  <c r="Y64" i="76"/>
  <c r="Y54" i="76"/>
  <c r="Y59" i="76"/>
  <c r="Y74" i="76"/>
  <c r="Y85" i="76"/>
  <c r="Y81" i="76"/>
  <c r="Y93" i="76"/>
  <c r="Y90" i="76"/>
  <c r="Y96" i="76"/>
  <c r="Y79" i="76"/>
  <c r="Y92" i="76"/>
  <c r="Y52" i="76"/>
  <c r="Y62" i="76"/>
  <c r="Y84" i="76"/>
  <c r="Y88" i="76"/>
  <c r="Y56" i="76"/>
  <c r="Y73" i="76"/>
  <c r="S60" i="76"/>
  <c r="S65" i="76"/>
  <c r="S70" i="76"/>
  <c r="S75" i="76"/>
  <c r="S80" i="76"/>
  <c r="S86" i="76"/>
  <c r="S54" i="76"/>
  <c r="S59" i="76"/>
  <c r="S64" i="76"/>
  <c r="S74" i="76"/>
  <c r="S53" i="76"/>
  <c r="S58" i="76"/>
  <c r="S63" i="76"/>
  <c r="S67" i="76"/>
  <c r="S77" i="76"/>
  <c r="S89" i="76"/>
  <c r="S94" i="76"/>
  <c r="S81" i="76"/>
  <c r="S57" i="76"/>
  <c r="S66" i="76"/>
  <c r="S71" i="76"/>
  <c r="S96" i="76"/>
  <c r="S85" i="76"/>
  <c r="S90" i="76"/>
  <c r="S76" i="76"/>
  <c r="S93" i="76"/>
  <c r="S84" i="76"/>
  <c r="S79" i="76"/>
  <c r="S52" i="76"/>
  <c r="S88" i="76"/>
  <c r="S92" i="76"/>
  <c r="S62" i="76"/>
  <c r="S73" i="76"/>
  <c r="S56" i="76"/>
  <c r="S69" i="76"/>
  <c r="V57" i="76"/>
  <c r="V66" i="76"/>
  <c r="V71" i="76"/>
  <c r="V76" i="76"/>
  <c r="V81" i="76"/>
  <c r="V93" i="76"/>
  <c r="V60" i="76"/>
  <c r="V65" i="76"/>
  <c r="V70" i="76"/>
  <c r="V75" i="76"/>
  <c r="V54" i="76"/>
  <c r="V59" i="76"/>
  <c r="V64" i="76"/>
  <c r="V74" i="76"/>
  <c r="V85" i="76"/>
  <c r="V90" i="76"/>
  <c r="V96" i="76"/>
  <c r="V53" i="76"/>
  <c r="V77" i="76"/>
  <c r="V58" i="76"/>
  <c r="V63" i="76"/>
  <c r="V67" i="76"/>
  <c r="V89" i="76"/>
  <c r="V86" i="76"/>
  <c r="V80" i="76"/>
  <c r="V94" i="76"/>
  <c r="V88" i="76"/>
  <c r="V84" i="76"/>
  <c r="V62" i="76"/>
  <c r="V92" i="76"/>
  <c r="V79" i="76"/>
  <c r="V52" i="76"/>
  <c r="V56" i="76"/>
  <c r="V73" i="76"/>
  <c r="V69" i="76"/>
  <c r="AD64" i="76"/>
  <c r="AD74" i="76"/>
  <c r="AD54" i="76"/>
  <c r="AD59" i="76"/>
  <c r="AD77" i="76"/>
  <c r="AD53" i="76"/>
  <c r="AD58" i="76"/>
  <c r="AD63" i="76"/>
  <c r="AD67" i="76"/>
  <c r="AD57" i="76"/>
  <c r="AD66" i="76"/>
  <c r="AD71" i="76"/>
  <c r="AD76" i="76"/>
  <c r="AD81" i="76"/>
  <c r="AD93" i="76"/>
  <c r="AD60" i="76"/>
  <c r="AD65" i="76"/>
  <c r="AD94" i="76"/>
  <c r="AD70" i="76"/>
  <c r="AD89" i="76"/>
  <c r="AD96" i="76"/>
  <c r="AD86" i="76"/>
  <c r="AD75" i="76"/>
  <c r="AD80" i="76"/>
  <c r="AD90" i="76"/>
  <c r="AD85" i="76"/>
  <c r="AD79" i="76"/>
  <c r="AD84" i="76"/>
  <c r="AD92" i="76"/>
  <c r="AD62" i="76"/>
  <c r="AD52" i="76"/>
  <c r="AD88" i="76"/>
  <c r="AD73" i="76"/>
  <c r="AD56" i="76"/>
  <c r="Q54" i="76"/>
  <c r="Q59" i="76"/>
  <c r="Q64" i="76"/>
  <c r="Q74" i="76"/>
  <c r="Q85" i="76"/>
  <c r="Q90" i="76"/>
  <c r="Q96" i="76"/>
  <c r="Q53" i="76"/>
  <c r="Q58" i="76"/>
  <c r="Q63" i="76"/>
  <c r="Q67" i="76"/>
  <c r="Q77" i="76"/>
  <c r="Q89" i="76"/>
  <c r="Q94" i="76"/>
  <c r="Q57" i="76"/>
  <c r="Q66" i="76"/>
  <c r="Q71" i="76"/>
  <c r="Q76" i="76"/>
  <c r="Q81" i="76"/>
  <c r="Q93" i="76"/>
  <c r="Q60" i="76"/>
  <c r="Q65" i="76"/>
  <c r="Q70" i="76"/>
  <c r="Q75" i="76"/>
  <c r="Q80" i="76"/>
  <c r="Q86" i="76"/>
  <c r="Q56" i="76"/>
  <c r="Q84" i="76"/>
  <c r="Q52" i="76"/>
  <c r="Q92" i="76"/>
  <c r="Q62" i="76"/>
  <c r="Q79" i="76"/>
  <c r="Q88" i="76"/>
  <c r="Q73" i="76"/>
  <c r="AC54" i="76"/>
  <c r="AC59" i="76"/>
  <c r="AC64" i="76"/>
  <c r="AC74" i="76"/>
  <c r="AC85" i="76"/>
  <c r="AC90" i="76"/>
  <c r="AC96" i="76"/>
  <c r="AC53" i="76"/>
  <c r="AC58" i="76"/>
  <c r="AC63" i="76"/>
  <c r="AC67" i="76"/>
  <c r="AC77" i="76"/>
  <c r="AC89" i="76"/>
  <c r="AC94" i="76"/>
  <c r="AC57" i="76"/>
  <c r="AC66" i="76"/>
  <c r="AC71" i="76"/>
  <c r="AC76" i="76"/>
  <c r="AC81" i="76"/>
  <c r="AC93" i="76"/>
  <c r="AC60" i="76"/>
  <c r="AC65" i="76"/>
  <c r="AC70" i="76"/>
  <c r="AC75" i="76"/>
  <c r="AC80" i="76"/>
  <c r="AC86" i="76"/>
  <c r="AC84" i="76"/>
  <c r="AC92" i="76"/>
  <c r="AC88" i="76"/>
  <c r="AC62" i="76"/>
  <c r="AC79" i="76"/>
  <c r="AC52" i="76"/>
  <c r="AC73" i="76"/>
  <c r="AC56" i="76"/>
  <c r="Y69" i="76"/>
  <c r="AC69" i="76"/>
  <c r="BQ85" i="78"/>
  <c r="BQ96" i="78"/>
  <c r="BR99" i="78"/>
  <c r="BQ95" i="78"/>
  <c r="BR86" i="78"/>
  <c r="BQ99" i="78"/>
  <c r="BR95" i="78"/>
  <c r="BQ102" i="78"/>
  <c r="BR89" i="78"/>
  <c r="BR92" i="78"/>
  <c r="BQ89" i="78"/>
  <c r="BQ97" i="78"/>
  <c r="BQ101" i="78"/>
  <c r="BR101" i="78"/>
  <c r="BQ83" i="78"/>
  <c r="BQ93" i="78"/>
  <c r="BR85" i="78"/>
  <c r="BR104" i="78"/>
  <c r="BQ106" i="78"/>
  <c r="BR102" i="78"/>
  <c r="BR87" i="78"/>
  <c r="BQ82" i="78"/>
  <c r="BQ90" i="78"/>
  <c r="BQ87" i="78"/>
  <c r="BR105" i="78"/>
  <c r="CC6" i="78"/>
  <c r="BQ104" i="78"/>
  <c r="BQ88" i="78"/>
  <c r="BQ91" i="78"/>
  <c r="BQ94" i="78"/>
  <c r="BR100" i="78"/>
  <c r="BR103" i="78"/>
  <c r="BR83" i="78"/>
  <c r="BR98" i="78"/>
  <c r="BR88" i="78"/>
  <c r="BQ92" i="78"/>
  <c r="BQ117" i="78"/>
  <c r="BQ103" i="78"/>
  <c r="BQ86" i="78"/>
  <c r="BR91" i="78"/>
  <c r="BR117" i="78"/>
  <c r="BR94" i="78"/>
  <c r="BR106" i="78"/>
  <c r="BR90" i="78"/>
  <c r="BQ100" i="78"/>
  <c r="BQ105" i="78"/>
  <c r="BQ98" i="78"/>
  <c r="BR97" i="78"/>
  <c r="BR43" i="78"/>
  <c r="BR96" i="78"/>
  <c r="BR93" i="78"/>
  <c r="BT117" i="78"/>
  <c r="BQ80" i="78"/>
  <c r="BQ84" i="78"/>
  <c r="BQ109" i="78"/>
  <c r="BR80" i="78"/>
  <c r="BR84" i="78"/>
  <c r="BR82" i="78"/>
  <c r="CE43" i="78"/>
  <c r="CP6" i="78"/>
  <c r="CB43" i="78"/>
  <c r="CM6" i="78"/>
  <c r="CE105" i="78"/>
  <c r="CE98" i="78"/>
  <c r="CE84" i="78"/>
  <c r="CE87" i="78"/>
  <c r="CE99" i="78"/>
  <c r="CE101" i="78"/>
  <c r="CE82" i="78"/>
  <c r="CE106" i="78"/>
  <c r="CE104" i="78"/>
  <c r="CE95" i="78"/>
  <c r="CE85" i="78"/>
  <c r="CE109" i="78"/>
  <c r="CE96" i="78"/>
  <c r="CE89" i="78"/>
  <c r="CE94" i="78"/>
  <c r="CE97" i="78"/>
  <c r="CE86" i="78"/>
  <c r="CE100" i="78"/>
  <c r="CE102" i="78"/>
  <c r="CE80" i="78"/>
  <c r="CE92" i="78"/>
  <c r="CE90" i="78"/>
  <c r="CE103" i="78"/>
  <c r="CE93" i="78"/>
  <c r="CE83" i="78"/>
  <c r="CE88" i="78"/>
  <c r="CE91" i="78"/>
  <c r="BO38" i="78"/>
  <c r="BO75" i="78"/>
  <c r="BO112" i="78"/>
  <c r="CA83" i="78"/>
  <c r="CA85" i="78"/>
  <c r="CL6" i="78"/>
  <c r="CA101" i="78"/>
  <c r="CA93" i="78"/>
  <c r="CA82" i="78"/>
  <c r="CA43" i="78"/>
  <c r="CA80" i="78"/>
  <c r="CA98" i="78"/>
  <c r="CA103" i="78"/>
  <c r="CA92" i="78"/>
  <c r="CA102" i="78"/>
  <c r="CA104" i="78"/>
  <c r="CA94" i="78"/>
  <c r="CA88" i="78"/>
  <c r="CA100" i="78"/>
  <c r="CA109" i="78"/>
  <c r="CA89" i="78"/>
  <c r="CA96" i="78"/>
  <c r="CA84" i="78"/>
  <c r="CA117" i="78"/>
  <c r="CA95" i="78"/>
  <c r="CA86" i="78"/>
  <c r="CA99" i="78"/>
  <c r="CA87" i="78"/>
  <c r="CA97" i="78"/>
  <c r="CA91" i="78"/>
  <c r="CA90" i="78"/>
  <c r="CA106" i="78"/>
  <c r="CA105" i="78"/>
  <c r="C8" i="52"/>
  <c r="D8" i="52"/>
  <c r="CD91" i="78" l="1"/>
  <c r="CD83" i="78"/>
  <c r="CD84" i="78"/>
  <c r="CD87" i="78"/>
  <c r="CD85" i="78"/>
  <c r="CD109" i="78"/>
  <c r="CD90" i="78"/>
  <c r="CD97" i="78"/>
  <c r="CD105" i="78"/>
  <c r="CD117" i="78"/>
  <c r="CD94" i="78"/>
  <c r="CD98" i="78"/>
  <c r="CD93" i="78"/>
  <c r="CD86" i="78"/>
  <c r="CD82" i="78"/>
  <c r="CD96" i="78"/>
  <c r="CD95" i="78"/>
  <c r="CD89" i="78"/>
  <c r="CD88" i="78"/>
  <c r="CD101" i="78"/>
  <c r="CD106" i="78"/>
  <c r="CD107" i="78"/>
  <c r="CL107" i="78"/>
  <c r="CD92" i="78"/>
  <c r="CD102" i="78"/>
  <c r="CD104" i="78"/>
  <c r="CD80" i="78"/>
  <c r="CD103" i="78"/>
  <c r="CD100" i="78"/>
  <c r="CP43" i="78"/>
  <c r="CP107" i="78"/>
  <c r="CC80" i="78"/>
  <c r="CB107" i="78"/>
  <c r="CC107" i="78"/>
  <c r="CO6" i="78"/>
  <c r="CO83" i="78" s="1"/>
  <c r="CD43" i="78"/>
  <c r="CE117" i="78"/>
  <c r="CB87" i="78"/>
  <c r="CK1" i="78"/>
  <c r="CB109" i="78"/>
  <c r="CB98" i="78"/>
  <c r="CC83" i="78"/>
  <c r="CC92" i="78"/>
  <c r="CC95" i="78"/>
  <c r="CC86" i="78"/>
  <c r="CC97" i="78"/>
  <c r="CB106" i="78"/>
  <c r="CB96" i="78"/>
  <c r="CC106" i="78"/>
  <c r="CN6" i="78"/>
  <c r="CC109" i="78"/>
  <c r="CB100" i="78"/>
  <c r="CC102" i="78"/>
  <c r="CB90" i="78"/>
  <c r="CB83" i="78"/>
  <c r="CC98" i="78"/>
  <c r="CB97" i="78"/>
  <c r="CB84" i="78"/>
  <c r="CB92" i="78"/>
  <c r="CB89" i="78"/>
  <c r="CC104" i="78"/>
  <c r="CB94" i="78"/>
  <c r="CB95" i="78"/>
  <c r="CB101" i="78"/>
  <c r="CC117" i="78"/>
  <c r="CC82" i="78"/>
  <c r="CC100" i="78"/>
  <c r="CB88" i="78"/>
  <c r="CB99" i="78"/>
  <c r="CC96" i="78"/>
  <c r="CC94" i="78"/>
  <c r="CC103" i="78"/>
  <c r="CC84" i="78"/>
  <c r="CB82" i="78"/>
  <c r="CB91" i="78"/>
  <c r="CB103" i="78"/>
  <c r="CB93" i="78"/>
  <c r="CC101" i="78"/>
  <c r="CC85" i="78"/>
  <c r="CC87" i="78"/>
  <c r="CC99" i="78"/>
  <c r="CB86" i="78"/>
  <c r="CB85" i="78"/>
  <c r="CC89" i="78"/>
  <c r="CC93" i="78"/>
  <c r="CC90" i="78"/>
  <c r="CC91" i="78"/>
  <c r="CB117" i="78"/>
  <c r="CB102" i="78"/>
  <c r="CB80" i="78"/>
  <c r="CB104" i="78"/>
  <c r="CB105" i="78"/>
  <c r="CC88" i="78"/>
  <c r="CC105" i="78"/>
  <c r="CC43" i="78"/>
  <c r="CO90" i="78"/>
  <c r="CP84" i="78"/>
  <c r="CP89" i="78"/>
  <c r="CP80" i="78"/>
  <c r="CP98" i="78"/>
  <c r="CP97" i="78"/>
  <c r="CP106" i="78"/>
  <c r="CP96" i="78"/>
  <c r="CP94" i="78"/>
  <c r="CP95" i="78"/>
  <c r="CP92" i="78"/>
  <c r="CP83" i="78"/>
  <c r="CP105" i="78"/>
  <c r="CP109" i="78"/>
  <c r="CP88" i="78"/>
  <c r="CP86" i="78"/>
  <c r="CP91" i="78"/>
  <c r="CP82" i="78"/>
  <c r="CP90" i="78"/>
  <c r="CP101" i="78"/>
  <c r="CP87" i="78"/>
  <c r="CM43" i="78"/>
  <c r="CP93" i="78"/>
  <c r="CP104" i="78"/>
  <c r="CP102" i="78"/>
  <c r="CP100" i="78"/>
  <c r="CP99" i="78"/>
  <c r="CP103" i="78"/>
  <c r="CP85" i="78"/>
  <c r="CL117" i="78"/>
  <c r="CL89" i="78"/>
  <c r="CL105" i="78"/>
  <c r="CL80" i="78"/>
  <c r="CL104" i="78"/>
  <c r="CL102" i="78"/>
  <c r="CL85" i="78"/>
  <c r="CL88" i="78"/>
  <c r="CL87" i="78"/>
  <c r="CL95" i="78"/>
  <c r="CL97" i="78"/>
  <c r="CL103" i="78"/>
  <c r="CL96" i="78"/>
  <c r="CL93" i="78"/>
  <c r="CL86" i="78"/>
  <c r="CL94" i="78"/>
  <c r="CL101" i="78"/>
  <c r="CL109" i="78"/>
  <c r="CL84" i="78"/>
  <c r="CL83" i="78"/>
  <c r="CL43" i="78"/>
  <c r="CL82" i="78"/>
  <c r="CL92" i="78"/>
  <c r="CL106" i="78"/>
  <c r="CL90" i="78"/>
  <c r="CL98" i="78"/>
  <c r="CL100" i="78"/>
  <c r="CL91" i="78"/>
  <c r="CL99" i="78"/>
  <c r="BZ38" i="78"/>
  <c r="BZ75" i="78"/>
  <c r="BZ112" i="78"/>
  <c r="I40" i="18"/>
  <c r="CO94" i="78" l="1"/>
  <c r="CO97" i="78"/>
  <c r="CO106" i="78"/>
  <c r="CO85" i="78"/>
  <c r="CO98" i="78"/>
  <c r="CO104" i="78"/>
  <c r="CO103" i="78"/>
  <c r="CO84" i="78"/>
  <c r="CO100" i="78"/>
  <c r="CO92" i="78"/>
  <c r="CO88" i="78"/>
  <c r="CO96" i="78"/>
  <c r="CO101" i="78"/>
  <c r="CO89" i="78"/>
  <c r="CO86" i="78"/>
  <c r="CO102" i="78"/>
  <c r="CO82" i="78"/>
  <c r="CO99" i="78"/>
  <c r="CO80" i="78"/>
  <c r="CO93" i="78"/>
  <c r="CO105" i="78"/>
  <c r="CO91" i="78"/>
  <c r="CO87" i="78"/>
  <c r="CO95" i="78"/>
  <c r="CO117" i="78"/>
  <c r="CO109" i="78"/>
  <c r="CN107" i="78"/>
  <c r="CO43" i="78"/>
  <c r="CP117" i="78"/>
  <c r="CM107" i="78"/>
  <c r="CO107" i="78"/>
  <c r="CM93" i="78"/>
  <c r="CN88" i="78"/>
  <c r="CN103" i="78"/>
  <c r="CM95" i="78"/>
  <c r="CN82" i="78"/>
  <c r="CM105" i="78"/>
  <c r="CM86" i="78"/>
  <c r="CN100" i="78"/>
  <c r="CM99" i="78"/>
  <c r="CM90" i="78"/>
  <c r="CN93" i="78"/>
  <c r="CN105" i="78"/>
  <c r="CM83" i="78"/>
  <c r="CM98" i="78"/>
  <c r="CN90" i="78"/>
  <c r="CN84" i="78"/>
  <c r="CM89" i="78"/>
  <c r="CM109" i="78"/>
  <c r="CN104" i="78"/>
  <c r="CN95" i="78"/>
  <c r="CM106" i="78"/>
  <c r="CN98" i="78"/>
  <c r="CN87" i="78"/>
  <c r="CM102" i="78"/>
  <c r="CM117" i="78"/>
  <c r="CN86" i="78"/>
  <c r="CN97" i="78"/>
  <c r="CM100" i="78"/>
  <c r="CM82" i="78"/>
  <c r="CM101" i="78"/>
  <c r="CM85" i="78"/>
  <c r="CN94" i="78"/>
  <c r="CN80" i="78"/>
  <c r="CN96" i="78"/>
  <c r="CM97" i="78"/>
  <c r="CM88" i="78"/>
  <c r="CM92" i="78"/>
  <c r="CN117" i="78"/>
  <c r="CN89" i="78"/>
  <c r="CN91" i="78"/>
  <c r="CN109" i="78"/>
  <c r="CM80" i="78"/>
  <c r="CM104" i="78"/>
  <c r="CM91" i="78"/>
  <c r="CM94" i="78"/>
  <c r="CM103" i="78"/>
  <c r="CN92" i="78"/>
  <c r="CN106" i="78"/>
  <c r="CN83" i="78"/>
  <c r="CN102" i="78"/>
  <c r="CM84" i="78"/>
  <c r="CM87" i="78"/>
  <c r="CM96" i="78"/>
  <c r="CN85" i="78"/>
  <c r="CN99" i="78"/>
  <c r="CN43" i="78"/>
  <c r="CN101" i="78"/>
  <c r="CK112" i="78"/>
  <c r="CK38" i="78"/>
  <c r="CK75" i="78"/>
  <c r="I41" i="18"/>
  <c r="H41" i="18"/>
  <c r="K40" i="18"/>
  <c r="H40" i="18"/>
  <c r="J41" i="18"/>
  <c r="K41" i="18"/>
  <c r="J40" i="18"/>
  <c r="R10" i="80" l="1"/>
  <c r="R12" i="80"/>
  <c r="R13" i="80"/>
  <c r="R14" i="80"/>
  <c r="R15" i="80"/>
  <c r="R16" i="80"/>
  <c r="R17" i="80"/>
  <c r="R18" i="80"/>
  <c r="R19" i="80"/>
  <c r="R20" i="80"/>
  <c r="R21" i="80"/>
  <c r="R22" i="80"/>
  <c r="R23" i="80"/>
  <c r="R24" i="80"/>
  <c r="R25" i="80"/>
  <c r="R26" i="80"/>
  <c r="R27" i="80"/>
  <c r="R28" i="80"/>
  <c r="R29" i="80"/>
  <c r="R30" i="80"/>
  <c r="R31" i="80"/>
  <c r="R32" i="80"/>
  <c r="R9" i="80"/>
  <c r="I35" i="80"/>
  <c r="I9" i="80"/>
  <c r="I10" i="80"/>
  <c r="I12" i="80"/>
  <c r="I13" i="80"/>
  <c r="I14" i="80"/>
  <c r="I15" i="80"/>
  <c r="I16" i="80"/>
  <c r="I17" i="80"/>
  <c r="I18" i="80"/>
  <c r="I19" i="80"/>
  <c r="I20" i="80"/>
  <c r="I21" i="80"/>
  <c r="I22" i="80"/>
  <c r="I23" i="80"/>
  <c r="I24" i="80"/>
  <c r="I25" i="80"/>
  <c r="I26" i="80"/>
  <c r="I27" i="80"/>
  <c r="I28" i="80"/>
  <c r="I29" i="80"/>
  <c r="I30" i="80"/>
  <c r="I31" i="80"/>
  <c r="I32" i="80"/>
  <c r="F35" i="80"/>
  <c r="F32" i="80"/>
  <c r="F31" i="80"/>
  <c r="F30" i="80"/>
  <c r="F29" i="80"/>
  <c r="F28" i="80"/>
  <c r="F27" i="80"/>
  <c r="F26" i="80"/>
  <c r="F25" i="80"/>
  <c r="F24" i="80"/>
  <c r="F23" i="80"/>
  <c r="F22" i="80"/>
  <c r="F21" i="80"/>
  <c r="F20" i="80"/>
  <c r="F19" i="80"/>
  <c r="F18" i="80"/>
  <c r="F17" i="80"/>
  <c r="F16" i="80"/>
  <c r="F15" i="80"/>
  <c r="F14" i="80"/>
  <c r="F13" i="80"/>
  <c r="F12" i="80"/>
  <c r="F11" i="80"/>
  <c r="F10" i="80"/>
  <c r="F8" i="80"/>
  <c r="C35" i="80"/>
  <c r="C10" i="80"/>
  <c r="C11" i="80"/>
  <c r="C12" i="80"/>
  <c r="C13" i="80"/>
  <c r="C14" i="80"/>
  <c r="C15" i="80"/>
  <c r="C16" i="80"/>
  <c r="C17" i="80"/>
  <c r="C18" i="80"/>
  <c r="C19" i="80"/>
  <c r="C20" i="80"/>
  <c r="C21" i="80"/>
  <c r="C22" i="80"/>
  <c r="C23" i="80"/>
  <c r="C24" i="80"/>
  <c r="C25" i="80"/>
  <c r="C26" i="80"/>
  <c r="C27" i="80"/>
  <c r="C28" i="80"/>
  <c r="C29" i="80"/>
  <c r="C30" i="80"/>
  <c r="C31" i="80"/>
  <c r="C32" i="80"/>
  <c r="L10" i="80" l="1"/>
  <c r="L11" i="80"/>
  <c r="L12" i="80"/>
  <c r="L13" i="80"/>
  <c r="L15" i="80"/>
  <c r="L16" i="80"/>
  <c r="L17" i="80"/>
  <c r="L18" i="80"/>
  <c r="L19" i="80"/>
  <c r="L20" i="80"/>
  <c r="L21" i="80"/>
  <c r="L23" i="80"/>
  <c r="L24" i="80"/>
  <c r="L25" i="80"/>
  <c r="L26" i="80"/>
  <c r="L27" i="80"/>
  <c r="L28" i="80"/>
  <c r="L29" i="80"/>
  <c r="L31" i="80"/>
  <c r="L32" i="80"/>
  <c r="L9" i="80"/>
  <c r="H32" i="80"/>
  <c r="H31" i="80"/>
  <c r="H30" i="80"/>
  <c r="H29" i="80"/>
  <c r="H28" i="80"/>
  <c r="H27" i="80"/>
  <c r="H26" i="80"/>
  <c r="N26" i="80" s="1"/>
  <c r="O26" i="80" s="1"/>
  <c r="H25" i="80"/>
  <c r="H24" i="80"/>
  <c r="H23" i="80"/>
  <c r="H22" i="80"/>
  <c r="H21" i="80"/>
  <c r="H20" i="80"/>
  <c r="H19" i="80"/>
  <c r="H18" i="80"/>
  <c r="H17" i="80"/>
  <c r="H16" i="80"/>
  <c r="H15" i="80"/>
  <c r="H14" i="80"/>
  <c r="H13" i="80"/>
  <c r="N13" i="80" s="1"/>
  <c r="O13" i="80" s="1"/>
  <c r="H12" i="80"/>
  <c r="H10" i="80"/>
  <c r="H9" i="80"/>
  <c r="N32" i="80" l="1"/>
  <c r="O32" i="80" s="1"/>
  <c r="N18" i="80"/>
  <c r="O18" i="80" s="1"/>
  <c r="N10" i="80"/>
  <c r="O10" i="80" s="1"/>
  <c r="N28" i="80"/>
  <c r="O28" i="80" s="1"/>
  <c r="N21" i="80"/>
  <c r="O21" i="80" s="1"/>
  <c r="N29" i="80"/>
  <c r="O29" i="80" s="1"/>
  <c r="N24" i="80"/>
  <c r="O24" i="80" s="1"/>
  <c r="N20" i="80"/>
  <c r="O20" i="80" s="1"/>
  <c r="N16" i="80"/>
  <c r="O16" i="80" s="1"/>
  <c r="N12" i="80"/>
  <c r="O12" i="80" s="1"/>
  <c r="N9" i="80"/>
  <c r="O9" i="80" s="1"/>
  <c r="N17" i="80"/>
  <c r="O17" i="80" s="1"/>
  <c r="N25" i="80"/>
  <c r="O25" i="80" s="1"/>
  <c r="N22" i="80"/>
  <c r="O22" i="80" s="1"/>
  <c r="L22" i="80"/>
  <c r="N30" i="80"/>
  <c r="O30" i="80" s="1"/>
  <c r="L30" i="80"/>
  <c r="N14" i="80"/>
  <c r="O14" i="80" s="1"/>
  <c r="N31" i="80"/>
  <c r="O31" i="80" s="1"/>
  <c r="N23" i="80"/>
  <c r="O23" i="80" s="1"/>
  <c r="N15" i="80"/>
  <c r="O15" i="80" s="1"/>
  <c r="N27" i="80"/>
  <c r="O27" i="80" s="1"/>
  <c r="N11" i="80"/>
  <c r="O11" i="80" s="1"/>
  <c r="N19" i="80"/>
  <c r="O19" i="80" s="1"/>
  <c r="H23" i="16" l="1"/>
  <c r="H24" i="16"/>
  <c r="H43" i="16"/>
  <c r="H44" i="16"/>
  <c r="W35" i="78" l="1"/>
  <c r="AS35" i="78" s="1"/>
  <c r="W24" i="78"/>
  <c r="AS24" i="78" s="1"/>
  <c r="BO24" i="78" s="1"/>
  <c r="CK24" i="78" s="1"/>
  <c r="W9" i="78"/>
  <c r="AS9" i="78" s="1"/>
  <c r="BO9" i="78" s="1"/>
  <c r="CK9" i="78" s="1"/>
  <c r="W10" i="78"/>
  <c r="AS10" i="78" s="1"/>
  <c r="BO10" i="78" s="1"/>
  <c r="CK10" i="78" s="1"/>
  <c r="L11" i="78"/>
  <c r="AH11" i="78" s="1"/>
  <c r="BD11" i="78" s="1"/>
  <c r="BZ11" i="78" s="1"/>
  <c r="L12" i="78"/>
  <c r="AH12" i="78" s="1"/>
  <c r="BD12" i="78" s="1"/>
  <c r="BZ12" i="78" s="1"/>
  <c r="L13" i="78"/>
  <c r="AH13" i="78" s="1"/>
  <c r="BD13" i="78" s="1"/>
  <c r="BZ13" i="78" s="1"/>
  <c r="L14" i="78"/>
  <c r="AH14" i="78" s="1"/>
  <c r="BD14" i="78" s="1"/>
  <c r="BZ14" i="78" s="1"/>
  <c r="L15" i="78"/>
  <c r="AH15" i="78" s="1"/>
  <c r="BD15" i="78" s="1"/>
  <c r="BZ15" i="78" s="1"/>
  <c r="W16" i="78"/>
  <c r="AS16" i="78" s="1"/>
  <c r="BO16" i="78" s="1"/>
  <c r="CK16" i="78" s="1"/>
  <c r="W17" i="78"/>
  <c r="AS17" i="78" s="1"/>
  <c r="BO17" i="78" s="1"/>
  <c r="CK17" i="78" s="1"/>
  <c r="W18" i="78"/>
  <c r="AS18" i="78" s="1"/>
  <c r="BO18" i="78" s="1"/>
  <c r="CK18" i="78" s="1"/>
  <c r="L19" i="78"/>
  <c r="AH19" i="78" s="1"/>
  <c r="BD19" i="78" s="1"/>
  <c r="BZ19" i="78" s="1"/>
  <c r="L20" i="78"/>
  <c r="AH20" i="78" s="1"/>
  <c r="BD20" i="78" s="1"/>
  <c r="BZ20" i="78" s="1"/>
  <c r="L21" i="78"/>
  <c r="AH21" i="78" s="1"/>
  <c r="BD21" i="78" s="1"/>
  <c r="BZ21" i="78" s="1"/>
  <c r="L22" i="78"/>
  <c r="AH22" i="78" s="1"/>
  <c r="BD22" i="78" s="1"/>
  <c r="BZ22" i="78" s="1"/>
  <c r="L23" i="78"/>
  <c r="AH23" i="78" s="1"/>
  <c r="BD23" i="78" s="1"/>
  <c r="BZ23" i="78" s="1"/>
  <c r="W25" i="78"/>
  <c r="AS25" i="78" s="1"/>
  <c r="BO25" i="78" s="1"/>
  <c r="CK25" i="78" s="1"/>
  <c r="W26" i="78"/>
  <c r="AS26" i="78" s="1"/>
  <c r="BO26" i="78" s="1"/>
  <c r="CK26" i="78" s="1"/>
  <c r="W27" i="78"/>
  <c r="AS27" i="78" s="1"/>
  <c r="BO27" i="78" s="1"/>
  <c r="CK27" i="78" s="1"/>
  <c r="L28" i="78"/>
  <c r="AH28" i="78" s="1"/>
  <c r="BD28" i="78" s="1"/>
  <c r="BZ28" i="78" s="1"/>
  <c r="L29" i="78"/>
  <c r="AH29" i="78" s="1"/>
  <c r="BD29" i="78" s="1"/>
  <c r="BZ29" i="78" s="1"/>
  <c r="L30" i="78"/>
  <c r="AH30" i="78" s="1"/>
  <c r="BD30" i="78" s="1"/>
  <c r="BZ30" i="78" s="1"/>
  <c r="L31" i="78"/>
  <c r="AH31" i="78" s="1"/>
  <c r="BD31" i="78" s="1"/>
  <c r="BZ31" i="78" s="1"/>
  <c r="W32" i="78"/>
  <c r="AS32" i="78" s="1"/>
  <c r="BO32" i="78" s="1"/>
  <c r="CK32" i="78" s="1"/>
  <c r="W8" i="78"/>
  <c r="AS8" i="78" s="1"/>
  <c r="BO8" i="78" s="1"/>
  <c r="CK8" i="78" s="1"/>
  <c r="BO35" i="78" l="1"/>
  <c r="AS72" i="78"/>
  <c r="AS109" i="78"/>
  <c r="AS146" i="78"/>
  <c r="L27" i="78"/>
  <c r="AH27" i="78" s="1"/>
  <c r="BD27" i="78" s="1"/>
  <c r="BZ27" i="78" s="1"/>
  <c r="L18" i="78"/>
  <c r="AH18" i="78" s="1"/>
  <c r="BD18" i="78" s="1"/>
  <c r="BZ18" i="78" s="1"/>
  <c r="W29" i="78"/>
  <c r="AS29" i="78" s="1"/>
  <c r="BO29" i="78" s="1"/>
  <c r="CK29" i="78" s="1"/>
  <c r="L10" i="78"/>
  <c r="AH10" i="78" s="1"/>
  <c r="BD10" i="78" s="1"/>
  <c r="BZ10" i="78" s="1"/>
  <c r="W28" i="78"/>
  <c r="AS28" i="78" s="1"/>
  <c r="BO28" i="78" s="1"/>
  <c r="CK28" i="78" s="1"/>
  <c r="W19" i="78"/>
  <c r="AS19" i="78" s="1"/>
  <c r="BO19" i="78" s="1"/>
  <c r="CK19" i="78" s="1"/>
  <c r="W13" i="78"/>
  <c r="AS13" i="78" s="1"/>
  <c r="BO13" i="78" s="1"/>
  <c r="CK13" i="78" s="1"/>
  <c r="W11" i="78"/>
  <c r="AS11" i="78" s="1"/>
  <c r="BO11" i="78" s="1"/>
  <c r="CK11" i="78" s="1"/>
  <c r="L9" i="78"/>
  <c r="AH9" i="78" s="1"/>
  <c r="BD9" i="78" s="1"/>
  <c r="BZ9" i="78" s="1"/>
  <c r="L26" i="78"/>
  <c r="AH26" i="78" s="1"/>
  <c r="BD26" i="78" s="1"/>
  <c r="BZ26" i="78" s="1"/>
  <c r="W21" i="78"/>
  <c r="AS21" i="78" s="1"/>
  <c r="BO21" i="78" s="1"/>
  <c r="CK21" i="78" s="1"/>
  <c r="W20" i="78"/>
  <c r="AS20" i="78" s="1"/>
  <c r="BO20" i="78" s="1"/>
  <c r="CK20" i="78" s="1"/>
  <c r="L17" i="78"/>
  <c r="AH17" i="78" s="1"/>
  <c r="BD17" i="78" s="1"/>
  <c r="BZ17" i="78" s="1"/>
  <c r="W12" i="78"/>
  <c r="AS12" i="78" s="1"/>
  <c r="BO12" i="78" s="1"/>
  <c r="CK12" i="78" s="1"/>
  <c r="W31" i="78"/>
  <c r="AS31" i="78" s="1"/>
  <c r="BO31" i="78" s="1"/>
  <c r="CK31" i="78" s="1"/>
  <c r="W23" i="78"/>
  <c r="AS23" i="78" s="1"/>
  <c r="BO23" i="78" s="1"/>
  <c r="CK23" i="78" s="1"/>
  <c r="W15" i="78"/>
  <c r="AS15" i="78" s="1"/>
  <c r="BO15" i="78" s="1"/>
  <c r="CK15" i="78" s="1"/>
  <c r="W30" i="78"/>
  <c r="AS30" i="78" s="1"/>
  <c r="BO30" i="78" s="1"/>
  <c r="CK30" i="78" s="1"/>
  <c r="W22" i="78"/>
  <c r="AS22" i="78" s="1"/>
  <c r="BO22" i="78" s="1"/>
  <c r="CK22" i="78" s="1"/>
  <c r="W14" i="78"/>
  <c r="AS14" i="78" s="1"/>
  <c r="BO14" i="78" s="1"/>
  <c r="CK14" i="78" s="1"/>
  <c r="L8" i="78"/>
  <c r="AH8" i="78" s="1"/>
  <c r="BD8" i="78" s="1"/>
  <c r="BZ8" i="78" s="1"/>
  <c r="L25" i="78"/>
  <c r="AH25" i="78" s="1"/>
  <c r="BD25" i="78" s="1"/>
  <c r="BZ25" i="78" s="1"/>
  <c r="L32" i="78"/>
  <c r="AH32" i="78" s="1"/>
  <c r="BD32" i="78" s="1"/>
  <c r="BZ32" i="78" s="1"/>
  <c r="L24" i="78"/>
  <c r="AH24" i="78" s="1"/>
  <c r="BD24" i="78" s="1"/>
  <c r="BZ24" i="78" s="1"/>
  <c r="L16" i="78"/>
  <c r="AH16" i="78" s="1"/>
  <c r="BD16" i="78" s="1"/>
  <c r="BZ16" i="78" s="1"/>
  <c r="L35" i="78"/>
  <c r="AH35" i="78" s="1"/>
  <c r="AH109" i="78" l="1"/>
  <c r="AH72" i="78"/>
  <c r="BD35" i="78"/>
  <c r="AH146" i="78"/>
  <c r="BO72" i="78"/>
  <c r="BO146" i="78"/>
  <c r="CK35" i="78"/>
  <c r="BO109" i="78"/>
  <c r="C6" i="16"/>
  <c r="D6" i="16"/>
  <c r="E6" i="16"/>
  <c r="F6" i="16"/>
  <c r="B6" i="16"/>
  <c r="H46" i="16" l="1"/>
  <c r="A479" i="76"/>
  <c r="L1" i="16"/>
  <c r="A1" i="16"/>
  <c r="B46" i="16"/>
  <c r="H80" i="16"/>
  <c r="M51" i="75" s="1"/>
  <c r="L39" i="16"/>
  <c r="I46" i="16"/>
  <c r="M152" i="75"/>
  <c r="AE54" i="16"/>
  <c r="T52" i="16"/>
  <c r="T51" i="16"/>
  <c r="AE53" i="16"/>
  <c r="U53" i="16"/>
  <c r="AE51" i="16"/>
  <c r="AD51" i="16"/>
  <c r="AD47" i="16"/>
  <c r="AF47" i="16"/>
  <c r="T46" i="16"/>
  <c r="AE48" i="16"/>
  <c r="AF52" i="16"/>
  <c r="AF53" i="16"/>
  <c r="T50" i="16"/>
  <c r="AE47" i="16"/>
  <c r="U54" i="16"/>
  <c r="T48" i="16"/>
  <c r="U51" i="16"/>
  <c r="S47" i="16"/>
  <c r="AD46" i="16"/>
  <c r="T53" i="16"/>
  <c r="T54" i="16"/>
  <c r="S51" i="16"/>
  <c r="U49" i="16"/>
  <c r="U47" i="16"/>
  <c r="S46" i="16"/>
  <c r="AE52" i="16"/>
  <c r="AE50" i="16"/>
  <c r="U50" i="16"/>
  <c r="AF50" i="16"/>
  <c r="S49" i="16"/>
  <c r="T47" i="16"/>
  <c r="U48" i="16"/>
  <c r="AE49" i="16"/>
  <c r="T49" i="16"/>
  <c r="AD49" i="16"/>
  <c r="AE46" i="16"/>
  <c r="U56" i="16"/>
  <c r="U46" i="16"/>
  <c r="AD53" i="16"/>
  <c r="AD52" i="16"/>
  <c r="AF48" i="16"/>
  <c r="AE56" i="16"/>
  <c r="S48" i="16"/>
  <c r="S53" i="16"/>
  <c r="AF51" i="16"/>
  <c r="S52" i="16"/>
  <c r="S50" i="16"/>
  <c r="AD48" i="16"/>
  <c r="AD54" i="16"/>
  <c r="AF46" i="16"/>
  <c r="AF49" i="16"/>
  <c r="S54" i="16"/>
  <c r="AD50" i="16"/>
  <c r="U52" i="16"/>
  <c r="T56" i="16"/>
  <c r="AF54" i="16"/>
  <c r="AF56" i="16"/>
  <c r="AD56" i="16"/>
  <c r="S56" i="16"/>
  <c r="AA3" i="106"/>
  <c r="Y3" i="106"/>
  <c r="AB3" i="106"/>
  <c r="X3" i="106"/>
  <c r="W1" i="106" s="1"/>
  <c r="Z3" i="106"/>
  <c r="AC3" i="106"/>
  <c r="X1" i="106" s="1"/>
  <c r="CK72" i="78"/>
  <c r="CK146" i="78"/>
  <c r="CK109" i="78"/>
  <c r="BD72" i="78"/>
  <c r="BZ35" i="78"/>
  <c r="BD146" i="78"/>
  <c r="BD109" i="78"/>
  <c r="H79" i="16"/>
  <c r="H47" i="16"/>
  <c r="F50" i="16"/>
  <c r="F52" i="16"/>
  <c r="F54" i="16"/>
  <c r="H48" i="16"/>
  <c r="F51" i="16"/>
  <c r="H49" i="16"/>
  <c r="H50" i="16"/>
  <c r="H51" i="16"/>
  <c r="F47" i="16"/>
  <c r="I81" i="16" s="1"/>
  <c r="N47" i="75" s="1"/>
  <c r="H52" i="16"/>
  <c r="F53" i="16"/>
  <c r="H53" i="16"/>
  <c r="F48" i="16"/>
  <c r="F46" i="16"/>
  <c r="I80" i="16" s="1"/>
  <c r="N51" i="75" s="1"/>
  <c r="F49" i="16"/>
  <c r="H54" i="16"/>
  <c r="J54" i="16"/>
  <c r="I53" i="16"/>
  <c r="H82" i="16"/>
  <c r="M41" i="75" s="1"/>
  <c r="H84" i="16"/>
  <c r="M30" i="75" s="1"/>
  <c r="H85" i="16"/>
  <c r="M24" i="75" s="1"/>
  <c r="H83" i="16"/>
  <c r="M34" i="75" s="1"/>
  <c r="F62" i="16"/>
  <c r="N1" i="107" s="1"/>
  <c r="A1" i="107" s="1"/>
  <c r="H87" i="16"/>
  <c r="M15" i="75" s="1"/>
  <c r="H81" i="16"/>
  <c r="M47" i="75" s="1"/>
  <c r="H88" i="16"/>
  <c r="M11" i="75" s="1"/>
  <c r="F44" i="16"/>
  <c r="I79" i="16" s="1"/>
  <c r="H86" i="16"/>
  <c r="M19" i="75" s="1"/>
  <c r="H4" i="16"/>
  <c r="N152" i="75" s="1"/>
  <c r="C44" i="16"/>
  <c r="C62" i="16"/>
  <c r="A1" i="106" l="1"/>
  <c r="A150" i="75"/>
  <c r="P4" i="31"/>
  <c r="A1" i="31" s="1"/>
  <c r="P35" i="31"/>
  <c r="A34" i="31" s="1"/>
  <c r="BZ109" i="78"/>
  <c r="BZ72" i="78"/>
  <c r="BZ146" i="78"/>
  <c r="H42" i="16"/>
  <c r="H22" i="16"/>
  <c r="E65" i="16" l="1"/>
  <c r="C72" i="16" l="1"/>
  <c r="C54" i="16"/>
  <c r="C69" i="16"/>
  <c r="C64" i="16"/>
  <c r="C46" i="16"/>
  <c r="C68" i="16"/>
  <c r="C50" i="16"/>
  <c r="C67" i="16"/>
  <c r="C49" i="16"/>
  <c r="C65" i="16"/>
  <c r="C47" i="16"/>
  <c r="C66" i="16"/>
  <c r="C48" i="16"/>
  <c r="C71" i="16"/>
  <c r="C53" i="16"/>
  <c r="C70" i="16"/>
  <c r="C52" i="16"/>
  <c r="C51" i="16"/>
  <c r="F18" i="16"/>
  <c r="F14" i="11"/>
  <c r="E14" i="11"/>
  <c r="D14" i="11"/>
  <c r="C14" i="11"/>
  <c r="D18" i="16"/>
  <c r="E18" i="16"/>
  <c r="C18" i="16"/>
  <c r="Q40" i="80"/>
  <c r="E40" i="80"/>
  <c r="B41" i="80"/>
  <c r="B40" i="80"/>
  <c r="M163" i="75" l="1"/>
  <c r="H36" i="16"/>
  <c r="H27" i="11"/>
  <c r="J27" i="11"/>
  <c r="I27" i="11"/>
  <c r="AB14" i="106"/>
  <c r="Y14" i="106"/>
  <c r="C51" i="18"/>
  <c r="I60" i="18" s="1"/>
  <c r="X14" i="106"/>
  <c r="AC14" i="106"/>
  <c r="AA14" i="106"/>
  <c r="E51" i="18"/>
  <c r="K61" i="18" s="1"/>
  <c r="Z14" i="106"/>
  <c r="F52" i="11"/>
  <c r="F41" i="11"/>
  <c r="D33" i="16"/>
  <c r="H56" i="16"/>
  <c r="D51" i="18"/>
  <c r="H90" i="16"/>
  <c r="F74" i="16"/>
  <c r="N13" i="107" s="1"/>
  <c r="F51" i="18"/>
  <c r="F56" i="16"/>
  <c r="C86" i="12"/>
  <c r="C113" i="12"/>
  <c r="C74" i="16"/>
  <c r="C56" i="16"/>
  <c r="C52" i="11"/>
  <c r="C41" i="11"/>
  <c r="I61" i="18" l="1"/>
  <c r="K60" i="18"/>
  <c r="L51" i="18"/>
  <c r="L61" i="18"/>
  <c r="L60" i="18"/>
  <c r="J61" i="18"/>
  <c r="J60" i="18"/>
  <c r="D116" i="49"/>
  <c r="D117" i="49"/>
  <c r="D112" i="49"/>
  <c r="D113" i="49"/>
  <c r="D109" i="49"/>
  <c r="D103" i="49"/>
  <c r="D104" i="49"/>
  <c r="D98" i="49"/>
  <c r="D87" i="49"/>
  <c r="D88" i="49"/>
  <c r="D83" i="49"/>
  <c r="D84" i="49"/>
  <c r="D80" i="49"/>
  <c r="F80" i="49" s="1"/>
  <c r="D74" i="49"/>
  <c r="D75" i="49"/>
  <c r="D69" i="49"/>
  <c r="D58" i="49"/>
  <c r="D59" i="49"/>
  <c r="D54" i="49"/>
  <c r="D55" i="49"/>
  <c r="D51" i="49"/>
  <c r="F51" i="49" s="1"/>
  <c r="D45" i="49"/>
  <c r="D46" i="49"/>
  <c r="A97" i="49"/>
  <c r="A184" i="49" s="1"/>
  <c r="A271" i="49" s="1"/>
  <c r="A70" i="49"/>
  <c r="A157" i="49" s="1"/>
  <c r="A244" i="49" s="1"/>
  <c r="A47" i="49"/>
  <c r="A134" i="49" s="1"/>
  <c r="A221" i="49" s="1"/>
  <c r="A49" i="49"/>
  <c r="A136" i="49" s="1"/>
  <c r="A223" i="49" s="1"/>
  <c r="A81" i="49"/>
  <c r="A168" i="49" s="1"/>
  <c r="A255" i="49" s="1"/>
  <c r="A84" i="49"/>
  <c r="A171" i="49" s="1"/>
  <c r="A258" i="49" s="1"/>
  <c r="A86" i="49"/>
  <c r="A173" i="49" s="1"/>
  <c r="A260" i="49" s="1"/>
  <c r="C33" i="49" l="1"/>
  <c r="D25" i="49"/>
  <c r="D26" i="49"/>
  <c r="D30" i="49"/>
  <c r="D22" i="49"/>
  <c r="D29" i="49"/>
  <c r="D17" i="49"/>
  <c r="D11" i="49"/>
  <c r="D16" i="49"/>
  <c r="A76" i="49"/>
  <c r="A163" i="49" s="1"/>
  <c r="A250" i="49" s="1"/>
  <c r="A55" i="49"/>
  <c r="A142" i="49" s="1"/>
  <c r="A229" i="49" s="1"/>
  <c r="A113" i="49"/>
  <c r="A200" i="49" s="1"/>
  <c r="A287" i="49" s="1"/>
  <c r="A102" i="49"/>
  <c r="A189" i="49" s="1"/>
  <c r="A276" i="49" s="1"/>
  <c r="A68" i="49"/>
  <c r="A155" i="49" s="1"/>
  <c r="A242" i="49" s="1"/>
  <c r="F74" i="49"/>
  <c r="F55" i="49"/>
  <c r="F69" i="49"/>
  <c r="F75" i="49"/>
  <c r="F117" i="49"/>
  <c r="F84" i="49"/>
  <c r="F104" i="49"/>
  <c r="F112" i="49"/>
  <c r="F45" i="49"/>
  <c r="F116" i="49"/>
  <c r="F58" i="49"/>
  <c r="F113" i="49"/>
  <c r="A72" i="49"/>
  <c r="A159" i="49" s="1"/>
  <c r="A246" i="49" s="1"/>
  <c r="F59" i="49"/>
  <c r="F98" i="49"/>
  <c r="F83" i="49"/>
  <c r="A105" i="49"/>
  <c r="A192" i="49" s="1"/>
  <c r="A279" i="49" s="1"/>
  <c r="F103" i="49"/>
  <c r="F88" i="49"/>
  <c r="A88" i="49"/>
  <c r="A175" i="49" s="1"/>
  <c r="A262" i="49" s="1"/>
  <c r="A39" i="49"/>
  <c r="A126" i="49" s="1"/>
  <c r="A213" i="49" s="1"/>
  <c r="F46" i="49"/>
  <c r="F54" i="49"/>
  <c r="F87" i="49"/>
  <c r="F109" i="49"/>
  <c r="A115" i="49"/>
  <c r="A202" i="49" s="1"/>
  <c r="A289" i="49" s="1"/>
  <c r="A107" i="49"/>
  <c r="A194" i="49" s="1"/>
  <c r="A281" i="49" s="1"/>
  <c r="A99" i="49"/>
  <c r="A186" i="49" s="1"/>
  <c r="A273" i="49" s="1"/>
  <c r="A78" i="49"/>
  <c r="A165" i="49" s="1"/>
  <c r="A252" i="49" s="1"/>
  <c r="A52" i="49"/>
  <c r="A139" i="49" s="1"/>
  <c r="A226" i="49" s="1"/>
  <c r="A110" i="49"/>
  <c r="A197" i="49" s="1"/>
  <c r="A284" i="49" s="1"/>
  <c r="A51" i="49"/>
  <c r="A138" i="49" s="1"/>
  <c r="A225" i="49" s="1"/>
  <c r="A89" i="49"/>
  <c r="A176" i="49" s="1"/>
  <c r="A263" i="49" s="1"/>
  <c r="A73" i="49"/>
  <c r="A160" i="49" s="1"/>
  <c r="A247" i="49" s="1"/>
  <c r="A109" i="49"/>
  <c r="A196" i="49" s="1"/>
  <c r="A283" i="49" s="1"/>
  <c r="A60" i="49"/>
  <c r="A147" i="49" s="1"/>
  <c r="A234" i="49" s="1"/>
  <c r="A44" i="49"/>
  <c r="A131" i="49" s="1"/>
  <c r="A218" i="49" s="1"/>
  <c r="A101" i="49"/>
  <c r="A188" i="49" s="1"/>
  <c r="A275" i="49" s="1"/>
  <c r="A59" i="49"/>
  <c r="A146" i="49" s="1"/>
  <c r="A233" i="49" s="1"/>
  <c r="A43" i="49"/>
  <c r="A130" i="49" s="1"/>
  <c r="A217" i="49" s="1"/>
  <c r="A118" i="49"/>
  <c r="A205" i="49" s="1"/>
  <c r="A292" i="49" s="1"/>
  <c r="A57" i="49"/>
  <c r="A144" i="49" s="1"/>
  <c r="A231" i="49" s="1"/>
  <c r="A41" i="49"/>
  <c r="A128" i="49" s="1"/>
  <c r="A215" i="49" s="1"/>
  <c r="A80" i="49"/>
  <c r="A167" i="49" s="1"/>
  <c r="A254" i="49" s="1"/>
  <c r="A117" i="49"/>
  <c r="A204" i="49" s="1"/>
  <c r="A291" i="49" s="1"/>
  <c r="A54" i="49"/>
  <c r="A141" i="49" s="1"/>
  <c r="A228" i="49" s="1"/>
  <c r="A46" i="49"/>
  <c r="A133" i="49" s="1"/>
  <c r="A220" i="49" s="1"/>
  <c r="A38" i="49"/>
  <c r="A125" i="49" s="1"/>
  <c r="A212" i="49" s="1"/>
  <c r="A83" i="49"/>
  <c r="A170" i="49" s="1"/>
  <c r="A257" i="49" s="1"/>
  <c r="A75" i="49"/>
  <c r="A162" i="49" s="1"/>
  <c r="A249" i="49" s="1"/>
  <c r="A67" i="49"/>
  <c r="A154" i="49" s="1"/>
  <c r="A241" i="49" s="1"/>
  <c r="A112" i="49"/>
  <c r="A199" i="49" s="1"/>
  <c r="A286" i="49" s="1"/>
  <c r="A104" i="49"/>
  <c r="A191" i="49" s="1"/>
  <c r="A278" i="49" s="1"/>
  <c r="A96" i="49"/>
  <c r="A183" i="49" s="1"/>
  <c r="A270" i="49" s="1"/>
  <c r="A53" i="49"/>
  <c r="A140" i="49" s="1"/>
  <c r="A227" i="49" s="1"/>
  <c r="A45" i="49"/>
  <c r="A132" i="49" s="1"/>
  <c r="A219" i="49" s="1"/>
  <c r="A37" i="49"/>
  <c r="A124" i="49" s="1"/>
  <c r="A211" i="49" s="1"/>
  <c r="A82" i="49"/>
  <c r="A169" i="49" s="1"/>
  <c r="A256" i="49" s="1"/>
  <c r="A74" i="49"/>
  <c r="A161" i="49" s="1"/>
  <c r="A248" i="49" s="1"/>
  <c r="A66" i="49"/>
  <c r="A153" i="49" s="1"/>
  <c r="A240" i="49" s="1"/>
  <c r="A111" i="49"/>
  <c r="A198" i="49" s="1"/>
  <c r="A285" i="49" s="1"/>
  <c r="A103" i="49"/>
  <c r="A190" i="49" s="1"/>
  <c r="A277" i="49" s="1"/>
  <c r="A95" i="49"/>
  <c r="A182" i="49" s="1"/>
  <c r="A269" i="49" s="1"/>
  <c r="A58" i="49"/>
  <c r="A145" i="49" s="1"/>
  <c r="A232" i="49" s="1"/>
  <c r="A50" i="49"/>
  <c r="A137" i="49" s="1"/>
  <c r="A224" i="49" s="1"/>
  <c r="A42" i="49"/>
  <c r="A129" i="49" s="1"/>
  <c r="A216" i="49" s="1"/>
  <c r="A87" i="49"/>
  <c r="A174" i="49" s="1"/>
  <c r="A261" i="49" s="1"/>
  <c r="A79" i="49"/>
  <c r="A166" i="49" s="1"/>
  <c r="A253" i="49" s="1"/>
  <c r="A71" i="49"/>
  <c r="A158" i="49" s="1"/>
  <c r="A245" i="49" s="1"/>
  <c r="A116" i="49"/>
  <c r="A203" i="49" s="1"/>
  <c r="A290" i="49" s="1"/>
  <c r="A108" i="49"/>
  <c r="A195" i="49" s="1"/>
  <c r="A282" i="49" s="1"/>
  <c r="A100" i="49"/>
  <c r="A187" i="49" s="1"/>
  <c r="A274" i="49" s="1"/>
  <c r="A56" i="49"/>
  <c r="A143" i="49" s="1"/>
  <c r="A230" i="49" s="1"/>
  <c r="A48" i="49"/>
  <c r="A135" i="49" s="1"/>
  <c r="A222" i="49" s="1"/>
  <c r="A40" i="49"/>
  <c r="A127" i="49" s="1"/>
  <c r="A214" i="49" s="1"/>
  <c r="A85" i="49"/>
  <c r="A172" i="49" s="1"/>
  <c r="A259" i="49" s="1"/>
  <c r="A77" i="49"/>
  <c r="A164" i="49" s="1"/>
  <c r="A251" i="49" s="1"/>
  <c r="A69" i="49"/>
  <c r="A156" i="49" s="1"/>
  <c r="A243" i="49" s="1"/>
  <c r="A114" i="49"/>
  <c r="A201" i="49" s="1"/>
  <c r="A288" i="49" s="1"/>
  <c r="A106" i="49"/>
  <c r="A193" i="49" s="1"/>
  <c r="A280" i="49" s="1"/>
  <c r="A98" i="49"/>
  <c r="A185" i="49" s="1"/>
  <c r="A272" i="49" s="1"/>
  <c r="F29" i="49" l="1"/>
  <c r="F22" i="49"/>
  <c r="F16" i="49"/>
  <c r="F30" i="49"/>
  <c r="F25" i="49"/>
  <c r="F17" i="49"/>
  <c r="F11" i="49"/>
  <c r="F26" i="49"/>
  <c r="A15" i="44" l="1"/>
  <c r="A6" i="44"/>
  <c r="A7" i="44"/>
  <c r="A5" i="44"/>
  <c r="A109" i="71"/>
  <c r="A120" i="71"/>
  <c r="A84" i="71"/>
  <c r="A85" i="71"/>
  <c r="A67" i="18"/>
  <c r="A50" i="71"/>
  <c r="A88" i="71"/>
  <c r="A126" i="71"/>
  <c r="A73" i="18"/>
  <c r="A74" i="18"/>
  <c r="A93" i="71"/>
  <c r="A131" i="71"/>
  <c r="A96" i="71"/>
  <c r="A134" i="71"/>
  <c r="A61" i="71"/>
  <c r="A136" i="71"/>
  <c r="A139" i="71"/>
  <c r="A104" i="71"/>
  <c r="A142" i="71"/>
  <c r="A119" i="71"/>
  <c r="A18" i="16"/>
  <c r="A9" i="16"/>
  <c r="A10" i="16"/>
  <c r="A11" i="16"/>
  <c r="A12" i="16"/>
  <c r="A13" i="16"/>
  <c r="A14" i="16"/>
  <c r="A15" i="16"/>
  <c r="A16" i="16"/>
  <c r="A8" i="16"/>
  <c r="L34" i="16" l="1"/>
  <c r="W54" i="16"/>
  <c r="W72" i="16"/>
  <c r="L54" i="16"/>
  <c r="W34" i="16"/>
  <c r="L72" i="16"/>
  <c r="L50" i="16"/>
  <c r="W30" i="16"/>
  <c r="L68" i="16"/>
  <c r="L30" i="16"/>
  <c r="W50" i="16"/>
  <c r="W68" i="16"/>
  <c r="W46" i="16"/>
  <c r="L46" i="16"/>
  <c r="W26" i="16"/>
  <c r="W64" i="16"/>
  <c r="L64" i="16"/>
  <c r="L26" i="16"/>
  <c r="L33" i="16"/>
  <c r="L71" i="16"/>
  <c r="W53" i="16"/>
  <c r="W71" i="16"/>
  <c r="L53" i="16"/>
  <c r="W33" i="16"/>
  <c r="L70" i="16"/>
  <c r="L32" i="16"/>
  <c r="W32" i="16"/>
  <c r="W52" i="16"/>
  <c r="W70" i="16"/>
  <c r="L52" i="16"/>
  <c r="W31" i="16"/>
  <c r="L69" i="16"/>
  <c r="L31" i="16"/>
  <c r="L51" i="16"/>
  <c r="W69" i="16"/>
  <c r="W51" i="16"/>
  <c r="W67" i="16"/>
  <c r="L49" i="16"/>
  <c r="W29" i="16"/>
  <c r="L67" i="16"/>
  <c r="L29" i="16"/>
  <c r="W49" i="16"/>
  <c r="W66" i="16"/>
  <c r="L48" i="16"/>
  <c r="L66" i="16"/>
  <c r="W28" i="16"/>
  <c r="L28" i="16"/>
  <c r="W48" i="16"/>
  <c r="W47" i="16"/>
  <c r="W65" i="16"/>
  <c r="L47" i="16"/>
  <c r="W27" i="16"/>
  <c r="L65" i="16"/>
  <c r="L27" i="16"/>
  <c r="A51" i="18"/>
  <c r="W56" i="16"/>
  <c r="W74" i="16"/>
  <c r="L56" i="16"/>
  <c r="W36" i="16"/>
  <c r="L74" i="16"/>
  <c r="L36" i="16"/>
  <c r="A56" i="71"/>
  <c r="A49" i="71"/>
  <c r="L14" i="75"/>
  <c r="A103" i="71"/>
  <c r="A90" i="71"/>
  <c r="A87" i="71"/>
  <c r="A133" i="71"/>
  <c r="A65" i="71"/>
  <c r="A141" i="71"/>
  <c r="A57" i="71"/>
  <c r="A102" i="71"/>
  <c r="A135" i="71"/>
  <c r="A125" i="71"/>
  <c r="A143" i="71"/>
  <c r="A86" i="71"/>
  <c r="A72" i="71"/>
  <c r="A106" i="71"/>
  <c r="A45" i="71"/>
  <c r="A54" i="71"/>
  <c r="A132" i="71"/>
  <c r="A146" i="71"/>
  <c r="A69" i="71"/>
  <c r="A53" i="71"/>
  <c r="A99" i="71"/>
  <c r="A83" i="71"/>
  <c r="A130" i="71"/>
  <c r="A66" i="18"/>
  <c r="A98" i="71"/>
  <c r="A127" i="71"/>
  <c r="A64" i="71"/>
  <c r="A48" i="71"/>
  <c r="A95" i="71"/>
  <c r="A25" i="18"/>
  <c r="A62" i="71"/>
  <c r="A46" i="71"/>
  <c r="A94" i="71"/>
  <c r="A140" i="71"/>
  <c r="A124" i="71"/>
  <c r="A82" i="71"/>
  <c r="A91" i="71"/>
  <c r="A138" i="71"/>
  <c r="A122" i="71"/>
  <c r="A64" i="18"/>
  <c r="A72" i="18"/>
  <c r="A63" i="71"/>
  <c r="A55" i="71"/>
  <c r="A47" i="71"/>
  <c r="A101" i="71"/>
  <c r="A123" i="71"/>
  <c r="A71" i="18"/>
  <c r="A137" i="71"/>
  <c r="A129" i="71"/>
  <c r="A121" i="71"/>
  <c r="A65" i="18"/>
  <c r="A68" i="71"/>
  <c r="A60" i="71"/>
  <c r="A52" i="71"/>
  <c r="A128" i="71"/>
  <c r="A100" i="71"/>
  <c r="A92" i="71"/>
  <c r="A67" i="71"/>
  <c r="A59" i="71"/>
  <c r="A51" i="71"/>
  <c r="A105" i="71"/>
  <c r="A97" i="71"/>
  <c r="A89" i="71"/>
  <c r="A66" i="71"/>
  <c r="A58" i="71"/>
  <c r="L23" i="76" l="1"/>
  <c r="L70" i="76"/>
  <c r="L49" i="76"/>
  <c r="L96" i="76"/>
  <c r="L23" i="75"/>
  <c r="A87" i="18"/>
  <c r="A96" i="18"/>
  <c r="L18" i="75"/>
  <c r="L17" i="75"/>
  <c r="A93" i="18"/>
  <c r="A81" i="18"/>
  <c r="L29" i="75"/>
  <c r="A100" i="18"/>
  <c r="L10" i="75"/>
  <c r="A77" i="18"/>
  <c r="L33" i="75"/>
  <c r="A70" i="18"/>
  <c r="L40" i="75"/>
  <c r="L4" i="83" l="1"/>
  <c r="O4" i="83" s="1"/>
  <c r="R4" i="83" s="1"/>
  <c r="F4" i="83"/>
  <c r="E4" i="83"/>
  <c r="H4" i="83" l="1"/>
  <c r="AM5" i="80"/>
  <c r="Z5" i="80"/>
  <c r="K4" i="83" l="1"/>
  <c r="N4" i="83" s="1"/>
  <c r="Q4" i="83" s="1"/>
  <c r="A67" i="80" l="1"/>
  <c r="A66" i="80"/>
  <c r="A65" i="80"/>
  <c r="A64" i="80"/>
  <c r="A63" i="80"/>
  <c r="A62" i="80"/>
  <c r="A61" i="80"/>
  <c r="A59" i="80"/>
  <c r="A58" i="80"/>
  <c r="A57" i="80"/>
  <c r="A56" i="80"/>
  <c r="A55" i="80"/>
  <c r="A54" i="80"/>
  <c r="A53" i="80"/>
  <c r="A51" i="80"/>
  <c r="A50" i="80"/>
  <c r="A49" i="80"/>
  <c r="A48" i="80"/>
  <c r="A47" i="80"/>
  <c r="A46" i="80"/>
  <c r="A45" i="80"/>
  <c r="A44" i="80"/>
  <c r="A71" i="80"/>
  <c r="I41" i="80"/>
  <c r="C41" i="80"/>
  <c r="A41" i="80"/>
  <c r="N40" i="80"/>
  <c r="K40" i="80"/>
  <c r="H40" i="80"/>
  <c r="K39" i="80"/>
  <c r="A35" i="80"/>
  <c r="AT14" i="80"/>
  <c r="AT12" i="80"/>
  <c r="AT10" i="80"/>
  <c r="AT8" i="80"/>
  <c r="L5" i="80"/>
  <c r="O5" i="80" s="1"/>
  <c r="R5" i="80" s="1"/>
  <c r="F5" i="80"/>
  <c r="F41" i="80" s="1"/>
  <c r="E5" i="80"/>
  <c r="E41" i="80" s="1"/>
  <c r="H55" i="80" l="1"/>
  <c r="I63" i="80"/>
  <c r="R65" i="80"/>
  <c r="I46" i="80"/>
  <c r="I65" i="80"/>
  <c r="H65" i="80"/>
  <c r="R68" i="80"/>
  <c r="R60" i="80"/>
  <c r="R59" i="80"/>
  <c r="R52" i="80"/>
  <c r="R51" i="80"/>
  <c r="I61" i="80"/>
  <c r="I53" i="80"/>
  <c r="I45" i="80"/>
  <c r="R63" i="80"/>
  <c r="H57" i="80"/>
  <c r="H51" i="80"/>
  <c r="I47" i="80"/>
  <c r="R66" i="80"/>
  <c r="R67" i="80"/>
  <c r="R50" i="80"/>
  <c r="I62" i="80"/>
  <c r="I58" i="80"/>
  <c r="I54" i="80"/>
  <c r="H67" i="80"/>
  <c r="R61" i="80"/>
  <c r="R62" i="80"/>
  <c r="H58" i="80"/>
  <c r="I56" i="80"/>
  <c r="R55" i="80"/>
  <c r="I55" i="80"/>
  <c r="R54" i="80"/>
  <c r="R53" i="80"/>
  <c r="R47" i="80"/>
  <c r="I48" i="80"/>
  <c r="R46" i="80"/>
  <c r="I51" i="80"/>
  <c r="I59" i="80"/>
  <c r="I67" i="80"/>
  <c r="R48" i="80"/>
  <c r="R56" i="80"/>
  <c r="R64" i="80"/>
  <c r="I64" i="80"/>
  <c r="I57" i="80"/>
  <c r="I50" i="80"/>
  <c r="F64" i="80"/>
  <c r="I52" i="80"/>
  <c r="I60" i="80"/>
  <c r="I68" i="80"/>
  <c r="R49" i="80"/>
  <c r="R57" i="80"/>
  <c r="I49" i="80"/>
  <c r="H59" i="80"/>
  <c r="C61" i="80"/>
  <c r="I66" i="80"/>
  <c r="H62" i="80"/>
  <c r="R58" i="80"/>
  <c r="H49" i="80"/>
  <c r="H48" i="80"/>
  <c r="H60" i="80"/>
  <c r="H52" i="80"/>
  <c r="H68" i="80"/>
  <c r="H66" i="80"/>
  <c r="H47" i="80"/>
  <c r="H50" i="80"/>
  <c r="H56" i="80"/>
  <c r="H63" i="80"/>
  <c r="H54" i="80"/>
  <c r="H45" i="80"/>
  <c r="H53" i="80"/>
  <c r="H61" i="80"/>
  <c r="H46" i="80"/>
  <c r="H64" i="80"/>
  <c r="H5" i="80"/>
  <c r="H41" i="80" s="1"/>
  <c r="A52" i="80"/>
  <c r="A60" i="80"/>
  <c r="A68" i="80"/>
  <c r="I4" i="80"/>
  <c r="A1" i="80" s="1"/>
  <c r="L41" i="80"/>
  <c r="O41" i="80" s="1"/>
  <c r="R41" i="80" s="1"/>
  <c r="A37" i="79"/>
  <c r="A112" i="78"/>
  <c r="Z132" i="78"/>
  <c r="Z120" i="78"/>
  <c r="X120" i="78"/>
  <c r="M132" i="78"/>
  <c r="O126" i="78"/>
  <c r="M121" i="78"/>
  <c r="D95" i="78"/>
  <c r="E84" i="78"/>
  <c r="B126" i="78"/>
  <c r="B124" i="78"/>
  <c r="D121" i="78"/>
  <c r="Z95" i="78"/>
  <c r="Y43" i="78"/>
  <c r="A106" i="78"/>
  <c r="L106" i="78" s="1"/>
  <c r="AH106" i="78" s="1"/>
  <c r="BD106" i="78" s="1"/>
  <c r="BZ106" i="78" s="1"/>
  <c r="A142" i="78"/>
  <c r="L142" i="78" s="1"/>
  <c r="AH142" i="78" s="1"/>
  <c r="BD142" i="78" s="1"/>
  <c r="BZ142" i="78" s="1"/>
  <c r="A103" i="78"/>
  <c r="W103" i="78" s="1"/>
  <c r="AS103" i="78" s="1"/>
  <c r="BO103" i="78" s="1"/>
  <c r="CK103" i="78" s="1"/>
  <c r="A63" i="78"/>
  <c r="L63" i="78" s="1"/>
  <c r="AH63" i="78" s="1"/>
  <c r="BD63" i="78" s="1"/>
  <c r="BZ63" i="78" s="1"/>
  <c r="A98" i="78"/>
  <c r="L98" i="78" s="1"/>
  <c r="AH98" i="78" s="1"/>
  <c r="BD98" i="78" s="1"/>
  <c r="BZ98" i="78" s="1"/>
  <c r="A95" i="78"/>
  <c r="W95" i="78" s="1"/>
  <c r="AS95" i="78" s="1"/>
  <c r="BO95" i="78" s="1"/>
  <c r="CK95" i="78" s="1"/>
  <c r="A55" i="78"/>
  <c r="L55" i="78" s="1"/>
  <c r="AH55" i="78" s="1"/>
  <c r="BD55" i="78" s="1"/>
  <c r="BZ55" i="78" s="1"/>
  <c r="A90" i="78"/>
  <c r="L90" i="78" s="1"/>
  <c r="AH90" i="78" s="1"/>
  <c r="BD90" i="78" s="1"/>
  <c r="BZ90" i="78" s="1"/>
  <c r="A126" i="78"/>
  <c r="L126" i="78" s="1"/>
  <c r="AH126" i="78" s="1"/>
  <c r="BD126" i="78" s="1"/>
  <c r="BZ126" i="78" s="1"/>
  <c r="A87" i="78"/>
  <c r="W87" i="78" s="1"/>
  <c r="AS87" i="78" s="1"/>
  <c r="BO87" i="78" s="1"/>
  <c r="CK87" i="78" s="1"/>
  <c r="A47" i="78"/>
  <c r="L47" i="78" s="1"/>
  <c r="AH47" i="78" s="1"/>
  <c r="BD47" i="78" s="1"/>
  <c r="BZ47" i="78" s="1"/>
  <c r="A83" i="78"/>
  <c r="L83" i="78" s="1"/>
  <c r="AH83" i="78" s="1"/>
  <c r="BD83" i="78" s="1"/>
  <c r="BZ83" i="78" s="1"/>
  <c r="A119" i="78"/>
  <c r="L119" i="78" s="1"/>
  <c r="AH119" i="78" s="1"/>
  <c r="BD119" i="78" s="1"/>
  <c r="BZ119" i="78" s="1"/>
  <c r="W146" i="78"/>
  <c r="L146" i="78"/>
  <c r="A146" i="78"/>
  <c r="Z133" i="78"/>
  <c r="AA131" i="78"/>
  <c r="M126" i="78"/>
  <c r="O124" i="78"/>
  <c r="AA119" i="78"/>
  <c r="X119" i="78"/>
  <c r="Z117" i="78"/>
  <c r="E117" i="78"/>
  <c r="W109" i="78"/>
  <c r="L109" i="78"/>
  <c r="A109" i="78"/>
  <c r="Z96" i="78"/>
  <c r="O87" i="78"/>
  <c r="Z84" i="78"/>
  <c r="E80" i="78"/>
  <c r="W72" i="78"/>
  <c r="L72" i="78"/>
  <c r="A72" i="78"/>
  <c r="AA43" i="78"/>
  <c r="Z43" i="78"/>
  <c r="U43" i="78"/>
  <c r="U80" i="78" s="1"/>
  <c r="T43" i="78"/>
  <c r="T80" i="78" s="1"/>
  <c r="S43" i="78"/>
  <c r="S80" i="78" s="1"/>
  <c r="P43" i="78"/>
  <c r="O43" i="78"/>
  <c r="J43" i="78"/>
  <c r="J80" i="78" s="1"/>
  <c r="I43" i="78"/>
  <c r="I80" i="78" s="1"/>
  <c r="H43" i="78"/>
  <c r="H80" i="78" s="1"/>
  <c r="F43" i="78"/>
  <c r="E43" i="78"/>
  <c r="D43" i="78"/>
  <c r="U42" i="78"/>
  <c r="U79" i="78" s="1"/>
  <c r="T42" i="78"/>
  <c r="T79" i="78" s="1"/>
  <c r="S42" i="78"/>
  <c r="S79" i="78" s="1"/>
  <c r="J42" i="78"/>
  <c r="J79" i="78" s="1"/>
  <c r="I42" i="78"/>
  <c r="I79" i="78" s="1"/>
  <c r="H42" i="78"/>
  <c r="H79" i="78" s="1"/>
  <c r="H78" i="78"/>
  <c r="Z80" i="78" l="1"/>
  <c r="X87" i="78"/>
  <c r="AB43" i="78"/>
  <c r="AA96" i="78"/>
  <c r="AA117" i="78"/>
  <c r="P82" i="78"/>
  <c r="Q43" i="78"/>
  <c r="W75" i="78"/>
  <c r="AA94" i="78"/>
  <c r="AA80" i="78"/>
  <c r="AA95" i="78"/>
  <c r="P117" i="78"/>
  <c r="X43" i="78"/>
  <c r="M43" i="78"/>
  <c r="M117" i="78"/>
  <c r="X82" i="78"/>
  <c r="X117" i="78"/>
  <c r="X80" i="78"/>
  <c r="AA86" i="78"/>
  <c r="A128" i="78"/>
  <c r="L128" i="78" s="1"/>
  <c r="AH128" i="78" s="1"/>
  <c r="BD128" i="78" s="1"/>
  <c r="BZ128" i="78" s="1"/>
  <c r="A136" i="78"/>
  <c r="L136" i="78" s="1"/>
  <c r="AH136" i="78" s="1"/>
  <c r="BD136" i="78" s="1"/>
  <c r="BZ136" i="78" s="1"/>
  <c r="W119" i="78"/>
  <c r="AS119" i="78" s="1"/>
  <c r="BO119" i="78" s="1"/>
  <c r="CK119" i="78" s="1"/>
  <c r="A127" i="78"/>
  <c r="W127" i="78" s="1"/>
  <c r="AS127" i="78" s="1"/>
  <c r="BO127" i="78" s="1"/>
  <c r="CK127" i="78" s="1"/>
  <c r="A135" i="78"/>
  <c r="W135" i="78" s="1"/>
  <c r="AS135" i="78" s="1"/>
  <c r="BO135" i="78" s="1"/>
  <c r="CK135" i="78" s="1"/>
  <c r="W83" i="78"/>
  <c r="AS83" i="78" s="1"/>
  <c r="BO83" i="78" s="1"/>
  <c r="CK83" i="78" s="1"/>
  <c r="L87" i="78"/>
  <c r="AH87" i="78" s="1"/>
  <c r="BD87" i="78" s="1"/>
  <c r="BZ87" i="78" s="1"/>
  <c r="W98" i="78"/>
  <c r="AS98" i="78" s="1"/>
  <c r="BO98" i="78" s="1"/>
  <c r="CK98" i="78" s="1"/>
  <c r="A120" i="78"/>
  <c r="L120" i="78" s="1"/>
  <c r="AH120" i="78" s="1"/>
  <c r="BD120" i="78" s="1"/>
  <c r="BZ120" i="78" s="1"/>
  <c r="W106" i="78"/>
  <c r="AS106" i="78" s="1"/>
  <c r="BO106" i="78" s="1"/>
  <c r="CK106" i="78" s="1"/>
  <c r="A85" i="78"/>
  <c r="L85" i="78" s="1"/>
  <c r="AH85" i="78" s="1"/>
  <c r="BD85" i="78" s="1"/>
  <c r="BZ85" i="78" s="1"/>
  <c r="L95" i="78"/>
  <c r="AH95" i="78" s="1"/>
  <c r="BD95" i="78" s="1"/>
  <c r="BZ95" i="78" s="1"/>
  <c r="A92" i="78"/>
  <c r="L92" i="78" s="1"/>
  <c r="AH92" i="78" s="1"/>
  <c r="BD92" i="78" s="1"/>
  <c r="BZ92" i="78" s="1"/>
  <c r="A130" i="78"/>
  <c r="L103" i="78"/>
  <c r="AH103" i="78" s="1"/>
  <c r="BD103" i="78" s="1"/>
  <c r="BZ103" i="78" s="1"/>
  <c r="W90" i="78"/>
  <c r="AS90" i="78" s="1"/>
  <c r="BO90" i="78" s="1"/>
  <c r="CK90" i="78" s="1"/>
  <c r="A138" i="78"/>
  <c r="A84" i="78"/>
  <c r="L84" i="78" s="1"/>
  <c r="AH84" i="78" s="1"/>
  <c r="BD84" i="78" s="1"/>
  <c r="BZ84" i="78" s="1"/>
  <c r="W47" i="78"/>
  <c r="AS47" i="78" s="1"/>
  <c r="BO47" i="78" s="1"/>
  <c r="CK47" i="78" s="1"/>
  <c r="W55" i="78"/>
  <c r="AS55" i="78" s="1"/>
  <c r="BO55" i="78" s="1"/>
  <c r="CK55" i="78" s="1"/>
  <c r="A122" i="78"/>
  <c r="W63" i="78"/>
  <c r="AS63" i="78" s="1"/>
  <c r="BO63" i="78" s="1"/>
  <c r="CK63" i="78" s="1"/>
  <c r="A56" i="78"/>
  <c r="A143" i="78"/>
  <c r="L143" i="78" s="1"/>
  <c r="AH143" i="78" s="1"/>
  <c r="BD143" i="78" s="1"/>
  <c r="BZ143" i="78" s="1"/>
  <c r="A104" i="78"/>
  <c r="A141" i="78"/>
  <c r="A52" i="78"/>
  <c r="A60" i="78"/>
  <c r="A68" i="78"/>
  <c r="W142" i="78"/>
  <c r="AS142" i="78" s="1"/>
  <c r="BO142" i="78" s="1"/>
  <c r="CK142" i="78" s="1"/>
  <c r="A125" i="78"/>
  <c r="A96" i="78"/>
  <c r="A133" i="78"/>
  <c r="A134" i="78"/>
  <c r="W126" i="78"/>
  <c r="AS126" i="78" s="1"/>
  <c r="BO126" i="78" s="1"/>
  <c r="CK126" i="78" s="1"/>
  <c r="A48" i="78"/>
  <c r="A93" i="78"/>
  <c r="A121" i="78"/>
  <c r="A129" i="78"/>
  <c r="A137" i="78"/>
  <c r="A64" i="78"/>
  <c r="A101" i="78"/>
  <c r="A123" i="78"/>
  <c r="A131" i="78"/>
  <c r="A139" i="78"/>
  <c r="A100" i="78"/>
  <c r="A124" i="78"/>
  <c r="A132" i="78"/>
  <c r="A140" i="78"/>
  <c r="F46" i="80"/>
  <c r="F57" i="80"/>
  <c r="F61" i="80"/>
  <c r="F45" i="80"/>
  <c r="F47" i="80"/>
  <c r="F49" i="80"/>
  <c r="K61" i="80"/>
  <c r="K48" i="80"/>
  <c r="L48" i="80" s="1"/>
  <c r="K53" i="80"/>
  <c r="C59" i="80"/>
  <c r="K59" i="80"/>
  <c r="K68" i="80"/>
  <c r="K66" i="80"/>
  <c r="C45" i="80"/>
  <c r="K62" i="80"/>
  <c r="K65" i="80"/>
  <c r="C67" i="80"/>
  <c r="K56" i="80"/>
  <c r="L56" i="80" s="1"/>
  <c r="K58" i="80"/>
  <c r="N58" i="80" s="1"/>
  <c r="O58" i="80" s="1"/>
  <c r="K49" i="80"/>
  <c r="C49" i="80"/>
  <c r="K54" i="80"/>
  <c r="K55" i="80"/>
  <c r="N55" i="80" s="1"/>
  <c r="O55" i="80" s="1"/>
  <c r="K63" i="80"/>
  <c r="L63" i="80" s="1"/>
  <c r="K67" i="80"/>
  <c r="C62" i="80"/>
  <c r="K50" i="80"/>
  <c r="H71" i="80"/>
  <c r="K51" i="80"/>
  <c r="C55" i="80"/>
  <c r="C54" i="80"/>
  <c r="C63" i="80"/>
  <c r="C52" i="80"/>
  <c r="K45" i="80"/>
  <c r="K47" i="80"/>
  <c r="K57" i="80"/>
  <c r="K60" i="80"/>
  <c r="N60" i="80" s="1"/>
  <c r="O60" i="80" s="1"/>
  <c r="C68" i="80"/>
  <c r="X13" i="79"/>
  <c r="AA126" i="78"/>
  <c r="AA124" i="78"/>
  <c r="AA121" i="78"/>
  <c r="Z83" i="78"/>
  <c r="Z126" i="78"/>
  <c r="X125" i="78"/>
  <c r="X94" i="78"/>
  <c r="O95" i="78"/>
  <c r="P119" i="78"/>
  <c r="O119" i="78"/>
  <c r="M131" i="78"/>
  <c r="E131" i="78"/>
  <c r="E124" i="78"/>
  <c r="E121" i="78"/>
  <c r="E120" i="78"/>
  <c r="E132" i="78"/>
  <c r="D124" i="78"/>
  <c r="B133" i="78"/>
  <c r="B120" i="78"/>
  <c r="B131" i="78"/>
  <c r="D80" i="78"/>
  <c r="B43" i="78"/>
  <c r="B83" i="78"/>
  <c r="P96" i="78"/>
  <c r="P80" i="78"/>
  <c r="O80" i="78"/>
  <c r="O82" i="78"/>
  <c r="O117" i="78"/>
  <c r="P88" i="78"/>
  <c r="L38" i="78"/>
  <c r="M84" i="78"/>
  <c r="X22" i="79"/>
  <c r="AA132" i="78"/>
  <c r="AA84" i="78"/>
  <c r="AA120" i="78"/>
  <c r="AA83" i="78"/>
  <c r="Z121" i="78"/>
  <c r="Z88" i="78"/>
  <c r="Z125" i="78"/>
  <c r="X131" i="78"/>
  <c r="X89" i="78"/>
  <c r="X126" i="78"/>
  <c r="X83" i="78"/>
  <c r="P91" i="78"/>
  <c r="P131" i="78"/>
  <c r="O132" i="78"/>
  <c r="O131" i="78"/>
  <c r="M124" i="78"/>
  <c r="E133" i="78"/>
  <c r="E126" i="78"/>
  <c r="E125" i="78"/>
  <c r="E119" i="78"/>
  <c r="D133" i="78"/>
  <c r="E94" i="78"/>
  <c r="D125" i="78"/>
  <c r="D120" i="78"/>
  <c r="E83" i="78"/>
  <c r="D132" i="78"/>
  <c r="D131" i="78"/>
  <c r="D126" i="78"/>
  <c r="B132" i="78"/>
  <c r="B125" i="78"/>
  <c r="B87" i="78"/>
  <c r="B121" i="78"/>
  <c r="E89" i="78"/>
  <c r="D87" i="78"/>
  <c r="E95" i="78"/>
  <c r="E87" i="78"/>
  <c r="E88" i="78"/>
  <c r="E96" i="78"/>
  <c r="D89" i="78"/>
  <c r="D83" i="78"/>
  <c r="D96" i="78"/>
  <c r="D94" i="78"/>
  <c r="D84" i="78"/>
  <c r="D88" i="78"/>
  <c r="B117" i="78"/>
  <c r="B95" i="78"/>
  <c r="C43" i="78"/>
  <c r="B88" i="78"/>
  <c r="B94" i="78"/>
  <c r="B96" i="78"/>
  <c r="B89" i="78"/>
  <c r="B84" i="78"/>
  <c r="K46" i="80"/>
  <c r="K64" i="80"/>
  <c r="N64" i="80" s="1"/>
  <c r="O64" i="80" s="1"/>
  <c r="C60" i="80"/>
  <c r="F48" i="80"/>
  <c r="C66" i="80"/>
  <c r="C46" i="80"/>
  <c r="C53" i="80"/>
  <c r="F51" i="80"/>
  <c r="C71" i="80"/>
  <c r="I71" i="80"/>
  <c r="C65" i="80"/>
  <c r="C50" i="80"/>
  <c r="C58" i="80"/>
  <c r="C64" i="80"/>
  <c r="C47" i="80"/>
  <c r="K52" i="80"/>
  <c r="F66" i="80"/>
  <c r="F65" i="80"/>
  <c r="F63" i="80"/>
  <c r="F59" i="80"/>
  <c r="F68" i="80"/>
  <c r="F62" i="80"/>
  <c r="F54" i="80"/>
  <c r="F53" i="80"/>
  <c r="F71" i="80"/>
  <c r="F58" i="80"/>
  <c r="F60" i="80"/>
  <c r="F55" i="80"/>
  <c r="F67" i="80"/>
  <c r="F52" i="80"/>
  <c r="C56" i="80"/>
  <c r="F50" i="80"/>
  <c r="C51" i="80"/>
  <c r="F56" i="80"/>
  <c r="C57" i="80"/>
  <c r="C48" i="80"/>
  <c r="K5" i="80"/>
  <c r="N5" i="80" s="1"/>
  <c r="Q5" i="80" s="1"/>
  <c r="Q41" i="80" s="1"/>
  <c r="D93" i="78"/>
  <c r="M141" i="78"/>
  <c r="M134" i="78"/>
  <c r="P135" i="78"/>
  <c r="AA136" i="78"/>
  <c r="O127" i="78"/>
  <c r="M142" i="78"/>
  <c r="P130" i="78"/>
  <c r="O102" i="78"/>
  <c r="P85" i="78"/>
  <c r="O143" i="78"/>
  <c r="K41" i="80"/>
  <c r="N41" i="80" s="1"/>
  <c r="X127" i="78"/>
  <c r="X102" i="78"/>
  <c r="B102" i="78"/>
  <c r="X90" i="78"/>
  <c r="AA91" i="78"/>
  <c r="X139" i="78"/>
  <c r="O137" i="78"/>
  <c r="AA130" i="78"/>
  <c r="Z139" i="78"/>
  <c r="D129" i="78"/>
  <c r="O140" i="78"/>
  <c r="X142" i="78"/>
  <c r="D106" i="78"/>
  <c r="P122" i="78"/>
  <c r="O106" i="78"/>
  <c r="X136" i="78"/>
  <c r="AA140" i="78"/>
  <c r="X101" i="78"/>
  <c r="P123" i="78"/>
  <c r="O103" i="78"/>
  <c r="B123" i="78"/>
  <c r="B127" i="78"/>
  <c r="B135" i="78"/>
  <c r="B139" i="78"/>
  <c r="E130" i="78"/>
  <c r="E134" i="78"/>
  <c r="E142" i="78"/>
  <c r="M139" i="78"/>
  <c r="B91" i="78"/>
  <c r="F55" i="78"/>
  <c r="X128" i="78"/>
  <c r="D90" i="78"/>
  <c r="B92" i="78"/>
  <c r="B100" i="78"/>
  <c r="E91" i="78"/>
  <c r="E103" i="78"/>
  <c r="M140" i="78"/>
  <c r="O86" i="78"/>
  <c r="P138" i="78"/>
  <c r="AA99" i="78"/>
  <c r="X106" i="78"/>
  <c r="Z97" i="78"/>
  <c r="B97" i="78"/>
  <c r="B138" i="78"/>
  <c r="E141" i="78"/>
  <c r="B86" i="78"/>
  <c r="B90" i="78"/>
  <c r="B98" i="78"/>
  <c r="E93" i="78"/>
  <c r="E101" i="78"/>
  <c r="E105" i="78"/>
  <c r="X28" i="79"/>
  <c r="D91" i="78"/>
  <c r="E140" i="78"/>
  <c r="P106" i="78"/>
  <c r="P143" i="78"/>
  <c r="D128" i="78"/>
  <c r="E128" i="78"/>
  <c r="X98" i="78"/>
  <c r="X135" i="78"/>
  <c r="Z102" i="78"/>
  <c r="X105" i="78"/>
  <c r="AA143" i="78"/>
  <c r="O90" i="78"/>
  <c r="O130" i="78"/>
  <c r="P93" i="78"/>
  <c r="Z103" i="78"/>
  <c r="B129" i="78"/>
  <c r="B137" i="78"/>
  <c r="B104" i="78"/>
  <c r="X86" i="78"/>
  <c r="AA127" i="78"/>
  <c r="X138" i="78"/>
  <c r="AA139" i="78"/>
  <c r="B85" i="78"/>
  <c r="B101" i="78"/>
  <c r="E92" i="78"/>
  <c r="D141" i="78"/>
  <c r="O138" i="78"/>
  <c r="M104" i="78"/>
  <c r="M122" i="78"/>
  <c r="O134" i="78"/>
  <c r="M137" i="78"/>
  <c r="D136" i="78"/>
  <c r="E122" i="78"/>
  <c r="B141" i="78"/>
  <c r="Z99" i="78"/>
  <c r="AA142" i="78"/>
  <c r="B103" i="78"/>
  <c r="E90" i="78"/>
  <c r="X18" i="79"/>
  <c r="O28" i="79"/>
  <c r="D85" i="78"/>
  <c r="D139" i="78"/>
  <c r="E102" i="78"/>
  <c r="D100" i="78"/>
  <c r="P101" i="78"/>
  <c r="X85" i="78"/>
  <c r="X122" i="78"/>
  <c r="D86" i="78"/>
  <c r="D101" i="78"/>
  <c r="B128" i="78"/>
  <c r="B136" i="78"/>
  <c r="E123" i="78"/>
  <c r="E127" i="78"/>
  <c r="E139" i="78"/>
  <c r="E143" i="78"/>
  <c r="D104" i="78"/>
  <c r="D127" i="78"/>
  <c r="O85" i="78"/>
  <c r="D123" i="78"/>
  <c r="D135" i="78"/>
  <c r="E98" i="78"/>
  <c r="E106" i="78"/>
  <c r="D143" i="78"/>
  <c r="E104" i="78"/>
  <c r="D98" i="78"/>
  <c r="D92" i="78"/>
  <c r="D105" i="78"/>
  <c r="M129" i="78"/>
  <c r="M92" i="78"/>
  <c r="Z140" i="78"/>
  <c r="AA103" i="78"/>
  <c r="E135" i="78"/>
  <c r="B140" i="78"/>
  <c r="B105" i="78"/>
  <c r="E100" i="78"/>
  <c r="D137" i="78"/>
  <c r="M100" i="78"/>
  <c r="Z104" i="78"/>
  <c r="B130" i="78"/>
  <c r="B134" i="78"/>
  <c r="B142" i="78"/>
  <c r="E129" i="78"/>
  <c r="E137" i="78"/>
  <c r="E86" i="78"/>
  <c r="B93" i="78"/>
  <c r="B99" i="78"/>
  <c r="D102" i="78"/>
  <c r="B122" i="78"/>
  <c r="M123" i="78"/>
  <c r="P127" i="78"/>
  <c r="O135" i="78"/>
  <c r="M29" i="79"/>
  <c r="D142" i="78"/>
  <c r="D122" i="78"/>
  <c r="D130" i="78"/>
  <c r="D134" i="78"/>
  <c r="D97" i="78"/>
  <c r="D99" i="78"/>
  <c r="B106" i="78"/>
  <c r="D138" i="78"/>
  <c r="O142" i="78"/>
  <c r="P102" i="78"/>
  <c r="Z136" i="78"/>
  <c r="D60" i="78"/>
  <c r="D140" i="78"/>
  <c r="C66" i="78"/>
  <c r="B143" i="78"/>
  <c r="E138" i="78"/>
  <c r="E85" i="78"/>
  <c r="E97" i="78"/>
  <c r="E99" i="78"/>
  <c r="E136" i="78"/>
  <c r="AA123" i="78"/>
  <c r="AA129" i="78"/>
  <c r="Z91" i="78"/>
  <c r="X93" i="78"/>
  <c r="Z141" i="78"/>
  <c r="X143" i="78"/>
  <c r="N50" i="78"/>
  <c r="AA134" i="78"/>
  <c r="AA137" i="78"/>
  <c r="M136" i="78"/>
  <c r="P99" i="78"/>
  <c r="P104" i="78"/>
  <c r="AA92" i="78"/>
  <c r="X134" i="78"/>
  <c r="AA105" i="78"/>
  <c r="D103" i="78"/>
  <c r="Z129" i="78"/>
  <c r="Z92" i="78"/>
  <c r="X91" i="78"/>
  <c r="Z128" i="78"/>
  <c r="X130" i="78"/>
  <c r="Z123" i="78"/>
  <c r="X123" i="78"/>
  <c r="AA128" i="78"/>
  <c r="Z137" i="78"/>
  <c r="AA102" i="78"/>
  <c r="Z82" i="78"/>
  <c r="Z57" i="78"/>
  <c r="X121" i="78"/>
  <c r="X84" i="78"/>
  <c r="AA85" i="78"/>
  <c r="Z85" i="78"/>
  <c r="Z122" i="78"/>
  <c r="X124" i="78"/>
  <c r="AA88" i="78"/>
  <c r="AA125" i="78"/>
  <c r="Z90" i="78"/>
  <c r="X92" i="78"/>
  <c r="Z130" i="78"/>
  <c r="AA93" i="78"/>
  <c r="Z93" i="78"/>
  <c r="X95" i="78"/>
  <c r="X132" i="78"/>
  <c r="AA133" i="78"/>
  <c r="Z98" i="78"/>
  <c r="X100" i="78"/>
  <c r="Z138" i="78"/>
  <c r="AA101" i="78"/>
  <c r="Z101" i="78"/>
  <c r="X140" i="78"/>
  <c r="X103" i="78"/>
  <c r="AA141" i="78"/>
  <c r="AA104" i="78"/>
  <c r="Z106" i="78"/>
  <c r="Z119" i="78"/>
  <c r="Z127" i="78"/>
  <c r="X129" i="78"/>
  <c r="Z135" i="78"/>
  <c r="Z87" i="78"/>
  <c r="X97" i="78"/>
  <c r="AA122" i="78"/>
  <c r="Z86" i="78"/>
  <c r="AA87" i="78"/>
  <c r="Z94" i="78"/>
  <c r="AA98" i="78"/>
  <c r="X104" i="78"/>
  <c r="Z105" i="78"/>
  <c r="X141" i="78"/>
  <c r="Z142" i="78"/>
  <c r="Z143" i="78"/>
  <c r="AA106" i="78"/>
  <c r="Z124" i="78"/>
  <c r="X137" i="78"/>
  <c r="AA82" i="78"/>
  <c r="X96" i="78"/>
  <c r="AA97" i="78"/>
  <c r="X99" i="78"/>
  <c r="Z131" i="78"/>
  <c r="Z134" i="78"/>
  <c r="AA135" i="78"/>
  <c r="AA138" i="78"/>
  <c r="X88" i="78"/>
  <c r="Z89" i="78"/>
  <c r="AA90" i="78"/>
  <c r="Z100" i="78"/>
  <c r="X133" i="78"/>
  <c r="AA89" i="78"/>
  <c r="AA100" i="78"/>
  <c r="O101" i="78"/>
  <c r="O122" i="78"/>
  <c r="O98" i="78"/>
  <c r="P90" i="78"/>
  <c r="P98" i="78"/>
  <c r="P139" i="78"/>
  <c r="Q62" i="78"/>
  <c r="M135" i="78"/>
  <c r="O120" i="78"/>
  <c r="M101" i="78"/>
  <c r="O91" i="78"/>
  <c r="O104" i="78"/>
  <c r="P86" i="78"/>
  <c r="P84" i="78"/>
  <c r="M88" i="78"/>
  <c r="P92" i="78"/>
  <c r="M69" i="78"/>
  <c r="M82" i="78"/>
  <c r="M130" i="78"/>
  <c r="O88" i="78"/>
  <c r="M119" i="78"/>
  <c r="O83" i="78"/>
  <c r="M125" i="78"/>
  <c r="P126" i="78"/>
  <c r="P94" i="78"/>
  <c r="P134" i="78"/>
  <c r="O99" i="78"/>
  <c r="P142" i="78"/>
  <c r="O125" i="78"/>
  <c r="O133" i="78"/>
  <c r="O141" i="78"/>
  <c r="O93" i="78"/>
  <c r="P125" i="78"/>
  <c r="P133" i="78"/>
  <c r="P141" i="78"/>
  <c r="D117" i="78"/>
  <c r="S78" i="78"/>
  <c r="H41" i="78"/>
  <c r="B80" i="78"/>
  <c r="S41" i="78"/>
  <c r="D82" i="78"/>
  <c r="E82" i="78"/>
  <c r="D119" i="78"/>
  <c r="M83" i="78"/>
  <c r="O89" i="78"/>
  <c r="P95" i="78"/>
  <c r="M99" i="78"/>
  <c r="O105" i="78"/>
  <c r="M138" i="78"/>
  <c r="O84" i="78"/>
  <c r="P89" i="78"/>
  <c r="O94" i="78"/>
  <c r="M98" i="78"/>
  <c r="O100" i="78"/>
  <c r="P105" i="78"/>
  <c r="O123" i="78"/>
  <c r="P124" i="78"/>
  <c r="P132" i="78"/>
  <c r="O139" i="78"/>
  <c r="P140" i="78"/>
  <c r="M120" i="78"/>
  <c r="P83" i="78"/>
  <c r="O121" i="78"/>
  <c r="P87" i="78"/>
  <c r="M91" i="78"/>
  <c r="M96" i="78"/>
  <c r="O97" i="78"/>
  <c r="P103" i="78"/>
  <c r="P121" i="78"/>
  <c r="O128" i="78"/>
  <c r="P129" i="78"/>
  <c r="O136" i="78"/>
  <c r="P137" i="78"/>
  <c r="M128" i="78"/>
  <c r="O129" i="78"/>
  <c r="M143" i="78"/>
  <c r="M90" i="78"/>
  <c r="O92" i="78"/>
  <c r="P97" i="78"/>
  <c r="M106" i="78"/>
  <c r="P120" i="78"/>
  <c r="P128" i="78"/>
  <c r="M133" i="78"/>
  <c r="P136" i="78"/>
  <c r="P100" i="78"/>
  <c r="M127" i="78"/>
  <c r="O96" i="78"/>
  <c r="M80" i="78"/>
  <c r="M89" i="78"/>
  <c r="M97" i="78"/>
  <c r="M105" i="78"/>
  <c r="N43" i="78"/>
  <c r="M87" i="78"/>
  <c r="M95" i="78"/>
  <c r="M103" i="78"/>
  <c r="M86" i="78"/>
  <c r="M94" i="78"/>
  <c r="M102" i="78"/>
  <c r="M85" i="78"/>
  <c r="M93" i="78"/>
  <c r="A49" i="78"/>
  <c r="A65" i="78"/>
  <c r="A50" i="78"/>
  <c r="A58" i="78"/>
  <c r="A66" i="78"/>
  <c r="A86" i="78"/>
  <c r="A94" i="78"/>
  <c r="A102" i="78"/>
  <c r="A45" i="78"/>
  <c r="A53" i="78"/>
  <c r="A61" i="78"/>
  <c r="A69" i="78"/>
  <c r="A89" i="78"/>
  <c r="A97" i="78"/>
  <c r="A105" i="78"/>
  <c r="A46" i="78"/>
  <c r="A54" i="78"/>
  <c r="A62" i="78"/>
  <c r="A82" i="78"/>
  <c r="A57" i="78"/>
  <c r="A51" i="78"/>
  <c r="A59" i="78"/>
  <c r="A67" i="78"/>
  <c r="A88" i="78"/>
  <c r="A91" i="78"/>
  <c r="A99" i="78"/>
  <c r="A75" i="78"/>
  <c r="A38" i="78"/>
  <c r="L127" i="78" l="1"/>
  <c r="AH127" i="78" s="1"/>
  <c r="BD127" i="78" s="1"/>
  <c r="BZ127" i="78" s="1"/>
  <c r="W85" i="78"/>
  <c r="AS85" i="78" s="1"/>
  <c r="BO85" i="78" s="1"/>
  <c r="CK85" i="78" s="1"/>
  <c r="W112" i="78"/>
  <c r="W38" i="78"/>
  <c r="W136" i="78"/>
  <c r="AS136" i="78" s="1"/>
  <c r="BO136" i="78" s="1"/>
  <c r="CK136" i="78" s="1"/>
  <c r="W128" i="78"/>
  <c r="AS128" i="78" s="1"/>
  <c r="BO128" i="78" s="1"/>
  <c r="CK128" i="78" s="1"/>
  <c r="W120" i="78"/>
  <c r="AS120" i="78" s="1"/>
  <c r="BO120" i="78" s="1"/>
  <c r="CK120" i="78" s="1"/>
  <c r="W84" i="78"/>
  <c r="AS84" i="78" s="1"/>
  <c r="BO84" i="78" s="1"/>
  <c r="CK84" i="78" s="1"/>
  <c r="L135" i="78"/>
  <c r="AH135" i="78" s="1"/>
  <c r="BD135" i="78" s="1"/>
  <c r="BZ135" i="78" s="1"/>
  <c r="W143" i="78"/>
  <c r="AS143" i="78" s="1"/>
  <c r="BO143" i="78" s="1"/>
  <c r="CK143" i="78" s="1"/>
  <c r="W138" i="78"/>
  <c r="AS138" i="78" s="1"/>
  <c r="BO138" i="78" s="1"/>
  <c r="CK138" i="78" s="1"/>
  <c r="L138" i="78"/>
  <c r="AH138" i="78" s="1"/>
  <c r="BD138" i="78" s="1"/>
  <c r="BZ138" i="78" s="1"/>
  <c r="W122" i="78"/>
  <c r="AS122" i="78" s="1"/>
  <c r="BO122" i="78" s="1"/>
  <c r="CK122" i="78" s="1"/>
  <c r="L122" i="78"/>
  <c r="AH122" i="78" s="1"/>
  <c r="BD122" i="78" s="1"/>
  <c r="BZ122" i="78" s="1"/>
  <c r="W92" i="78"/>
  <c r="AS92" i="78" s="1"/>
  <c r="BO92" i="78" s="1"/>
  <c r="CK92" i="78" s="1"/>
  <c r="W130" i="78"/>
  <c r="AS130" i="78" s="1"/>
  <c r="BO130" i="78" s="1"/>
  <c r="CK130" i="78" s="1"/>
  <c r="L130" i="78"/>
  <c r="AH130" i="78" s="1"/>
  <c r="BD130" i="78" s="1"/>
  <c r="BZ130" i="78" s="1"/>
  <c r="L56" i="78"/>
  <c r="AH56" i="78" s="1"/>
  <c r="BD56" i="78" s="1"/>
  <c r="BZ56" i="78" s="1"/>
  <c r="W56" i="78"/>
  <c r="AS56" i="78" s="1"/>
  <c r="BO56" i="78" s="1"/>
  <c r="CK56" i="78" s="1"/>
  <c r="L82" i="78"/>
  <c r="AH82" i="78" s="1"/>
  <c r="BD82" i="78" s="1"/>
  <c r="BZ82" i="78" s="1"/>
  <c r="W82" i="78"/>
  <c r="AS82" i="78" s="1"/>
  <c r="BO82" i="78" s="1"/>
  <c r="CK82" i="78" s="1"/>
  <c r="W50" i="78"/>
  <c r="AS50" i="78" s="1"/>
  <c r="BO50" i="78" s="1"/>
  <c r="CK50" i="78" s="1"/>
  <c r="L50" i="78"/>
  <c r="AH50" i="78" s="1"/>
  <c r="BD50" i="78" s="1"/>
  <c r="BZ50" i="78" s="1"/>
  <c r="L64" i="78"/>
  <c r="AH64" i="78" s="1"/>
  <c r="BD64" i="78" s="1"/>
  <c r="BZ64" i="78" s="1"/>
  <c r="W64" i="78"/>
  <c r="AS64" i="78" s="1"/>
  <c r="BO64" i="78" s="1"/>
  <c r="CK64" i="78" s="1"/>
  <c r="L129" i="78"/>
  <c r="AH129" i="78" s="1"/>
  <c r="BD129" i="78" s="1"/>
  <c r="BZ129" i="78" s="1"/>
  <c r="W129" i="78"/>
  <c r="AS129" i="78" s="1"/>
  <c r="BO129" i="78" s="1"/>
  <c r="CK129" i="78" s="1"/>
  <c r="L52" i="78"/>
  <c r="AH52" i="78" s="1"/>
  <c r="BD52" i="78" s="1"/>
  <c r="BZ52" i="78" s="1"/>
  <c r="W52" i="78"/>
  <c r="AS52" i="78" s="1"/>
  <c r="BO52" i="78" s="1"/>
  <c r="CK52" i="78" s="1"/>
  <c r="L88" i="78"/>
  <c r="AH88" i="78" s="1"/>
  <c r="BD88" i="78" s="1"/>
  <c r="BZ88" i="78" s="1"/>
  <c r="W88" i="78"/>
  <c r="AS88" i="78" s="1"/>
  <c r="BO88" i="78" s="1"/>
  <c r="CK88" i="78" s="1"/>
  <c r="W89" i="78"/>
  <c r="AS89" i="78" s="1"/>
  <c r="BO89" i="78" s="1"/>
  <c r="CK89" i="78" s="1"/>
  <c r="L89" i="78"/>
  <c r="AH89" i="78" s="1"/>
  <c r="BD89" i="78" s="1"/>
  <c r="BZ89" i="78" s="1"/>
  <c r="W102" i="78"/>
  <c r="AS102" i="78" s="1"/>
  <c r="BO102" i="78" s="1"/>
  <c r="CK102" i="78" s="1"/>
  <c r="L102" i="78"/>
  <c r="AH102" i="78" s="1"/>
  <c r="BD102" i="78" s="1"/>
  <c r="BZ102" i="78" s="1"/>
  <c r="L121" i="78"/>
  <c r="AH121" i="78" s="1"/>
  <c r="BD121" i="78" s="1"/>
  <c r="BZ121" i="78" s="1"/>
  <c r="W121" i="78"/>
  <c r="AS121" i="78" s="1"/>
  <c r="BO121" i="78" s="1"/>
  <c r="CK121" i="78" s="1"/>
  <c r="W125" i="78"/>
  <c r="AS125" i="78" s="1"/>
  <c r="BO125" i="78" s="1"/>
  <c r="CK125" i="78" s="1"/>
  <c r="L125" i="78"/>
  <c r="AH125" i="78" s="1"/>
  <c r="BD125" i="78" s="1"/>
  <c r="BZ125" i="78" s="1"/>
  <c r="L57" i="78"/>
  <c r="AH57" i="78" s="1"/>
  <c r="BD57" i="78" s="1"/>
  <c r="BZ57" i="78" s="1"/>
  <c r="W57" i="78"/>
  <c r="AS57" i="78" s="1"/>
  <c r="BO57" i="78" s="1"/>
  <c r="CK57" i="78" s="1"/>
  <c r="W132" i="78"/>
  <c r="AS132" i="78" s="1"/>
  <c r="BO132" i="78" s="1"/>
  <c r="CK132" i="78" s="1"/>
  <c r="L132" i="78"/>
  <c r="AH132" i="78" s="1"/>
  <c r="BD132" i="78" s="1"/>
  <c r="BZ132" i="78" s="1"/>
  <c r="L99" i="78"/>
  <c r="AH99" i="78" s="1"/>
  <c r="BD99" i="78" s="1"/>
  <c r="BZ99" i="78" s="1"/>
  <c r="W99" i="78"/>
  <c r="AS99" i="78" s="1"/>
  <c r="BO99" i="78" s="1"/>
  <c r="CK99" i="78" s="1"/>
  <c r="W58" i="78"/>
  <c r="AS58" i="78" s="1"/>
  <c r="BO58" i="78" s="1"/>
  <c r="CK58" i="78" s="1"/>
  <c r="L58" i="78"/>
  <c r="AH58" i="78" s="1"/>
  <c r="BD58" i="78" s="1"/>
  <c r="BZ58" i="78" s="1"/>
  <c r="L101" i="78"/>
  <c r="AH101" i="78" s="1"/>
  <c r="BD101" i="78" s="1"/>
  <c r="BZ101" i="78" s="1"/>
  <c r="W101" i="78"/>
  <c r="AS101" i="78" s="1"/>
  <c r="BO101" i="78" s="1"/>
  <c r="CK101" i="78" s="1"/>
  <c r="L91" i="78"/>
  <c r="AH91" i="78" s="1"/>
  <c r="BD91" i="78" s="1"/>
  <c r="BZ91" i="78" s="1"/>
  <c r="W91" i="78"/>
  <c r="AS91" i="78" s="1"/>
  <c r="BO91" i="78" s="1"/>
  <c r="CK91" i="78" s="1"/>
  <c r="L62" i="78"/>
  <c r="AH62" i="78" s="1"/>
  <c r="BD62" i="78" s="1"/>
  <c r="BZ62" i="78" s="1"/>
  <c r="W62" i="78"/>
  <c r="AS62" i="78" s="1"/>
  <c r="BO62" i="78" s="1"/>
  <c r="CK62" i="78" s="1"/>
  <c r="W94" i="78"/>
  <c r="AS94" i="78" s="1"/>
  <c r="BO94" i="78" s="1"/>
  <c r="CK94" i="78" s="1"/>
  <c r="L94" i="78"/>
  <c r="AH94" i="78" s="1"/>
  <c r="BD94" i="78" s="1"/>
  <c r="BZ94" i="78" s="1"/>
  <c r="L93" i="78"/>
  <c r="AH93" i="78" s="1"/>
  <c r="BD93" i="78" s="1"/>
  <c r="BZ93" i="78" s="1"/>
  <c r="W93" i="78"/>
  <c r="AS93" i="78" s="1"/>
  <c r="BO93" i="78" s="1"/>
  <c r="CK93" i="78" s="1"/>
  <c r="L67" i="78"/>
  <c r="AH67" i="78" s="1"/>
  <c r="BD67" i="78" s="1"/>
  <c r="BZ67" i="78" s="1"/>
  <c r="W67" i="78"/>
  <c r="AS67" i="78" s="1"/>
  <c r="BO67" i="78" s="1"/>
  <c r="CK67" i="78" s="1"/>
  <c r="L54" i="78"/>
  <c r="AH54" i="78" s="1"/>
  <c r="BD54" i="78" s="1"/>
  <c r="BZ54" i="78" s="1"/>
  <c r="W54" i="78"/>
  <c r="AS54" i="78" s="1"/>
  <c r="BO54" i="78" s="1"/>
  <c r="CK54" i="78" s="1"/>
  <c r="W86" i="78"/>
  <c r="AS86" i="78" s="1"/>
  <c r="BO86" i="78" s="1"/>
  <c r="CK86" i="78" s="1"/>
  <c r="L86" i="78"/>
  <c r="AH86" i="78" s="1"/>
  <c r="BD86" i="78" s="1"/>
  <c r="BZ86" i="78" s="1"/>
  <c r="L65" i="78"/>
  <c r="AH65" i="78" s="1"/>
  <c r="BD65" i="78" s="1"/>
  <c r="BZ65" i="78" s="1"/>
  <c r="W65" i="78"/>
  <c r="AS65" i="78" s="1"/>
  <c r="BO65" i="78" s="1"/>
  <c r="CK65" i="78" s="1"/>
  <c r="L48" i="78"/>
  <c r="AH48" i="78" s="1"/>
  <c r="BD48" i="78" s="1"/>
  <c r="BZ48" i="78" s="1"/>
  <c r="W48" i="78"/>
  <c r="AS48" i="78" s="1"/>
  <c r="BO48" i="78" s="1"/>
  <c r="CK48" i="78" s="1"/>
  <c r="W96" i="78"/>
  <c r="AS96" i="78" s="1"/>
  <c r="BO96" i="78" s="1"/>
  <c r="CK96" i="78" s="1"/>
  <c r="L96" i="78"/>
  <c r="AH96" i="78" s="1"/>
  <c r="BD96" i="78" s="1"/>
  <c r="BZ96" i="78" s="1"/>
  <c r="W66" i="78"/>
  <c r="AS66" i="78" s="1"/>
  <c r="BO66" i="78" s="1"/>
  <c r="CK66" i="78" s="1"/>
  <c r="L66" i="78"/>
  <c r="AH66" i="78" s="1"/>
  <c r="BD66" i="78" s="1"/>
  <c r="BZ66" i="78" s="1"/>
  <c r="L123" i="78"/>
  <c r="AH123" i="78" s="1"/>
  <c r="BD123" i="78" s="1"/>
  <c r="BZ123" i="78" s="1"/>
  <c r="W123" i="78"/>
  <c r="AS123" i="78" s="1"/>
  <c r="BO123" i="78" s="1"/>
  <c r="CK123" i="78" s="1"/>
  <c r="W60" i="78"/>
  <c r="AS60" i="78" s="1"/>
  <c r="BO60" i="78" s="1"/>
  <c r="CK60" i="78" s="1"/>
  <c r="L60" i="78"/>
  <c r="AH60" i="78" s="1"/>
  <c r="BD60" i="78" s="1"/>
  <c r="BZ60" i="78" s="1"/>
  <c r="W105" i="78"/>
  <c r="AS105" i="78" s="1"/>
  <c r="BO105" i="78" s="1"/>
  <c r="CK105" i="78" s="1"/>
  <c r="L105" i="78"/>
  <c r="AH105" i="78" s="1"/>
  <c r="BD105" i="78" s="1"/>
  <c r="BZ105" i="78" s="1"/>
  <c r="L137" i="78"/>
  <c r="AH137" i="78" s="1"/>
  <c r="BD137" i="78" s="1"/>
  <c r="BZ137" i="78" s="1"/>
  <c r="W137" i="78"/>
  <c r="AS137" i="78" s="1"/>
  <c r="BO137" i="78" s="1"/>
  <c r="CK137" i="78" s="1"/>
  <c r="W97" i="78"/>
  <c r="AS97" i="78" s="1"/>
  <c r="BO97" i="78" s="1"/>
  <c r="CK97" i="78" s="1"/>
  <c r="L97" i="78"/>
  <c r="AH97" i="78" s="1"/>
  <c r="BD97" i="78" s="1"/>
  <c r="BZ97" i="78" s="1"/>
  <c r="W133" i="78"/>
  <c r="AS133" i="78" s="1"/>
  <c r="BO133" i="78" s="1"/>
  <c r="CK133" i="78" s="1"/>
  <c r="L133" i="78"/>
  <c r="AH133" i="78" s="1"/>
  <c r="BD133" i="78" s="1"/>
  <c r="BZ133" i="78" s="1"/>
  <c r="W59" i="78"/>
  <c r="AS59" i="78" s="1"/>
  <c r="BO59" i="78" s="1"/>
  <c r="CK59" i="78" s="1"/>
  <c r="L59" i="78"/>
  <c r="AH59" i="78" s="1"/>
  <c r="BD59" i="78" s="1"/>
  <c r="BZ59" i="78" s="1"/>
  <c r="L46" i="78"/>
  <c r="AH46" i="78" s="1"/>
  <c r="BD46" i="78" s="1"/>
  <c r="BZ46" i="78" s="1"/>
  <c r="W46" i="78"/>
  <c r="AS46" i="78" s="1"/>
  <c r="BO46" i="78" s="1"/>
  <c r="CK46" i="78" s="1"/>
  <c r="W69" i="78"/>
  <c r="AS69" i="78" s="1"/>
  <c r="BO69" i="78" s="1"/>
  <c r="CK69" i="78" s="1"/>
  <c r="L69" i="78"/>
  <c r="AH69" i="78" s="1"/>
  <c r="BD69" i="78" s="1"/>
  <c r="BZ69" i="78" s="1"/>
  <c r="L49" i="78"/>
  <c r="AH49" i="78" s="1"/>
  <c r="BD49" i="78" s="1"/>
  <c r="BZ49" i="78" s="1"/>
  <c r="W49" i="78"/>
  <c r="AS49" i="78" s="1"/>
  <c r="BO49" i="78" s="1"/>
  <c r="CK49" i="78" s="1"/>
  <c r="L100" i="78"/>
  <c r="AH100" i="78" s="1"/>
  <c r="BD100" i="78" s="1"/>
  <c r="BZ100" i="78" s="1"/>
  <c r="W100" i="78"/>
  <c r="AS100" i="78" s="1"/>
  <c r="BO100" i="78" s="1"/>
  <c r="CK100" i="78" s="1"/>
  <c r="W139" i="78"/>
  <c r="AS139" i="78" s="1"/>
  <c r="BO139" i="78" s="1"/>
  <c r="CK139" i="78" s="1"/>
  <c r="L139" i="78"/>
  <c r="AH139" i="78" s="1"/>
  <c r="BD139" i="78" s="1"/>
  <c r="BZ139" i="78" s="1"/>
  <c r="L68" i="78"/>
  <c r="AH68" i="78" s="1"/>
  <c r="BD68" i="78" s="1"/>
  <c r="BZ68" i="78" s="1"/>
  <c r="W68" i="78"/>
  <c r="AS68" i="78" s="1"/>
  <c r="BO68" i="78" s="1"/>
  <c r="CK68" i="78" s="1"/>
  <c r="W141" i="78"/>
  <c r="AS141" i="78" s="1"/>
  <c r="BO141" i="78" s="1"/>
  <c r="CK141" i="78" s="1"/>
  <c r="L141" i="78"/>
  <c r="AH141" i="78" s="1"/>
  <c r="BD141" i="78" s="1"/>
  <c r="BZ141" i="78" s="1"/>
  <c r="W53" i="78"/>
  <c r="AS53" i="78" s="1"/>
  <c r="BO53" i="78" s="1"/>
  <c r="CK53" i="78" s="1"/>
  <c r="L53" i="78"/>
  <c r="AH53" i="78" s="1"/>
  <c r="BD53" i="78" s="1"/>
  <c r="BZ53" i="78" s="1"/>
  <c r="L134" i="78"/>
  <c r="AH134" i="78" s="1"/>
  <c r="BD134" i="78" s="1"/>
  <c r="BZ134" i="78" s="1"/>
  <c r="W134" i="78"/>
  <c r="AS134" i="78" s="1"/>
  <c r="BO134" i="78" s="1"/>
  <c r="CK134" i="78" s="1"/>
  <c r="W45" i="78"/>
  <c r="AS45" i="78" s="1"/>
  <c r="BO45" i="78" s="1"/>
  <c r="CK45" i="78" s="1"/>
  <c r="L45" i="78"/>
  <c r="AH45" i="78" s="1"/>
  <c r="BD45" i="78" s="1"/>
  <c r="BZ45" i="78" s="1"/>
  <c r="L124" i="78"/>
  <c r="AH124" i="78" s="1"/>
  <c r="BD124" i="78" s="1"/>
  <c r="BZ124" i="78" s="1"/>
  <c r="W124" i="78"/>
  <c r="AS124" i="78" s="1"/>
  <c r="BO124" i="78" s="1"/>
  <c r="CK124" i="78" s="1"/>
  <c r="W51" i="78"/>
  <c r="AS51" i="78" s="1"/>
  <c r="BO51" i="78" s="1"/>
  <c r="CK51" i="78" s="1"/>
  <c r="L51" i="78"/>
  <c r="AH51" i="78" s="1"/>
  <c r="BD51" i="78" s="1"/>
  <c r="BZ51" i="78" s="1"/>
  <c r="W61" i="78"/>
  <c r="AS61" i="78" s="1"/>
  <c r="BO61" i="78" s="1"/>
  <c r="CK61" i="78" s="1"/>
  <c r="L61" i="78"/>
  <c r="AH61" i="78" s="1"/>
  <c r="BD61" i="78" s="1"/>
  <c r="BZ61" i="78" s="1"/>
  <c r="L140" i="78"/>
  <c r="AH140" i="78" s="1"/>
  <c r="BD140" i="78" s="1"/>
  <c r="BZ140" i="78" s="1"/>
  <c r="W140" i="78"/>
  <c r="AS140" i="78" s="1"/>
  <c r="BO140" i="78" s="1"/>
  <c r="CK140" i="78" s="1"/>
  <c r="W131" i="78"/>
  <c r="AS131" i="78" s="1"/>
  <c r="BO131" i="78" s="1"/>
  <c r="CK131" i="78" s="1"/>
  <c r="L131" i="78"/>
  <c r="AH131" i="78" s="1"/>
  <c r="BD131" i="78" s="1"/>
  <c r="BZ131" i="78" s="1"/>
  <c r="L104" i="78"/>
  <c r="AH104" i="78" s="1"/>
  <c r="BD104" i="78" s="1"/>
  <c r="BZ104" i="78" s="1"/>
  <c r="W104" i="78"/>
  <c r="AS104" i="78" s="1"/>
  <c r="BO104" i="78" s="1"/>
  <c r="CK104" i="78" s="1"/>
  <c r="L66" i="80"/>
  <c r="N62" i="80"/>
  <c r="O62" i="80" s="1"/>
  <c r="L61" i="80"/>
  <c r="N61" i="80"/>
  <c r="O61" i="80" s="1"/>
  <c r="N66" i="80"/>
  <c r="O66" i="80" s="1"/>
  <c r="N48" i="80"/>
  <c r="O48" i="80" s="1"/>
  <c r="N53" i="80"/>
  <c r="O53" i="80" s="1"/>
  <c r="L53" i="80"/>
  <c r="L47" i="80"/>
  <c r="N68" i="80"/>
  <c r="O68" i="80" s="1"/>
  <c r="N54" i="80"/>
  <c r="O54" i="80" s="1"/>
  <c r="N59" i="80"/>
  <c r="O59" i="80" s="1"/>
  <c r="L51" i="80"/>
  <c r="L45" i="80"/>
  <c r="L59" i="80"/>
  <c r="N56" i="80"/>
  <c r="O56" i="80" s="1"/>
  <c r="L68" i="80"/>
  <c r="L49" i="80"/>
  <c r="L50" i="80"/>
  <c r="N65" i="80"/>
  <c r="O65" i="80" s="1"/>
  <c r="N63" i="80"/>
  <c r="O63" i="80" s="1"/>
  <c r="N45" i="80"/>
  <c r="O45" i="80" s="1"/>
  <c r="N50" i="80"/>
  <c r="O50" i="80" s="1"/>
  <c r="N49" i="80"/>
  <c r="O49" i="80" s="1"/>
  <c r="L62" i="80"/>
  <c r="N51" i="80"/>
  <c r="O51" i="80" s="1"/>
  <c r="L54" i="80"/>
  <c r="L58" i="80"/>
  <c r="L65" i="80"/>
  <c r="L55" i="80"/>
  <c r="N47" i="80"/>
  <c r="O47" i="80" s="1"/>
  <c r="N67" i="80"/>
  <c r="O67" i="80" s="1"/>
  <c r="L67" i="80"/>
  <c r="L64" i="80"/>
  <c r="L60" i="80"/>
  <c r="L57" i="80"/>
  <c r="N46" i="80"/>
  <c r="O46" i="80" s="1"/>
  <c r="N57" i="80"/>
  <c r="O57" i="80" s="1"/>
  <c r="X21" i="79"/>
  <c r="X14" i="79"/>
  <c r="X15" i="79"/>
  <c r="N9" i="79"/>
  <c r="X10" i="79"/>
  <c r="X20" i="79"/>
  <c r="C72" i="78"/>
  <c r="L75" i="78"/>
  <c r="L112" i="78"/>
  <c r="X9" i="79"/>
  <c r="Z55" i="78"/>
  <c r="F58" i="78"/>
  <c r="L46" i="80"/>
  <c r="L52" i="80"/>
  <c r="N52" i="80"/>
  <c r="O52" i="80" s="1"/>
  <c r="F54" i="78"/>
  <c r="N19" i="79"/>
  <c r="O16" i="79"/>
  <c r="M54" i="78"/>
  <c r="N16" i="79"/>
  <c r="P61" i="78"/>
  <c r="D65" i="78"/>
  <c r="O12" i="79"/>
  <c r="N31" i="79"/>
  <c r="F72" i="78"/>
  <c r="F66" i="78"/>
  <c r="F51" i="78"/>
  <c r="N15" i="79"/>
  <c r="F49" i="78"/>
  <c r="N25" i="79"/>
  <c r="F50" i="78"/>
  <c r="N8" i="79"/>
  <c r="N29" i="79"/>
  <c r="N26" i="79"/>
  <c r="N67" i="78"/>
  <c r="N35" i="79"/>
  <c r="O61" i="78"/>
  <c r="F62" i="78"/>
  <c r="F52" i="78"/>
  <c r="O64" i="78"/>
  <c r="O65" i="78"/>
  <c r="P57" i="78"/>
  <c r="O56" i="78"/>
  <c r="D72" i="78"/>
  <c r="F60" i="78"/>
  <c r="F57" i="78"/>
  <c r="D46" i="78"/>
  <c r="F56" i="78"/>
  <c r="F67" i="78"/>
  <c r="D69" i="78"/>
  <c r="D109" i="78"/>
  <c r="F48" i="78"/>
  <c r="F65" i="78"/>
  <c r="Q57" i="78"/>
  <c r="N63" i="78"/>
  <c r="Q47" i="78"/>
  <c r="D56" i="78"/>
  <c r="N13" i="79"/>
  <c r="F47" i="78"/>
  <c r="N14" i="79"/>
  <c r="F45" i="78"/>
  <c r="N54" i="78"/>
  <c r="F68" i="78"/>
  <c r="N22" i="79"/>
  <c r="N32" i="79"/>
  <c r="N21" i="79"/>
  <c r="F63" i="78"/>
  <c r="N57" i="78"/>
  <c r="Q55" i="78"/>
  <c r="N18" i="79"/>
  <c r="N17" i="79"/>
  <c r="D68" i="78"/>
  <c r="X30" i="79"/>
  <c r="F64" i="78"/>
  <c r="N24" i="79"/>
  <c r="F59" i="78"/>
  <c r="N30" i="79"/>
  <c r="N10" i="79"/>
  <c r="N20" i="79"/>
  <c r="Z58" i="78"/>
  <c r="D64" i="78"/>
  <c r="N28" i="79"/>
  <c r="X27" i="79"/>
  <c r="N12" i="79"/>
  <c r="N27" i="79"/>
  <c r="F61" i="78"/>
  <c r="F46" i="78"/>
  <c r="N11" i="79"/>
  <c r="N23" i="79"/>
  <c r="B64" i="78"/>
  <c r="O45" i="78"/>
  <c r="M27" i="79"/>
  <c r="B69" i="78"/>
  <c r="M45" i="78"/>
  <c r="P58" i="78"/>
  <c r="O55" i="78"/>
  <c r="O69" i="78"/>
  <c r="D66" i="78"/>
  <c r="C55" i="78"/>
  <c r="F69" i="78"/>
  <c r="F53" i="78"/>
  <c r="O48" i="78"/>
  <c r="O60" i="78"/>
  <c r="O58" i="78"/>
  <c r="O52" i="78"/>
  <c r="O59" i="78"/>
  <c r="O47" i="78"/>
  <c r="N52" i="78"/>
  <c r="Z61" i="78"/>
  <c r="O51" i="78"/>
  <c r="O50" i="78"/>
  <c r="B53" i="78"/>
  <c r="N64" i="78"/>
  <c r="O46" i="78"/>
  <c r="O49" i="78"/>
  <c r="O62" i="78"/>
  <c r="O68" i="78"/>
  <c r="O63" i="78"/>
  <c r="O53" i="78"/>
  <c r="AA69" i="78"/>
  <c r="Z66" i="78"/>
  <c r="Z69" i="78"/>
  <c r="X31" i="79"/>
  <c r="O66" i="78"/>
  <c r="O67" i="78"/>
  <c r="N69" i="78"/>
  <c r="O57" i="78"/>
  <c r="O72" i="78"/>
  <c r="M25" i="79"/>
  <c r="P64" i="78"/>
  <c r="P54" i="78"/>
  <c r="C45" i="78"/>
  <c r="P59" i="78"/>
  <c r="O146" i="78"/>
  <c r="P66" i="78"/>
  <c r="P48" i="78"/>
  <c r="O24" i="79"/>
  <c r="C56" i="78"/>
  <c r="P49" i="78"/>
  <c r="P67" i="78"/>
  <c r="P45" i="78"/>
  <c r="P69" i="78"/>
  <c r="P52" i="78"/>
  <c r="P56" i="78"/>
  <c r="P68" i="78"/>
  <c r="O30" i="79"/>
  <c r="C54" i="78"/>
  <c r="P72" i="78"/>
  <c r="P55" i="78"/>
  <c r="P46" i="78"/>
  <c r="P60" i="78"/>
  <c r="P50" i="78"/>
  <c r="P65" i="78"/>
  <c r="P51" i="78"/>
  <c r="P53" i="78"/>
  <c r="P63" i="78"/>
  <c r="P62" i="78"/>
  <c r="P47" i="78"/>
  <c r="AA48" i="78"/>
  <c r="AA64" i="78"/>
  <c r="AA58" i="78"/>
  <c r="X29" i="79"/>
  <c r="X23" i="79"/>
  <c r="N66" i="78"/>
  <c r="D58" i="78"/>
  <c r="D57" i="78"/>
  <c r="D52" i="78"/>
  <c r="D48" i="78"/>
  <c r="D54" i="78"/>
  <c r="D50" i="78"/>
  <c r="D49" i="78"/>
  <c r="D45" i="78"/>
  <c r="D61" i="78"/>
  <c r="D59" i="78"/>
  <c r="D67" i="78"/>
  <c r="D63" i="78"/>
  <c r="D51" i="78"/>
  <c r="D55" i="78"/>
  <c r="D53" i="78"/>
  <c r="D62" i="78"/>
  <c r="D47" i="78"/>
  <c r="X26" i="79"/>
  <c r="X47" i="78"/>
  <c r="N65" i="78"/>
  <c r="N47" i="78"/>
  <c r="N68" i="78"/>
  <c r="N45" i="78"/>
  <c r="N51" i="78"/>
  <c r="N62" i="78"/>
  <c r="N46" i="78"/>
  <c r="N53" i="78"/>
  <c r="N56" i="78"/>
  <c r="N59" i="78"/>
  <c r="N55" i="78"/>
  <c r="N72" i="78"/>
  <c r="N58" i="78"/>
  <c r="N48" i="78"/>
  <c r="V23" i="79"/>
  <c r="X11" i="79"/>
  <c r="N49" i="78"/>
  <c r="X12" i="79"/>
  <c r="E66" i="78"/>
  <c r="E57" i="78"/>
  <c r="E50" i="78"/>
  <c r="E59" i="78"/>
  <c r="E52" i="78"/>
  <c r="E58" i="78"/>
  <c r="E109" i="78"/>
  <c r="E51" i="78"/>
  <c r="E67" i="78"/>
  <c r="E56" i="78"/>
  <c r="E48" i="78"/>
  <c r="E62" i="78"/>
  <c r="E55" i="78"/>
  <c r="E54" i="78"/>
  <c r="E47" i="78"/>
  <c r="E60" i="78"/>
  <c r="E46" i="78"/>
  <c r="E64" i="78"/>
  <c r="E53" i="78"/>
  <c r="E61" i="78"/>
  <c r="E63" i="78"/>
  <c r="E68" i="78"/>
  <c r="E69" i="78"/>
  <c r="E65" i="78"/>
  <c r="N61" i="78"/>
  <c r="M48" i="78"/>
  <c r="M46" i="78"/>
  <c r="N60" i="78"/>
  <c r="X25" i="79"/>
  <c r="E49" i="78"/>
  <c r="M21" i="79"/>
  <c r="M15" i="79"/>
  <c r="M13" i="79"/>
  <c r="M9" i="79"/>
  <c r="M20" i="79"/>
  <c r="M14" i="79"/>
  <c r="M32" i="79"/>
  <c r="M30" i="79"/>
  <c r="M16" i="79"/>
  <c r="M24" i="79"/>
  <c r="M22" i="79"/>
  <c r="M10" i="79"/>
  <c r="M28" i="79"/>
  <c r="M18" i="79"/>
  <c r="M12" i="79"/>
  <c r="M35" i="79"/>
  <c r="M23" i="79"/>
  <c r="Z45" i="78"/>
  <c r="O18" i="79"/>
  <c r="M31" i="79"/>
  <c r="M11" i="79"/>
  <c r="C48" i="78"/>
  <c r="B48" i="78"/>
  <c r="X19" i="79"/>
  <c r="B109" i="78"/>
  <c r="B55" i="78"/>
  <c r="B49" i="78"/>
  <c r="B59" i="78"/>
  <c r="B67" i="78"/>
  <c r="B63" i="78"/>
  <c r="B52" i="78"/>
  <c r="B57" i="78"/>
  <c r="B68" i="78"/>
  <c r="B58" i="78"/>
  <c r="B51" i="78"/>
  <c r="B47" i="78"/>
  <c r="B65" i="78"/>
  <c r="B50" i="78"/>
  <c r="X17" i="79"/>
  <c r="X32" i="79"/>
  <c r="O26" i="79"/>
  <c r="C57" i="78"/>
  <c r="C50" i="78"/>
  <c r="C47" i="78"/>
  <c r="C67" i="78"/>
  <c r="C52" i="78"/>
  <c r="C49" i="78"/>
  <c r="C59" i="78"/>
  <c r="C62" i="78"/>
  <c r="C58" i="78"/>
  <c r="C51" i="78"/>
  <c r="C61" i="78"/>
  <c r="C46" i="78"/>
  <c r="C53" i="78"/>
  <c r="C69" i="78"/>
  <c r="C65" i="78"/>
  <c r="C68" i="78"/>
  <c r="C60" i="78"/>
  <c r="B62" i="78"/>
  <c r="O19" i="79"/>
  <c r="M19" i="79"/>
  <c r="O11" i="79"/>
  <c r="C63" i="78"/>
  <c r="B66" i="78"/>
  <c r="B54" i="78"/>
  <c r="B60" i="78"/>
  <c r="X16" i="79"/>
  <c r="O8" i="79"/>
  <c r="O22" i="79"/>
  <c r="O20" i="79"/>
  <c r="O14" i="79"/>
  <c r="O10" i="79"/>
  <c r="O35" i="79"/>
  <c r="O31" i="79"/>
  <c r="O27" i="79"/>
  <c r="O23" i="79"/>
  <c r="O15" i="79"/>
  <c r="O13" i="79"/>
  <c r="O17" i="79"/>
  <c r="O25" i="79"/>
  <c r="O21" i="79"/>
  <c r="O29" i="79"/>
  <c r="O9" i="79"/>
  <c r="B45" i="78"/>
  <c r="Y60" i="78"/>
  <c r="M17" i="79"/>
  <c r="B61" i="78"/>
  <c r="M26" i="79"/>
  <c r="B56" i="78"/>
  <c r="C64" i="78"/>
  <c r="O32" i="79"/>
  <c r="X24" i="79"/>
  <c r="X57" i="78"/>
  <c r="X65" i="78"/>
  <c r="Z49" i="78"/>
  <c r="X68" i="78"/>
  <c r="X60" i="78"/>
  <c r="X51" i="78"/>
  <c r="X63" i="78"/>
  <c r="Z63" i="78"/>
  <c r="X67" i="78"/>
  <c r="X59" i="78"/>
  <c r="AB57" i="78"/>
  <c r="AB54" i="78"/>
  <c r="AB66" i="78"/>
  <c r="AB60" i="78"/>
  <c r="AB46" i="78"/>
  <c r="AB61" i="78"/>
  <c r="AB52" i="78"/>
  <c r="AB53" i="78"/>
  <c r="AB49" i="78"/>
  <c r="AB58" i="78"/>
  <c r="AB72" i="78"/>
  <c r="AB50" i="78"/>
  <c r="AB45" i="78"/>
  <c r="AB59" i="78"/>
  <c r="AA146" i="78"/>
  <c r="AB68" i="78"/>
  <c r="AB62" i="78"/>
  <c r="AB65" i="78"/>
  <c r="AB48" i="78"/>
  <c r="AB67" i="78"/>
  <c r="AB51" i="78"/>
  <c r="Y72" i="78"/>
  <c r="Y56" i="78"/>
  <c r="Y53" i="78"/>
  <c r="Y51" i="78"/>
  <c r="Y65" i="78"/>
  <c r="Y59" i="78"/>
  <c r="Y45" i="78"/>
  <c r="Y57" i="78"/>
  <c r="Y49" i="78"/>
  <c r="X146" i="78"/>
  <c r="Y48" i="78"/>
  <c r="Y54" i="78"/>
  <c r="Y69" i="78"/>
  <c r="Y58" i="78"/>
  <c r="Y52" i="78"/>
  <c r="Y47" i="78"/>
  <c r="Y67" i="78"/>
  <c r="Y61" i="78"/>
  <c r="Y64" i="78"/>
  <c r="Y50" i="78"/>
  <c r="AA60" i="78"/>
  <c r="AA52" i="78"/>
  <c r="AB69" i="78"/>
  <c r="Y63" i="78"/>
  <c r="X72" i="78"/>
  <c r="X56" i="78"/>
  <c r="X53" i="78"/>
  <c r="X50" i="78"/>
  <c r="X48" i="78"/>
  <c r="X66" i="78"/>
  <c r="X109" i="78"/>
  <c r="X62" i="78"/>
  <c r="X45" i="78"/>
  <c r="X69" i="78"/>
  <c r="X46" i="78"/>
  <c r="X54" i="78"/>
  <c r="X64" i="78"/>
  <c r="X58" i="78"/>
  <c r="X52" i="78"/>
  <c r="X55" i="78"/>
  <c r="X49" i="78"/>
  <c r="X61" i="78"/>
  <c r="AB64" i="78"/>
  <c r="Y68" i="78"/>
  <c r="AA68" i="78"/>
  <c r="AA66" i="78"/>
  <c r="Y66" i="78"/>
  <c r="Z109" i="78"/>
  <c r="Z62" i="78"/>
  <c r="Z59" i="78"/>
  <c r="Z60" i="78"/>
  <c r="Z46" i="78"/>
  <c r="Z68" i="78"/>
  <c r="Z48" i="78"/>
  <c r="Z54" i="78"/>
  <c r="Z51" i="78"/>
  <c r="Z64" i="78"/>
  <c r="Z52" i="78"/>
  <c r="Z67" i="78"/>
  <c r="Z50" i="78"/>
  <c r="Z47" i="78"/>
  <c r="Z53" i="78"/>
  <c r="Z72" i="78"/>
  <c r="Z56" i="78"/>
  <c r="Z146" i="78"/>
  <c r="AA55" i="78"/>
  <c r="AA63" i="78"/>
  <c r="AA57" i="78"/>
  <c r="AA54" i="78"/>
  <c r="AA51" i="78"/>
  <c r="AA67" i="78"/>
  <c r="AA72" i="78"/>
  <c r="AA46" i="78"/>
  <c r="AA49" i="78"/>
  <c r="AA47" i="78"/>
  <c r="AA59" i="78"/>
  <c r="AA45" i="78"/>
  <c r="AA65" i="78"/>
  <c r="AA56" i="78"/>
  <c r="AA50" i="78"/>
  <c r="AA62" i="78"/>
  <c r="AA53" i="78"/>
  <c r="AA109" i="78"/>
  <c r="AB63" i="78"/>
  <c r="AB56" i="78"/>
  <c r="AB47" i="78"/>
  <c r="Z65" i="78"/>
  <c r="Y62" i="78"/>
  <c r="Y55" i="78"/>
  <c r="AA61" i="78"/>
  <c r="Y46" i="78"/>
  <c r="AB55" i="78"/>
  <c r="Q46" i="78"/>
  <c r="M67" i="78"/>
  <c r="M56" i="78"/>
  <c r="O54" i="78"/>
  <c r="O109" i="78"/>
  <c r="Q65" i="78"/>
  <c r="Q49" i="78"/>
  <c r="M61" i="78"/>
  <c r="M146" i="78"/>
  <c r="M62" i="78"/>
  <c r="Q50" i="78"/>
  <c r="M53" i="78"/>
  <c r="Q48" i="78"/>
  <c r="Q45" i="78"/>
  <c r="Q51" i="78"/>
  <c r="Q69" i="78"/>
  <c r="Q64" i="78"/>
  <c r="Q61" i="78"/>
  <c r="Q53" i="78"/>
  <c r="P146" i="78"/>
  <c r="Q67" i="78"/>
  <c r="Q72" i="78"/>
  <c r="Q60" i="78"/>
  <c r="Q56" i="78"/>
  <c r="Q59" i="78"/>
  <c r="P109" i="78"/>
  <c r="Q54" i="78"/>
  <c r="Q58" i="78"/>
  <c r="Q63" i="78"/>
  <c r="Q52" i="78"/>
  <c r="M51" i="78"/>
  <c r="Q68" i="78"/>
  <c r="M60" i="78"/>
  <c r="M55" i="78"/>
  <c r="M109" i="78"/>
  <c r="M72" i="78"/>
  <c r="M49" i="78"/>
  <c r="M52" i="78"/>
  <c r="M64" i="78"/>
  <c r="M65" i="78"/>
  <c r="M63" i="78"/>
  <c r="M66" i="78"/>
  <c r="M47" i="78"/>
  <c r="M57" i="78"/>
  <c r="M68" i="78"/>
  <c r="M59" i="78"/>
  <c r="M58" i="78"/>
  <c r="M50" i="78"/>
  <c r="Q66" i="78"/>
  <c r="E72" i="78"/>
  <c r="E45" i="78"/>
  <c r="D146" i="78"/>
  <c r="E146" i="78"/>
  <c r="V32" i="79" l="1"/>
  <c r="V29" i="79"/>
  <c r="V12" i="79"/>
  <c r="V26" i="79"/>
  <c r="V11" i="79"/>
  <c r="V22" i="79"/>
  <c r="V20" i="79"/>
  <c r="V14" i="79"/>
  <c r="V10" i="79"/>
  <c r="V21" i="79"/>
  <c r="V15" i="79"/>
  <c r="V13" i="79"/>
  <c r="V9" i="79"/>
  <c r="V35" i="79"/>
  <c r="V27" i="79"/>
  <c r="V28" i="79"/>
  <c r="V30" i="79"/>
  <c r="V18" i="79"/>
  <c r="V31" i="79"/>
  <c r="V25" i="79"/>
  <c r="V24" i="79"/>
  <c r="V16" i="79"/>
  <c r="V17" i="79"/>
  <c r="V19" i="79"/>
  <c r="O2" i="76"/>
  <c r="A339" i="76" l="1"/>
  <c r="A199" i="76"/>
  <c r="A1" i="76"/>
  <c r="A164" i="76"/>
  <c r="A234" i="76"/>
  <c r="A118" i="76"/>
  <c r="A444" i="76"/>
  <c r="A374" i="76"/>
  <c r="A409" i="76"/>
  <c r="A59" i="76"/>
  <c r="A304" i="76"/>
  <c r="A269" i="76"/>
  <c r="J12" i="78"/>
  <c r="J49" i="78" s="1"/>
  <c r="J86" i="78" s="1"/>
  <c r="U18" i="78"/>
  <c r="U55" i="78" s="1"/>
  <c r="U92" i="78" s="1"/>
  <c r="J18" i="78"/>
  <c r="J55" i="78" s="1"/>
  <c r="J92" i="78" s="1"/>
  <c r="J17" i="78"/>
  <c r="J54" i="78" s="1"/>
  <c r="J91" i="78" s="1"/>
  <c r="J31" i="78"/>
  <c r="J68" i="78" s="1"/>
  <c r="J105" i="78" s="1"/>
  <c r="J23" i="78"/>
  <c r="J60" i="78" s="1"/>
  <c r="J97" i="78" s="1"/>
  <c r="L43" i="75"/>
  <c r="L44" i="75"/>
  <c r="L45" i="75"/>
  <c r="L46" i="75"/>
  <c r="L36" i="75"/>
  <c r="L37" i="75"/>
  <c r="L38" i="75"/>
  <c r="L39" i="75"/>
  <c r="L32" i="75"/>
  <c r="L26" i="75"/>
  <c r="L27" i="75"/>
  <c r="L28" i="75"/>
  <c r="L22" i="75"/>
  <c r="L13" i="75"/>
  <c r="L9" i="75"/>
  <c r="J26" i="78" l="1"/>
  <c r="J63" i="78" s="1"/>
  <c r="J100" i="78" s="1"/>
  <c r="U26" i="78"/>
  <c r="U63" i="78" s="1"/>
  <c r="U100" i="78" s="1"/>
  <c r="J30" i="78"/>
  <c r="J67" i="78" s="1"/>
  <c r="J104" i="78" s="1"/>
  <c r="J27" i="78"/>
  <c r="J64" i="78" s="1"/>
  <c r="J101" i="78" s="1"/>
  <c r="U31" i="78"/>
  <c r="U68" i="78" s="1"/>
  <c r="U105" i="78" s="1"/>
  <c r="U12" i="78"/>
  <c r="U49" i="78" s="1"/>
  <c r="U86" i="78" s="1"/>
  <c r="A101" i="18"/>
  <c r="A97" i="18"/>
  <c r="A88" i="18"/>
  <c r="A84" i="18"/>
  <c r="A83" i="18"/>
  <c r="A82" i="18"/>
  <c r="A78" i="18"/>
  <c r="F26" i="18"/>
  <c r="E26" i="18"/>
  <c r="C26" i="18"/>
  <c r="F25" i="18"/>
  <c r="E25" i="18"/>
  <c r="C25" i="18"/>
  <c r="B25" i="18"/>
  <c r="B26" i="18"/>
  <c r="I48" i="18" l="1"/>
  <c r="I13" i="18"/>
  <c r="I49" i="18"/>
  <c r="I20" i="18"/>
  <c r="D26" i="18"/>
  <c r="I26" i="18" s="1"/>
  <c r="I19" i="18"/>
  <c r="I18" i="18"/>
  <c r="I12" i="18"/>
  <c r="U23" i="78"/>
  <c r="U60" i="78" s="1"/>
  <c r="U97" i="78" s="1"/>
  <c r="I35" i="18"/>
  <c r="I22" i="18"/>
  <c r="I32" i="18"/>
  <c r="U30" i="78"/>
  <c r="U67" i="78" s="1"/>
  <c r="U104" i="78" s="1"/>
  <c r="I21" i="18"/>
  <c r="U27" i="78"/>
  <c r="U64" i="78" s="1"/>
  <c r="U101" i="78" s="1"/>
  <c r="I15" i="18"/>
  <c r="I31" i="18"/>
  <c r="D25" i="18"/>
  <c r="I25" i="18" s="1"/>
  <c r="I30" i="18"/>
  <c r="I36" i="18"/>
  <c r="I29" i="18"/>
  <c r="H22" i="18"/>
  <c r="K31" i="18"/>
  <c r="H15" i="18"/>
  <c r="H31" i="18"/>
  <c r="K32" i="18"/>
  <c r="K15" i="18"/>
  <c r="H32" i="18"/>
  <c r="K22" i="18"/>
  <c r="E143" i="71"/>
  <c r="D143" i="71"/>
  <c r="B143" i="71"/>
  <c r="E142" i="71"/>
  <c r="D142" i="71"/>
  <c r="B142" i="71"/>
  <c r="E141" i="71"/>
  <c r="D141" i="71"/>
  <c r="B141" i="71"/>
  <c r="E140" i="71"/>
  <c r="D140" i="71"/>
  <c r="B140" i="71"/>
  <c r="E139" i="71"/>
  <c r="D139" i="71"/>
  <c r="B139" i="71"/>
  <c r="E138" i="71"/>
  <c r="D138" i="71"/>
  <c r="B138" i="71"/>
  <c r="E137" i="71"/>
  <c r="D137" i="71"/>
  <c r="B137" i="71"/>
  <c r="E136" i="71"/>
  <c r="D136" i="71"/>
  <c r="B136" i="71"/>
  <c r="E135" i="71"/>
  <c r="D135" i="71"/>
  <c r="B135" i="71"/>
  <c r="E134" i="71"/>
  <c r="D134" i="71"/>
  <c r="B134" i="71"/>
  <c r="E133" i="71"/>
  <c r="D133" i="71"/>
  <c r="B133" i="71"/>
  <c r="E132" i="71"/>
  <c r="D132" i="71"/>
  <c r="B132" i="71"/>
  <c r="E131" i="71"/>
  <c r="D131" i="71"/>
  <c r="B131" i="71"/>
  <c r="E130" i="71"/>
  <c r="D130" i="71"/>
  <c r="B130" i="71"/>
  <c r="E129" i="71"/>
  <c r="D129" i="71"/>
  <c r="B129" i="71"/>
  <c r="E128" i="71"/>
  <c r="D128" i="71"/>
  <c r="B128" i="71"/>
  <c r="E127" i="71"/>
  <c r="D127" i="71"/>
  <c r="B127" i="71"/>
  <c r="E126" i="71"/>
  <c r="D126" i="71"/>
  <c r="B126" i="71"/>
  <c r="E125" i="71"/>
  <c r="D125" i="71"/>
  <c r="B125" i="71"/>
  <c r="E124" i="71"/>
  <c r="D124" i="71"/>
  <c r="B124" i="71"/>
  <c r="E123" i="71"/>
  <c r="D123" i="71"/>
  <c r="B123" i="71"/>
  <c r="E122" i="71"/>
  <c r="D122" i="71"/>
  <c r="B122" i="71"/>
  <c r="E121" i="71"/>
  <c r="D121" i="71"/>
  <c r="B121" i="71"/>
  <c r="E120" i="71"/>
  <c r="D120" i="71"/>
  <c r="B120" i="71"/>
  <c r="E119" i="71"/>
  <c r="D119" i="71"/>
  <c r="B119" i="71"/>
  <c r="E117" i="71"/>
  <c r="D117" i="71"/>
  <c r="B117" i="71"/>
  <c r="E106" i="71"/>
  <c r="D106" i="71"/>
  <c r="E105" i="71"/>
  <c r="D105" i="71"/>
  <c r="B105" i="71"/>
  <c r="E104" i="71"/>
  <c r="D104" i="71"/>
  <c r="B104" i="71"/>
  <c r="E103" i="71"/>
  <c r="D103" i="71"/>
  <c r="B103" i="71"/>
  <c r="E102" i="71"/>
  <c r="D102" i="71"/>
  <c r="B102" i="71"/>
  <c r="E101" i="71"/>
  <c r="D101" i="71"/>
  <c r="B101" i="71"/>
  <c r="E100" i="71"/>
  <c r="D100" i="71"/>
  <c r="B100" i="71"/>
  <c r="E99" i="71"/>
  <c r="D99" i="71"/>
  <c r="B99" i="71"/>
  <c r="E98" i="71"/>
  <c r="D98" i="71"/>
  <c r="B98" i="71"/>
  <c r="E97" i="71"/>
  <c r="D97" i="71"/>
  <c r="B97" i="71"/>
  <c r="E96" i="71"/>
  <c r="D96" i="71"/>
  <c r="B96" i="71"/>
  <c r="E95" i="71"/>
  <c r="D95" i="71"/>
  <c r="B95" i="71"/>
  <c r="E94" i="71"/>
  <c r="D94" i="71"/>
  <c r="B94" i="71"/>
  <c r="E93" i="71"/>
  <c r="D93" i="71"/>
  <c r="B93" i="71"/>
  <c r="E92" i="71"/>
  <c r="D92" i="71"/>
  <c r="B92" i="71"/>
  <c r="E91" i="71"/>
  <c r="D91" i="71"/>
  <c r="B91" i="71"/>
  <c r="E90" i="71"/>
  <c r="D90" i="71"/>
  <c r="B90" i="71"/>
  <c r="E89" i="71"/>
  <c r="D89" i="71"/>
  <c r="B89" i="71"/>
  <c r="E88" i="71"/>
  <c r="D88" i="71"/>
  <c r="B88" i="71"/>
  <c r="E87" i="71"/>
  <c r="D87" i="71"/>
  <c r="B87" i="71"/>
  <c r="E86" i="71"/>
  <c r="D86" i="71"/>
  <c r="B86" i="71"/>
  <c r="E85" i="71"/>
  <c r="D85" i="71"/>
  <c r="B85" i="71"/>
  <c r="E84" i="71"/>
  <c r="D84" i="71"/>
  <c r="B84" i="71"/>
  <c r="E83" i="71"/>
  <c r="D83" i="71"/>
  <c r="B83" i="71"/>
  <c r="E82" i="71"/>
  <c r="D82" i="71"/>
  <c r="B82" i="71"/>
  <c r="E80" i="71"/>
  <c r="D80" i="71"/>
  <c r="B80" i="71"/>
  <c r="D72" i="71"/>
  <c r="D69" i="71"/>
  <c r="D68" i="71"/>
  <c r="D67" i="71"/>
  <c r="D66" i="71"/>
  <c r="D65" i="71"/>
  <c r="E64" i="71"/>
  <c r="D64" i="71"/>
  <c r="D63" i="71"/>
  <c r="D62" i="71"/>
  <c r="D61" i="71"/>
  <c r="D60" i="71"/>
  <c r="D59" i="71"/>
  <c r="D58" i="71"/>
  <c r="D57" i="71"/>
  <c r="D56" i="71"/>
  <c r="D55" i="71"/>
  <c r="E54" i="71"/>
  <c r="D54" i="71"/>
  <c r="D53" i="71"/>
  <c r="D52" i="71"/>
  <c r="D51" i="71"/>
  <c r="D50" i="71"/>
  <c r="B50" i="71"/>
  <c r="D49" i="71"/>
  <c r="D48" i="71"/>
  <c r="D47" i="71"/>
  <c r="D46" i="71"/>
  <c r="D45" i="71"/>
  <c r="J43" i="71"/>
  <c r="J80" i="71" s="1"/>
  <c r="I43" i="71"/>
  <c r="I80" i="71" s="1"/>
  <c r="H43" i="71"/>
  <c r="H80" i="71" s="1"/>
  <c r="F43" i="71"/>
  <c r="E43" i="71"/>
  <c r="D43" i="71"/>
  <c r="C43" i="71"/>
  <c r="B43" i="71"/>
  <c r="J42" i="71"/>
  <c r="J79" i="71" s="1"/>
  <c r="I42" i="71"/>
  <c r="I79" i="71" s="1"/>
  <c r="H42" i="71"/>
  <c r="H79" i="71" s="1"/>
  <c r="H41" i="71"/>
  <c r="A112" i="71"/>
  <c r="L25" i="18" l="1"/>
  <c r="L26" i="18"/>
  <c r="I45" i="18"/>
  <c r="I44" i="18"/>
  <c r="I14" i="18"/>
  <c r="H78" i="71"/>
  <c r="C52" i="71"/>
  <c r="B58" i="71"/>
  <c r="E50" i="71"/>
  <c r="C68" i="71"/>
  <c r="E67" i="71"/>
  <c r="E45" i="71"/>
  <c r="E63" i="71"/>
  <c r="E51" i="71"/>
  <c r="C56" i="71"/>
  <c r="E59" i="71"/>
  <c r="E72" i="71"/>
  <c r="E56" i="71"/>
  <c r="E49" i="71"/>
  <c r="E60" i="71"/>
  <c r="E69" i="71"/>
  <c r="E53" i="71"/>
  <c r="E57" i="71"/>
  <c r="E61" i="71"/>
  <c r="E66" i="71"/>
  <c r="C47" i="71"/>
  <c r="C50" i="71"/>
  <c r="C66" i="71"/>
  <c r="C46" i="71"/>
  <c r="C48" i="71"/>
  <c r="C45" i="71"/>
  <c r="C72" i="71"/>
  <c r="C54" i="71"/>
  <c r="C49" i="71"/>
  <c r="E48" i="71"/>
  <c r="E46" i="71"/>
  <c r="F54" i="71"/>
  <c r="F57" i="71"/>
  <c r="F64" i="71"/>
  <c r="D146" i="71"/>
  <c r="E52" i="71"/>
  <c r="E55" i="71"/>
  <c r="E65" i="71"/>
  <c r="E68" i="71"/>
  <c r="E47" i="71"/>
  <c r="E58" i="71"/>
  <c r="E62" i="71"/>
  <c r="D109" i="71"/>
  <c r="F61" i="71"/>
  <c r="F67" i="71"/>
  <c r="F66" i="71"/>
  <c r="F50" i="71"/>
  <c r="F56" i="71"/>
  <c r="F62" i="71"/>
  <c r="F46" i="71"/>
  <c r="F48" i="71"/>
  <c r="F52" i="71"/>
  <c r="F59" i="71"/>
  <c r="F69" i="71"/>
  <c r="F55" i="71"/>
  <c r="F53" i="71"/>
  <c r="F60" i="71"/>
  <c r="F72" i="71"/>
  <c r="E109" i="71"/>
  <c r="F65" i="71"/>
  <c r="E146" i="71"/>
  <c r="F45" i="71"/>
  <c r="F47" i="71"/>
  <c r="F49" i="71"/>
  <c r="F51" i="71"/>
  <c r="F63" i="71"/>
  <c r="F58" i="71"/>
  <c r="F68" i="71"/>
  <c r="C58" i="71"/>
  <c r="C60" i="71"/>
  <c r="C62" i="71"/>
  <c r="C64" i="71"/>
  <c r="B66" i="71"/>
  <c r="C51" i="71"/>
  <c r="C53" i="71"/>
  <c r="C55" i="71"/>
  <c r="C57" i="71"/>
  <c r="C59" i="71"/>
  <c r="C61" i="71"/>
  <c r="C63" i="71"/>
  <c r="C65" i="71"/>
  <c r="C67" i="71"/>
  <c r="C69" i="71"/>
  <c r="B52" i="71"/>
  <c r="B60" i="71"/>
  <c r="B68" i="71"/>
  <c r="B49" i="71"/>
  <c r="B57" i="71"/>
  <c r="B65" i="71"/>
  <c r="B55" i="71"/>
  <c r="B63" i="71"/>
  <c r="B51" i="71"/>
  <c r="B59" i="71"/>
  <c r="B67" i="71"/>
  <c r="B47" i="71"/>
  <c r="B46" i="71"/>
  <c r="B54" i="71"/>
  <c r="B62" i="71"/>
  <c r="B48" i="71"/>
  <c r="B56" i="71"/>
  <c r="B64" i="71"/>
  <c r="B72" i="71"/>
  <c r="B45" i="71"/>
  <c r="B53" i="71"/>
  <c r="B61" i="71"/>
  <c r="B69" i="71"/>
  <c r="J15" i="18"/>
  <c r="J31" i="18"/>
  <c r="J32" i="18"/>
  <c r="J27" i="71"/>
  <c r="J17" i="71"/>
  <c r="J26" i="71"/>
  <c r="J18" i="71"/>
  <c r="J12" i="71"/>
  <c r="J30" i="71"/>
  <c r="J22" i="18"/>
  <c r="J23" i="71"/>
  <c r="J31" i="71"/>
  <c r="A75" i="71"/>
  <c r="A38" i="71"/>
  <c r="J55" i="71" l="1"/>
  <c r="J92" i="71" s="1"/>
  <c r="Q47" i="31"/>
  <c r="J63" i="71"/>
  <c r="J100" i="71" s="1"/>
  <c r="Q55" i="31"/>
  <c r="J54" i="71"/>
  <c r="J91" i="71" s="1"/>
  <c r="Q46" i="31"/>
  <c r="J64" i="71"/>
  <c r="J101" i="71" s="1"/>
  <c r="Q56" i="31"/>
  <c r="J68" i="71"/>
  <c r="J105" i="71" s="1"/>
  <c r="Q60" i="31"/>
  <c r="J60" i="71"/>
  <c r="J97" i="71" s="1"/>
  <c r="Q52" i="31"/>
  <c r="J67" i="71"/>
  <c r="J104" i="71" s="1"/>
  <c r="Q59" i="31"/>
  <c r="J49" i="71"/>
  <c r="J86" i="71" s="1"/>
  <c r="Q41" i="31"/>
  <c r="C3" i="83" l="1"/>
  <c r="I3" i="83" s="1"/>
  <c r="A1" i="83" s="1"/>
  <c r="A20" i="62" l="1"/>
  <c r="A18" i="62"/>
  <c r="A17" i="62"/>
  <c r="A16" i="62"/>
  <c r="A14" i="62"/>
  <c r="A13" i="62"/>
  <c r="A12" i="62"/>
  <c r="A10" i="62"/>
  <c r="A9" i="62"/>
  <c r="A8" i="62"/>
  <c r="A7" i="62"/>
  <c r="A23" i="62"/>
  <c r="K20" i="62" l="1"/>
  <c r="J20" i="62"/>
  <c r="I20" i="62"/>
  <c r="H20" i="62"/>
  <c r="L18" i="62"/>
  <c r="K18" i="62"/>
  <c r="J18" i="62"/>
  <c r="I18" i="62"/>
  <c r="H18" i="62"/>
  <c r="L17" i="62"/>
  <c r="K17" i="62"/>
  <c r="J17" i="62"/>
  <c r="I17" i="62"/>
  <c r="H17" i="62"/>
  <c r="L16" i="62"/>
  <c r="J16" i="62"/>
  <c r="I16" i="62"/>
  <c r="H16" i="62"/>
  <c r="L14" i="62"/>
  <c r="K14" i="62"/>
  <c r="J14" i="62"/>
  <c r="I14" i="62"/>
  <c r="H14" i="62"/>
  <c r="L13" i="62"/>
  <c r="K13" i="62"/>
  <c r="J13" i="62"/>
  <c r="I13" i="62"/>
  <c r="H13" i="62"/>
  <c r="L12" i="62"/>
  <c r="K12" i="62"/>
  <c r="J12" i="62"/>
  <c r="I12" i="62"/>
  <c r="H12" i="62"/>
  <c r="L10" i="62"/>
  <c r="K10" i="62"/>
  <c r="J10" i="62"/>
  <c r="I10" i="62"/>
  <c r="H10" i="62"/>
  <c r="L9" i="62"/>
  <c r="K9" i="62"/>
  <c r="J9" i="62"/>
  <c r="I9" i="62"/>
  <c r="H9" i="62"/>
  <c r="L8" i="62"/>
  <c r="K8" i="62"/>
  <c r="J8" i="62"/>
  <c r="I8" i="62"/>
  <c r="H8" i="62"/>
  <c r="L7" i="62"/>
  <c r="J7" i="62"/>
  <c r="I7" i="62"/>
  <c r="H7" i="62"/>
  <c r="L5" i="62"/>
  <c r="K5" i="62"/>
  <c r="J5" i="62"/>
  <c r="I5" i="62"/>
  <c r="H5" i="62"/>
  <c r="A1" i="62"/>
  <c r="K7" i="62" l="1"/>
  <c r="K16" i="62"/>
  <c r="L20" i="62"/>
  <c r="DP82" i="60" l="1"/>
  <c r="CR82" i="60"/>
  <c r="BT82" i="60"/>
  <c r="AV82" i="60"/>
  <c r="X82" i="60"/>
  <c r="DP55" i="60"/>
  <c r="CR55" i="60"/>
  <c r="BT55" i="60"/>
  <c r="AV55" i="60"/>
  <c r="X55" i="60"/>
  <c r="DP3" i="60"/>
  <c r="CR3" i="60"/>
  <c r="BT3" i="60"/>
  <c r="AV3" i="60"/>
  <c r="L9" i="60"/>
  <c r="L10" i="60"/>
  <c r="L11" i="60"/>
  <c r="L12" i="60"/>
  <c r="L13" i="60"/>
  <c r="L14" i="60"/>
  <c r="L15" i="60"/>
  <c r="L16" i="60"/>
  <c r="L17" i="60"/>
  <c r="L18" i="60"/>
  <c r="L19" i="60"/>
  <c r="L20" i="60"/>
  <c r="L21" i="60"/>
  <c r="L22" i="60"/>
  <c r="L23" i="60"/>
  <c r="L24" i="60"/>
  <c r="L25" i="60"/>
  <c r="L26" i="60"/>
  <c r="L27" i="60"/>
  <c r="L28" i="60"/>
  <c r="L29" i="60"/>
  <c r="L30" i="60"/>
  <c r="L31" i="60"/>
  <c r="L32" i="60"/>
  <c r="L33" i="60"/>
  <c r="L34" i="60"/>
  <c r="L35" i="60"/>
  <c r="L36" i="60"/>
  <c r="L37" i="60"/>
  <c r="L38" i="60"/>
  <c r="L39" i="60"/>
  <c r="L40" i="60"/>
  <c r="L41" i="60"/>
  <c r="L42" i="60"/>
  <c r="L43" i="60"/>
  <c r="L44" i="60"/>
  <c r="L45" i="60"/>
  <c r="L46" i="60"/>
  <c r="L47" i="60"/>
  <c r="L48" i="60"/>
  <c r="DP50" i="60"/>
  <c r="DP77" i="60" s="1"/>
  <c r="DJ50" i="60"/>
  <c r="DJ94" i="60" s="1"/>
  <c r="DD50" i="60"/>
  <c r="CX50" i="60"/>
  <c r="CX94" i="60" s="1"/>
  <c r="CR50" i="60"/>
  <c r="CR94" i="60" s="1"/>
  <c r="CL50" i="60"/>
  <c r="CL77" i="60" s="1"/>
  <c r="CF50" i="60"/>
  <c r="CF94" i="60" s="1"/>
  <c r="BZ50" i="60"/>
  <c r="BZ94" i="60" s="1"/>
  <c r="BT50" i="60"/>
  <c r="BT94" i="60" s="1"/>
  <c r="BN50" i="60"/>
  <c r="BN77" i="60" s="1"/>
  <c r="BH50" i="60"/>
  <c r="BB50" i="60"/>
  <c r="AV50" i="60"/>
  <c r="AV94" i="60" s="1"/>
  <c r="AP50" i="60"/>
  <c r="AP94" i="60" s="1"/>
  <c r="AJ50" i="60"/>
  <c r="AJ77" i="60" s="1"/>
  <c r="AD50" i="60"/>
  <c r="AD94" i="60" s="1"/>
  <c r="X50" i="60"/>
  <c r="X94" i="60" s="1"/>
  <c r="R50" i="60"/>
  <c r="R94" i="60" s="1"/>
  <c r="L50" i="60"/>
  <c r="F50" i="60"/>
  <c r="DP48" i="60"/>
  <c r="DP47" i="60"/>
  <c r="DP46" i="60"/>
  <c r="DP45" i="60"/>
  <c r="DP44" i="60"/>
  <c r="DP43" i="60"/>
  <c r="DP42" i="60"/>
  <c r="DP41" i="60"/>
  <c r="DP40" i="60"/>
  <c r="DP39" i="60"/>
  <c r="DP38" i="60"/>
  <c r="DP37" i="60"/>
  <c r="DP36" i="60"/>
  <c r="DP35" i="60"/>
  <c r="DP34" i="60"/>
  <c r="DP33" i="60"/>
  <c r="DP32" i="60"/>
  <c r="DP31" i="60"/>
  <c r="DP30" i="60"/>
  <c r="DP29" i="60"/>
  <c r="DP28" i="60"/>
  <c r="DP27" i="60"/>
  <c r="DP26" i="60"/>
  <c r="DP25" i="60"/>
  <c r="DP24" i="60"/>
  <c r="DP23" i="60"/>
  <c r="DP22" i="60"/>
  <c r="DP21" i="60"/>
  <c r="DP20" i="60"/>
  <c r="DP19" i="60"/>
  <c r="DP18" i="60"/>
  <c r="DP17" i="60"/>
  <c r="DP16" i="60"/>
  <c r="DP15" i="60"/>
  <c r="DP14" i="60"/>
  <c r="DP13" i="60"/>
  <c r="DP12" i="60"/>
  <c r="DP11" i="60"/>
  <c r="DP10" i="60"/>
  <c r="DP9" i="60"/>
  <c r="DP8" i="60"/>
  <c r="DJ48" i="60"/>
  <c r="DJ47" i="60"/>
  <c r="DJ46" i="60"/>
  <c r="DJ45" i="60"/>
  <c r="DJ44" i="60"/>
  <c r="DJ43" i="60"/>
  <c r="DJ42" i="60"/>
  <c r="DJ41" i="60"/>
  <c r="DJ40" i="60"/>
  <c r="DJ39" i="60"/>
  <c r="DJ38" i="60"/>
  <c r="DJ37" i="60"/>
  <c r="DJ36" i="60"/>
  <c r="DJ35" i="60"/>
  <c r="DJ34" i="60"/>
  <c r="DJ33" i="60"/>
  <c r="DJ32" i="60"/>
  <c r="DJ31" i="60"/>
  <c r="DJ30" i="60"/>
  <c r="DJ29" i="60"/>
  <c r="DJ28" i="60"/>
  <c r="DJ27" i="60"/>
  <c r="DJ26" i="60"/>
  <c r="DJ25" i="60"/>
  <c r="DJ24" i="60"/>
  <c r="DJ23" i="60"/>
  <c r="DJ22" i="60"/>
  <c r="DJ21" i="60"/>
  <c r="DJ20" i="60"/>
  <c r="DJ19" i="60"/>
  <c r="DJ18" i="60"/>
  <c r="DJ17" i="60"/>
  <c r="DJ16" i="60"/>
  <c r="DJ15" i="60"/>
  <c r="DJ14" i="60"/>
  <c r="DJ13" i="60"/>
  <c r="DJ12" i="60"/>
  <c r="DJ11" i="60"/>
  <c r="DJ10" i="60"/>
  <c r="DJ9" i="60"/>
  <c r="DJ8" i="60"/>
  <c r="DD48" i="60"/>
  <c r="DD47" i="60"/>
  <c r="DD46" i="60"/>
  <c r="DD45" i="60"/>
  <c r="DD44" i="60"/>
  <c r="DD43" i="60"/>
  <c r="DD42" i="60"/>
  <c r="DD41" i="60"/>
  <c r="DD40" i="60"/>
  <c r="DD39" i="60"/>
  <c r="DD38" i="60"/>
  <c r="DD37" i="60"/>
  <c r="DD36" i="60"/>
  <c r="DD35" i="60"/>
  <c r="DD34" i="60"/>
  <c r="DD33" i="60"/>
  <c r="DD32" i="60"/>
  <c r="DD31" i="60"/>
  <c r="DD30" i="60"/>
  <c r="DD29" i="60"/>
  <c r="DD28" i="60"/>
  <c r="DD27" i="60"/>
  <c r="DD26" i="60"/>
  <c r="DD25" i="60"/>
  <c r="DD24" i="60"/>
  <c r="DD23" i="60"/>
  <c r="DD22" i="60"/>
  <c r="DD21" i="60"/>
  <c r="DD20" i="60"/>
  <c r="DD19" i="60"/>
  <c r="DD18" i="60"/>
  <c r="DD17" i="60"/>
  <c r="DD16" i="60"/>
  <c r="DD15" i="60"/>
  <c r="DD14" i="60"/>
  <c r="DD13" i="60"/>
  <c r="DD12" i="60"/>
  <c r="DD11" i="60"/>
  <c r="DD10" i="60"/>
  <c r="DD9" i="60"/>
  <c r="DD8" i="60"/>
  <c r="CX48" i="60"/>
  <c r="CX47" i="60"/>
  <c r="CX46" i="60"/>
  <c r="CX45" i="60"/>
  <c r="CX44" i="60"/>
  <c r="CX43" i="60"/>
  <c r="CX42" i="60"/>
  <c r="CX41" i="60"/>
  <c r="CX40" i="60"/>
  <c r="CX39" i="60"/>
  <c r="CX38" i="60"/>
  <c r="CX37" i="60"/>
  <c r="CX36" i="60"/>
  <c r="CX35" i="60"/>
  <c r="CX34" i="60"/>
  <c r="CX33" i="60"/>
  <c r="CX32" i="60"/>
  <c r="CX31" i="60"/>
  <c r="CX30" i="60"/>
  <c r="CX29" i="60"/>
  <c r="CX28" i="60"/>
  <c r="CX27" i="60"/>
  <c r="CX26" i="60"/>
  <c r="CX25" i="60"/>
  <c r="CX24" i="60"/>
  <c r="CX23" i="60"/>
  <c r="CX22" i="60"/>
  <c r="CX21" i="60"/>
  <c r="CX20" i="60"/>
  <c r="CX19" i="60"/>
  <c r="CX18" i="60"/>
  <c r="CX17" i="60"/>
  <c r="CX16" i="60"/>
  <c r="CX15" i="60"/>
  <c r="CX14" i="60"/>
  <c r="CX13" i="60"/>
  <c r="CX12" i="60"/>
  <c r="CX11" i="60"/>
  <c r="CX10" i="60"/>
  <c r="CX9" i="60"/>
  <c r="CX8" i="60"/>
  <c r="CR48" i="60"/>
  <c r="CR47" i="60"/>
  <c r="CR46" i="60"/>
  <c r="CR45" i="60"/>
  <c r="CR44" i="60"/>
  <c r="CR43" i="60"/>
  <c r="CR42" i="60"/>
  <c r="CR41" i="60"/>
  <c r="CR40" i="60"/>
  <c r="CR39" i="60"/>
  <c r="CR38" i="60"/>
  <c r="CR37" i="60"/>
  <c r="CR36" i="60"/>
  <c r="CR35" i="60"/>
  <c r="CR34" i="60"/>
  <c r="CR33" i="60"/>
  <c r="CR32" i="60"/>
  <c r="CR31" i="60"/>
  <c r="CR30" i="60"/>
  <c r="CR29" i="60"/>
  <c r="CR28" i="60"/>
  <c r="CR27" i="60"/>
  <c r="CR26" i="60"/>
  <c r="CR25" i="60"/>
  <c r="CR24" i="60"/>
  <c r="CR23" i="60"/>
  <c r="CR22" i="60"/>
  <c r="CR21" i="60"/>
  <c r="CR20" i="60"/>
  <c r="CR19" i="60"/>
  <c r="CR18" i="60"/>
  <c r="CR17" i="60"/>
  <c r="CR16" i="60"/>
  <c r="CR15" i="60"/>
  <c r="CR14" i="60"/>
  <c r="CR13" i="60"/>
  <c r="CR12" i="60"/>
  <c r="CR11" i="60"/>
  <c r="CR10" i="60"/>
  <c r="CR9" i="60"/>
  <c r="CR8" i="60"/>
  <c r="CL48" i="60"/>
  <c r="CL47" i="60"/>
  <c r="CL46" i="60"/>
  <c r="CL45" i="60"/>
  <c r="CL44" i="60"/>
  <c r="CL43" i="60"/>
  <c r="CL42" i="60"/>
  <c r="CL41" i="60"/>
  <c r="CL40" i="60"/>
  <c r="CL39" i="60"/>
  <c r="CL38" i="60"/>
  <c r="CL37" i="60"/>
  <c r="CL36" i="60"/>
  <c r="CL35" i="60"/>
  <c r="CL34" i="60"/>
  <c r="CL33" i="60"/>
  <c r="CL32" i="60"/>
  <c r="CL31" i="60"/>
  <c r="CL30" i="60"/>
  <c r="CL29" i="60"/>
  <c r="CL28" i="60"/>
  <c r="CL27" i="60"/>
  <c r="CL26" i="60"/>
  <c r="CL25" i="60"/>
  <c r="CL24" i="60"/>
  <c r="CL23" i="60"/>
  <c r="CL22" i="60"/>
  <c r="CL21" i="60"/>
  <c r="CL20" i="60"/>
  <c r="CL19" i="60"/>
  <c r="CL18" i="60"/>
  <c r="CL17" i="60"/>
  <c r="CL16" i="60"/>
  <c r="CL15" i="60"/>
  <c r="CL14" i="60"/>
  <c r="CL13" i="60"/>
  <c r="CL12" i="60"/>
  <c r="CL11" i="60"/>
  <c r="CL10" i="60"/>
  <c r="CL9" i="60"/>
  <c r="CL8" i="60"/>
  <c r="CF48" i="60"/>
  <c r="CF47" i="60"/>
  <c r="CF46" i="60"/>
  <c r="CF45" i="60"/>
  <c r="CF44" i="60"/>
  <c r="CF43" i="60"/>
  <c r="CF42" i="60"/>
  <c r="CF41" i="60"/>
  <c r="CF40" i="60"/>
  <c r="CF39" i="60"/>
  <c r="CF38" i="60"/>
  <c r="CF37" i="60"/>
  <c r="CF36" i="60"/>
  <c r="CF35" i="60"/>
  <c r="CF34" i="60"/>
  <c r="CF33" i="60"/>
  <c r="CF32" i="60"/>
  <c r="CF31" i="60"/>
  <c r="CF30" i="60"/>
  <c r="CF29" i="60"/>
  <c r="CF28" i="60"/>
  <c r="CF27" i="60"/>
  <c r="CF26" i="60"/>
  <c r="CF25" i="60"/>
  <c r="CF24" i="60"/>
  <c r="CF23" i="60"/>
  <c r="CF22" i="60"/>
  <c r="CF21" i="60"/>
  <c r="CF20" i="60"/>
  <c r="CF19" i="60"/>
  <c r="CF18" i="60"/>
  <c r="CF17" i="60"/>
  <c r="CF16" i="60"/>
  <c r="CF15" i="60"/>
  <c r="CF14" i="60"/>
  <c r="CF13" i="60"/>
  <c r="CF12" i="60"/>
  <c r="CF11" i="60"/>
  <c r="CF10" i="60"/>
  <c r="CF9" i="60"/>
  <c r="CF8" i="60"/>
  <c r="BZ48" i="60"/>
  <c r="BZ47" i="60"/>
  <c r="BZ46" i="60"/>
  <c r="BZ45" i="60"/>
  <c r="BZ44" i="60"/>
  <c r="BZ43" i="60"/>
  <c r="BZ42" i="60"/>
  <c r="BZ41" i="60"/>
  <c r="BZ40" i="60"/>
  <c r="BZ39" i="60"/>
  <c r="BZ38" i="60"/>
  <c r="BZ37" i="60"/>
  <c r="BZ36" i="60"/>
  <c r="BZ35" i="60"/>
  <c r="BZ34" i="60"/>
  <c r="BZ33" i="60"/>
  <c r="BZ32" i="60"/>
  <c r="BZ31" i="60"/>
  <c r="BZ30" i="60"/>
  <c r="BZ29" i="60"/>
  <c r="BZ28" i="60"/>
  <c r="BZ27" i="60"/>
  <c r="BZ26" i="60"/>
  <c r="BZ25" i="60"/>
  <c r="BZ24" i="60"/>
  <c r="BZ23" i="60"/>
  <c r="BZ22" i="60"/>
  <c r="BZ21" i="60"/>
  <c r="BZ20" i="60"/>
  <c r="BZ19" i="60"/>
  <c r="BZ18" i="60"/>
  <c r="BZ17" i="60"/>
  <c r="BZ16" i="60"/>
  <c r="BZ15" i="60"/>
  <c r="BZ14" i="60"/>
  <c r="BZ13" i="60"/>
  <c r="BZ12" i="60"/>
  <c r="BZ11" i="60"/>
  <c r="BZ10" i="60"/>
  <c r="BZ9" i="60"/>
  <c r="BZ8" i="60"/>
  <c r="BT48" i="60"/>
  <c r="BT47" i="60"/>
  <c r="BT46" i="60"/>
  <c r="BT45" i="60"/>
  <c r="BT44" i="60"/>
  <c r="BT43" i="60"/>
  <c r="BT42" i="60"/>
  <c r="BT41" i="60"/>
  <c r="BT40" i="60"/>
  <c r="BT39" i="60"/>
  <c r="BT38" i="60"/>
  <c r="BT37" i="60"/>
  <c r="BT36" i="60"/>
  <c r="BT35" i="60"/>
  <c r="BT34" i="60"/>
  <c r="BT33" i="60"/>
  <c r="BT32" i="60"/>
  <c r="BT31" i="60"/>
  <c r="BT30" i="60"/>
  <c r="BT29" i="60"/>
  <c r="BT28" i="60"/>
  <c r="BT27" i="60"/>
  <c r="BT26" i="60"/>
  <c r="BT25" i="60"/>
  <c r="BT24" i="60"/>
  <c r="BT23" i="60"/>
  <c r="BT22" i="60"/>
  <c r="BT21" i="60"/>
  <c r="BT20" i="60"/>
  <c r="BT19" i="60"/>
  <c r="BT18" i="60"/>
  <c r="BT17" i="60"/>
  <c r="BT16" i="60"/>
  <c r="BT15" i="60"/>
  <c r="BT14" i="60"/>
  <c r="BT13" i="60"/>
  <c r="BT12" i="60"/>
  <c r="BT11" i="60"/>
  <c r="BT10" i="60"/>
  <c r="BT9" i="60"/>
  <c r="BT8" i="60"/>
  <c r="BN48" i="60"/>
  <c r="BN47" i="60"/>
  <c r="BN46" i="60"/>
  <c r="BN45" i="60"/>
  <c r="BN44" i="60"/>
  <c r="BN43" i="60"/>
  <c r="BN42" i="60"/>
  <c r="BN41" i="60"/>
  <c r="BN40" i="60"/>
  <c r="BN39" i="60"/>
  <c r="BN38" i="60"/>
  <c r="BN37" i="60"/>
  <c r="BN36" i="60"/>
  <c r="BN35" i="60"/>
  <c r="BN34" i="60"/>
  <c r="BN33" i="60"/>
  <c r="BN32" i="60"/>
  <c r="BN31" i="60"/>
  <c r="BN30" i="60"/>
  <c r="BN29" i="60"/>
  <c r="BN28" i="60"/>
  <c r="BN27" i="60"/>
  <c r="BN26" i="60"/>
  <c r="BN25" i="60"/>
  <c r="BN24" i="60"/>
  <c r="BN23" i="60"/>
  <c r="BN22" i="60"/>
  <c r="BN21" i="60"/>
  <c r="BN20" i="60"/>
  <c r="BN19" i="60"/>
  <c r="BN18" i="60"/>
  <c r="BN17" i="60"/>
  <c r="BN16" i="60"/>
  <c r="BN15" i="60"/>
  <c r="BN14" i="60"/>
  <c r="BN13" i="60"/>
  <c r="BN12" i="60"/>
  <c r="BN11" i="60"/>
  <c r="BN10" i="60"/>
  <c r="BN9" i="60"/>
  <c r="BN8" i="60"/>
  <c r="BH48" i="60"/>
  <c r="BH47" i="60"/>
  <c r="BH46" i="60"/>
  <c r="BH45" i="60"/>
  <c r="BH44" i="60"/>
  <c r="BH43" i="60"/>
  <c r="BH42" i="60"/>
  <c r="BH41" i="60"/>
  <c r="BH40" i="60"/>
  <c r="BH39" i="60"/>
  <c r="BH38" i="60"/>
  <c r="BH37" i="60"/>
  <c r="BH36" i="60"/>
  <c r="BH35" i="60"/>
  <c r="BH34" i="60"/>
  <c r="BH33" i="60"/>
  <c r="BH32" i="60"/>
  <c r="BH31" i="60"/>
  <c r="BH30" i="60"/>
  <c r="BH29" i="60"/>
  <c r="BH28" i="60"/>
  <c r="BH27" i="60"/>
  <c r="BH26" i="60"/>
  <c r="BH25" i="60"/>
  <c r="BH24" i="60"/>
  <c r="BH23" i="60"/>
  <c r="BH22" i="60"/>
  <c r="BH21" i="60"/>
  <c r="BH20" i="60"/>
  <c r="BH19" i="60"/>
  <c r="BH18" i="60"/>
  <c r="BH17" i="60"/>
  <c r="BH16" i="60"/>
  <c r="BH15" i="60"/>
  <c r="BH14" i="60"/>
  <c r="BH13" i="60"/>
  <c r="BH12" i="60"/>
  <c r="BH11" i="60"/>
  <c r="BH10" i="60"/>
  <c r="BH9" i="60"/>
  <c r="BH8" i="60"/>
  <c r="BB48" i="60"/>
  <c r="BB47" i="60"/>
  <c r="BB46" i="60"/>
  <c r="BB45" i="60"/>
  <c r="BB44" i="60"/>
  <c r="BB43" i="60"/>
  <c r="BB42" i="60"/>
  <c r="BB41" i="60"/>
  <c r="BB40" i="60"/>
  <c r="BB39" i="60"/>
  <c r="BB38" i="60"/>
  <c r="BB37" i="60"/>
  <c r="BB36" i="60"/>
  <c r="BB35" i="60"/>
  <c r="BB34" i="60"/>
  <c r="BB33" i="60"/>
  <c r="BB32" i="60"/>
  <c r="BB31" i="60"/>
  <c r="BB30" i="60"/>
  <c r="BB29" i="60"/>
  <c r="BB28" i="60"/>
  <c r="BB27" i="60"/>
  <c r="BB26" i="60"/>
  <c r="BB25" i="60"/>
  <c r="BB24" i="60"/>
  <c r="BB23" i="60"/>
  <c r="BB22" i="60"/>
  <c r="BB21" i="60"/>
  <c r="BB20" i="60"/>
  <c r="BB19" i="60"/>
  <c r="BB18" i="60"/>
  <c r="BB17" i="60"/>
  <c r="BB16" i="60"/>
  <c r="BB15" i="60"/>
  <c r="BB14" i="60"/>
  <c r="BB13" i="60"/>
  <c r="BB12" i="60"/>
  <c r="BB11" i="60"/>
  <c r="BB10" i="60"/>
  <c r="BB9" i="60"/>
  <c r="BB8" i="60"/>
  <c r="AV48" i="60"/>
  <c r="AV47" i="60"/>
  <c r="AV46" i="60"/>
  <c r="AV45" i="60"/>
  <c r="AV44" i="60"/>
  <c r="AV43" i="60"/>
  <c r="AV42" i="60"/>
  <c r="AV41" i="60"/>
  <c r="AV40" i="60"/>
  <c r="AV39" i="60"/>
  <c r="AV38" i="60"/>
  <c r="AV37" i="60"/>
  <c r="AV36" i="60"/>
  <c r="AV35" i="60"/>
  <c r="AV34" i="60"/>
  <c r="AV33" i="60"/>
  <c r="AV32" i="60"/>
  <c r="AV31" i="60"/>
  <c r="AV30" i="60"/>
  <c r="AV29" i="60"/>
  <c r="AV28" i="60"/>
  <c r="AV27" i="60"/>
  <c r="AV26" i="60"/>
  <c r="AV25" i="60"/>
  <c r="AV24" i="60"/>
  <c r="AV23" i="60"/>
  <c r="AV22" i="60"/>
  <c r="AV21" i="60"/>
  <c r="AV20" i="60"/>
  <c r="AV19" i="60"/>
  <c r="AV18" i="60"/>
  <c r="AV17" i="60"/>
  <c r="AV16" i="60"/>
  <c r="AV15" i="60"/>
  <c r="AV14" i="60"/>
  <c r="AV13" i="60"/>
  <c r="AV12" i="60"/>
  <c r="AV11" i="60"/>
  <c r="AV10" i="60"/>
  <c r="AV9" i="60"/>
  <c r="AV8" i="60"/>
  <c r="AP48" i="60"/>
  <c r="AP47" i="60"/>
  <c r="AP46" i="60"/>
  <c r="AP45" i="60"/>
  <c r="AP44" i="60"/>
  <c r="AP43" i="60"/>
  <c r="AP42" i="60"/>
  <c r="AP41" i="60"/>
  <c r="AP40" i="60"/>
  <c r="AP39" i="60"/>
  <c r="AP38" i="60"/>
  <c r="AP37" i="60"/>
  <c r="AP36" i="60"/>
  <c r="AP35" i="60"/>
  <c r="AP34" i="60"/>
  <c r="AP33" i="60"/>
  <c r="AP32" i="60"/>
  <c r="AP31" i="60"/>
  <c r="AP30" i="60"/>
  <c r="AP29" i="60"/>
  <c r="AP28" i="60"/>
  <c r="AP27" i="60"/>
  <c r="AP26" i="60"/>
  <c r="AP25" i="60"/>
  <c r="AP24" i="60"/>
  <c r="AP23" i="60"/>
  <c r="AP22" i="60"/>
  <c r="AP21" i="60"/>
  <c r="AP20" i="60"/>
  <c r="AP19" i="60"/>
  <c r="AP18" i="60"/>
  <c r="AP17" i="60"/>
  <c r="AP16" i="60"/>
  <c r="AP15" i="60"/>
  <c r="AP14" i="60"/>
  <c r="AP13" i="60"/>
  <c r="AP12" i="60"/>
  <c r="AP11" i="60"/>
  <c r="AP10" i="60"/>
  <c r="AP9" i="60"/>
  <c r="AP8" i="60"/>
  <c r="AJ48" i="60"/>
  <c r="AJ47" i="60"/>
  <c r="AJ46" i="60"/>
  <c r="AJ45" i="60"/>
  <c r="AJ44" i="60"/>
  <c r="AJ43" i="60"/>
  <c r="AJ42" i="60"/>
  <c r="AJ41" i="60"/>
  <c r="AJ40" i="60"/>
  <c r="AJ39" i="60"/>
  <c r="AJ38" i="60"/>
  <c r="AJ37" i="60"/>
  <c r="AJ36" i="60"/>
  <c r="AJ35" i="60"/>
  <c r="AJ34" i="60"/>
  <c r="AJ33" i="60"/>
  <c r="AJ32" i="60"/>
  <c r="AJ31" i="60"/>
  <c r="AJ30" i="60"/>
  <c r="AJ29" i="60"/>
  <c r="AJ28" i="60"/>
  <c r="AJ27" i="60"/>
  <c r="AJ26" i="60"/>
  <c r="AJ25" i="60"/>
  <c r="AJ24" i="60"/>
  <c r="AJ23" i="60"/>
  <c r="AJ22" i="60"/>
  <c r="AJ21" i="60"/>
  <c r="AJ20" i="60"/>
  <c r="AJ19" i="60"/>
  <c r="AJ18" i="60"/>
  <c r="AJ17" i="60"/>
  <c r="AJ16" i="60"/>
  <c r="AJ15" i="60"/>
  <c r="AJ14" i="60"/>
  <c r="AJ13" i="60"/>
  <c r="AJ12" i="60"/>
  <c r="AJ11" i="60"/>
  <c r="AJ10" i="60"/>
  <c r="AJ9" i="60"/>
  <c r="AJ8" i="60"/>
  <c r="AD48" i="60"/>
  <c r="AD47" i="60"/>
  <c r="AD46" i="60"/>
  <c r="AD45" i="60"/>
  <c r="AD44" i="60"/>
  <c r="AD43" i="60"/>
  <c r="AD42" i="60"/>
  <c r="AD41" i="60"/>
  <c r="AD40" i="60"/>
  <c r="AD39" i="60"/>
  <c r="AD38" i="60"/>
  <c r="AD37" i="60"/>
  <c r="AD36" i="60"/>
  <c r="AD35" i="60"/>
  <c r="AD34" i="60"/>
  <c r="AD33" i="60"/>
  <c r="AD32" i="60"/>
  <c r="AD31" i="60"/>
  <c r="AD30" i="60"/>
  <c r="AD29" i="60"/>
  <c r="AD28" i="60"/>
  <c r="AD27" i="60"/>
  <c r="AD26" i="60"/>
  <c r="AD25" i="60"/>
  <c r="AD24" i="60"/>
  <c r="AD23" i="60"/>
  <c r="AD22" i="60"/>
  <c r="AD21" i="60"/>
  <c r="AD20" i="60"/>
  <c r="AD19" i="60"/>
  <c r="AD18" i="60"/>
  <c r="AD17" i="60"/>
  <c r="AD16" i="60"/>
  <c r="AD15" i="60"/>
  <c r="AD14" i="60"/>
  <c r="AD13" i="60"/>
  <c r="AD12" i="60"/>
  <c r="AD11" i="60"/>
  <c r="AD10" i="60"/>
  <c r="AD9" i="60"/>
  <c r="AD8" i="60"/>
  <c r="X48" i="60"/>
  <c r="X47" i="60"/>
  <c r="X46" i="60"/>
  <c r="X45" i="60"/>
  <c r="X44" i="60"/>
  <c r="X43" i="60"/>
  <c r="X42" i="60"/>
  <c r="X41" i="60"/>
  <c r="X40" i="60"/>
  <c r="X39" i="60"/>
  <c r="X38" i="60"/>
  <c r="X37" i="60"/>
  <c r="X36" i="60"/>
  <c r="X35" i="60"/>
  <c r="X34" i="60"/>
  <c r="X33" i="60"/>
  <c r="X32" i="60"/>
  <c r="X31" i="60"/>
  <c r="X30" i="60"/>
  <c r="X29" i="60"/>
  <c r="X28" i="60"/>
  <c r="X27" i="60"/>
  <c r="X26" i="60"/>
  <c r="X25" i="60"/>
  <c r="X24" i="60"/>
  <c r="X23" i="60"/>
  <c r="X22" i="60"/>
  <c r="X21" i="60"/>
  <c r="X20" i="60"/>
  <c r="X19" i="60"/>
  <c r="X18" i="60"/>
  <c r="X17" i="60"/>
  <c r="X16" i="60"/>
  <c r="X15" i="60"/>
  <c r="X14" i="60"/>
  <c r="X13" i="60"/>
  <c r="X12" i="60"/>
  <c r="X11" i="60"/>
  <c r="X10" i="60"/>
  <c r="X9" i="60"/>
  <c r="X8" i="60"/>
  <c r="R48" i="60"/>
  <c r="R47" i="60"/>
  <c r="R46" i="60"/>
  <c r="R45" i="60"/>
  <c r="R44" i="60"/>
  <c r="R43" i="60"/>
  <c r="R42" i="60"/>
  <c r="R41" i="60"/>
  <c r="R40" i="60"/>
  <c r="R39" i="60"/>
  <c r="R38" i="60"/>
  <c r="R37" i="60"/>
  <c r="R36" i="60"/>
  <c r="R35" i="60"/>
  <c r="R34" i="60"/>
  <c r="R33" i="60"/>
  <c r="R32" i="60"/>
  <c r="R31" i="60"/>
  <c r="R30" i="60"/>
  <c r="R29" i="60"/>
  <c r="R28" i="60"/>
  <c r="R27" i="60"/>
  <c r="R26" i="60"/>
  <c r="R25" i="60"/>
  <c r="R24" i="60"/>
  <c r="R23" i="60"/>
  <c r="R22" i="60"/>
  <c r="R21" i="60"/>
  <c r="R20" i="60"/>
  <c r="R19" i="60"/>
  <c r="R18" i="60"/>
  <c r="R17" i="60"/>
  <c r="R16" i="60"/>
  <c r="R15" i="60"/>
  <c r="R14" i="60"/>
  <c r="R13" i="60"/>
  <c r="R12" i="60"/>
  <c r="R11" i="60"/>
  <c r="R10" i="60"/>
  <c r="R9" i="60"/>
  <c r="R8" i="60"/>
  <c r="L8" i="60"/>
  <c r="F9" i="60"/>
  <c r="F10" i="60"/>
  <c r="F11" i="60"/>
  <c r="F12" i="60"/>
  <c r="F13" i="60"/>
  <c r="F14" i="60"/>
  <c r="F15" i="60"/>
  <c r="F16" i="60"/>
  <c r="F17" i="60"/>
  <c r="F18" i="60"/>
  <c r="F19" i="60"/>
  <c r="F20" i="60"/>
  <c r="F21" i="60"/>
  <c r="F22" i="60"/>
  <c r="F23" i="60"/>
  <c r="F24" i="60"/>
  <c r="F25" i="60"/>
  <c r="F26" i="60"/>
  <c r="F27" i="60"/>
  <c r="F28" i="60"/>
  <c r="F29" i="60"/>
  <c r="F30" i="60"/>
  <c r="F31" i="60"/>
  <c r="F32" i="60"/>
  <c r="F33" i="60"/>
  <c r="F34" i="60"/>
  <c r="F35" i="60"/>
  <c r="F36" i="60"/>
  <c r="F37" i="60"/>
  <c r="F38" i="60"/>
  <c r="F39" i="60"/>
  <c r="F40" i="60"/>
  <c r="F41" i="60"/>
  <c r="F42" i="60"/>
  <c r="F43" i="60"/>
  <c r="F44" i="60"/>
  <c r="F45" i="60"/>
  <c r="F46" i="60"/>
  <c r="F47" i="60"/>
  <c r="F48" i="60"/>
  <c r="F8" i="60"/>
  <c r="DP94" i="60"/>
  <c r="DO94" i="60"/>
  <c r="DN94" i="60"/>
  <c r="DM94" i="60"/>
  <c r="DI94" i="60"/>
  <c r="DH94" i="60"/>
  <c r="DG94" i="60"/>
  <c r="DD94" i="60"/>
  <c r="DC94" i="60"/>
  <c r="DB94" i="60"/>
  <c r="DA94" i="60"/>
  <c r="CW94" i="60"/>
  <c r="CV94" i="60"/>
  <c r="CU94" i="60"/>
  <c r="DO87" i="60" a="1"/>
  <c r="DO92" i="60" s="1"/>
  <c r="DN87" i="60" a="1"/>
  <c r="DN91" i="60" s="1"/>
  <c r="DM87" i="60" a="1"/>
  <c r="DM92" i="60" s="1"/>
  <c r="DI87" i="60" a="1"/>
  <c r="DI91" i="60" s="1"/>
  <c r="DH87" i="60" a="1"/>
  <c r="DH92" i="60" s="1"/>
  <c r="DG87" i="60" a="1"/>
  <c r="DG91" i="60" s="1"/>
  <c r="DC87" i="60" a="1"/>
  <c r="DC92" i="60" s="1"/>
  <c r="DB87" i="60" a="1"/>
  <c r="DB91" i="60" s="1"/>
  <c r="DA87" i="60" a="1"/>
  <c r="DA92" i="60" s="1"/>
  <c r="CW87" i="60" a="1"/>
  <c r="CW91" i="60" s="1"/>
  <c r="CV87" i="60" a="1"/>
  <c r="CV92" i="60" s="1"/>
  <c r="CU87" i="60" a="1"/>
  <c r="CU91" i="60" s="1"/>
  <c r="CX85" i="60"/>
  <c r="DD85" i="60" s="1"/>
  <c r="DJ85" i="60" s="1"/>
  <c r="DP85" i="60" s="1"/>
  <c r="CW85" i="60"/>
  <c r="DC85" i="60" s="1"/>
  <c r="DI85" i="60" s="1"/>
  <c r="DO85" i="60" s="1"/>
  <c r="CV85" i="60"/>
  <c r="DB85" i="60" s="1"/>
  <c r="DH85" i="60" s="1"/>
  <c r="DN85" i="60" s="1"/>
  <c r="CT85" i="60"/>
  <c r="CZ85" i="60" s="1"/>
  <c r="DF85" i="60" s="1"/>
  <c r="DL85" i="60" s="1"/>
  <c r="DO77" i="60"/>
  <c r="DN77" i="60"/>
  <c r="DM77" i="60"/>
  <c r="DI77" i="60"/>
  <c r="DH77" i="60"/>
  <c r="DG77" i="60"/>
  <c r="DD77" i="60"/>
  <c r="DC77" i="60"/>
  <c r="DB77" i="60"/>
  <c r="DA77" i="60"/>
  <c r="CW77" i="60"/>
  <c r="CV77" i="60"/>
  <c r="CU77" i="60"/>
  <c r="DO60" i="60" a="1"/>
  <c r="DO75" i="60" s="1"/>
  <c r="DN60" i="60" a="1"/>
  <c r="DN74" i="60" s="1"/>
  <c r="DM60" i="60" a="1"/>
  <c r="DM75" i="60" s="1"/>
  <c r="DI60" i="60" a="1"/>
  <c r="DI74" i="60" s="1"/>
  <c r="DH60" i="60" a="1"/>
  <c r="DH75" i="60" s="1"/>
  <c r="DG60" i="60" a="1"/>
  <c r="DG74" i="60" s="1"/>
  <c r="DC60" i="60" a="1"/>
  <c r="DC75" i="60" s="1"/>
  <c r="DB60" i="60" a="1"/>
  <c r="DB74" i="60" s="1"/>
  <c r="DA60" i="60" a="1"/>
  <c r="DA75" i="60" s="1"/>
  <c r="CW60" i="60" a="1"/>
  <c r="CW74" i="60" s="1"/>
  <c r="CV60" i="60" a="1"/>
  <c r="CV75" i="60" s="1"/>
  <c r="CU60" i="60" a="1"/>
  <c r="CU74" i="60" s="1"/>
  <c r="DD58" i="60"/>
  <c r="DJ58" i="60" s="1"/>
  <c r="DP58" i="60" s="1"/>
  <c r="CX58" i="60"/>
  <c r="CW58" i="60"/>
  <c r="DC58" i="60" s="1"/>
  <c r="DI58" i="60" s="1"/>
  <c r="DO58" i="60" s="1"/>
  <c r="CV58" i="60"/>
  <c r="DB58" i="60" s="1"/>
  <c r="DH58" i="60" s="1"/>
  <c r="DN58" i="60" s="1"/>
  <c r="CT58" i="60"/>
  <c r="CZ58" i="60" s="1"/>
  <c r="DF58" i="60" s="1"/>
  <c r="DL58" i="60" s="1"/>
  <c r="DD6" i="60"/>
  <c r="DJ6" i="60" s="1"/>
  <c r="DP6" i="60" s="1"/>
  <c r="DC6" i="60"/>
  <c r="DI6" i="60" s="1"/>
  <c r="DO6" i="60" s="1"/>
  <c r="DB6" i="60"/>
  <c r="DH6" i="60" s="1"/>
  <c r="DN6" i="60" s="1"/>
  <c r="CZ6" i="60"/>
  <c r="DF6" i="60" s="1"/>
  <c r="DL6" i="60" s="1"/>
  <c r="CQ94" i="60"/>
  <c r="CP94" i="60"/>
  <c r="CO94" i="60"/>
  <c r="CK94" i="60"/>
  <c r="CJ94" i="60"/>
  <c r="CI94" i="60"/>
  <c r="CE94" i="60"/>
  <c r="CD94" i="60"/>
  <c r="CC94" i="60"/>
  <c r="BY94" i="60"/>
  <c r="BX94" i="60"/>
  <c r="BW94" i="60"/>
  <c r="CQ87" i="60" a="1"/>
  <c r="CQ92" i="60" s="1"/>
  <c r="CP87" i="60" a="1"/>
  <c r="CP91" i="60" s="1"/>
  <c r="CO87" i="60" a="1"/>
  <c r="CO92" i="60" s="1"/>
  <c r="CK87" i="60" a="1"/>
  <c r="CK91" i="60" s="1"/>
  <c r="CJ87" i="60" a="1"/>
  <c r="CJ92" i="60" s="1"/>
  <c r="CI87" i="60" a="1"/>
  <c r="CI92" i="60" s="1"/>
  <c r="CE87" i="60" a="1"/>
  <c r="CE92" i="60" s="1"/>
  <c r="CD87" i="60" a="1"/>
  <c r="CD91" i="60" s="1"/>
  <c r="CC87" i="60" a="1"/>
  <c r="CC92" i="60" s="1"/>
  <c r="BY87" i="60" a="1"/>
  <c r="BY92" i="60" s="1"/>
  <c r="BX87" i="60" a="1"/>
  <c r="BX92" i="60" s="1"/>
  <c r="BW87" i="60" a="1"/>
  <c r="BW92" i="60" s="1"/>
  <c r="BZ85" i="60"/>
  <c r="CF85" i="60" s="1"/>
  <c r="CL85" i="60" s="1"/>
  <c r="CR85" i="60" s="1"/>
  <c r="BY85" i="60"/>
  <c r="CE85" i="60" s="1"/>
  <c r="CK85" i="60" s="1"/>
  <c r="CQ85" i="60" s="1"/>
  <c r="BX85" i="60"/>
  <c r="CD85" i="60" s="1"/>
  <c r="CJ85" i="60" s="1"/>
  <c r="CP85" i="60" s="1"/>
  <c r="BV85" i="60"/>
  <c r="CB85" i="60" s="1"/>
  <c r="CH85" i="60" s="1"/>
  <c r="CN85" i="60" s="1"/>
  <c r="CQ77" i="60"/>
  <c r="CP77" i="60"/>
  <c r="CO77" i="60"/>
  <c r="CK77" i="60"/>
  <c r="CJ77" i="60"/>
  <c r="CI77" i="60"/>
  <c r="CE77" i="60"/>
  <c r="CD77" i="60"/>
  <c r="CC77" i="60"/>
  <c r="BY77" i="60"/>
  <c r="BX77" i="60"/>
  <c r="BW77" i="60"/>
  <c r="CQ60" i="60" a="1"/>
  <c r="CQ75" i="60" s="1"/>
  <c r="CP60" i="60" a="1"/>
  <c r="CP74" i="60" s="1"/>
  <c r="CO60" i="60" a="1"/>
  <c r="CO75" i="60" s="1"/>
  <c r="CK60" i="60" a="1"/>
  <c r="CK75" i="60" s="1"/>
  <c r="CJ60" i="60" a="1"/>
  <c r="CJ75" i="60" s="1"/>
  <c r="CI60" i="60" a="1"/>
  <c r="CI75" i="60" s="1"/>
  <c r="CE60" i="60" a="1"/>
  <c r="CE75" i="60" s="1"/>
  <c r="CD60" i="60" a="1"/>
  <c r="CD74" i="60" s="1"/>
  <c r="CC60" i="60" a="1"/>
  <c r="CC75" i="60" s="1"/>
  <c r="BY60" i="60" a="1"/>
  <c r="BY75" i="60" s="1"/>
  <c r="BX60" i="60" a="1"/>
  <c r="BX75" i="60" s="1"/>
  <c r="BW60" i="60" a="1"/>
  <c r="BW75" i="60" s="1"/>
  <c r="BZ58" i="60"/>
  <c r="CF58" i="60" s="1"/>
  <c r="CL58" i="60" s="1"/>
  <c r="CR58" i="60" s="1"/>
  <c r="BY58" i="60"/>
  <c r="CE58" i="60" s="1"/>
  <c r="CK58" i="60" s="1"/>
  <c r="CQ58" i="60" s="1"/>
  <c r="BX58" i="60"/>
  <c r="CD58" i="60" s="1"/>
  <c r="CJ58" i="60" s="1"/>
  <c r="CP58" i="60" s="1"/>
  <c r="BV58" i="60"/>
  <c r="CB58" i="60" s="1"/>
  <c r="CH58" i="60" s="1"/>
  <c r="CN58" i="60" s="1"/>
  <c r="CF6" i="60"/>
  <c r="CL6" i="60" s="1"/>
  <c r="CR6" i="60" s="1"/>
  <c r="CE6" i="60"/>
  <c r="CK6" i="60" s="1"/>
  <c r="CQ6" i="60" s="1"/>
  <c r="CD6" i="60"/>
  <c r="CJ6" i="60" s="1"/>
  <c r="CP6" i="60" s="1"/>
  <c r="CB6" i="60"/>
  <c r="CH6" i="60" s="1"/>
  <c r="CN6" i="60" s="1"/>
  <c r="BS94" i="60"/>
  <c r="BR94" i="60"/>
  <c r="BQ94" i="60"/>
  <c r="BM94" i="60"/>
  <c r="BL94" i="60"/>
  <c r="BK94" i="60"/>
  <c r="BH94" i="60"/>
  <c r="BG94" i="60"/>
  <c r="BF94" i="60"/>
  <c r="BE94" i="60"/>
  <c r="BB94" i="60"/>
  <c r="BA94" i="60"/>
  <c r="AZ94" i="60"/>
  <c r="AY94" i="60"/>
  <c r="BS87" i="60" a="1"/>
  <c r="BS92" i="60" s="1"/>
  <c r="BR87" i="60" a="1"/>
  <c r="BR91" i="60" s="1"/>
  <c r="BQ87" i="60" a="1"/>
  <c r="BQ92" i="60" s="1"/>
  <c r="BM87" i="60" a="1"/>
  <c r="BM91" i="60" s="1"/>
  <c r="BL87" i="60" a="1"/>
  <c r="BL92" i="60" s="1"/>
  <c r="BK87" i="60" a="1"/>
  <c r="BK92" i="60" s="1"/>
  <c r="BG87" i="60" a="1"/>
  <c r="BG92" i="60" s="1"/>
  <c r="BF87" i="60" a="1"/>
  <c r="BF91" i="60" s="1"/>
  <c r="BE87" i="60" a="1"/>
  <c r="BE92" i="60" s="1"/>
  <c r="BA87" i="60" a="1"/>
  <c r="BA92" i="60" s="1"/>
  <c r="AZ87" i="60" a="1"/>
  <c r="AZ92" i="60" s="1"/>
  <c r="AY87" i="60" a="1"/>
  <c r="AY91" i="60" s="1"/>
  <c r="BB85" i="60"/>
  <c r="BH85" i="60" s="1"/>
  <c r="BN85" i="60" s="1"/>
  <c r="BT85" i="60" s="1"/>
  <c r="BA85" i="60"/>
  <c r="BG85" i="60" s="1"/>
  <c r="BM85" i="60" s="1"/>
  <c r="BS85" i="60" s="1"/>
  <c r="AZ85" i="60"/>
  <c r="BF85" i="60" s="1"/>
  <c r="BL85" i="60" s="1"/>
  <c r="BR85" i="60" s="1"/>
  <c r="AX85" i="60"/>
  <c r="BD85" i="60" s="1"/>
  <c r="BJ85" i="60" s="1"/>
  <c r="BP85" i="60" s="1"/>
  <c r="BS77" i="60"/>
  <c r="BR77" i="60"/>
  <c r="BQ77" i="60"/>
  <c r="BM77" i="60"/>
  <c r="BL77" i="60"/>
  <c r="BK77" i="60"/>
  <c r="BH77" i="60"/>
  <c r="BG77" i="60"/>
  <c r="BF77" i="60"/>
  <c r="BE77" i="60"/>
  <c r="BB77" i="60"/>
  <c r="BA77" i="60"/>
  <c r="AZ77" i="60"/>
  <c r="AY77" i="60"/>
  <c r="BS60" i="60" a="1"/>
  <c r="BS75" i="60" s="1"/>
  <c r="BR60" i="60" a="1"/>
  <c r="BR74" i="60" s="1"/>
  <c r="BQ60" i="60" a="1"/>
  <c r="BQ75" i="60" s="1"/>
  <c r="BM60" i="60" a="1"/>
  <c r="BM74" i="60" s="1"/>
  <c r="BL60" i="60" a="1"/>
  <c r="BL75" i="60" s="1"/>
  <c r="BK60" i="60" a="1"/>
  <c r="BK74" i="60" s="1"/>
  <c r="BG60" i="60" a="1"/>
  <c r="BG75" i="60" s="1"/>
  <c r="BF60" i="60" a="1"/>
  <c r="BF74" i="60" s="1"/>
  <c r="BE60" i="60" a="1"/>
  <c r="BE75" i="60" s="1"/>
  <c r="BA60" i="60" a="1"/>
  <c r="BA74" i="60" s="1"/>
  <c r="AZ60" i="60" a="1"/>
  <c r="AZ75" i="60" s="1"/>
  <c r="AY60" i="60" a="1"/>
  <c r="AY74" i="60" s="1"/>
  <c r="BB58" i="60"/>
  <c r="BH58" i="60" s="1"/>
  <c r="BN58" i="60" s="1"/>
  <c r="BT58" i="60" s="1"/>
  <c r="BA58" i="60"/>
  <c r="BG58" i="60" s="1"/>
  <c r="BM58" i="60" s="1"/>
  <c r="BS58" i="60" s="1"/>
  <c r="AZ58" i="60"/>
  <c r="BF58" i="60" s="1"/>
  <c r="BL58" i="60" s="1"/>
  <c r="BR58" i="60" s="1"/>
  <c r="AX58" i="60"/>
  <c r="BD58" i="60" s="1"/>
  <c r="BJ58" i="60" s="1"/>
  <c r="BP58" i="60" s="1"/>
  <c r="BH6" i="60"/>
  <c r="BN6" i="60" s="1"/>
  <c r="BT6" i="60" s="1"/>
  <c r="BG6" i="60"/>
  <c r="BM6" i="60" s="1"/>
  <c r="BS6" i="60" s="1"/>
  <c r="BF6" i="60"/>
  <c r="BL6" i="60" s="1"/>
  <c r="BR6" i="60" s="1"/>
  <c r="BD6" i="60"/>
  <c r="BJ6" i="60" s="1"/>
  <c r="BP6" i="60" s="1"/>
  <c r="CS52" i="60"/>
  <c r="CS79" i="60"/>
  <c r="CS96" i="60"/>
  <c r="AU94" i="60"/>
  <c r="AT94" i="60"/>
  <c r="AS94" i="60"/>
  <c r="AO94" i="60"/>
  <c r="AN94" i="60"/>
  <c r="AM94" i="60"/>
  <c r="AI94" i="60"/>
  <c r="AH94" i="60"/>
  <c r="AG94" i="60"/>
  <c r="AC94" i="60"/>
  <c r="AB94" i="60"/>
  <c r="AA94" i="60"/>
  <c r="AU87" i="60" a="1"/>
  <c r="AU92" i="60" s="1"/>
  <c r="AT87" i="60" a="1"/>
  <c r="AT91" i="60" s="1"/>
  <c r="AS87" i="60" a="1"/>
  <c r="AS92" i="60" s="1"/>
  <c r="AO87" i="60" a="1"/>
  <c r="AO91" i="60" s="1"/>
  <c r="AN87" i="60" a="1"/>
  <c r="AN92" i="60" s="1"/>
  <c r="AM87" i="60" a="1"/>
  <c r="AM91" i="60" s="1"/>
  <c r="AI87" i="60" a="1"/>
  <c r="AI92" i="60" s="1"/>
  <c r="AH87" i="60" a="1"/>
  <c r="AH91" i="60" s="1"/>
  <c r="AG87" i="60" a="1"/>
  <c r="AG92" i="60" s="1"/>
  <c r="AC87" i="60" a="1"/>
  <c r="AC91" i="60" s="1"/>
  <c r="AB87" i="60" a="1"/>
  <c r="AB92" i="60" s="1"/>
  <c r="AA87" i="60" a="1"/>
  <c r="AA91" i="60" s="1"/>
  <c r="AD85" i="60"/>
  <c r="AJ85" i="60" s="1"/>
  <c r="AP85" i="60" s="1"/>
  <c r="AV85" i="60" s="1"/>
  <c r="AC85" i="60"/>
  <c r="AI85" i="60" s="1"/>
  <c r="AO85" i="60" s="1"/>
  <c r="AU85" i="60" s="1"/>
  <c r="AB85" i="60"/>
  <c r="AH85" i="60" s="1"/>
  <c r="AN85" i="60" s="1"/>
  <c r="AT85" i="60" s="1"/>
  <c r="Z85" i="60"/>
  <c r="AF85" i="60" s="1"/>
  <c r="AL85" i="60" s="1"/>
  <c r="AR85" i="60" s="1"/>
  <c r="AV77" i="60"/>
  <c r="AU77" i="60"/>
  <c r="AT77" i="60"/>
  <c r="AS77" i="60"/>
  <c r="AO77" i="60"/>
  <c r="AN77" i="60"/>
  <c r="AM77" i="60"/>
  <c r="AI77" i="60"/>
  <c r="AH77" i="60"/>
  <c r="AG77" i="60"/>
  <c r="AC77" i="60"/>
  <c r="AB77" i="60"/>
  <c r="AA77" i="60"/>
  <c r="AU60" i="60" a="1"/>
  <c r="AU75" i="60" s="1"/>
  <c r="AT60" i="60" a="1"/>
  <c r="AT74" i="60" s="1"/>
  <c r="AS60" i="60" a="1"/>
  <c r="AS75" i="60" s="1"/>
  <c r="AO60" i="60" a="1"/>
  <c r="AO74" i="60" s="1"/>
  <c r="AN60" i="60" a="1"/>
  <c r="AN75" i="60" s="1"/>
  <c r="AM60" i="60" a="1"/>
  <c r="AM74" i="60" s="1"/>
  <c r="AI60" i="60" a="1"/>
  <c r="AI75" i="60" s="1"/>
  <c r="AH60" i="60" a="1"/>
  <c r="AH74" i="60" s="1"/>
  <c r="AG60" i="60" a="1"/>
  <c r="AG75" i="60" s="1"/>
  <c r="AC60" i="60" a="1"/>
  <c r="AC74" i="60" s="1"/>
  <c r="AB60" i="60" a="1"/>
  <c r="AB75" i="60" s="1"/>
  <c r="AA60" i="60" a="1"/>
  <c r="AA74" i="60" s="1"/>
  <c r="AD58" i="60"/>
  <c r="AJ58" i="60" s="1"/>
  <c r="AP58" i="60" s="1"/>
  <c r="AV58" i="60" s="1"/>
  <c r="AC58" i="60"/>
  <c r="AI58" i="60" s="1"/>
  <c r="AO58" i="60" s="1"/>
  <c r="AU58" i="60" s="1"/>
  <c r="AB58" i="60"/>
  <c r="AH58" i="60" s="1"/>
  <c r="AN58" i="60" s="1"/>
  <c r="AT58" i="60" s="1"/>
  <c r="Z58" i="60"/>
  <c r="AF58" i="60" s="1"/>
  <c r="AL58" i="60" s="1"/>
  <c r="AR58" i="60" s="1"/>
  <c r="AJ6" i="60"/>
  <c r="AP6" i="60" s="1"/>
  <c r="AV6" i="60" s="1"/>
  <c r="AI6" i="60"/>
  <c r="AO6" i="60" s="1"/>
  <c r="AU6" i="60" s="1"/>
  <c r="AH6" i="60"/>
  <c r="AN6" i="60" s="1"/>
  <c r="AT6" i="60" s="1"/>
  <c r="AF6" i="60"/>
  <c r="AL6" i="60" s="1"/>
  <c r="AR6" i="60" s="1"/>
  <c r="AW52" i="60"/>
  <c r="BU52" i="60"/>
  <c r="AW79" i="60"/>
  <c r="BU79" i="60"/>
  <c r="AW96" i="60"/>
  <c r="BU96" i="60"/>
  <c r="CU6" i="60"/>
  <c r="DA6" i="60" s="1"/>
  <c r="DG6" i="60" s="1"/>
  <c r="DM6" i="60" s="1"/>
  <c r="U87" i="60" a="1"/>
  <c r="U87" i="60" s="1"/>
  <c r="V87" i="60" a="1"/>
  <c r="V87" i="60" s="1"/>
  <c r="U94" i="60"/>
  <c r="V94" i="60"/>
  <c r="O87" i="60" a="1"/>
  <c r="O87" i="60" s="1"/>
  <c r="P87" i="60" a="1"/>
  <c r="P87" i="60" s="1"/>
  <c r="O94" i="60"/>
  <c r="P94" i="60"/>
  <c r="I87" i="60" a="1"/>
  <c r="I87" i="60" s="1"/>
  <c r="J87" i="60" a="1"/>
  <c r="J87" i="60" s="1"/>
  <c r="I94" i="60"/>
  <c r="J94" i="60"/>
  <c r="D85" i="60"/>
  <c r="J85" i="60" s="1"/>
  <c r="P85" i="60" s="1"/>
  <c r="V85" i="60" s="1"/>
  <c r="E85" i="60"/>
  <c r="K85" i="60" s="1"/>
  <c r="Q85" i="60" s="1"/>
  <c r="W85" i="60" s="1"/>
  <c r="F85" i="60"/>
  <c r="L85" i="60" s="1"/>
  <c r="R85" i="60" s="1"/>
  <c r="X85" i="60" s="1"/>
  <c r="B85" i="60"/>
  <c r="H85" i="60" s="1"/>
  <c r="N85" i="60" s="1"/>
  <c r="T85" i="60" s="1"/>
  <c r="C87" i="60" a="1"/>
  <c r="C87" i="60" s="1"/>
  <c r="D87" i="60" a="1"/>
  <c r="D87" i="60" s="1"/>
  <c r="C94" i="60"/>
  <c r="D94" i="60"/>
  <c r="V60" i="60" a="1"/>
  <c r="V60" i="60" s="1"/>
  <c r="V77" i="60"/>
  <c r="O60" i="60" a="1"/>
  <c r="O60" i="60" s="1"/>
  <c r="P60" i="60" a="1"/>
  <c r="P60" i="60" s="1"/>
  <c r="O77" i="60"/>
  <c r="P77" i="60"/>
  <c r="I60" i="60" a="1"/>
  <c r="I60" i="60" s="1"/>
  <c r="J60" i="60" a="1"/>
  <c r="J60" i="60" s="1"/>
  <c r="I77" i="60"/>
  <c r="J77" i="60"/>
  <c r="C77" i="60"/>
  <c r="D77" i="60"/>
  <c r="C60" i="60" a="1"/>
  <c r="C60" i="60" s="1"/>
  <c r="D60" i="60" a="1"/>
  <c r="D60" i="60" s="1"/>
  <c r="D58" i="60"/>
  <c r="J58" i="60" s="1"/>
  <c r="P58" i="60" s="1"/>
  <c r="V58" i="60" s="1"/>
  <c r="E58" i="60"/>
  <c r="K58" i="60" s="1"/>
  <c r="Q58" i="60" s="1"/>
  <c r="F58" i="60"/>
  <c r="L58" i="60" s="1"/>
  <c r="R58" i="60" s="1"/>
  <c r="B58" i="60"/>
  <c r="H58" i="60" s="1"/>
  <c r="N58" i="60" s="1"/>
  <c r="T58" i="60" s="1"/>
  <c r="J6" i="60"/>
  <c r="P6" i="60" s="1"/>
  <c r="V6" i="60" s="1"/>
  <c r="K6" i="60"/>
  <c r="Q6" i="60" s="1"/>
  <c r="W6" i="60" s="1"/>
  <c r="L6" i="60"/>
  <c r="R6" i="60" s="1"/>
  <c r="X6" i="60" s="1"/>
  <c r="H6" i="60"/>
  <c r="N6" i="60" s="1"/>
  <c r="T6" i="60" s="1"/>
  <c r="Y96" i="60"/>
  <c r="Y79" i="60"/>
  <c r="Y52" i="60"/>
  <c r="Y8" i="60"/>
  <c r="AW8" i="60" s="1"/>
  <c r="BU8" i="60" s="1"/>
  <c r="CS8" i="60" s="1"/>
  <c r="Y9" i="60"/>
  <c r="AW9" i="60" s="1"/>
  <c r="BU9" i="60" s="1"/>
  <c r="CS9" i="60" s="1"/>
  <c r="Y10" i="60"/>
  <c r="AW10" i="60" s="1"/>
  <c r="BU10" i="60" s="1"/>
  <c r="CS10" i="60" s="1"/>
  <c r="Y11" i="60"/>
  <c r="AW11" i="60" s="1"/>
  <c r="BU11" i="60" s="1"/>
  <c r="CS11" i="60" s="1"/>
  <c r="Y12" i="60"/>
  <c r="AW12" i="60" s="1"/>
  <c r="BU12" i="60" s="1"/>
  <c r="CS12" i="60" s="1"/>
  <c r="Y13" i="60"/>
  <c r="AW13" i="60" s="1"/>
  <c r="BU13" i="60" s="1"/>
  <c r="CS13" i="60" s="1"/>
  <c r="Y14" i="60"/>
  <c r="AW14" i="60" s="1"/>
  <c r="BU14" i="60" s="1"/>
  <c r="CS14" i="60" s="1"/>
  <c r="Y15" i="60"/>
  <c r="AW15" i="60" s="1"/>
  <c r="BU15" i="60" s="1"/>
  <c r="CS15" i="60" s="1"/>
  <c r="Y16" i="60"/>
  <c r="AW16" i="60" s="1"/>
  <c r="BU16" i="60" s="1"/>
  <c r="CS16" i="60" s="1"/>
  <c r="Y17" i="60"/>
  <c r="AW17" i="60" s="1"/>
  <c r="BU17" i="60" s="1"/>
  <c r="CS17" i="60" s="1"/>
  <c r="Y18" i="60"/>
  <c r="AW18" i="60" s="1"/>
  <c r="BU18" i="60" s="1"/>
  <c r="CS18" i="60" s="1"/>
  <c r="Y19" i="60"/>
  <c r="AW19" i="60" s="1"/>
  <c r="BU19" i="60" s="1"/>
  <c r="CS19" i="60" s="1"/>
  <c r="Y20" i="60"/>
  <c r="AW20" i="60" s="1"/>
  <c r="BU20" i="60" s="1"/>
  <c r="CS20" i="60" s="1"/>
  <c r="Y21" i="60"/>
  <c r="AW21" i="60" s="1"/>
  <c r="BU21" i="60" s="1"/>
  <c r="CS21" i="60" s="1"/>
  <c r="Y22" i="60"/>
  <c r="AW22" i="60" s="1"/>
  <c r="BU22" i="60" s="1"/>
  <c r="CS22" i="60" s="1"/>
  <c r="Y23" i="60"/>
  <c r="AW23" i="60" s="1"/>
  <c r="BU23" i="60" s="1"/>
  <c r="CS23" i="60" s="1"/>
  <c r="Y24" i="60"/>
  <c r="AW24" i="60" s="1"/>
  <c r="BU24" i="60" s="1"/>
  <c r="CS24" i="60" s="1"/>
  <c r="Y25" i="60"/>
  <c r="AW25" i="60" s="1"/>
  <c r="BU25" i="60" s="1"/>
  <c r="CS25" i="60" s="1"/>
  <c r="Y26" i="60"/>
  <c r="AW26" i="60" s="1"/>
  <c r="BU26" i="60" s="1"/>
  <c r="CS26" i="60" s="1"/>
  <c r="Y27" i="60"/>
  <c r="AW27" i="60" s="1"/>
  <c r="BU27" i="60" s="1"/>
  <c r="CS27" i="60" s="1"/>
  <c r="Y28" i="60"/>
  <c r="AW28" i="60" s="1"/>
  <c r="BU28" i="60" s="1"/>
  <c r="CS28" i="60" s="1"/>
  <c r="Y29" i="60"/>
  <c r="AW29" i="60" s="1"/>
  <c r="BU29" i="60" s="1"/>
  <c r="CS29" i="60" s="1"/>
  <c r="Y30" i="60"/>
  <c r="AW30" i="60" s="1"/>
  <c r="BU30" i="60" s="1"/>
  <c r="CS30" i="60" s="1"/>
  <c r="Y31" i="60"/>
  <c r="AW31" i="60" s="1"/>
  <c r="BU31" i="60" s="1"/>
  <c r="CS31" i="60" s="1"/>
  <c r="Y32" i="60"/>
  <c r="AW32" i="60" s="1"/>
  <c r="BU32" i="60" s="1"/>
  <c r="CS32" i="60" s="1"/>
  <c r="Y33" i="60"/>
  <c r="AW33" i="60" s="1"/>
  <c r="BU33" i="60" s="1"/>
  <c r="CS33" i="60" s="1"/>
  <c r="Y34" i="60"/>
  <c r="AW34" i="60" s="1"/>
  <c r="BU34" i="60" s="1"/>
  <c r="CS34" i="60" s="1"/>
  <c r="Y35" i="60"/>
  <c r="AW35" i="60" s="1"/>
  <c r="BU35" i="60" s="1"/>
  <c r="CS35" i="60" s="1"/>
  <c r="Y36" i="60"/>
  <c r="AW36" i="60" s="1"/>
  <c r="BU36" i="60" s="1"/>
  <c r="CS36" i="60" s="1"/>
  <c r="Y37" i="60"/>
  <c r="AW37" i="60" s="1"/>
  <c r="BU37" i="60" s="1"/>
  <c r="CS37" i="60" s="1"/>
  <c r="Y38" i="60"/>
  <c r="AW38" i="60" s="1"/>
  <c r="BU38" i="60" s="1"/>
  <c r="CS38" i="60" s="1"/>
  <c r="Y39" i="60"/>
  <c r="AW39" i="60" s="1"/>
  <c r="BU39" i="60" s="1"/>
  <c r="CS39" i="60" s="1"/>
  <c r="Y40" i="60"/>
  <c r="AW40" i="60" s="1"/>
  <c r="BU40" i="60" s="1"/>
  <c r="CS40" i="60" s="1"/>
  <c r="A96" i="60"/>
  <c r="A79" i="60"/>
  <c r="W94" i="60"/>
  <c r="Q94" i="60"/>
  <c r="L94" i="60"/>
  <c r="K94" i="60"/>
  <c r="F94" i="60"/>
  <c r="E94" i="60"/>
  <c r="W77" i="60"/>
  <c r="U77" i="60"/>
  <c r="Q77" i="60"/>
  <c r="L77" i="60"/>
  <c r="K77" i="60"/>
  <c r="E77" i="60"/>
  <c r="F77" i="60"/>
  <c r="W87" i="60" a="1"/>
  <c r="W92" i="60" s="1"/>
  <c r="Q87" i="60" a="1"/>
  <c r="Q92" i="60" s="1"/>
  <c r="K87" i="60" a="1"/>
  <c r="K92" i="60" s="1"/>
  <c r="E87" i="60" a="1"/>
  <c r="E87" i="60" s="1"/>
  <c r="Y94" i="60"/>
  <c r="AW94" i="60" s="1"/>
  <c r="BU94" i="60" s="1"/>
  <c r="CS94" i="60" s="1"/>
  <c r="Y88" i="60"/>
  <c r="AW88" i="60" s="1"/>
  <c r="BU88" i="60" s="1"/>
  <c r="CS88" i="60" s="1"/>
  <c r="Y89" i="60"/>
  <c r="AW89" i="60" s="1"/>
  <c r="BU89" i="60" s="1"/>
  <c r="CS89" i="60" s="1"/>
  <c r="Y90" i="60"/>
  <c r="AW90" i="60" s="1"/>
  <c r="BU90" i="60" s="1"/>
  <c r="CS90" i="60" s="1"/>
  <c r="Y91" i="60"/>
  <c r="AW91" i="60" s="1"/>
  <c r="BU91" i="60" s="1"/>
  <c r="CS91" i="60" s="1"/>
  <c r="Y92" i="60"/>
  <c r="AW92" i="60" s="1"/>
  <c r="BU92" i="60" s="1"/>
  <c r="CS92" i="60" s="1"/>
  <c r="Y87" i="60"/>
  <c r="AW87" i="60" s="1"/>
  <c r="BU87" i="60" s="1"/>
  <c r="CS87" i="60" s="1"/>
  <c r="H4" i="60"/>
  <c r="H56" i="60" s="1"/>
  <c r="N4" i="60"/>
  <c r="N56" i="60" s="1"/>
  <c r="T4" i="60"/>
  <c r="T56" i="60" s="1"/>
  <c r="W60" i="60" a="1"/>
  <c r="W75" i="60" s="1"/>
  <c r="U60" i="60" a="1"/>
  <c r="U74" i="60" s="1"/>
  <c r="Q60" i="60" a="1"/>
  <c r="Q75" i="60" s="1"/>
  <c r="K60" i="60" a="1"/>
  <c r="K75" i="60" s="1"/>
  <c r="E60" i="60" a="1"/>
  <c r="E60" i="60" s="1"/>
  <c r="Y77" i="60"/>
  <c r="AW77" i="60" s="1"/>
  <c r="BU77" i="60" s="1"/>
  <c r="CS77" i="60" s="1"/>
  <c r="Y61" i="60"/>
  <c r="AW61" i="60" s="1"/>
  <c r="BU61" i="60" s="1"/>
  <c r="CS61" i="60" s="1"/>
  <c r="Y62" i="60"/>
  <c r="AW62" i="60" s="1"/>
  <c r="BU62" i="60" s="1"/>
  <c r="CS62" i="60" s="1"/>
  <c r="Y63" i="60"/>
  <c r="AW63" i="60" s="1"/>
  <c r="BU63" i="60" s="1"/>
  <c r="CS63" i="60" s="1"/>
  <c r="Y64" i="60"/>
  <c r="AW64" i="60" s="1"/>
  <c r="BU64" i="60" s="1"/>
  <c r="CS64" i="60" s="1"/>
  <c r="Y65" i="60"/>
  <c r="AW65" i="60" s="1"/>
  <c r="BU65" i="60" s="1"/>
  <c r="CS65" i="60" s="1"/>
  <c r="Y66" i="60"/>
  <c r="AW66" i="60" s="1"/>
  <c r="BU66" i="60" s="1"/>
  <c r="CS66" i="60" s="1"/>
  <c r="Y67" i="60"/>
  <c r="AW67" i="60" s="1"/>
  <c r="BU67" i="60" s="1"/>
  <c r="CS67" i="60" s="1"/>
  <c r="Y68" i="60"/>
  <c r="AW68" i="60" s="1"/>
  <c r="BU68" i="60" s="1"/>
  <c r="CS68" i="60" s="1"/>
  <c r="Y69" i="60"/>
  <c r="AW69" i="60" s="1"/>
  <c r="BU69" i="60" s="1"/>
  <c r="CS69" i="60" s="1"/>
  <c r="Y70" i="60"/>
  <c r="AW70" i="60" s="1"/>
  <c r="BU70" i="60" s="1"/>
  <c r="CS70" i="60" s="1"/>
  <c r="Y71" i="60"/>
  <c r="AW71" i="60" s="1"/>
  <c r="BU71" i="60" s="1"/>
  <c r="CS71" i="60" s="1"/>
  <c r="Y72" i="60"/>
  <c r="AW72" i="60" s="1"/>
  <c r="BU72" i="60" s="1"/>
  <c r="CS72" i="60" s="1"/>
  <c r="Y73" i="60"/>
  <c r="AW73" i="60" s="1"/>
  <c r="BU73" i="60" s="1"/>
  <c r="CS73" i="60" s="1"/>
  <c r="Y74" i="60"/>
  <c r="AW74" i="60" s="1"/>
  <c r="BU74" i="60" s="1"/>
  <c r="CS74" i="60" s="1"/>
  <c r="Y75" i="60"/>
  <c r="AW75" i="60" s="1"/>
  <c r="BU75" i="60" s="1"/>
  <c r="CS75" i="60" s="1"/>
  <c r="Y60" i="60"/>
  <c r="AW60" i="60" s="1"/>
  <c r="BU60" i="60" s="1"/>
  <c r="CS60" i="60" s="1"/>
  <c r="A52" i="60"/>
  <c r="B4" i="60"/>
  <c r="B56" i="60" s="1"/>
  <c r="Y50" i="60"/>
  <c r="AW50" i="60" s="1"/>
  <c r="BU50" i="60" s="1"/>
  <c r="CS50" i="60" s="1"/>
  <c r="Y41" i="60"/>
  <c r="AW41" i="60" s="1"/>
  <c r="BU41" i="60" s="1"/>
  <c r="CS41" i="60" s="1"/>
  <c r="Y42" i="60"/>
  <c r="AW42" i="60" s="1"/>
  <c r="BU42" i="60" s="1"/>
  <c r="CS42" i="60" s="1"/>
  <c r="Y43" i="60"/>
  <c r="AW43" i="60" s="1"/>
  <c r="BU43" i="60" s="1"/>
  <c r="CS43" i="60" s="1"/>
  <c r="Y44" i="60"/>
  <c r="AW44" i="60" s="1"/>
  <c r="BU44" i="60" s="1"/>
  <c r="CS44" i="60" s="1"/>
  <c r="Y45" i="60"/>
  <c r="AW45" i="60" s="1"/>
  <c r="BU45" i="60" s="1"/>
  <c r="CS45" i="60" s="1"/>
  <c r="Y46" i="60"/>
  <c r="AW46" i="60" s="1"/>
  <c r="BU46" i="60" s="1"/>
  <c r="CS46" i="60" s="1"/>
  <c r="Y47" i="60"/>
  <c r="AW47" i="60" s="1"/>
  <c r="BU47" i="60" s="1"/>
  <c r="CS47" i="60" s="1"/>
  <c r="Y48" i="60"/>
  <c r="AW48" i="60" s="1"/>
  <c r="BU48" i="60" s="1"/>
  <c r="CS48" i="60" s="1"/>
  <c r="CX77" i="60" l="1"/>
  <c r="CR77" i="60"/>
  <c r="AP77" i="60"/>
  <c r="CL94" i="60"/>
  <c r="R60" i="60" a="1"/>
  <c r="R74" i="60" s="1"/>
  <c r="X87" i="60" a="1"/>
  <c r="X91" i="60" s="1"/>
  <c r="AD87" i="60" a="1"/>
  <c r="AD92" i="60" s="1"/>
  <c r="AJ60" i="60" a="1"/>
  <c r="AJ74" i="60" s="1"/>
  <c r="AP87" i="60" a="1"/>
  <c r="AP92" i="60" s="1"/>
  <c r="BB87" i="60" a="1"/>
  <c r="BB92" i="60" s="1"/>
  <c r="BH60" i="60" a="1"/>
  <c r="BH74" i="60" s="1"/>
  <c r="BN60" i="60" a="1"/>
  <c r="BN75" i="60" s="1"/>
  <c r="BT87" i="60" a="1"/>
  <c r="BT91" i="60" s="1"/>
  <c r="BZ60" i="60" a="1"/>
  <c r="BZ75" i="60" s="1"/>
  <c r="CF87" i="60" a="1"/>
  <c r="CF91" i="60" s="1"/>
  <c r="CL60" i="60" a="1"/>
  <c r="CL75" i="60" s="1"/>
  <c r="CX60" i="60" a="1"/>
  <c r="CX75" i="60" s="1"/>
  <c r="DJ87" i="60" a="1"/>
  <c r="DJ92" i="60" s="1"/>
  <c r="DP60" i="60" a="1"/>
  <c r="DP74" i="60" s="1"/>
  <c r="AJ94" i="60"/>
  <c r="AD60" i="60" a="1"/>
  <c r="AD75" i="60" s="1"/>
  <c r="BZ77" i="60"/>
  <c r="BT77" i="60"/>
  <c r="F87" i="60" a="1"/>
  <c r="F87" i="60" s="1"/>
  <c r="CR87" i="60" a="1"/>
  <c r="CR91" i="60" s="1"/>
  <c r="BB60" i="60" a="1"/>
  <c r="BB75" i="60" s="1"/>
  <c r="CX87" i="60" a="1"/>
  <c r="CX92" i="60" s="1"/>
  <c r="AJ87" i="60" a="1"/>
  <c r="AJ91" i="60" s="1"/>
  <c r="CL87" i="60" a="1"/>
  <c r="CL92" i="60" s="1"/>
  <c r="L60" i="60" a="1"/>
  <c r="L74" i="60" s="1"/>
  <c r="DD60" i="60" a="1"/>
  <c r="DD74" i="60" s="1"/>
  <c r="L87" i="60" a="1"/>
  <c r="L91" i="60" s="1"/>
  <c r="AD77" i="60"/>
  <c r="CR60" i="60" a="1"/>
  <c r="CR74" i="60" s="1"/>
  <c r="CF77" i="60"/>
  <c r="BZ87" i="60" a="1"/>
  <c r="BZ92" i="60" s="1"/>
  <c r="AV60" i="60" a="1"/>
  <c r="AV74" i="60" s="1"/>
  <c r="AV87" i="60" a="1"/>
  <c r="AV91" i="60" s="1"/>
  <c r="BH87" i="60" a="1"/>
  <c r="BH91" i="60" s="1"/>
  <c r="AP60" i="60" a="1"/>
  <c r="AP75" i="60" s="1"/>
  <c r="CF60" i="60" a="1"/>
  <c r="CF74" i="60" s="1"/>
  <c r="DJ60" i="60" a="1"/>
  <c r="DJ75" i="60" s="1"/>
  <c r="DJ77" i="60"/>
  <c r="DD87" i="60" a="1"/>
  <c r="DD91" i="60" s="1"/>
  <c r="DP87" i="60" a="1"/>
  <c r="DP91" i="60" s="1"/>
  <c r="F60" i="60" a="1"/>
  <c r="F60" i="60" s="1"/>
  <c r="X60" i="60" a="1"/>
  <c r="X74" i="60" s="1"/>
  <c r="R87" i="60" a="1"/>
  <c r="R91" i="60" s="1"/>
  <c r="R77" i="60"/>
  <c r="BN87" i="60" a="1"/>
  <c r="BN92" i="60" s="1"/>
  <c r="X77" i="60"/>
  <c r="BT60" i="60" a="1"/>
  <c r="BT74" i="60" s="1"/>
  <c r="BN94" i="60"/>
  <c r="AF4" i="60"/>
  <c r="AR4" i="60"/>
  <c r="BD4" i="60"/>
  <c r="BP4" i="60"/>
  <c r="CB4" i="60"/>
  <c r="CN4" i="60"/>
  <c r="CZ4" i="60"/>
  <c r="DL4" i="60"/>
  <c r="H83" i="60"/>
  <c r="T83" i="60"/>
  <c r="Z4" i="60"/>
  <c r="AL4" i="60"/>
  <c r="AX4" i="60"/>
  <c r="BJ4" i="60"/>
  <c r="BV4" i="60"/>
  <c r="CH4" i="60"/>
  <c r="CT4" i="60"/>
  <c r="DF4" i="60"/>
  <c r="B83" i="60"/>
  <c r="N83" i="60"/>
  <c r="DO62" i="60"/>
  <c r="DO66" i="60"/>
  <c r="DO70" i="60"/>
  <c r="DO87" i="60"/>
  <c r="DO91" i="60"/>
  <c r="DO60" i="60"/>
  <c r="DO64" i="60"/>
  <c r="DO68" i="60"/>
  <c r="DO72" i="60"/>
  <c r="DO89" i="60"/>
  <c r="DM66" i="60"/>
  <c r="DM89" i="60"/>
  <c r="DM62" i="60"/>
  <c r="DM60" i="60"/>
  <c r="DM64" i="60"/>
  <c r="DM68" i="60"/>
  <c r="DL68" i="60" s="1"/>
  <c r="DM87" i="60"/>
  <c r="DM91" i="60"/>
  <c r="DI60" i="60"/>
  <c r="DI64" i="60"/>
  <c r="DI62" i="60"/>
  <c r="DG60" i="60"/>
  <c r="DC60" i="60"/>
  <c r="DC64" i="60"/>
  <c r="DC68" i="60"/>
  <c r="DC72" i="60"/>
  <c r="DC87" i="60"/>
  <c r="DC91" i="60"/>
  <c r="DC62" i="60"/>
  <c r="DC66" i="60"/>
  <c r="DC70" i="60"/>
  <c r="DC74" i="60"/>
  <c r="DC89" i="60"/>
  <c r="DA62" i="60"/>
  <c r="DA66" i="60"/>
  <c r="DA70" i="60"/>
  <c r="DA74" i="60"/>
  <c r="DA89" i="60"/>
  <c r="DA60" i="60"/>
  <c r="DA64" i="60"/>
  <c r="DA68" i="60"/>
  <c r="DA72" i="60"/>
  <c r="CZ72" i="60" s="1"/>
  <c r="DA87" i="60"/>
  <c r="CZ87" i="60" s="1"/>
  <c r="DA91" i="60"/>
  <c r="CZ91" i="60" s="1"/>
  <c r="BY60" i="60"/>
  <c r="BY68" i="60"/>
  <c r="BW60" i="60"/>
  <c r="BW68" i="60"/>
  <c r="P75" i="60"/>
  <c r="BJ77" i="60"/>
  <c r="CZ8" i="60"/>
  <c r="DL8" i="60"/>
  <c r="CZ9" i="60"/>
  <c r="DL9" i="60"/>
  <c r="CZ10" i="60"/>
  <c r="DL10" i="60"/>
  <c r="CZ11" i="60"/>
  <c r="DL11" i="60"/>
  <c r="CZ12" i="60"/>
  <c r="DL12" i="60"/>
  <c r="CZ13" i="60"/>
  <c r="DL13" i="60"/>
  <c r="CZ14" i="60"/>
  <c r="DL14" i="60"/>
  <c r="CZ15" i="60"/>
  <c r="DL15" i="60"/>
  <c r="CZ16" i="60"/>
  <c r="DL16" i="60"/>
  <c r="CZ17" i="60"/>
  <c r="DL17" i="60"/>
  <c r="CZ18" i="60"/>
  <c r="DL18" i="60"/>
  <c r="CZ19" i="60"/>
  <c r="DL19" i="60"/>
  <c r="CZ20" i="60"/>
  <c r="DL20" i="60"/>
  <c r="CZ21" i="60"/>
  <c r="DL21" i="60"/>
  <c r="CZ22" i="60"/>
  <c r="DL22" i="60"/>
  <c r="CZ23" i="60"/>
  <c r="DL23" i="60"/>
  <c r="CZ24" i="60"/>
  <c r="DL24" i="60"/>
  <c r="CZ25" i="60"/>
  <c r="DL25" i="60"/>
  <c r="CZ26" i="60"/>
  <c r="DL26" i="60"/>
  <c r="CZ27" i="60"/>
  <c r="DL27" i="60"/>
  <c r="CZ28" i="60"/>
  <c r="DL28" i="60"/>
  <c r="CZ29" i="60"/>
  <c r="DL29" i="60"/>
  <c r="CZ30" i="60"/>
  <c r="DL30" i="60"/>
  <c r="CZ31" i="60"/>
  <c r="DL31" i="60"/>
  <c r="CZ32" i="60"/>
  <c r="DL32" i="60"/>
  <c r="CZ33" i="60"/>
  <c r="DL33" i="60"/>
  <c r="CZ34" i="60"/>
  <c r="DL34" i="60"/>
  <c r="CZ35" i="60"/>
  <c r="DL35" i="60"/>
  <c r="CZ36" i="60"/>
  <c r="DL36" i="60"/>
  <c r="CZ37" i="60"/>
  <c r="DL37" i="60"/>
  <c r="CZ38" i="60"/>
  <c r="DL38" i="60"/>
  <c r="CZ39" i="60"/>
  <c r="DL39" i="60"/>
  <c r="CZ40" i="60"/>
  <c r="DL40" i="60"/>
  <c r="CZ41" i="60"/>
  <c r="DL41" i="60"/>
  <c r="CZ42" i="60"/>
  <c r="DL42" i="60"/>
  <c r="CZ43" i="60"/>
  <c r="DL43" i="60"/>
  <c r="CZ44" i="60"/>
  <c r="DL44" i="60"/>
  <c r="CZ45" i="60"/>
  <c r="DL45" i="60"/>
  <c r="CZ46" i="60"/>
  <c r="DL46" i="60"/>
  <c r="CZ47" i="60"/>
  <c r="DL47" i="60"/>
  <c r="CZ48" i="60"/>
  <c r="DL48" i="60"/>
  <c r="CZ50" i="60"/>
  <c r="DL50" i="60"/>
  <c r="CT74" i="60"/>
  <c r="CZ77" i="60"/>
  <c r="DF77" i="60"/>
  <c r="DF91" i="60"/>
  <c r="DF94" i="60"/>
  <c r="DL94" i="60"/>
  <c r="AA6" i="60"/>
  <c r="AG6" i="60" s="1"/>
  <c r="AM6" i="60" s="1"/>
  <c r="AS6" i="60" s="1"/>
  <c r="BW6" i="60"/>
  <c r="CC6" i="60" s="1"/>
  <c r="CI6" i="60" s="1"/>
  <c r="CO6" i="60" s="1"/>
  <c r="CT8" i="60"/>
  <c r="DF8" i="60"/>
  <c r="CT9" i="60"/>
  <c r="DF9" i="60"/>
  <c r="CT10" i="60"/>
  <c r="DF10" i="60"/>
  <c r="CT11" i="60"/>
  <c r="DF11" i="60"/>
  <c r="CT12" i="60"/>
  <c r="DF12" i="60"/>
  <c r="CT13" i="60"/>
  <c r="DF13" i="60"/>
  <c r="CT14" i="60"/>
  <c r="DF14" i="60"/>
  <c r="CT15" i="60"/>
  <c r="DF15" i="60"/>
  <c r="CT16" i="60"/>
  <c r="DF16" i="60"/>
  <c r="CT17" i="60"/>
  <c r="DF17" i="60"/>
  <c r="CT18" i="60"/>
  <c r="DF18" i="60"/>
  <c r="CT19" i="60"/>
  <c r="DF19" i="60"/>
  <c r="CT20" i="60"/>
  <c r="DF20" i="60"/>
  <c r="CT21" i="60"/>
  <c r="DF21" i="60"/>
  <c r="CT22" i="60"/>
  <c r="DF22" i="60"/>
  <c r="CT23" i="60"/>
  <c r="DF23" i="60"/>
  <c r="CT24" i="60"/>
  <c r="DF24" i="60"/>
  <c r="CT25" i="60"/>
  <c r="DF25" i="60"/>
  <c r="CT26" i="60"/>
  <c r="DF26" i="60"/>
  <c r="CT27" i="60"/>
  <c r="DF27" i="60"/>
  <c r="CT28" i="60"/>
  <c r="DF28" i="60"/>
  <c r="CT29" i="60"/>
  <c r="DF29" i="60"/>
  <c r="CT30" i="60"/>
  <c r="DF30" i="60"/>
  <c r="CT31" i="60"/>
  <c r="DF31" i="60"/>
  <c r="CT32" i="60"/>
  <c r="DF32" i="60"/>
  <c r="CT33" i="60"/>
  <c r="DF33" i="60"/>
  <c r="CT34" i="60"/>
  <c r="DF34" i="60"/>
  <c r="CT35" i="60"/>
  <c r="DF35" i="60"/>
  <c r="CT36" i="60"/>
  <c r="DF36" i="60"/>
  <c r="CT37" i="60"/>
  <c r="DF37" i="60"/>
  <c r="CT38" i="60"/>
  <c r="DF38" i="60"/>
  <c r="CT39" i="60"/>
  <c r="DF39" i="60"/>
  <c r="CT40" i="60"/>
  <c r="DF40" i="60"/>
  <c r="CT41" i="60"/>
  <c r="DF41" i="60"/>
  <c r="CT42" i="60"/>
  <c r="DF42" i="60"/>
  <c r="CT43" i="60"/>
  <c r="DF43" i="60"/>
  <c r="CT44" i="60"/>
  <c r="DF44" i="60"/>
  <c r="CT45" i="60"/>
  <c r="DF45" i="60"/>
  <c r="CT46" i="60"/>
  <c r="DF46" i="60"/>
  <c r="CT47" i="60"/>
  <c r="DF47" i="60"/>
  <c r="CT48" i="60"/>
  <c r="DF48" i="60"/>
  <c r="CT50" i="60"/>
  <c r="DF50" i="60"/>
  <c r="CZ75" i="60"/>
  <c r="DL75" i="60"/>
  <c r="CT77" i="60"/>
  <c r="DL77" i="60"/>
  <c r="CT91" i="60"/>
  <c r="DL92" i="60"/>
  <c r="CT94" i="60"/>
  <c r="CZ94" i="60"/>
  <c r="C6" i="60"/>
  <c r="AY6" i="60"/>
  <c r="BE6" i="60" s="1"/>
  <c r="BK6" i="60" s="1"/>
  <c r="BQ6" i="60" s="1"/>
  <c r="DF74" i="60"/>
  <c r="CZ92" i="60"/>
  <c r="CU58" i="60"/>
  <c r="DA58" i="60" s="1"/>
  <c r="DG58" i="60" s="1"/>
  <c r="DM58" i="60" s="1"/>
  <c r="CU61" i="60"/>
  <c r="CU63" i="60"/>
  <c r="CU65" i="60"/>
  <c r="CU67" i="60"/>
  <c r="CU69" i="60"/>
  <c r="CU71" i="60"/>
  <c r="CU73" i="60"/>
  <c r="CU75" i="60"/>
  <c r="CV60" i="60"/>
  <c r="CV62" i="60"/>
  <c r="CV64" i="60"/>
  <c r="CV66" i="60"/>
  <c r="CV68" i="60"/>
  <c r="CV70" i="60"/>
  <c r="CV72" i="60"/>
  <c r="CV74" i="60"/>
  <c r="CW61" i="60"/>
  <c r="CW63" i="60"/>
  <c r="CW65" i="60"/>
  <c r="CW67" i="60"/>
  <c r="CW69" i="60"/>
  <c r="CW71" i="60"/>
  <c r="CW73" i="60"/>
  <c r="CW75" i="60"/>
  <c r="DB61" i="60"/>
  <c r="DB63" i="60"/>
  <c r="DB65" i="60"/>
  <c r="DB67" i="60"/>
  <c r="DB69" i="60"/>
  <c r="DB71" i="60"/>
  <c r="DB73" i="60"/>
  <c r="DB75" i="60"/>
  <c r="DG61" i="60"/>
  <c r="DG63" i="60"/>
  <c r="DG65" i="60"/>
  <c r="DG67" i="60"/>
  <c r="DG69" i="60"/>
  <c r="DG71" i="60"/>
  <c r="DG73" i="60"/>
  <c r="DG75" i="60"/>
  <c r="DH60" i="60"/>
  <c r="DH62" i="60"/>
  <c r="DH64" i="60"/>
  <c r="DH66" i="60"/>
  <c r="DH68" i="60"/>
  <c r="DH70" i="60"/>
  <c r="DH72" i="60"/>
  <c r="DH74" i="60"/>
  <c r="DI61" i="60"/>
  <c r="DI63" i="60"/>
  <c r="DI65" i="60"/>
  <c r="DI67" i="60"/>
  <c r="DI69" i="60"/>
  <c r="DI71" i="60"/>
  <c r="DI73" i="60"/>
  <c r="DI75" i="60"/>
  <c r="DM70" i="60"/>
  <c r="DM72" i="60"/>
  <c r="DM74" i="60"/>
  <c r="DN61" i="60"/>
  <c r="DN63" i="60"/>
  <c r="DN65" i="60"/>
  <c r="DN67" i="60"/>
  <c r="DN69" i="60"/>
  <c r="DN71" i="60"/>
  <c r="DN73" i="60"/>
  <c r="DN75" i="60"/>
  <c r="DO74" i="60"/>
  <c r="CU85" i="60"/>
  <c r="DA85" i="60" s="1"/>
  <c r="DG85" i="60" s="1"/>
  <c r="DM85" i="60" s="1"/>
  <c r="CU88" i="60"/>
  <c r="CU90" i="60"/>
  <c r="CU92" i="60"/>
  <c r="CV87" i="60"/>
  <c r="CV89" i="60"/>
  <c r="CV91" i="60"/>
  <c r="CW88" i="60"/>
  <c r="CW90" i="60"/>
  <c r="CW92" i="60"/>
  <c r="DB88" i="60"/>
  <c r="DB90" i="60"/>
  <c r="DB92" i="60"/>
  <c r="DG88" i="60"/>
  <c r="DG90" i="60"/>
  <c r="DG92" i="60"/>
  <c r="DH87" i="60"/>
  <c r="DH89" i="60"/>
  <c r="DH91" i="60"/>
  <c r="DI88" i="60"/>
  <c r="DI90" i="60"/>
  <c r="DI92" i="60"/>
  <c r="DN88" i="60"/>
  <c r="DN90" i="60"/>
  <c r="DN92" i="60"/>
  <c r="CU60" i="60"/>
  <c r="CU62" i="60"/>
  <c r="CU64" i="60"/>
  <c r="CU66" i="60"/>
  <c r="CU68" i="60"/>
  <c r="CU70" i="60"/>
  <c r="CU72" i="60"/>
  <c r="CV61" i="60"/>
  <c r="CV63" i="60"/>
  <c r="CV65" i="60"/>
  <c r="CV67" i="60"/>
  <c r="CV69" i="60"/>
  <c r="CV71" i="60"/>
  <c r="CV73" i="60"/>
  <c r="CW60" i="60"/>
  <c r="CW62" i="60"/>
  <c r="CW64" i="60"/>
  <c r="CW66" i="60"/>
  <c r="CW68" i="60"/>
  <c r="CW70" i="60"/>
  <c r="CW72" i="60"/>
  <c r="DA61" i="60"/>
  <c r="DA63" i="60"/>
  <c r="DA65" i="60"/>
  <c r="DA67" i="60"/>
  <c r="DA69" i="60"/>
  <c r="DA71" i="60"/>
  <c r="DA73" i="60"/>
  <c r="DB60" i="60"/>
  <c r="DB62" i="60"/>
  <c r="DB64" i="60"/>
  <c r="DB66" i="60"/>
  <c r="DB68" i="60"/>
  <c r="DB70" i="60"/>
  <c r="DB72" i="60"/>
  <c r="DC61" i="60"/>
  <c r="DC63" i="60"/>
  <c r="DC65" i="60"/>
  <c r="DC67" i="60"/>
  <c r="DC69" i="60"/>
  <c r="DC71" i="60"/>
  <c r="DC73" i="60"/>
  <c r="DG62" i="60"/>
  <c r="DG64" i="60"/>
  <c r="DG66" i="60"/>
  <c r="DG68" i="60"/>
  <c r="DG70" i="60"/>
  <c r="DG72" i="60"/>
  <c r="DH61" i="60"/>
  <c r="DH63" i="60"/>
  <c r="DH65" i="60"/>
  <c r="DH67" i="60"/>
  <c r="DH69" i="60"/>
  <c r="DH71" i="60"/>
  <c r="DH73" i="60"/>
  <c r="DI66" i="60"/>
  <c r="DI68" i="60"/>
  <c r="DI70" i="60"/>
  <c r="DI72" i="60"/>
  <c r="DM61" i="60"/>
  <c r="DM63" i="60"/>
  <c r="DM65" i="60"/>
  <c r="DM67" i="60"/>
  <c r="DM69" i="60"/>
  <c r="DM71" i="60"/>
  <c r="DM73" i="60"/>
  <c r="DN60" i="60"/>
  <c r="DN62" i="60"/>
  <c r="DN64" i="60"/>
  <c r="DN66" i="60"/>
  <c r="DN68" i="60"/>
  <c r="DN70" i="60"/>
  <c r="DN72" i="60"/>
  <c r="DO61" i="60"/>
  <c r="DO63" i="60"/>
  <c r="DO65" i="60"/>
  <c r="DO67" i="60"/>
  <c r="DO69" i="60"/>
  <c r="DO71" i="60"/>
  <c r="DO73" i="60"/>
  <c r="CU87" i="60"/>
  <c r="CU89" i="60"/>
  <c r="CV88" i="60"/>
  <c r="CV90" i="60"/>
  <c r="CW87" i="60"/>
  <c r="CW89" i="60"/>
  <c r="DA88" i="60"/>
  <c r="DA90" i="60"/>
  <c r="DB87" i="60"/>
  <c r="DB89" i="60"/>
  <c r="DC88" i="60"/>
  <c r="DC90" i="60"/>
  <c r="DG87" i="60"/>
  <c r="DG89" i="60"/>
  <c r="DH88" i="60"/>
  <c r="DH90" i="60"/>
  <c r="DI87" i="60"/>
  <c r="DI89" i="60"/>
  <c r="DM88" i="60"/>
  <c r="DM90" i="60"/>
  <c r="DN87" i="60"/>
  <c r="DN89" i="60"/>
  <c r="DO88" i="60"/>
  <c r="DO90" i="60"/>
  <c r="BG60" i="60"/>
  <c r="BE60" i="60"/>
  <c r="BW64" i="60"/>
  <c r="BW72" i="60"/>
  <c r="BY64" i="60"/>
  <c r="BY72" i="60"/>
  <c r="CO87" i="60"/>
  <c r="BE68" i="60"/>
  <c r="BG68" i="60"/>
  <c r="BV8" i="60"/>
  <c r="CH8" i="60"/>
  <c r="BV9" i="60"/>
  <c r="CH9" i="60"/>
  <c r="BV10" i="60"/>
  <c r="CH10" i="60"/>
  <c r="BV11" i="60"/>
  <c r="CH11" i="60"/>
  <c r="BV12" i="60"/>
  <c r="CH12" i="60"/>
  <c r="BV13" i="60"/>
  <c r="CH13" i="60"/>
  <c r="BV14" i="60"/>
  <c r="CH14" i="60"/>
  <c r="BV15" i="60"/>
  <c r="CH15" i="60"/>
  <c r="BV16" i="60"/>
  <c r="CH16" i="60"/>
  <c r="BV17" i="60"/>
  <c r="CH17" i="60"/>
  <c r="BV18" i="60"/>
  <c r="CH18" i="60"/>
  <c r="BV19" i="60"/>
  <c r="CH19" i="60"/>
  <c r="BV20" i="60"/>
  <c r="CH20" i="60"/>
  <c r="BV21" i="60"/>
  <c r="CH21" i="60"/>
  <c r="BV22" i="60"/>
  <c r="CH22" i="60"/>
  <c r="BV23" i="60"/>
  <c r="CH23" i="60"/>
  <c r="BV24" i="60"/>
  <c r="CH24" i="60"/>
  <c r="BV25" i="60"/>
  <c r="CH25" i="60"/>
  <c r="BV26" i="60"/>
  <c r="CH26" i="60"/>
  <c r="BV27" i="60"/>
  <c r="CH27" i="60"/>
  <c r="BV28" i="60"/>
  <c r="CH28" i="60"/>
  <c r="BV29" i="60"/>
  <c r="CH29" i="60"/>
  <c r="BV30" i="60"/>
  <c r="CH30" i="60"/>
  <c r="BV31" i="60"/>
  <c r="CH31" i="60"/>
  <c r="BV32" i="60"/>
  <c r="CH32" i="60"/>
  <c r="BV33" i="60"/>
  <c r="CH33" i="60"/>
  <c r="BV34" i="60"/>
  <c r="CH34" i="60"/>
  <c r="BV35" i="60"/>
  <c r="CH35" i="60"/>
  <c r="BV36" i="60"/>
  <c r="CH36" i="60"/>
  <c r="BV37" i="60"/>
  <c r="CH37" i="60"/>
  <c r="BV38" i="60"/>
  <c r="CH38" i="60"/>
  <c r="BV39" i="60"/>
  <c r="CH39" i="60"/>
  <c r="BV40" i="60"/>
  <c r="CH40" i="60"/>
  <c r="BV41" i="60"/>
  <c r="CH41" i="60"/>
  <c r="BV42" i="60"/>
  <c r="CH42" i="60"/>
  <c r="BV43" i="60"/>
  <c r="CH43" i="60"/>
  <c r="BV44" i="60"/>
  <c r="CH44" i="60"/>
  <c r="BV45" i="60"/>
  <c r="CH45" i="60"/>
  <c r="BV46" i="60"/>
  <c r="CH46" i="60"/>
  <c r="BV47" i="60"/>
  <c r="CH47" i="60"/>
  <c r="BV48" i="60"/>
  <c r="CH48" i="60"/>
  <c r="BV50" i="60"/>
  <c r="CH50" i="60"/>
  <c r="BV75" i="60"/>
  <c r="BW62" i="60"/>
  <c r="BW66" i="60"/>
  <c r="BW70" i="60"/>
  <c r="BW74" i="60"/>
  <c r="BY62" i="60"/>
  <c r="BY66" i="60"/>
  <c r="BY70" i="60"/>
  <c r="BY74" i="60"/>
  <c r="CB75" i="60"/>
  <c r="CI60" i="60"/>
  <c r="CI64" i="60"/>
  <c r="CI68" i="60"/>
  <c r="CI72" i="60"/>
  <c r="CK60" i="60"/>
  <c r="CK64" i="60"/>
  <c r="CK68" i="60"/>
  <c r="CK72" i="60"/>
  <c r="CB77" i="60"/>
  <c r="CH77" i="60"/>
  <c r="BW87" i="60"/>
  <c r="BW91" i="60"/>
  <c r="BY89" i="60"/>
  <c r="CI87" i="60"/>
  <c r="CI91" i="60"/>
  <c r="CH91" i="60" s="1"/>
  <c r="CO91" i="60"/>
  <c r="CQ89" i="60"/>
  <c r="CH94" i="60"/>
  <c r="CN94" i="60"/>
  <c r="CB8" i="60"/>
  <c r="CN8" i="60"/>
  <c r="CB9" i="60"/>
  <c r="CN9" i="60"/>
  <c r="CB10" i="60"/>
  <c r="CN10" i="60"/>
  <c r="CB11" i="60"/>
  <c r="CN11" i="60"/>
  <c r="CB12" i="60"/>
  <c r="CN12" i="60"/>
  <c r="CB13" i="60"/>
  <c r="CN13" i="60"/>
  <c r="CB14" i="60"/>
  <c r="CN14" i="60"/>
  <c r="CB15" i="60"/>
  <c r="CN15" i="60"/>
  <c r="CB16" i="60"/>
  <c r="CN16" i="60"/>
  <c r="CB17" i="60"/>
  <c r="CN17" i="60"/>
  <c r="CB18" i="60"/>
  <c r="CN18" i="60"/>
  <c r="CB19" i="60"/>
  <c r="CN19" i="60"/>
  <c r="CB20" i="60"/>
  <c r="CN20" i="60"/>
  <c r="CB21" i="60"/>
  <c r="CN21" i="60"/>
  <c r="CB22" i="60"/>
  <c r="CN22" i="60"/>
  <c r="CB23" i="60"/>
  <c r="CN23" i="60"/>
  <c r="CB24" i="60"/>
  <c r="CN24" i="60"/>
  <c r="CB25" i="60"/>
  <c r="CN25" i="60"/>
  <c r="CB26" i="60"/>
  <c r="CN26" i="60"/>
  <c r="CB27" i="60"/>
  <c r="CN27" i="60"/>
  <c r="CB28" i="60"/>
  <c r="CN28" i="60"/>
  <c r="CB29" i="60"/>
  <c r="CN29" i="60"/>
  <c r="CB30" i="60"/>
  <c r="CN30" i="60"/>
  <c r="CB31" i="60"/>
  <c r="CN31" i="60"/>
  <c r="CB32" i="60"/>
  <c r="CN32" i="60"/>
  <c r="CB33" i="60"/>
  <c r="CN33" i="60"/>
  <c r="CB34" i="60"/>
  <c r="CN34" i="60"/>
  <c r="CB35" i="60"/>
  <c r="CN35" i="60"/>
  <c r="CB36" i="60"/>
  <c r="CN36" i="60"/>
  <c r="CB37" i="60"/>
  <c r="CN37" i="60"/>
  <c r="CB38" i="60"/>
  <c r="CN38" i="60"/>
  <c r="CB39" i="60"/>
  <c r="CN39" i="60"/>
  <c r="CB40" i="60"/>
  <c r="CN40" i="60"/>
  <c r="CB41" i="60"/>
  <c r="CN41" i="60"/>
  <c r="CB42" i="60"/>
  <c r="CN42" i="60"/>
  <c r="CB43" i="60"/>
  <c r="CN43" i="60"/>
  <c r="CB44" i="60"/>
  <c r="CN44" i="60"/>
  <c r="CB45" i="60"/>
  <c r="CN45" i="60"/>
  <c r="CB46" i="60"/>
  <c r="CN46" i="60"/>
  <c r="CB47" i="60"/>
  <c r="CN47" i="60"/>
  <c r="CB48" i="60"/>
  <c r="CN48" i="60"/>
  <c r="CB50" i="60"/>
  <c r="CN50" i="60"/>
  <c r="CH75" i="60"/>
  <c r="CI62" i="60"/>
  <c r="CI66" i="60"/>
  <c r="CI70" i="60"/>
  <c r="CI74" i="60"/>
  <c r="CK62" i="60"/>
  <c r="CK66" i="60"/>
  <c r="CK70" i="60"/>
  <c r="CK74" i="60"/>
  <c r="CN75" i="60"/>
  <c r="BV77" i="60"/>
  <c r="CN77" i="60"/>
  <c r="BV92" i="60"/>
  <c r="BW89" i="60"/>
  <c r="BY87" i="60"/>
  <c r="BY91" i="60"/>
  <c r="CB92" i="60"/>
  <c r="CI89" i="60"/>
  <c r="CN92" i="60"/>
  <c r="CO89" i="60"/>
  <c r="CQ87" i="60"/>
  <c r="CQ91" i="60"/>
  <c r="BV94" i="60"/>
  <c r="CB94" i="60"/>
  <c r="BW61" i="60"/>
  <c r="BW63" i="60"/>
  <c r="BW65" i="60"/>
  <c r="BW67" i="60"/>
  <c r="BW69" i="60"/>
  <c r="BW71" i="60"/>
  <c r="BW73" i="60"/>
  <c r="BX60" i="60"/>
  <c r="BX62" i="60"/>
  <c r="BX64" i="60"/>
  <c r="BX66" i="60"/>
  <c r="BX68" i="60"/>
  <c r="BX70" i="60"/>
  <c r="BX72" i="60"/>
  <c r="BX74" i="60"/>
  <c r="BY61" i="60"/>
  <c r="BY63" i="60"/>
  <c r="BY65" i="60"/>
  <c r="BY67" i="60"/>
  <c r="BY69" i="60"/>
  <c r="BY71" i="60"/>
  <c r="BY73" i="60"/>
  <c r="CC60" i="60"/>
  <c r="CC62" i="60"/>
  <c r="CC64" i="60"/>
  <c r="CC66" i="60"/>
  <c r="CC68" i="60"/>
  <c r="CC70" i="60"/>
  <c r="CC72" i="60"/>
  <c r="CC74" i="60"/>
  <c r="CD61" i="60"/>
  <c r="CD63" i="60"/>
  <c r="CD65" i="60"/>
  <c r="CD67" i="60"/>
  <c r="CD69" i="60"/>
  <c r="CD71" i="60"/>
  <c r="CD73" i="60"/>
  <c r="CD75" i="60"/>
  <c r="CE60" i="60"/>
  <c r="CE62" i="60"/>
  <c r="CE64" i="60"/>
  <c r="CE66" i="60"/>
  <c r="CE68" i="60"/>
  <c r="CE70" i="60"/>
  <c r="CE72" i="60"/>
  <c r="CE74" i="60"/>
  <c r="CI61" i="60"/>
  <c r="CI63" i="60"/>
  <c r="CI65" i="60"/>
  <c r="CI67" i="60"/>
  <c r="CI69" i="60"/>
  <c r="CI71" i="60"/>
  <c r="CI73" i="60"/>
  <c r="CJ60" i="60"/>
  <c r="CJ62" i="60"/>
  <c r="CJ64" i="60"/>
  <c r="CJ66" i="60"/>
  <c r="CJ68" i="60"/>
  <c r="CJ70" i="60"/>
  <c r="CJ72" i="60"/>
  <c r="CJ74" i="60"/>
  <c r="CK61" i="60"/>
  <c r="CK63" i="60"/>
  <c r="CK65" i="60"/>
  <c r="CK67" i="60"/>
  <c r="CK69" i="60"/>
  <c r="CK71" i="60"/>
  <c r="CK73" i="60"/>
  <c r="CO60" i="60"/>
  <c r="CO62" i="60"/>
  <c r="CO64" i="60"/>
  <c r="CO66" i="60"/>
  <c r="CO68" i="60"/>
  <c r="CO70" i="60"/>
  <c r="CO72" i="60"/>
  <c r="CO74" i="60"/>
  <c r="CP61" i="60"/>
  <c r="CP63" i="60"/>
  <c r="CP65" i="60"/>
  <c r="CP67" i="60"/>
  <c r="CP69" i="60"/>
  <c r="CP71" i="60"/>
  <c r="CP73" i="60"/>
  <c r="CP75" i="60"/>
  <c r="CQ60" i="60"/>
  <c r="CQ62" i="60"/>
  <c r="CQ64" i="60"/>
  <c r="CQ66" i="60"/>
  <c r="CQ68" i="60"/>
  <c r="CQ70" i="60"/>
  <c r="CQ72" i="60"/>
  <c r="CQ74" i="60"/>
  <c r="BW88" i="60"/>
  <c r="BW90" i="60"/>
  <c r="BX87" i="60"/>
  <c r="BX89" i="60"/>
  <c r="BX91" i="60"/>
  <c r="BY88" i="60"/>
  <c r="BY90" i="60"/>
  <c r="CC87" i="60"/>
  <c r="CC89" i="60"/>
  <c r="CC91" i="60"/>
  <c r="CD88" i="60"/>
  <c r="CD90" i="60"/>
  <c r="CD92" i="60"/>
  <c r="CE87" i="60"/>
  <c r="CE89" i="60"/>
  <c r="CE91" i="60"/>
  <c r="CI88" i="60"/>
  <c r="CI90" i="60"/>
  <c r="CJ87" i="60"/>
  <c r="CJ89" i="60"/>
  <c r="CJ91" i="60"/>
  <c r="CK88" i="60"/>
  <c r="CK90" i="60"/>
  <c r="CK92" i="60"/>
  <c r="CH92" i="60" s="1"/>
  <c r="CP88" i="60"/>
  <c r="CP90" i="60"/>
  <c r="CP92" i="60"/>
  <c r="BX61" i="60"/>
  <c r="BX63" i="60"/>
  <c r="BX65" i="60"/>
  <c r="BX67" i="60"/>
  <c r="BX69" i="60"/>
  <c r="BX71" i="60"/>
  <c r="BX73" i="60"/>
  <c r="CC61" i="60"/>
  <c r="CC63" i="60"/>
  <c r="CC65" i="60"/>
  <c r="CC67" i="60"/>
  <c r="CC69" i="60"/>
  <c r="CC71" i="60"/>
  <c r="CC73" i="60"/>
  <c r="CD60" i="60"/>
  <c r="CD62" i="60"/>
  <c r="CD64" i="60"/>
  <c r="CD66" i="60"/>
  <c r="CD68" i="60"/>
  <c r="CD70" i="60"/>
  <c r="CD72" i="60"/>
  <c r="CE61" i="60"/>
  <c r="CE63" i="60"/>
  <c r="CE65" i="60"/>
  <c r="CE67" i="60"/>
  <c r="CE69" i="60"/>
  <c r="CE71" i="60"/>
  <c r="CE73" i="60"/>
  <c r="CJ61" i="60"/>
  <c r="CJ63" i="60"/>
  <c r="CJ65" i="60"/>
  <c r="CJ67" i="60"/>
  <c r="CJ69" i="60"/>
  <c r="CJ71" i="60"/>
  <c r="CJ73" i="60"/>
  <c r="CO61" i="60"/>
  <c r="CO63" i="60"/>
  <c r="CO65" i="60"/>
  <c r="CO67" i="60"/>
  <c r="CO69" i="60"/>
  <c r="CO71" i="60"/>
  <c r="CO73" i="60"/>
  <c r="CP60" i="60"/>
  <c r="CP62" i="60"/>
  <c r="CP64" i="60"/>
  <c r="CP66" i="60"/>
  <c r="CP68" i="60"/>
  <c r="CP70" i="60"/>
  <c r="CP72" i="60"/>
  <c r="CQ61" i="60"/>
  <c r="CQ63" i="60"/>
  <c r="CQ65" i="60"/>
  <c r="CQ67" i="60"/>
  <c r="CQ69" i="60"/>
  <c r="CQ71" i="60"/>
  <c r="CQ73" i="60"/>
  <c r="BX88" i="60"/>
  <c r="BX90" i="60"/>
  <c r="CC88" i="60"/>
  <c r="CC90" i="60"/>
  <c r="CD87" i="60"/>
  <c r="CD89" i="60"/>
  <c r="CE88" i="60"/>
  <c r="CE90" i="60"/>
  <c r="CJ88" i="60"/>
  <c r="CJ90" i="60"/>
  <c r="CK87" i="60"/>
  <c r="CK89" i="60"/>
  <c r="CO88" i="60"/>
  <c r="CO90" i="60"/>
  <c r="CP87" i="60"/>
  <c r="CP89" i="60"/>
  <c r="CQ88" i="60"/>
  <c r="CQ90" i="60"/>
  <c r="BQ87" i="60"/>
  <c r="BE64" i="60"/>
  <c r="BE72" i="60"/>
  <c r="BG64" i="60"/>
  <c r="BG72" i="60"/>
  <c r="BQ91" i="60"/>
  <c r="BD8" i="60"/>
  <c r="BP8" i="60"/>
  <c r="BD9" i="60"/>
  <c r="BP9" i="60"/>
  <c r="BD10" i="60"/>
  <c r="BP10" i="60"/>
  <c r="BD11" i="60"/>
  <c r="BP11" i="60"/>
  <c r="BD12" i="60"/>
  <c r="BP12" i="60"/>
  <c r="BD13" i="60"/>
  <c r="BP13" i="60"/>
  <c r="BD14" i="60"/>
  <c r="BP14" i="60"/>
  <c r="BD15" i="60"/>
  <c r="BP15" i="60"/>
  <c r="BD16" i="60"/>
  <c r="BP16" i="60"/>
  <c r="BD17" i="60"/>
  <c r="BP17" i="60"/>
  <c r="BD18" i="60"/>
  <c r="BP18" i="60"/>
  <c r="BD19" i="60"/>
  <c r="BP19" i="60"/>
  <c r="BD20" i="60"/>
  <c r="BP20" i="60"/>
  <c r="BD21" i="60"/>
  <c r="BP21" i="60"/>
  <c r="BD22" i="60"/>
  <c r="BP22" i="60"/>
  <c r="BD23" i="60"/>
  <c r="BP23" i="60"/>
  <c r="BD24" i="60"/>
  <c r="BP24" i="60"/>
  <c r="BD25" i="60"/>
  <c r="BP25" i="60"/>
  <c r="BD26" i="60"/>
  <c r="BP26" i="60"/>
  <c r="BD27" i="60"/>
  <c r="BP27" i="60"/>
  <c r="BD28" i="60"/>
  <c r="BP28" i="60"/>
  <c r="BD29" i="60"/>
  <c r="BP29" i="60"/>
  <c r="BD30" i="60"/>
  <c r="BP30" i="60"/>
  <c r="BD31" i="60"/>
  <c r="BP31" i="60"/>
  <c r="BD32" i="60"/>
  <c r="BP32" i="60"/>
  <c r="BD33" i="60"/>
  <c r="BP33" i="60"/>
  <c r="BD34" i="60"/>
  <c r="BP34" i="60"/>
  <c r="BD35" i="60"/>
  <c r="BP35" i="60"/>
  <c r="BD36" i="60"/>
  <c r="BP36" i="60"/>
  <c r="BD37" i="60"/>
  <c r="BP37" i="60"/>
  <c r="BD38" i="60"/>
  <c r="BP38" i="60"/>
  <c r="BD39" i="60"/>
  <c r="BP39" i="60"/>
  <c r="BD40" i="60"/>
  <c r="BP40" i="60"/>
  <c r="BD41" i="60"/>
  <c r="BP41" i="60"/>
  <c r="BD42" i="60"/>
  <c r="BP42" i="60"/>
  <c r="BD43" i="60"/>
  <c r="BP43" i="60"/>
  <c r="BD44" i="60"/>
  <c r="BP44" i="60"/>
  <c r="BD45" i="60"/>
  <c r="BP45" i="60"/>
  <c r="BD46" i="60"/>
  <c r="BP46" i="60"/>
  <c r="BD47" i="60"/>
  <c r="BP47" i="60"/>
  <c r="BD48" i="60"/>
  <c r="BP48" i="60"/>
  <c r="BD50" i="60"/>
  <c r="BP50" i="60"/>
  <c r="AY60" i="60"/>
  <c r="AY64" i="60"/>
  <c r="BP75" i="60"/>
  <c r="BQ62" i="60"/>
  <c r="BQ66" i="60"/>
  <c r="BQ70" i="60"/>
  <c r="BS60" i="60"/>
  <c r="BS64" i="60"/>
  <c r="BS68" i="60"/>
  <c r="AX77" i="60"/>
  <c r="BP77" i="60"/>
  <c r="BA89" i="60"/>
  <c r="BG87" i="60"/>
  <c r="BK89" i="60"/>
  <c r="BP92" i="60"/>
  <c r="BQ89" i="60"/>
  <c r="BS87" i="60"/>
  <c r="BS91" i="60"/>
  <c r="AX94" i="60"/>
  <c r="BD94" i="60"/>
  <c r="AX8" i="60"/>
  <c r="BJ8" i="60"/>
  <c r="AX9" i="60"/>
  <c r="BJ9" i="60"/>
  <c r="AX10" i="60"/>
  <c r="BJ10" i="60"/>
  <c r="AX11" i="60"/>
  <c r="BJ11" i="60"/>
  <c r="AX12" i="60"/>
  <c r="BJ12" i="60"/>
  <c r="AX13" i="60"/>
  <c r="BJ13" i="60"/>
  <c r="AX14" i="60"/>
  <c r="BJ14" i="60"/>
  <c r="AX15" i="60"/>
  <c r="BJ15" i="60"/>
  <c r="AX16" i="60"/>
  <c r="BJ16" i="60"/>
  <c r="AX17" i="60"/>
  <c r="BJ17" i="60"/>
  <c r="AX18" i="60"/>
  <c r="BJ18" i="60"/>
  <c r="AX19" i="60"/>
  <c r="BJ19" i="60"/>
  <c r="AX20" i="60"/>
  <c r="BJ20" i="60"/>
  <c r="AX21" i="60"/>
  <c r="BJ21" i="60"/>
  <c r="AX22" i="60"/>
  <c r="BJ22" i="60"/>
  <c r="AX23" i="60"/>
  <c r="BJ23" i="60"/>
  <c r="AX24" i="60"/>
  <c r="BJ24" i="60"/>
  <c r="AX25" i="60"/>
  <c r="BJ25" i="60"/>
  <c r="AX26" i="60"/>
  <c r="BJ26" i="60"/>
  <c r="AX27" i="60"/>
  <c r="BJ27" i="60"/>
  <c r="AX28" i="60"/>
  <c r="BJ28" i="60"/>
  <c r="AX29" i="60"/>
  <c r="BJ29" i="60"/>
  <c r="AX30" i="60"/>
  <c r="BJ30" i="60"/>
  <c r="AX31" i="60"/>
  <c r="BJ31" i="60"/>
  <c r="AX32" i="60"/>
  <c r="BJ32" i="60"/>
  <c r="AX33" i="60"/>
  <c r="BJ33" i="60"/>
  <c r="AX34" i="60"/>
  <c r="BJ34" i="60"/>
  <c r="AX35" i="60"/>
  <c r="BJ35" i="60"/>
  <c r="AX36" i="60"/>
  <c r="BJ36" i="60"/>
  <c r="AX37" i="60"/>
  <c r="BJ37" i="60"/>
  <c r="AX38" i="60"/>
  <c r="BJ38" i="60"/>
  <c r="AX39" i="60"/>
  <c r="BJ39" i="60"/>
  <c r="AX40" i="60"/>
  <c r="BJ40" i="60"/>
  <c r="AX41" i="60"/>
  <c r="BJ41" i="60"/>
  <c r="AX42" i="60"/>
  <c r="BJ42" i="60"/>
  <c r="AX43" i="60"/>
  <c r="BJ43" i="60"/>
  <c r="AX44" i="60"/>
  <c r="BJ44" i="60"/>
  <c r="AX45" i="60"/>
  <c r="BJ45" i="60"/>
  <c r="AX46" i="60"/>
  <c r="BJ46" i="60"/>
  <c r="AX47" i="60"/>
  <c r="BJ47" i="60"/>
  <c r="AX48" i="60"/>
  <c r="BJ48" i="60"/>
  <c r="AX50" i="60"/>
  <c r="BJ50" i="60"/>
  <c r="AX74" i="60"/>
  <c r="AY62" i="60"/>
  <c r="BD75" i="60"/>
  <c r="BE62" i="60"/>
  <c r="BE66" i="60"/>
  <c r="BE70" i="60"/>
  <c r="BE74" i="60"/>
  <c r="BG62" i="60"/>
  <c r="BG66" i="60"/>
  <c r="BG70" i="60"/>
  <c r="BG74" i="60"/>
  <c r="BJ74" i="60"/>
  <c r="BQ60" i="60"/>
  <c r="BQ64" i="60"/>
  <c r="BQ68" i="60"/>
  <c r="BQ72" i="60"/>
  <c r="BS62" i="60"/>
  <c r="BS66" i="60"/>
  <c r="BD77" i="60"/>
  <c r="BA87" i="60"/>
  <c r="BA91" i="60"/>
  <c r="AX91" i="60" s="1"/>
  <c r="BD92" i="60"/>
  <c r="BK87" i="60"/>
  <c r="BK91" i="60"/>
  <c r="BJ91" i="60" s="1"/>
  <c r="BS89" i="60"/>
  <c r="BJ94" i="60"/>
  <c r="BP94" i="60"/>
  <c r="AY61" i="60"/>
  <c r="AY63" i="60"/>
  <c r="AY65" i="60"/>
  <c r="AY67" i="60"/>
  <c r="AY69" i="60"/>
  <c r="AY71" i="60"/>
  <c r="AY73" i="60"/>
  <c r="AY75" i="60"/>
  <c r="AZ60" i="60"/>
  <c r="AZ62" i="60"/>
  <c r="AZ64" i="60"/>
  <c r="AZ66" i="60"/>
  <c r="AZ68" i="60"/>
  <c r="AZ70" i="60"/>
  <c r="AZ72" i="60"/>
  <c r="AZ74" i="60"/>
  <c r="BA61" i="60"/>
  <c r="BA63" i="60"/>
  <c r="BA65" i="60"/>
  <c r="BA67" i="60"/>
  <c r="BA69" i="60"/>
  <c r="BA71" i="60"/>
  <c r="BA73" i="60"/>
  <c r="BA75" i="60"/>
  <c r="BF61" i="60"/>
  <c r="BF63" i="60"/>
  <c r="BF65" i="60"/>
  <c r="BF67" i="60"/>
  <c r="BF69" i="60"/>
  <c r="BF71" i="60"/>
  <c r="BF73" i="60"/>
  <c r="BF75" i="60"/>
  <c r="BK61" i="60"/>
  <c r="BK63" i="60"/>
  <c r="BK65" i="60"/>
  <c r="BK67" i="60"/>
  <c r="BK69" i="60"/>
  <c r="BK71" i="60"/>
  <c r="BK73" i="60"/>
  <c r="BK75" i="60"/>
  <c r="BL60" i="60"/>
  <c r="BL62" i="60"/>
  <c r="BL64" i="60"/>
  <c r="BL66" i="60"/>
  <c r="BL68" i="60"/>
  <c r="BL70" i="60"/>
  <c r="BL72" i="60"/>
  <c r="BL74" i="60"/>
  <c r="BM61" i="60"/>
  <c r="BM63" i="60"/>
  <c r="BM65" i="60"/>
  <c r="BM67" i="60"/>
  <c r="BM69" i="60"/>
  <c r="BM71" i="60"/>
  <c r="BM73" i="60"/>
  <c r="BM75" i="60"/>
  <c r="BQ74" i="60"/>
  <c r="BR61" i="60"/>
  <c r="BR63" i="60"/>
  <c r="BR65" i="60"/>
  <c r="BR67" i="60"/>
  <c r="BR69" i="60"/>
  <c r="BR71" i="60"/>
  <c r="BR73" i="60"/>
  <c r="BR75" i="60"/>
  <c r="BS70" i="60"/>
  <c r="BS72" i="60"/>
  <c r="BS74" i="60"/>
  <c r="AY88" i="60"/>
  <c r="AY90" i="60"/>
  <c r="AY92" i="60"/>
  <c r="AX92" i="60" s="1"/>
  <c r="AZ87" i="60"/>
  <c r="AZ89" i="60"/>
  <c r="AZ91" i="60"/>
  <c r="BA88" i="60"/>
  <c r="BA90" i="60"/>
  <c r="BE87" i="60"/>
  <c r="BE89" i="60"/>
  <c r="BE91" i="60"/>
  <c r="BF88" i="60"/>
  <c r="BF90" i="60"/>
  <c r="BF92" i="60"/>
  <c r="BG89" i="60"/>
  <c r="BG91" i="60"/>
  <c r="BK88" i="60"/>
  <c r="BK90" i="60"/>
  <c r="BL87" i="60"/>
  <c r="BL89" i="60"/>
  <c r="BL91" i="60"/>
  <c r="BM88" i="60"/>
  <c r="BM90" i="60"/>
  <c r="BM92" i="60"/>
  <c r="BJ92" i="60" s="1"/>
  <c r="BR88" i="60"/>
  <c r="BR90" i="60"/>
  <c r="BR92" i="60"/>
  <c r="AY66" i="60"/>
  <c r="AY68" i="60"/>
  <c r="AY70" i="60"/>
  <c r="AY72" i="60"/>
  <c r="AZ61" i="60"/>
  <c r="AZ63" i="60"/>
  <c r="AZ65" i="60"/>
  <c r="AZ67" i="60"/>
  <c r="AZ69" i="60"/>
  <c r="AZ71" i="60"/>
  <c r="AZ73" i="60"/>
  <c r="BA60" i="60"/>
  <c r="BA62" i="60"/>
  <c r="BA64" i="60"/>
  <c r="BA66" i="60"/>
  <c r="BA68" i="60"/>
  <c r="BA70" i="60"/>
  <c r="BA72" i="60"/>
  <c r="BE61" i="60"/>
  <c r="BE63" i="60"/>
  <c r="BE65" i="60"/>
  <c r="BE67" i="60"/>
  <c r="BE69" i="60"/>
  <c r="BE71" i="60"/>
  <c r="BE73" i="60"/>
  <c r="BF60" i="60"/>
  <c r="BF62" i="60"/>
  <c r="BF64" i="60"/>
  <c r="BF66" i="60"/>
  <c r="BF68" i="60"/>
  <c r="BF70" i="60"/>
  <c r="BF72" i="60"/>
  <c r="BG61" i="60"/>
  <c r="BG63" i="60"/>
  <c r="BG65" i="60"/>
  <c r="BG67" i="60"/>
  <c r="BG69" i="60"/>
  <c r="BG71" i="60"/>
  <c r="BG73" i="60"/>
  <c r="BK60" i="60"/>
  <c r="BK62" i="60"/>
  <c r="BK64" i="60"/>
  <c r="BK66" i="60"/>
  <c r="BK68" i="60"/>
  <c r="BK70" i="60"/>
  <c r="BK72" i="60"/>
  <c r="BL61" i="60"/>
  <c r="BL63" i="60"/>
  <c r="BL65" i="60"/>
  <c r="BL67" i="60"/>
  <c r="BL69" i="60"/>
  <c r="BL71" i="60"/>
  <c r="BL73" i="60"/>
  <c r="BM60" i="60"/>
  <c r="BM62" i="60"/>
  <c r="BM64" i="60"/>
  <c r="BM66" i="60"/>
  <c r="BM68" i="60"/>
  <c r="BM70" i="60"/>
  <c r="BM72" i="60"/>
  <c r="BQ61" i="60"/>
  <c r="BQ63" i="60"/>
  <c r="BQ65" i="60"/>
  <c r="BQ67" i="60"/>
  <c r="BQ69" i="60"/>
  <c r="BQ71" i="60"/>
  <c r="BQ73" i="60"/>
  <c r="BR60" i="60"/>
  <c r="BR62" i="60"/>
  <c r="BR64" i="60"/>
  <c r="BR66" i="60"/>
  <c r="BR68" i="60"/>
  <c r="BR70" i="60"/>
  <c r="BR72" i="60"/>
  <c r="BS61" i="60"/>
  <c r="BS63" i="60"/>
  <c r="BS65" i="60"/>
  <c r="BS67" i="60"/>
  <c r="BS69" i="60"/>
  <c r="BS71" i="60"/>
  <c r="BS73" i="60"/>
  <c r="AY87" i="60"/>
  <c r="AY89" i="60"/>
  <c r="AZ88" i="60"/>
  <c r="AZ90" i="60"/>
  <c r="BE88" i="60"/>
  <c r="BE90" i="60"/>
  <c r="BF87" i="60"/>
  <c r="BF89" i="60"/>
  <c r="BG88" i="60"/>
  <c r="BG90" i="60"/>
  <c r="BL88" i="60"/>
  <c r="BL90" i="60"/>
  <c r="BM87" i="60"/>
  <c r="BM89" i="60"/>
  <c r="BQ88" i="60"/>
  <c r="BQ90" i="60"/>
  <c r="BR87" i="60"/>
  <c r="BR89" i="60"/>
  <c r="BS88" i="60"/>
  <c r="BS90" i="60"/>
  <c r="CS53" i="60"/>
  <c r="CS1" i="60"/>
  <c r="CS80" i="60"/>
  <c r="J75" i="60"/>
  <c r="J67" i="60"/>
  <c r="V90" i="60"/>
  <c r="U90" i="60"/>
  <c r="D75" i="60"/>
  <c r="J71" i="60"/>
  <c r="J63" i="60"/>
  <c r="I75" i="60"/>
  <c r="P67" i="60"/>
  <c r="V75" i="60"/>
  <c r="AG64" i="60"/>
  <c r="AG72" i="60"/>
  <c r="AI64" i="60"/>
  <c r="AI72" i="60"/>
  <c r="AU64" i="60"/>
  <c r="AU72" i="60"/>
  <c r="D67" i="60"/>
  <c r="C75" i="60"/>
  <c r="P71" i="60"/>
  <c r="P63" i="60"/>
  <c r="O75" i="60"/>
  <c r="Z77" i="60"/>
  <c r="AG60" i="60"/>
  <c r="AG68" i="60"/>
  <c r="AI60" i="60"/>
  <c r="AI68" i="60"/>
  <c r="AU60" i="60"/>
  <c r="AU68" i="60"/>
  <c r="AS87" i="60"/>
  <c r="AF8" i="60"/>
  <c r="AR8" i="60"/>
  <c r="AF9" i="60"/>
  <c r="AR9" i="60"/>
  <c r="AF10" i="60"/>
  <c r="AR10" i="60"/>
  <c r="AF11" i="60"/>
  <c r="AR11" i="60"/>
  <c r="AF12" i="60"/>
  <c r="AR12" i="60"/>
  <c r="AF13" i="60"/>
  <c r="AR13" i="60"/>
  <c r="AF14" i="60"/>
  <c r="AR14" i="60"/>
  <c r="AF15" i="60"/>
  <c r="AR15" i="60"/>
  <c r="AF16" i="60"/>
  <c r="AR16" i="60"/>
  <c r="AF17" i="60"/>
  <c r="AR17" i="60"/>
  <c r="AF18" i="60"/>
  <c r="AR18" i="60"/>
  <c r="AF19" i="60"/>
  <c r="AR19" i="60"/>
  <c r="AF20" i="60"/>
  <c r="AR20" i="60"/>
  <c r="AF21" i="60"/>
  <c r="AR21" i="60"/>
  <c r="AF22" i="60"/>
  <c r="AR22" i="60"/>
  <c r="AF23" i="60"/>
  <c r="AR23" i="60"/>
  <c r="AF24" i="60"/>
  <c r="AR24" i="60"/>
  <c r="AF25" i="60"/>
  <c r="AR25" i="60"/>
  <c r="AF26" i="60"/>
  <c r="AR26" i="60"/>
  <c r="AF27" i="60"/>
  <c r="AR27" i="60"/>
  <c r="AF28" i="60"/>
  <c r="AR28" i="60"/>
  <c r="AF29" i="60"/>
  <c r="AR29" i="60"/>
  <c r="AF30" i="60"/>
  <c r="AR30" i="60"/>
  <c r="AF31" i="60"/>
  <c r="AR31" i="60"/>
  <c r="AF32" i="60"/>
  <c r="AR32" i="60"/>
  <c r="AF33" i="60"/>
  <c r="AR33" i="60"/>
  <c r="AF34" i="60"/>
  <c r="AR34" i="60"/>
  <c r="AF35" i="60"/>
  <c r="AR35" i="60"/>
  <c r="AF36" i="60"/>
  <c r="AR36" i="60"/>
  <c r="AF37" i="60"/>
  <c r="AR37" i="60"/>
  <c r="AF38" i="60"/>
  <c r="AR38" i="60"/>
  <c r="AF39" i="60"/>
  <c r="AR39" i="60"/>
  <c r="AF40" i="60"/>
  <c r="AR40" i="60"/>
  <c r="AF41" i="60"/>
  <c r="AR41" i="60"/>
  <c r="AF42" i="60"/>
  <c r="AR42" i="60"/>
  <c r="AF43" i="60"/>
  <c r="AR43" i="60"/>
  <c r="AF44" i="60"/>
  <c r="AR44" i="60"/>
  <c r="AF45" i="60"/>
  <c r="AR45" i="60"/>
  <c r="AF46" i="60"/>
  <c r="AR46" i="60"/>
  <c r="AF47" i="60"/>
  <c r="AR47" i="60"/>
  <c r="AF48" i="60"/>
  <c r="AR48" i="60"/>
  <c r="AF50" i="60"/>
  <c r="AR50" i="60"/>
  <c r="Z74" i="60"/>
  <c r="AS62" i="60"/>
  <c r="AS66" i="60"/>
  <c r="AS70" i="60"/>
  <c r="AF77" i="60"/>
  <c r="AL77" i="60"/>
  <c r="Z91" i="60"/>
  <c r="AA89" i="60"/>
  <c r="AF92" i="60"/>
  <c r="AG89" i="60"/>
  <c r="AI89" i="60"/>
  <c r="AS89" i="60"/>
  <c r="AU87" i="60"/>
  <c r="AU91" i="60"/>
  <c r="Z94" i="60"/>
  <c r="AF94" i="60"/>
  <c r="C67" i="60"/>
  <c r="I67" i="60"/>
  <c r="O67" i="60"/>
  <c r="V67" i="60"/>
  <c r="J90" i="60"/>
  <c r="Z8" i="60"/>
  <c r="AL8" i="60"/>
  <c r="Z9" i="60"/>
  <c r="AL9" i="60"/>
  <c r="Z10" i="60"/>
  <c r="AL10" i="60"/>
  <c r="Z11" i="60"/>
  <c r="AL11" i="60"/>
  <c r="Z12" i="60"/>
  <c r="AL12" i="60"/>
  <c r="Z13" i="60"/>
  <c r="AL13" i="60"/>
  <c r="Z14" i="60"/>
  <c r="AL14" i="60"/>
  <c r="Z15" i="60"/>
  <c r="AL15" i="60"/>
  <c r="Z16" i="60"/>
  <c r="AL16" i="60"/>
  <c r="Z17" i="60"/>
  <c r="AL17" i="60"/>
  <c r="Z18" i="60"/>
  <c r="AL18" i="60"/>
  <c r="Z19" i="60"/>
  <c r="AL19" i="60"/>
  <c r="Z20" i="60"/>
  <c r="AL20" i="60"/>
  <c r="Z21" i="60"/>
  <c r="AL21" i="60"/>
  <c r="Z22" i="60"/>
  <c r="AL22" i="60"/>
  <c r="Z23" i="60"/>
  <c r="AL23" i="60"/>
  <c r="Z24" i="60"/>
  <c r="AL24" i="60"/>
  <c r="Z25" i="60"/>
  <c r="AL25" i="60"/>
  <c r="Z26" i="60"/>
  <c r="AL26" i="60"/>
  <c r="Z27" i="60"/>
  <c r="AL27" i="60"/>
  <c r="Z28" i="60"/>
  <c r="AL28" i="60"/>
  <c r="Z29" i="60"/>
  <c r="AL29" i="60"/>
  <c r="Z30" i="60"/>
  <c r="AL30" i="60"/>
  <c r="Z31" i="60"/>
  <c r="AL31" i="60"/>
  <c r="Z32" i="60"/>
  <c r="AL32" i="60"/>
  <c r="Z33" i="60"/>
  <c r="AL33" i="60"/>
  <c r="Z34" i="60"/>
  <c r="AL34" i="60"/>
  <c r="Z35" i="60"/>
  <c r="AL35" i="60"/>
  <c r="Z36" i="60"/>
  <c r="AL36" i="60"/>
  <c r="Z37" i="60"/>
  <c r="AL37" i="60"/>
  <c r="Z38" i="60"/>
  <c r="AL38" i="60"/>
  <c r="Z39" i="60"/>
  <c r="AL39" i="60"/>
  <c r="Z40" i="60"/>
  <c r="AL40" i="60"/>
  <c r="Z41" i="60"/>
  <c r="AL41" i="60"/>
  <c r="Z42" i="60"/>
  <c r="AL42" i="60"/>
  <c r="Z43" i="60"/>
  <c r="AL43" i="60"/>
  <c r="Z44" i="60"/>
  <c r="AL44" i="60"/>
  <c r="Z45" i="60"/>
  <c r="AL45" i="60"/>
  <c r="Z46" i="60"/>
  <c r="AL46" i="60"/>
  <c r="Z47" i="60"/>
  <c r="AL47" i="60"/>
  <c r="Z48" i="60"/>
  <c r="AL48" i="60"/>
  <c r="Z50" i="60"/>
  <c r="AL50" i="60"/>
  <c r="AF75" i="60"/>
  <c r="AG62" i="60"/>
  <c r="AG66" i="60"/>
  <c r="AG70" i="60"/>
  <c r="AG74" i="60"/>
  <c r="AI62" i="60"/>
  <c r="AI66" i="60"/>
  <c r="AI70" i="60"/>
  <c r="AI74" i="60"/>
  <c r="AL74" i="60"/>
  <c r="AS60" i="60"/>
  <c r="AS64" i="60"/>
  <c r="AS68" i="60"/>
  <c r="AS72" i="60"/>
  <c r="AU62" i="60"/>
  <c r="AU66" i="60"/>
  <c r="AU70" i="60"/>
  <c r="AU74" i="60"/>
  <c r="AR77" i="60"/>
  <c r="AA87" i="60"/>
  <c r="AC87" i="60"/>
  <c r="AG87" i="60"/>
  <c r="AI87" i="60"/>
  <c r="AI91" i="60"/>
  <c r="AL91" i="60"/>
  <c r="AS91" i="60"/>
  <c r="AU89" i="60"/>
  <c r="AL94" i="60"/>
  <c r="AR94" i="60"/>
  <c r="AR75" i="60"/>
  <c r="AR92" i="60"/>
  <c r="AA61" i="60"/>
  <c r="AA63" i="60"/>
  <c r="AA65" i="60"/>
  <c r="AA67" i="60"/>
  <c r="AA69" i="60"/>
  <c r="AA71" i="60"/>
  <c r="AA73" i="60"/>
  <c r="AA75" i="60"/>
  <c r="AB60" i="60"/>
  <c r="AB62" i="60"/>
  <c r="AB64" i="60"/>
  <c r="AB66" i="60"/>
  <c r="AB68" i="60"/>
  <c r="AB70" i="60"/>
  <c r="AB72" i="60"/>
  <c r="AB74" i="60"/>
  <c r="AC61" i="60"/>
  <c r="AC63" i="60"/>
  <c r="AC65" i="60"/>
  <c r="AC67" i="60"/>
  <c r="AC69" i="60"/>
  <c r="AC71" i="60"/>
  <c r="AC73" i="60"/>
  <c r="AC75" i="60"/>
  <c r="AH61" i="60"/>
  <c r="AH63" i="60"/>
  <c r="AH65" i="60"/>
  <c r="AH67" i="60"/>
  <c r="AH69" i="60"/>
  <c r="AH71" i="60"/>
  <c r="AH73" i="60"/>
  <c r="AH75" i="60"/>
  <c r="AM61" i="60"/>
  <c r="AM63" i="60"/>
  <c r="AM65" i="60"/>
  <c r="AM67" i="60"/>
  <c r="AM69" i="60"/>
  <c r="AM71" i="60"/>
  <c r="AM73" i="60"/>
  <c r="AM75" i="60"/>
  <c r="AN60" i="60"/>
  <c r="AN62" i="60"/>
  <c r="AN64" i="60"/>
  <c r="AN66" i="60"/>
  <c r="AN68" i="60"/>
  <c r="AN70" i="60"/>
  <c r="AN72" i="60"/>
  <c r="AN74" i="60"/>
  <c r="AO61" i="60"/>
  <c r="AO63" i="60"/>
  <c r="AO65" i="60"/>
  <c r="AO67" i="60"/>
  <c r="AO69" i="60"/>
  <c r="AO71" i="60"/>
  <c r="AO73" i="60"/>
  <c r="AO75" i="60"/>
  <c r="AS74" i="60"/>
  <c r="AT61" i="60"/>
  <c r="AT63" i="60"/>
  <c r="AT65" i="60"/>
  <c r="AT67" i="60"/>
  <c r="AT69" i="60"/>
  <c r="AT71" i="60"/>
  <c r="AT73" i="60"/>
  <c r="AT75" i="60"/>
  <c r="AA88" i="60"/>
  <c r="AA90" i="60"/>
  <c r="AA92" i="60"/>
  <c r="AB87" i="60"/>
  <c r="AB89" i="60"/>
  <c r="AB91" i="60"/>
  <c r="AC88" i="60"/>
  <c r="AC90" i="60"/>
  <c r="AC92" i="60"/>
  <c r="AG91" i="60"/>
  <c r="AH88" i="60"/>
  <c r="AH90" i="60"/>
  <c r="AH92" i="60"/>
  <c r="AM88" i="60"/>
  <c r="AM90" i="60"/>
  <c r="AM92" i="60"/>
  <c r="AN87" i="60"/>
  <c r="AN89" i="60"/>
  <c r="AN91" i="60"/>
  <c r="AO88" i="60"/>
  <c r="AO90" i="60"/>
  <c r="AO92" i="60"/>
  <c r="AT88" i="60"/>
  <c r="AT90" i="60"/>
  <c r="AT92" i="60"/>
  <c r="AA60" i="60"/>
  <c r="AA62" i="60"/>
  <c r="AA64" i="60"/>
  <c r="AA66" i="60"/>
  <c r="AA68" i="60"/>
  <c r="AA70" i="60"/>
  <c r="AA72" i="60"/>
  <c r="AB61" i="60"/>
  <c r="AB63" i="60"/>
  <c r="AB65" i="60"/>
  <c r="AB67" i="60"/>
  <c r="AB69" i="60"/>
  <c r="AB71" i="60"/>
  <c r="AB73" i="60"/>
  <c r="AC60" i="60"/>
  <c r="AC62" i="60"/>
  <c r="AC64" i="60"/>
  <c r="AC66" i="60"/>
  <c r="AC68" i="60"/>
  <c r="AC70" i="60"/>
  <c r="AC72" i="60"/>
  <c r="AG61" i="60"/>
  <c r="AG63" i="60"/>
  <c r="AG65" i="60"/>
  <c r="AG67" i="60"/>
  <c r="AG69" i="60"/>
  <c r="AG71" i="60"/>
  <c r="AG73" i="60"/>
  <c r="AH60" i="60"/>
  <c r="AH62" i="60"/>
  <c r="AH64" i="60"/>
  <c r="AH66" i="60"/>
  <c r="AH68" i="60"/>
  <c r="AH70" i="60"/>
  <c r="AH72" i="60"/>
  <c r="AI61" i="60"/>
  <c r="AI63" i="60"/>
  <c r="AI65" i="60"/>
  <c r="AI67" i="60"/>
  <c r="AI69" i="60"/>
  <c r="AI71" i="60"/>
  <c r="AI73" i="60"/>
  <c r="AM60" i="60"/>
  <c r="AM62" i="60"/>
  <c r="AM64" i="60"/>
  <c r="AM66" i="60"/>
  <c r="AM68" i="60"/>
  <c r="AM70" i="60"/>
  <c r="AM72" i="60"/>
  <c r="AN61" i="60"/>
  <c r="AN63" i="60"/>
  <c r="AN65" i="60"/>
  <c r="AN67" i="60"/>
  <c r="AN69" i="60"/>
  <c r="AN71" i="60"/>
  <c r="AN73" i="60"/>
  <c r="AO60" i="60"/>
  <c r="AO62" i="60"/>
  <c r="AO64" i="60"/>
  <c r="AO66" i="60"/>
  <c r="AO68" i="60"/>
  <c r="AO70" i="60"/>
  <c r="AO72" i="60"/>
  <c r="AS61" i="60"/>
  <c r="AS63" i="60"/>
  <c r="AS65" i="60"/>
  <c r="AS67" i="60"/>
  <c r="AS69" i="60"/>
  <c r="AS71" i="60"/>
  <c r="AS73" i="60"/>
  <c r="AT60" i="60"/>
  <c r="AT62" i="60"/>
  <c r="AT64" i="60"/>
  <c r="AT66" i="60"/>
  <c r="AT68" i="60"/>
  <c r="AT70" i="60"/>
  <c r="AT72" i="60"/>
  <c r="AU61" i="60"/>
  <c r="AU63" i="60"/>
  <c r="AU65" i="60"/>
  <c r="AU67" i="60"/>
  <c r="AU69" i="60"/>
  <c r="AU71" i="60"/>
  <c r="AU73" i="60"/>
  <c r="AB88" i="60"/>
  <c r="AB90" i="60"/>
  <c r="AC89" i="60"/>
  <c r="AG88" i="60"/>
  <c r="AG90" i="60"/>
  <c r="AH87" i="60"/>
  <c r="AH89" i="60"/>
  <c r="AI88" i="60"/>
  <c r="AI90" i="60"/>
  <c r="AM87" i="60"/>
  <c r="AM89" i="60"/>
  <c r="AN88" i="60"/>
  <c r="AN90" i="60"/>
  <c r="AO87" i="60"/>
  <c r="AO89" i="60"/>
  <c r="AS88" i="60"/>
  <c r="AS90" i="60"/>
  <c r="AT87" i="60"/>
  <c r="AT89" i="60"/>
  <c r="AU88" i="60"/>
  <c r="AU90" i="60"/>
  <c r="C71" i="60"/>
  <c r="C63" i="60"/>
  <c r="I71" i="60"/>
  <c r="I63" i="60"/>
  <c r="O71" i="60"/>
  <c r="O63" i="60"/>
  <c r="V71" i="60"/>
  <c r="V63" i="60"/>
  <c r="D90" i="60"/>
  <c r="V92" i="60"/>
  <c r="V88" i="60"/>
  <c r="C73" i="60"/>
  <c r="C69" i="60"/>
  <c r="C65" i="60"/>
  <c r="C61" i="60"/>
  <c r="I73" i="60"/>
  <c r="I69" i="60"/>
  <c r="I65" i="60"/>
  <c r="I61" i="60"/>
  <c r="O73" i="60"/>
  <c r="O69" i="60"/>
  <c r="O65" i="60"/>
  <c r="O61" i="60"/>
  <c r="V73" i="60"/>
  <c r="V69" i="60"/>
  <c r="V65" i="60"/>
  <c r="V61" i="60"/>
  <c r="D92" i="60"/>
  <c r="D88" i="60"/>
  <c r="C90" i="60"/>
  <c r="J92" i="60"/>
  <c r="J88" i="60"/>
  <c r="I90" i="60"/>
  <c r="P90" i="60"/>
  <c r="V91" i="60"/>
  <c r="V89" i="60"/>
  <c r="U92" i="60"/>
  <c r="U88" i="60"/>
  <c r="BU1" i="60"/>
  <c r="AW80" i="60"/>
  <c r="BU53" i="60"/>
  <c r="AW1" i="60"/>
  <c r="D71" i="60"/>
  <c r="D63" i="60"/>
  <c r="J73" i="60"/>
  <c r="J69" i="60"/>
  <c r="J65" i="60"/>
  <c r="J61" i="60"/>
  <c r="P73" i="60"/>
  <c r="P69" i="60"/>
  <c r="P65" i="60"/>
  <c r="P61" i="60"/>
  <c r="J91" i="60"/>
  <c r="J89" i="60"/>
  <c r="I92" i="60"/>
  <c r="I88" i="60"/>
  <c r="P92" i="60"/>
  <c r="P88" i="60"/>
  <c r="O90" i="60"/>
  <c r="BU80" i="60"/>
  <c r="AW53" i="60"/>
  <c r="D73" i="60"/>
  <c r="D69" i="60"/>
  <c r="D65" i="60"/>
  <c r="D61" i="60"/>
  <c r="J74" i="60"/>
  <c r="J72" i="60"/>
  <c r="J70" i="60"/>
  <c r="J68" i="60"/>
  <c r="J66" i="60"/>
  <c r="J64" i="60"/>
  <c r="J62" i="60"/>
  <c r="P74" i="60"/>
  <c r="P72" i="60"/>
  <c r="P70" i="60"/>
  <c r="P68" i="60"/>
  <c r="P66" i="60"/>
  <c r="P64" i="60"/>
  <c r="P62" i="60"/>
  <c r="D91" i="60"/>
  <c r="D89" i="60"/>
  <c r="C92" i="60"/>
  <c r="C88" i="60"/>
  <c r="P91" i="60"/>
  <c r="P89" i="60"/>
  <c r="O92" i="60"/>
  <c r="O88" i="60"/>
  <c r="U91" i="60"/>
  <c r="U89" i="60"/>
  <c r="O91" i="60"/>
  <c r="O89" i="60"/>
  <c r="I91" i="60"/>
  <c r="I89" i="60"/>
  <c r="C91" i="60"/>
  <c r="C89" i="60"/>
  <c r="V74" i="60"/>
  <c r="V72" i="60"/>
  <c r="V70" i="60"/>
  <c r="V68" i="60"/>
  <c r="V66" i="60"/>
  <c r="V64" i="60"/>
  <c r="V62" i="60"/>
  <c r="O74" i="60"/>
  <c r="O72" i="60"/>
  <c r="O70" i="60"/>
  <c r="O68" i="60"/>
  <c r="O66" i="60"/>
  <c r="O64" i="60"/>
  <c r="O62" i="60"/>
  <c r="I74" i="60"/>
  <c r="I72" i="60"/>
  <c r="I70" i="60"/>
  <c r="I68" i="60"/>
  <c r="I66" i="60"/>
  <c r="I64" i="60"/>
  <c r="I62" i="60"/>
  <c r="C74" i="60"/>
  <c r="C72" i="60"/>
  <c r="C70" i="60"/>
  <c r="C68" i="60"/>
  <c r="C66" i="60"/>
  <c r="C64" i="60"/>
  <c r="C62" i="60"/>
  <c r="D74" i="60"/>
  <c r="D72" i="60"/>
  <c r="D70" i="60"/>
  <c r="D68" i="60"/>
  <c r="D66" i="60"/>
  <c r="D64" i="60"/>
  <c r="D62" i="60"/>
  <c r="X58" i="60"/>
  <c r="W58" i="60"/>
  <c r="E67" i="60"/>
  <c r="E75" i="60"/>
  <c r="E63" i="60"/>
  <c r="E71" i="60"/>
  <c r="E73" i="60"/>
  <c r="E69" i="60"/>
  <c r="E65" i="60"/>
  <c r="E61" i="60"/>
  <c r="K60" i="60"/>
  <c r="W60" i="60"/>
  <c r="K68" i="60"/>
  <c r="W68" i="60"/>
  <c r="E90" i="60"/>
  <c r="K64" i="60"/>
  <c r="K72" i="60"/>
  <c r="W64" i="60"/>
  <c r="W72" i="60"/>
  <c r="E92" i="60"/>
  <c r="E88" i="60"/>
  <c r="K87" i="60"/>
  <c r="K91" i="60"/>
  <c r="Q87" i="60"/>
  <c r="Q91" i="60"/>
  <c r="W87" i="60"/>
  <c r="W91" i="60"/>
  <c r="K89" i="60"/>
  <c r="Q89" i="60"/>
  <c r="W89" i="60"/>
  <c r="W88" i="60"/>
  <c r="W90" i="60"/>
  <c r="Q88" i="60"/>
  <c r="Q90" i="60"/>
  <c r="K88" i="60"/>
  <c r="K90" i="60"/>
  <c r="E91" i="60"/>
  <c r="E89" i="60"/>
  <c r="K62" i="60"/>
  <c r="K66" i="60"/>
  <c r="K70" i="60"/>
  <c r="K74" i="60"/>
  <c r="Q60" i="60"/>
  <c r="Q64" i="60"/>
  <c r="Q68" i="60"/>
  <c r="Q72" i="60"/>
  <c r="W62" i="60"/>
  <c r="W66" i="60"/>
  <c r="W70" i="60"/>
  <c r="W74" i="60"/>
  <c r="Q62" i="60"/>
  <c r="Q66" i="60"/>
  <c r="Q70" i="60"/>
  <c r="Q74" i="60"/>
  <c r="U61" i="60"/>
  <c r="U63" i="60"/>
  <c r="U65" i="60"/>
  <c r="U67" i="60"/>
  <c r="U69" i="60"/>
  <c r="U71" i="60"/>
  <c r="U73" i="60"/>
  <c r="U75" i="60"/>
  <c r="U60" i="60"/>
  <c r="U62" i="60"/>
  <c r="U64" i="60"/>
  <c r="U66" i="60"/>
  <c r="U68" i="60"/>
  <c r="U70" i="60"/>
  <c r="U72" i="60"/>
  <c r="W61" i="60"/>
  <c r="W63" i="60"/>
  <c r="W65" i="60"/>
  <c r="W67" i="60"/>
  <c r="W69" i="60"/>
  <c r="W71" i="60"/>
  <c r="W73" i="60"/>
  <c r="Q61" i="60"/>
  <c r="Q63" i="60"/>
  <c r="Q65" i="60"/>
  <c r="Q67" i="60"/>
  <c r="Q69" i="60"/>
  <c r="Q71" i="60"/>
  <c r="Q73" i="60"/>
  <c r="K61" i="60"/>
  <c r="K63" i="60"/>
  <c r="K65" i="60"/>
  <c r="K67" i="60"/>
  <c r="K69" i="60"/>
  <c r="K71" i="60"/>
  <c r="K73" i="60"/>
  <c r="E74" i="60"/>
  <c r="E72" i="60"/>
  <c r="E70" i="60"/>
  <c r="E68" i="60"/>
  <c r="E66" i="60"/>
  <c r="E64" i="60"/>
  <c r="E62" i="60"/>
  <c r="CZ64" i="60" l="1"/>
  <c r="CZ68" i="60"/>
  <c r="AR72" i="60"/>
  <c r="DL64" i="60"/>
  <c r="R60" i="60"/>
  <c r="R75" i="60"/>
  <c r="R72" i="60"/>
  <c r="R73" i="60"/>
  <c r="R71" i="60"/>
  <c r="BT90" i="60"/>
  <c r="R66" i="60"/>
  <c r="BT89" i="60"/>
  <c r="R64" i="60"/>
  <c r="R63" i="60"/>
  <c r="BT87" i="60"/>
  <c r="BT88" i="60"/>
  <c r="R65" i="60"/>
  <c r="R62" i="60"/>
  <c r="R61" i="60"/>
  <c r="R70" i="60"/>
  <c r="R69" i="60"/>
  <c r="R68" i="60"/>
  <c r="R67" i="60"/>
  <c r="BT92" i="60"/>
  <c r="BZ60" i="60"/>
  <c r="X90" i="60"/>
  <c r="X88" i="60"/>
  <c r="CZ60" i="60"/>
  <c r="DL60" i="60"/>
  <c r="CF88" i="60"/>
  <c r="AD89" i="60"/>
  <c r="BZ71" i="60"/>
  <c r="CF89" i="60"/>
  <c r="AD87" i="60"/>
  <c r="CF87" i="60"/>
  <c r="CL72" i="60"/>
  <c r="AD90" i="60"/>
  <c r="CF92" i="60"/>
  <c r="AD88" i="60"/>
  <c r="AD91" i="60"/>
  <c r="CF90" i="60"/>
  <c r="AJ64" i="60"/>
  <c r="AJ61" i="60"/>
  <c r="BZ63" i="60"/>
  <c r="CL70" i="60"/>
  <c r="BZ74" i="60"/>
  <c r="BZ61" i="60"/>
  <c r="CL62" i="60"/>
  <c r="BZ72" i="60"/>
  <c r="X87" i="60"/>
  <c r="CL73" i="60"/>
  <c r="BZ68" i="60"/>
  <c r="X89" i="60"/>
  <c r="AJ72" i="60"/>
  <c r="BZ73" i="60"/>
  <c r="BZ70" i="60"/>
  <c r="AJ69" i="60"/>
  <c r="CL71" i="60"/>
  <c r="BZ69" i="60"/>
  <c r="BZ66" i="60"/>
  <c r="AJ60" i="60"/>
  <c r="CL63" i="60"/>
  <c r="BZ67" i="60"/>
  <c r="BZ64" i="60"/>
  <c r="AJ65" i="60"/>
  <c r="X92" i="60"/>
  <c r="AJ63" i="60"/>
  <c r="BZ65" i="60"/>
  <c r="CL74" i="60"/>
  <c r="BZ62" i="60"/>
  <c r="BH67" i="60"/>
  <c r="DP62" i="60"/>
  <c r="BH65" i="60"/>
  <c r="BH61" i="60"/>
  <c r="BH72" i="60"/>
  <c r="DP64" i="60"/>
  <c r="BH70" i="60"/>
  <c r="DP71" i="60"/>
  <c r="BH66" i="60"/>
  <c r="DP69" i="60"/>
  <c r="DJ90" i="60"/>
  <c r="BN65" i="60"/>
  <c r="AP91" i="60"/>
  <c r="AP87" i="60"/>
  <c r="BN68" i="60"/>
  <c r="BN64" i="60"/>
  <c r="BN61" i="60"/>
  <c r="BH68" i="60"/>
  <c r="BN62" i="60"/>
  <c r="BH63" i="60"/>
  <c r="DP60" i="60"/>
  <c r="DP67" i="60"/>
  <c r="CX62" i="60"/>
  <c r="AP88" i="60"/>
  <c r="BH75" i="60"/>
  <c r="DP72" i="60"/>
  <c r="DP63" i="60"/>
  <c r="BN60" i="60"/>
  <c r="DP65" i="60"/>
  <c r="CX60" i="60"/>
  <c r="DP70" i="60"/>
  <c r="DP61" i="60"/>
  <c r="BN63" i="60"/>
  <c r="BH62" i="60"/>
  <c r="BH73" i="60"/>
  <c r="BH60" i="60"/>
  <c r="BH71" i="60"/>
  <c r="DP68" i="60"/>
  <c r="CX69" i="60"/>
  <c r="DP75" i="60"/>
  <c r="BH64" i="60"/>
  <c r="BN69" i="60"/>
  <c r="BH69" i="60"/>
  <c r="DP66" i="60"/>
  <c r="CX67" i="60"/>
  <c r="DP73" i="60"/>
  <c r="BB87" i="60"/>
  <c r="CX73" i="60"/>
  <c r="DJ89" i="60"/>
  <c r="CX66" i="60"/>
  <c r="AJ62" i="60"/>
  <c r="AP89" i="60"/>
  <c r="AJ67" i="60"/>
  <c r="BN67" i="60"/>
  <c r="BN66" i="60"/>
  <c r="CL61" i="60"/>
  <c r="CL60" i="60"/>
  <c r="CX71" i="60"/>
  <c r="DJ87" i="60"/>
  <c r="CX64" i="60"/>
  <c r="BB90" i="60"/>
  <c r="BB88" i="60"/>
  <c r="AJ70" i="60"/>
  <c r="AJ75" i="60"/>
  <c r="BN74" i="60"/>
  <c r="CL69" i="60"/>
  <c r="CL68" i="60"/>
  <c r="CX63" i="60"/>
  <c r="CX72" i="60"/>
  <c r="CX65" i="60"/>
  <c r="AJ68" i="60"/>
  <c r="AJ73" i="60"/>
  <c r="BN73" i="60"/>
  <c r="BB91" i="60"/>
  <c r="BN72" i="60"/>
  <c r="CL67" i="60"/>
  <c r="CL66" i="60"/>
  <c r="CX61" i="60"/>
  <c r="CX70" i="60"/>
  <c r="DJ88" i="60"/>
  <c r="CX74" i="60"/>
  <c r="AP90" i="60"/>
  <c r="AJ66" i="60"/>
  <c r="AJ71" i="60"/>
  <c r="BN71" i="60"/>
  <c r="BB89" i="60"/>
  <c r="BN70" i="60"/>
  <c r="CL65" i="60"/>
  <c r="CL64" i="60"/>
  <c r="DJ91" i="60"/>
  <c r="CX68" i="60"/>
  <c r="L88" i="60"/>
  <c r="AV72" i="60"/>
  <c r="AD73" i="60"/>
  <c r="AD68" i="60"/>
  <c r="AD67" i="60"/>
  <c r="AV73" i="60"/>
  <c r="AD60" i="60"/>
  <c r="AD65" i="60"/>
  <c r="AD63" i="60"/>
  <c r="AD74" i="60"/>
  <c r="AV60" i="60"/>
  <c r="AD71" i="60"/>
  <c r="AD69" i="60"/>
  <c r="AD62" i="60"/>
  <c r="AD61" i="60"/>
  <c r="AD72" i="60"/>
  <c r="CL89" i="60"/>
  <c r="AD64" i="60"/>
  <c r="AD70" i="60"/>
  <c r="CL87" i="60"/>
  <c r="L90" i="60"/>
  <c r="F88" i="60"/>
  <c r="F91" i="60"/>
  <c r="L92" i="60"/>
  <c r="F90" i="60"/>
  <c r="CR90" i="60"/>
  <c r="F89" i="60"/>
  <c r="F92" i="60"/>
  <c r="CR88" i="60"/>
  <c r="L89" i="60"/>
  <c r="L87" i="60"/>
  <c r="CR92" i="60"/>
  <c r="L68" i="60"/>
  <c r="L65" i="60"/>
  <c r="F66" i="60"/>
  <c r="L66" i="60"/>
  <c r="L67" i="60"/>
  <c r="BB72" i="60"/>
  <c r="AP67" i="60"/>
  <c r="CR67" i="60"/>
  <c r="AV75" i="60"/>
  <c r="AD66" i="60"/>
  <c r="CR65" i="60"/>
  <c r="AP71" i="60"/>
  <c r="AV71" i="60"/>
  <c r="BB70" i="60"/>
  <c r="CR64" i="60"/>
  <c r="CR62" i="60"/>
  <c r="AP72" i="60"/>
  <c r="AP70" i="60"/>
  <c r="CR66" i="60"/>
  <c r="AP66" i="60"/>
  <c r="BB73" i="60"/>
  <c r="AP73" i="60"/>
  <c r="BB61" i="60"/>
  <c r="BB74" i="60"/>
  <c r="CR69" i="60"/>
  <c r="AP69" i="60"/>
  <c r="AP68" i="60"/>
  <c r="AP65" i="60"/>
  <c r="AP63" i="60"/>
  <c r="AP62" i="60"/>
  <c r="CF66" i="60"/>
  <c r="CF65" i="60"/>
  <c r="AP61" i="60"/>
  <c r="AP60" i="60"/>
  <c r="CF63" i="60"/>
  <c r="CF70" i="60"/>
  <c r="AP64" i="60"/>
  <c r="CF68" i="60"/>
  <c r="AP74" i="60"/>
  <c r="CF61" i="60"/>
  <c r="AJ89" i="60"/>
  <c r="AJ88" i="60"/>
  <c r="BB69" i="60"/>
  <c r="BB66" i="60"/>
  <c r="CF62" i="60"/>
  <c r="CR61" i="60"/>
  <c r="CF73" i="60"/>
  <c r="CX88" i="60"/>
  <c r="CX89" i="60"/>
  <c r="BZ88" i="60"/>
  <c r="AJ87" i="60"/>
  <c r="BB67" i="60"/>
  <c r="BB64" i="60"/>
  <c r="CR89" i="60"/>
  <c r="CR72" i="60"/>
  <c r="CF60" i="60"/>
  <c r="BZ87" i="60"/>
  <c r="CR75" i="60"/>
  <c r="CF71" i="60"/>
  <c r="CX87" i="60"/>
  <c r="BZ90" i="60"/>
  <c r="BB71" i="60"/>
  <c r="BB68" i="60"/>
  <c r="CR60" i="60"/>
  <c r="CF64" i="60"/>
  <c r="CR63" i="60"/>
  <c r="CF75" i="60"/>
  <c r="CX90" i="60"/>
  <c r="BB65" i="60"/>
  <c r="BB62" i="60"/>
  <c r="CR87" i="60"/>
  <c r="CR70" i="60"/>
  <c r="CR73" i="60"/>
  <c r="CF69" i="60"/>
  <c r="AJ90" i="60"/>
  <c r="CX91" i="60"/>
  <c r="BB63" i="60"/>
  <c r="BB60" i="60"/>
  <c r="CR68" i="60"/>
  <c r="CF72" i="60"/>
  <c r="CR71" i="60"/>
  <c r="CF67" i="60"/>
  <c r="AA85" i="60"/>
  <c r="AG85" i="60" s="1"/>
  <c r="AM85" i="60" s="1"/>
  <c r="AS85" i="60" s="1"/>
  <c r="AA58" i="60"/>
  <c r="AG58" i="60" s="1"/>
  <c r="AM58" i="60" s="1"/>
  <c r="AS58" i="60" s="1"/>
  <c r="BW85" i="60"/>
  <c r="CC85" i="60" s="1"/>
  <c r="CI85" i="60" s="1"/>
  <c r="CO85" i="60" s="1"/>
  <c r="DD64" i="60"/>
  <c r="DD73" i="60"/>
  <c r="DD62" i="60"/>
  <c r="DD71" i="60"/>
  <c r="BH89" i="60"/>
  <c r="DD60" i="60"/>
  <c r="DD69" i="60"/>
  <c r="X62" i="60"/>
  <c r="L60" i="60"/>
  <c r="L75" i="60"/>
  <c r="X60" i="60"/>
  <c r="X73" i="60"/>
  <c r="F69" i="60"/>
  <c r="F75" i="60"/>
  <c r="AV68" i="60"/>
  <c r="AV88" i="60"/>
  <c r="AJ92" i="60"/>
  <c r="AV67" i="60"/>
  <c r="BH92" i="60"/>
  <c r="CL88" i="60"/>
  <c r="DD72" i="60"/>
  <c r="DD65" i="60"/>
  <c r="L64" i="60"/>
  <c r="L63" i="60"/>
  <c r="X68" i="60"/>
  <c r="L61" i="60"/>
  <c r="AV69" i="60"/>
  <c r="DD67" i="60"/>
  <c r="AV89" i="60"/>
  <c r="DD70" i="60"/>
  <c r="DD63" i="60"/>
  <c r="AV66" i="60"/>
  <c r="AV65" i="60"/>
  <c r="BH90" i="60"/>
  <c r="L72" i="60"/>
  <c r="L71" i="60"/>
  <c r="X65" i="60"/>
  <c r="F67" i="60"/>
  <c r="AV87" i="60"/>
  <c r="AV64" i="60"/>
  <c r="AV63" i="60"/>
  <c r="BH88" i="60"/>
  <c r="BZ91" i="60"/>
  <c r="DD68" i="60"/>
  <c r="DD61" i="60"/>
  <c r="AV92" i="60"/>
  <c r="L62" i="60"/>
  <c r="X75" i="60"/>
  <c r="F71" i="60"/>
  <c r="AV70" i="60"/>
  <c r="AV90" i="60"/>
  <c r="BH87" i="60"/>
  <c r="CL90" i="60"/>
  <c r="L73" i="60"/>
  <c r="X71" i="60"/>
  <c r="F73" i="60"/>
  <c r="L70" i="60"/>
  <c r="L69" i="60"/>
  <c r="F64" i="60"/>
  <c r="AV62" i="60"/>
  <c r="AV61" i="60"/>
  <c r="CL91" i="60"/>
  <c r="BZ89" i="60"/>
  <c r="DD66" i="60"/>
  <c r="DD75" i="60"/>
  <c r="BV60" i="60"/>
  <c r="BW58" i="60"/>
  <c r="CC58" i="60" s="1"/>
  <c r="CI58" i="60" s="1"/>
  <c r="CO58" i="60" s="1"/>
  <c r="X72" i="60"/>
  <c r="X69" i="60"/>
  <c r="X70" i="60"/>
  <c r="X67" i="60"/>
  <c r="X66" i="60"/>
  <c r="X63" i="60"/>
  <c r="X64" i="60"/>
  <c r="X61" i="60"/>
  <c r="BN89" i="60"/>
  <c r="F70" i="60"/>
  <c r="DJ67" i="60"/>
  <c r="DJ74" i="60"/>
  <c r="DJ61" i="60"/>
  <c r="BN90" i="60"/>
  <c r="DJ69" i="60"/>
  <c r="DJ70" i="60"/>
  <c r="DJ63" i="60"/>
  <c r="DJ68" i="60"/>
  <c r="DL89" i="60"/>
  <c r="DJ65" i="60"/>
  <c r="DJ72" i="60"/>
  <c r="AX87" i="60"/>
  <c r="R92" i="60"/>
  <c r="DJ66" i="60"/>
  <c r="AR60" i="60"/>
  <c r="BN88" i="60"/>
  <c r="BN87" i="60"/>
  <c r="DJ64" i="60"/>
  <c r="BT69" i="60"/>
  <c r="BD64" i="60"/>
  <c r="BP64" i="60"/>
  <c r="BP70" i="60"/>
  <c r="DJ71" i="60"/>
  <c r="DL72" i="60"/>
  <c r="DJ62" i="60"/>
  <c r="AX60" i="60"/>
  <c r="BD72" i="60"/>
  <c r="DL62" i="60"/>
  <c r="AF68" i="60"/>
  <c r="BD60" i="60"/>
  <c r="BT65" i="60"/>
  <c r="DF64" i="60"/>
  <c r="BT66" i="60"/>
  <c r="BN91" i="60"/>
  <c r="BT61" i="60"/>
  <c r="DJ73" i="60"/>
  <c r="DP92" i="60"/>
  <c r="DJ60" i="60"/>
  <c r="BV68" i="60"/>
  <c r="BT72" i="60"/>
  <c r="DP87" i="60"/>
  <c r="DD87" i="60"/>
  <c r="BT64" i="60"/>
  <c r="BT75" i="60"/>
  <c r="DP90" i="60"/>
  <c r="BT62" i="60"/>
  <c r="BT73" i="60"/>
  <c r="CN89" i="60"/>
  <c r="DP88" i="60"/>
  <c r="DD92" i="60"/>
  <c r="DD88" i="60"/>
  <c r="R87" i="60"/>
  <c r="BT60" i="60"/>
  <c r="BT71" i="60"/>
  <c r="BP60" i="60"/>
  <c r="BD68" i="60"/>
  <c r="DD90" i="60"/>
  <c r="DP89" i="60"/>
  <c r="DD89" i="60"/>
  <c r="BT67" i="60"/>
  <c r="BT70" i="60"/>
  <c r="AF60" i="60"/>
  <c r="BT68" i="60"/>
  <c r="BT63" i="60"/>
  <c r="F68" i="60"/>
  <c r="F72" i="60"/>
  <c r="R90" i="60"/>
  <c r="AF64" i="60"/>
  <c r="BP68" i="60"/>
  <c r="F74" i="60"/>
  <c r="R88" i="60"/>
  <c r="F61" i="60"/>
  <c r="BV72" i="60"/>
  <c r="F62" i="60"/>
  <c r="R89" i="60"/>
  <c r="F65" i="60"/>
  <c r="F63" i="60"/>
  <c r="BV64" i="60"/>
  <c r="DF62" i="60"/>
  <c r="AY58" i="60"/>
  <c r="BE58" i="60" s="1"/>
  <c r="BK58" i="60" s="1"/>
  <c r="BQ58" i="60" s="1"/>
  <c r="AY85" i="60"/>
  <c r="BE85" i="60" s="1"/>
  <c r="BK85" i="60" s="1"/>
  <c r="BQ85" i="60" s="1"/>
  <c r="CT83" i="60"/>
  <c r="CT56" i="60"/>
  <c r="BV83" i="60"/>
  <c r="BV56" i="60"/>
  <c r="AX83" i="60"/>
  <c r="AX56" i="60"/>
  <c r="Z83" i="60"/>
  <c r="Z56" i="60"/>
  <c r="CZ83" i="60"/>
  <c r="CZ56" i="60"/>
  <c r="CB83" i="60"/>
  <c r="CB56" i="60"/>
  <c r="BD83" i="60"/>
  <c r="BD56" i="60"/>
  <c r="AF83" i="60"/>
  <c r="AF56" i="60"/>
  <c r="DF83" i="60"/>
  <c r="DF56" i="60"/>
  <c r="CH83" i="60"/>
  <c r="CH56" i="60"/>
  <c r="BJ83" i="60"/>
  <c r="BJ56" i="60"/>
  <c r="AL83" i="60"/>
  <c r="AL56" i="60"/>
  <c r="DL83" i="60"/>
  <c r="DL56" i="60"/>
  <c r="CN83" i="60"/>
  <c r="CN56" i="60"/>
  <c r="BP83" i="60"/>
  <c r="BP56" i="60"/>
  <c r="AR83" i="60"/>
  <c r="AR56" i="60"/>
  <c r="CZ89" i="60"/>
  <c r="CZ70" i="60"/>
  <c r="DF60" i="60"/>
  <c r="BJ89" i="60"/>
  <c r="DL70" i="60"/>
  <c r="CZ62" i="60"/>
  <c r="AX89" i="60"/>
  <c r="Z89" i="60"/>
  <c r="BJ87" i="60"/>
  <c r="CH87" i="60"/>
  <c r="BP72" i="60"/>
  <c r="BP87" i="60"/>
  <c r="DL91" i="60"/>
  <c r="AX64" i="60"/>
  <c r="BV89" i="60"/>
  <c r="AX62" i="60"/>
  <c r="CN87" i="60"/>
  <c r="BP91" i="60"/>
  <c r="AR64" i="60"/>
  <c r="DL87" i="60"/>
  <c r="CZ74" i="60"/>
  <c r="CZ66" i="60"/>
  <c r="DL66" i="60"/>
  <c r="CH89" i="60"/>
  <c r="AR87" i="60"/>
  <c r="DL74" i="60"/>
  <c r="DF72" i="60"/>
  <c r="DF68" i="60"/>
  <c r="AR68" i="60"/>
  <c r="AF72" i="60"/>
  <c r="BD87" i="60"/>
  <c r="DL88" i="60"/>
  <c r="DF87" i="60"/>
  <c r="CZ88" i="60"/>
  <c r="CT87" i="60"/>
  <c r="DL73" i="60"/>
  <c r="DL69" i="60"/>
  <c r="DL65" i="60"/>
  <c r="DL61" i="60"/>
  <c r="DF70" i="60"/>
  <c r="DF66" i="60"/>
  <c r="CZ73" i="60"/>
  <c r="CZ69" i="60"/>
  <c r="CZ65" i="60"/>
  <c r="CZ61" i="60"/>
  <c r="CT72" i="60"/>
  <c r="CT68" i="60"/>
  <c r="CT64" i="60"/>
  <c r="CT60" i="60"/>
  <c r="DF92" i="60"/>
  <c r="DF88" i="60"/>
  <c r="CT92" i="60"/>
  <c r="CT88" i="60"/>
  <c r="DF75" i="60"/>
  <c r="DF71" i="60"/>
  <c r="DF67" i="60"/>
  <c r="DF63" i="60"/>
  <c r="CT75" i="60"/>
  <c r="CT71" i="60"/>
  <c r="CT67" i="60"/>
  <c r="CT63" i="60"/>
  <c r="DL90" i="60"/>
  <c r="DF89" i="60"/>
  <c r="CZ90" i="60"/>
  <c r="CT89" i="60"/>
  <c r="DL71" i="60"/>
  <c r="DL67" i="60"/>
  <c r="DL63" i="60"/>
  <c r="CZ71" i="60"/>
  <c r="CZ67" i="60"/>
  <c r="CZ63" i="60"/>
  <c r="CT70" i="60"/>
  <c r="CT66" i="60"/>
  <c r="CT62" i="60"/>
  <c r="DF90" i="60"/>
  <c r="CT90" i="60"/>
  <c r="DF73" i="60"/>
  <c r="DF69" i="60"/>
  <c r="DF65" i="60"/>
  <c r="DF61" i="60"/>
  <c r="CT73" i="60"/>
  <c r="CT69" i="60"/>
  <c r="CT65" i="60"/>
  <c r="CT61" i="60"/>
  <c r="CH88" i="60"/>
  <c r="BV88" i="60"/>
  <c r="CH71" i="60"/>
  <c r="CH67" i="60"/>
  <c r="CH63" i="60"/>
  <c r="BV71" i="60"/>
  <c r="BV67" i="60"/>
  <c r="CH70" i="60"/>
  <c r="CH62" i="60"/>
  <c r="BV87" i="60"/>
  <c r="CH68" i="60"/>
  <c r="CH60" i="60"/>
  <c r="BV74" i="60"/>
  <c r="BV66" i="60"/>
  <c r="CH74" i="60"/>
  <c r="CH66" i="60"/>
  <c r="CN91" i="60"/>
  <c r="BV91" i="60"/>
  <c r="CH72" i="60"/>
  <c r="CH64" i="60"/>
  <c r="BV70" i="60"/>
  <c r="BV62" i="60"/>
  <c r="CN90" i="60"/>
  <c r="CB90" i="60"/>
  <c r="CN71" i="60"/>
  <c r="CN67" i="60"/>
  <c r="CN63" i="60"/>
  <c r="CB71" i="60"/>
  <c r="CB67" i="60"/>
  <c r="CB63" i="60"/>
  <c r="CB91" i="60"/>
  <c r="CB87" i="60"/>
  <c r="CN74" i="60"/>
  <c r="CN70" i="60"/>
  <c r="CN66" i="60"/>
  <c r="CN62" i="60"/>
  <c r="CB74" i="60"/>
  <c r="CB70" i="60"/>
  <c r="CB66" i="60"/>
  <c r="CB62" i="60"/>
  <c r="BV63" i="60"/>
  <c r="CN88" i="60"/>
  <c r="CB88" i="60"/>
  <c r="CN73" i="60"/>
  <c r="CN69" i="60"/>
  <c r="CN65" i="60"/>
  <c r="CN61" i="60"/>
  <c r="CB73" i="60"/>
  <c r="CB69" i="60"/>
  <c r="CB65" i="60"/>
  <c r="CB61" i="60"/>
  <c r="CH90" i="60"/>
  <c r="CB89" i="60"/>
  <c r="BV90" i="60"/>
  <c r="CN72" i="60"/>
  <c r="CN68" i="60"/>
  <c r="CN64" i="60"/>
  <c r="CN60" i="60"/>
  <c r="CH73" i="60"/>
  <c r="CH69" i="60"/>
  <c r="CH65" i="60"/>
  <c r="CH61" i="60"/>
  <c r="CB72" i="60"/>
  <c r="CB68" i="60"/>
  <c r="CB64" i="60"/>
  <c r="CB60" i="60"/>
  <c r="BV73" i="60"/>
  <c r="BV69" i="60"/>
  <c r="BV65" i="60"/>
  <c r="BV61" i="60"/>
  <c r="AF91" i="60"/>
  <c r="BD70" i="60"/>
  <c r="BD62" i="60"/>
  <c r="BP89" i="60"/>
  <c r="BP66" i="60"/>
  <c r="BD74" i="60"/>
  <c r="BD66" i="60"/>
  <c r="BP62" i="60"/>
  <c r="BP88" i="60"/>
  <c r="BD88" i="60"/>
  <c r="BP73" i="60"/>
  <c r="BP69" i="60"/>
  <c r="BP65" i="60"/>
  <c r="BP61" i="60"/>
  <c r="BJ72" i="60"/>
  <c r="BJ68" i="60"/>
  <c r="BJ64" i="60"/>
  <c r="BJ60" i="60"/>
  <c r="BD73" i="60"/>
  <c r="BD69" i="60"/>
  <c r="BD65" i="60"/>
  <c r="BD61" i="60"/>
  <c r="AX72" i="60"/>
  <c r="AX68" i="60"/>
  <c r="BJ88" i="60"/>
  <c r="BD89" i="60"/>
  <c r="AX88" i="60"/>
  <c r="BJ75" i="60"/>
  <c r="BJ71" i="60"/>
  <c r="BJ67" i="60"/>
  <c r="BJ63" i="60"/>
  <c r="AX75" i="60"/>
  <c r="AX71" i="60"/>
  <c r="AX67" i="60"/>
  <c r="AX63" i="60"/>
  <c r="BP90" i="60"/>
  <c r="BD90" i="60"/>
  <c r="BP71" i="60"/>
  <c r="BP67" i="60"/>
  <c r="BP63" i="60"/>
  <c r="BJ70" i="60"/>
  <c r="BJ66" i="60"/>
  <c r="BJ62" i="60"/>
  <c r="BD71" i="60"/>
  <c r="BD67" i="60"/>
  <c r="BD63" i="60"/>
  <c r="AX70" i="60"/>
  <c r="AX66" i="60"/>
  <c r="BJ90" i="60"/>
  <c r="BD91" i="60"/>
  <c r="AX90" i="60"/>
  <c r="BP74" i="60"/>
  <c r="BJ73" i="60"/>
  <c r="BJ69" i="60"/>
  <c r="BJ65" i="60"/>
  <c r="BJ61" i="60"/>
  <c r="AX73" i="60"/>
  <c r="AX69" i="60"/>
  <c r="AX65" i="60"/>
  <c r="AX61" i="60"/>
  <c r="AR74" i="60"/>
  <c r="AF89" i="60"/>
  <c r="AR91" i="60"/>
  <c r="AF87" i="60"/>
  <c r="Z87" i="60"/>
  <c r="AF70" i="60"/>
  <c r="AF62" i="60"/>
  <c r="AR66" i="60"/>
  <c r="AF74" i="60"/>
  <c r="AF66" i="60"/>
  <c r="AR89" i="60"/>
  <c r="AR70" i="60"/>
  <c r="AR62" i="60"/>
  <c r="AR88" i="60"/>
  <c r="AL87" i="60"/>
  <c r="AF88" i="60"/>
  <c r="AR71" i="60"/>
  <c r="AR67" i="60"/>
  <c r="AR63" i="60"/>
  <c r="AL70" i="60"/>
  <c r="AL66" i="60"/>
  <c r="AL62" i="60"/>
  <c r="AF71" i="60"/>
  <c r="AF67" i="60"/>
  <c r="AF63" i="60"/>
  <c r="Z70" i="60"/>
  <c r="Z66" i="60"/>
  <c r="Z62" i="60"/>
  <c r="AL90" i="60"/>
  <c r="Z92" i="60"/>
  <c r="Z88" i="60"/>
  <c r="AL73" i="60"/>
  <c r="AL69" i="60"/>
  <c r="AL65" i="60"/>
  <c r="AL61" i="60"/>
  <c r="Z73" i="60"/>
  <c r="Z69" i="60"/>
  <c r="Z65" i="60"/>
  <c r="Z61" i="60"/>
  <c r="AR90" i="60"/>
  <c r="AL89" i="60"/>
  <c r="AF90" i="60"/>
  <c r="AR73" i="60"/>
  <c r="AR69" i="60"/>
  <c r="AR65" i="60"/>
  <c r="AR61" i="60"/>
  <c r="AL72" i="60"/>
  <c r="AL68" i="60"/>
  <c r="AL64" i="60"/>
  <c r="AL60" i="60"/>
  <c r="AF73" i="60"/>
  <c r="AF69" i="60"/>
  <c r="AF65" i="60"/>
  <c r="AF61" i="60"/>
  <c r="Z72" i="60"/>
  <c r="Z68" i="60"/>
  <c r="Z64" i="60"/>
  <c r="Z60" i="60"/>
  <c r="AL92" i="60"/>
  <c r="AL88" i="60"/>
  <c r="Z90" i="60"/>
  <c r="AL75" i="60"/>
  <c r="AL71" i="60"/>
  <c r="AL67" i="60"/>
  <c r="AL63" i="60"/>
  <c r="Z75" i="60"/>
  <c r="Z71" i="60"/>
  <c r="Z67" i="60"/>
  <c r="Z63" i="60"/>
  <c r="A85" i="52" l="1"/>
  <c r="A43" i="52" l="1"/>
  <c r="I40" i="49" l="1"/>
  <c r="I29" i="49"/>
  <c r="I18" i="49"/>
  <c r="I23" i="49"/>
  <c r="I34" i="49" s="1"/>
  <c r="I45" i="49" s="1"/>
  <c r="I56" i="49" s="1"/>
  <c r="I67" i="49" s="1"/>
  <c r="I78" i="49" s="1"/>
  <c r="I89" i="49" s="1"/>
  <c r="I100" i="49" s="1"/>
  <c r="I111" i="49" s="1"/>
  <c r="I20" i="49"/>
  <c r="I31" i="49" s="1"/>
  <c r="I42" i="49" s="1"/>
  <c r="I53" i="49" s="1"/>
  <c r="I64" i="49" s="1"/>
  <c r="I75" i="49" s="1"/>
  <c r="I86" i="49" s="1"/>
  <c r="I97" i="49" s="1"/>
  <c r="I108" i="49" s="1"/>
  <c r="I21" i="49"/>
  <c r="I32" i="49" s="1"/>
  <c r="I43" i="49" s="1"/>
  <c r="I54" i="49" s="1"/>
  <c r="I65" i="49" s="1"/>
  <c r="I76" i="49" s="1"/>
  <c r="I87" i="49" s="1"/>
  <c r="I98" i="49" s="1"/>
  <c r="I109" i="49" s="1"/>
  <c r="I22" i="49"/>
  <c r="I33" i="49" s="1"/>
  <c r="I44" i="49" s="1"/>
  <c r="I55" i="49" s="1"/>
  <c r="I66" i="49" s="1"/>
  <c r="I77" i="49" s="1"/>
  <c r="I88" i="49" s="1"/>
  <c r="I99" i="49" s="1"/>
  <c r="I110" i="49" s="1"/>
  <c r="I19" i="49"/>
  <c r="I30" i="49" s="1"/>
  <c r="I41" i="49" s="1"/>
  <c r="I52" i="49" s="1"/>
  <c r="I63" i="49" s="1"/>
  <c r="I74" i="49" s="1"/>
  <c r="I85" i="49" s="1"/>
  <c r="I96" i="49" s="1"/>
  <c r="I107" i="49" s="1"/>
  <c r="K6" i="49"/>
  <c r="Z6" i="49" s="1"/>
  <c r="L6" i="49"/>
  <c r="AA6" i="49" s="1"/>
  <c r="M6" i="49"/>
  <c r="AB6" i="49" s="1"/>
  <c r="N6" i="49"/>
  <c r="AC6" i="49" s="1"/>
  <c r="J6" i="49"/>
  <c r="Y6" i="49" s="1"/>
  <c r="D95" i="49" l="1"/>
  <c r="D96" i="49"/>
  <c r="D97" i="49"/>
  <c r="D99" i="49"/>
  <c r="D100" i="49"/>
  <c r="D101" i="49"/>
  <c r="D102" i="49"/>
  <c r="D105" i="49"/>
  <c r="D106" i="49"/>
  <c r="D107" i="49"/>
  <c r="D108" i="49"/>
  <c r="D110" i="49"/>
  <c r="D111" i="49"/>
  <c r="D114" i="49"/>
  <c r="D115" i="49"/>
  <c r="D118" i="49"/>
  <c r="D94" i="49"/>
  <c r="D66" i="49"/>
  <c r="D67" i="49"/>
  <c r="D68" i="49"/>
  <c r="D70" i="49"/>
  <c r="D71" i="49"/>
  <c r="D72" i="49"/>
  <c r="D73" i="49"/>
  <c r="D76" i="49"/>
  <c r="D77" i="49"/>
  <c r="D78" i="49"/>
  <c r="D79" i="49"/>
  <c r="D81" i="49"/>
  <c r="D82" i="49"/>
  <c r="D85" i="49"/>
  <c r="D86" i="49"/>
  <c r="D89" i="49"/>
  <c r="D65" i="49"/>
  <c r="D37" i="49"/>
  <c r="D38" i="49"/>
  <c r="D39" i="49"/>
  <c r="D41" i="49"/>
  <c r="D42" i="49"/>
  <c r="D43" i="49"/>
  <c r="D44" i="49"/>
  <c r="D47" i="49"/>
  <c r="D48" i="49"/>
  <c r="D49" i="49"/>
  <c r="D50" i="49"/>
  <c r="F50" i="49" s="1"/>
  <c r="D52" i="49"/>
  <c r="D53" i="49"/>
  <c r="D56" i="49"/>
  <c r="D57" i="49"/>
  <c r="D60" i="49"/>
  <c r="F60" i="49" s="1"/>
  <c r="C93" i="49"/>
  <c r="C180" i="49" s="1"/>
  <c r="C267" i="49" s="1"/>
  <c r="D93" i="49"/>
  <c r="D180" i="49" s="1"/>
  <c r="D267" i="49" s="1"/>
  <c r="E93" i="49"/>
  <c r="E180" i="49" s="1"/>
  <c r="E267" i="49" s="1"/>
  <c r="F93" i="49"/>
  <c r="F180" i="49" s="1"/>
  <c r="F267" i="49" s="1"/>
  <c r="B93" i="49"/>
  <c r="B180" i="49" s="1"/>
  <c r="B267" i="49" s="1"/>
  <c r="C64" i="49"/>
  <c r="C151" i="49" s="1"/>
  <c r="C238" i="49" s="1"/>
  <c r="D64" i="49"/>
  <c r="D151" i="49" s="1"/>
  <c r="D238" i="49" s="1"/>
  <c r="E64" i="49"/>
  <c r="E151" i="49" s="1"/>
  <c r="E238" i="49" s="1"/>
  <c r="F64" i="49"/>
  <c r="F151" i="49" s="1"/>
  <c r="F238" i="49" s="1"/>
  <c r="B64" i="49"/>
  <c r="B151" i="49" s="1"/>
  <c r="B238" i="49" s="1"/>
  <c r="C35" i="49"/>
  <c r="D35" i="49"/>
  <c r="E35" i="49"/>
  <c r="F35" i="49"/>
  <c r="B35" i="49"/>
  <c r="A33" i="49"/>
  <c r="L41" i="49" l="1" a="1"/>
  <c r="L42" i="49" s="1"/>
  <c r="L19" i="49" a="1"/>
  <c r="L30" i="49" a="1"/>
  <c r="D7" i="49"/>
  <c r="D91" i="49"/>
  <c r="D62" i="49"/>
  <c r="D120" i="49"/>
  <c r="F122" i="49"/>
  <c r="F209" i="49" s="1"/>
  <c r="U35" i="49"/>
  <c r="D122" i="49"/>
  <c r="D209" i="49" s="1"/>
  <c r="S35" i="49"/>
  <c r="E122" i="49"/>
  <c r="E209" i="49" s="1"/>
  <c r="T35" i="49"/>
  <c r="D13" i="49"/>
  <c r="D12" i="49"/>
  <c r="D31" i="49"/>
  <c r="C122" i="49"/>
  <c r="C209" i="49" s="1"/>
  <c r="R35" i="49"/>
  <c r="B122" i="49"/>
  <c r="B209" i="49" s="1"/>
  <c r="Q35" i="49"/>
  <c r="D27" i="49"/>
  <c r="D8" i="49"/>
  <c r="D24" i="49"/>
  <c r="D9" i="49"/>
  <c r="D21" i="49"/>
  <c r="D23" i="49"/>
  <c r="D10" i="49"/>
  <c r="D28" i="49"/>
  <c r="D18" i="49"/>
  <c r="D20" i="49"/>
  <c r="D19" i="49"/>
  <c r="D15" i="49"/>
  <c r="D14" i="49"/>
  <c r="G33" i="49"/>
  <c r="F101" i="49"/>
  <c r="A120" i="49"/>
  <c r="A207" i="49" s="1"/>
  <c r="A294" i="49" s="1"/>
  <c r="F82" i="49"/>
  <c r="F79" i="49"/>
  <c r="F76" i="49"/>
  <c r="F96" i="49"/>
  <c r="F86" i="49"/>
  <c r="F41" i="49"/>
  <c r="F57" i="49"/>
  <c r="F56" i="49"/>
  <c r="F52" i="49"/>
  <c r="F49" i="49"/>
  <c r="F48" i="49"/>
  <c r="F44" i="49"/>
  <c r="F38" i="49"/>
  <c r="F72" i="49"/>
  <c r="F70" i="49"/>
  <c r="F67" i="49"/>
  <c r="F115" i="49"/>
  <c r="F111" i="49"/>
  <c r="F108" i="49"/>
  <c r="F106" i="49"/>
  <c r="F99" i="49"/>
  <c r="F43" i="49"/>
  <c r="F42" i="49"/>
  <c r="F89" i="49"/>
  <c r="F85" i="49"/>
  <c r="F81" i="49"/>
  <c r="F78" i="49"/>
  <c r="F77" i="49"/>
  <c r="F95" i="49"/>
  <c r="F105" i="49"/>
  <c r="F102" i="49"/>
  <c r="F97" i="49"/>
  <c r="F53" i="49"/>
  <c r="F47" i="49"/>
  <c r="F39" i="49"/>
  <c r="F73" i="49"/>
  <c r="F71" i="49"/>
  <c r="F68" i="49"/>
  <c r="F66" i="49"/>
  <c r="F118" i="49"/>
  <c r="F114" i="49"/>
  <c r="F110" i="49"/>
  <c r="F107" i="49"/>
  <c r="F100" i="49"/>
  <c r="A36" i="49"/>
  <c r="A123" i="49" s="1"/>
  <c r="A210" i="49" s="1"/>
  <c r="A94" i="49"/>
  <c r="A181" i="49" s="1"/>
  <c r="A268" i="49" s="1"/>
  <c r="A91" i="49"/>
  <c r="A178" i="49" s="1"/>
  <c r="A265" i="49" s="1"/>
  <c r="A65" i="49"/>
  <c r="A152" i="49" s="1"/>
  <c r="A239" i="49" s="1"/>
  <c r="A62" i="49"/>
  <c r="A149" i="49" s="1"/>
  <c r="A236" i="49" s="1"/>
  <c r="F37" i="49"/>
  <c r="F94" i="49"/>
  <c r="F65" i="49"/>
  <c r="F36" i="49"/>
  <c r="N19" i="49" l="1" a="1"/>
  <c r="N27" i="49" s="1"/>
  <c r="N30" i="49" a="1"/>
  <c r="N37" i="49" s="1"/>
  <c r="L46" i="49"/>
  <c r="L43" i="49"/>
  <c r="N41" i="49" a="1"/>
  <c r="N49" i="49" s="1"/>
  <c r="L44" i="49"/>
  <c r="L47" i="49"/>
  <c r="L41" i="49"/>
  <c r="L49" i="49"/>
  <c r="L48" i="49"/>
  <c r="L45" i="49"/>
  <c r="L8" i="49" a="1"/>
  <c r="L30" i="49"/>
  <c r="L35" i="49"/>
  <c r="L37" i="49"/>
  <c r="L33" i="49"/>
  <c r="L34" i="49"/>
  <c r="L32" i="49"/>
  <c r="L31" i="49"/>
  <c r="L38" i="49"/>
  <c r="L36" i="49"/>
  <c r="L19" i="49"/>
  <c r="L26" i="49"/>
  <c r="L20" i="49"/>
  <c r="L27" i="49"/>
  <c r="L25" i="49"/>
  <c r="L24" i="49"/>
  <c r="L23" i="49"/>
  <c r="L22" i="49"/>
  <c r="L21" i="49"/>
  <c r="F91" i="49"/>
  <c r="F120" i="49"/>
  <c r="F62" i="49"/>
  <c r="D33" i="49"/>
  <c r="F9" i="49"/>
  <c r="F10" i="49"/>
  <c r="F18" i="49"/>
  <c r="F13" i="49"/>
  <c r="F19" i="49"/>
  <c r="F24" i="49"/>
  <c r="F14" i="49"/>
  <c r="F21" i="49"/>
  <c r="F31" i="49"/>
  <c r="F20" i="49"/>
  <c r="F8" i="49"/>
  <c r="F23" i="49"/>
  <c r="F27" i="49"/>
  <c r="F15" i="49"/>
  <c r="F7" i="49"/>
  <c r="F28" i="49"/>
  <c r="F12" i="49"/>
  <c r="N19" i="49" l="1"/>
  <c r="N20" i="49"/>
  <c r="N21" i="49"/>
  <c r="N45" i="49"/>
  <c r="N38" i="49"/>
  <c r="N26" i="49"/>
  <c r="N24" i="49"/>
  <c r="N22" i="49"/>
  <c r="N30" i="49"/>
  <c r="N33" i="49"/>
  <c r="N31" i="49"/>
  <c r="N34" i="49"/>
  <c r="N23" i="49"/>
  <c r="N36" i="49"/>
  <c r="N32" i="49"/>
  <c r="N25" i="49"/>
  <c r="N35" i="49"/>
  <c r="N48" i="49"/>
  <c r="N42" i="49"/>
  <c r="N47" i="49"/>
  <c r="N43" i="49"/>
  <c r="N44" i="49"/>
  <c r="N41" i="49"/>
  <c r="N46" i="49"/>
  <c r="L8" i="49"/>
  <c r="L15" i="49"/>
  <c r="L16" i="49"/>
  <c r="L13" i="49"/>
  <c r="L14" i="49"/>
  <c r="L12" i="49"/>
  <c r="L11" i="49"/>
  <c r="L10" i="49"/>
  <c r="L9" i="49"/>
  <c r="N8" i="49" a="1"/>
  <c r="F33" i="49"/>
  <c r="N8" i="49" l="1"/>
  <c r="N15" i="49"/>
  <c r="N10" i="49"/>
  <c r="N9" i="49"/>
  <c r="N11" i="49"/>
  <c r="N14" i="49"/>
  <c r="N16" i="49"/>
  <c r="N13" i="49"/>
  <c r="N12" i="49"/>
  <c r="A17" i="52"/>
  <c r="A83" i="52" s="1"/>
  <c r="A16" i="52"/>
  <c r="A70" i="52" s="1"/>
  <c r="A15" i="52"/>
  <c r="A81" i="52" s="1"/>
  <c r="A14" i="52"/>
  <c r="A26" i="52" s="1"/>
  <c r="A13" i="52"/>
  <c r="A79" i="52" s="1"/>
  <c r="A12" i="52"/>
  <c r="A54" i="52" s="1"/>
  <c r="A11" i="52"/>
  <c r="A77" i="52" s="1"/>
  <c r="A10" i="52"/>
  <c r="A52" i="52" s="1"/>
  <c r="A9" i="52"/>
  <c r="A75" i="52" s="1"/>
  <c r="A8" i="52"/>
  <c r="A62" i="52" s="1"/>
  <c r="N88" i="52"/>
  <c r="K88" i="52"/>
  <c r="G88" i="52"/>
  <c r="B4" i="52"/>
  <c r="C88" i="52" s="1"/>
  <c r="D89" i="52"/>
  <c r="P89" i="52" s="1"/>
  <c r="AB89" i="52" s="1"/>
  <c r="AN89" i="52" s="1"/>
  <c r="C89" i="52"/>
  <c r="O89" i="52" s="1"/>
  <c r="AA89" i="52" s="1"/>
  <c r="AM89" i="52" s="1"/>
  <c r="B89" i="52"/>
  <c r="N89" i="52" s="1"/>
  <c r="Z89" i="52" s="1"/>
  <c r="AL89" i="52" s="1"/>
  <c r="D47" i="52"/>
  <c r="P47" i="52" s="1"/>
  <c r="AB47" i="52" s="1"/>
  <c r="AN47" i="52" s="1"/>
  <c r="C47" i="52"/>
  <c r="O47" i="52" s="1"/>
  <c r="AA47" i="52" s="1"/>
  <c r="AM47" i="52" s="1"/>
  <c r="B47" i="52"/>
  <c r="N47" i="52" s="1"/>
  <c r="Z47" i="52" s="1"/>
  <c r="AL47" i="52" s="1"/>
  <c r="P5" i="52"/>
  <c r="AB5" i="52" s="1"/>
  <c r="AN5" i="52" s="1"/>
  <c r="O5" i="52"/>
  <c r="AA5" i="52" s="1"/>
  <c r="AM5" i="52" s="1"/>
  <c r="L5" i="52"/>
  <c r="X5" i="52" s="1"/>
  <c r="AJ5" i="52" s="1"/>
  <c r="K5" i="52"/>
  <c r="W5" i="52" s="1"/>
  <c r="AI5" i="52" s="1"/>
  <c r="J5" i="52"/>
  <c r="V5" i="52" s="1"/>
  <c r="AH5" i="52" s="1"/>
  <c r="H5" i="52"/>
  <c r="T5" i="52" s="1"/>
  <c r="AF5" i="52" s="1"/>
  <c r="G5" i="52"/>
  <c r="S5" i="52" s="1"/>
  <c r="AE5" i="52" s="1"/>
  <c r="F5" i="52"/>
  <c r="R5" i="52" s="1"/>
  <c r="AD5" i="52" s="1"/>
  <c r="R38" i="21"/>
  <c r="S38" i="21"/>
  <c r="T38" i="21"/>
  <c r="U38" i="21"/>
  <c r="V38" i="21"/>
  <c r="W38" i="21"/>
  <c r="X38" i="21"/>
  <c r="Y38" i="21"/>
  <c r="Z38" i="21"/>
  <c r="AA38" i="21"/>
  <c r="AB38" i="21"/>
  <c r="AC38" i="21"/>
  <c r="AE38" i="21"/>
  <c r="AF38" i="21"/>
  <c r="AG38" i="21"/>
  <c r="A39" i="16"/>
  <c r="F90" i="16"/>
  <c r="E90" i="16"/>
  <c r="D90" i="16"/>
  <c r="C90" i="16"/>
  <c r="B90" i="16"/>
  <c r="F88" i="16"/>
  <c r="E88" i="16"/>
  <c r="D88" i="16"/>
  <c r="C88" i="16"/>
  <c r="B88" i="16"/>
  <c r="F87" i="16"/>
  <c r="E87" i="16"/>
  <c r="D87" i="16"/>
  <c r="C87" i="16"/>
  <c r="B87" i="16"/>
  <c r="F86" i="16"/>
  <c r="E86" i="16"/>
  <c r="D86" i="16"/>
  <c r="C86" i="16"/>
  <c r="F85" i="16"/>
  <c r="E85" i="16"/>
  <c r="D85" i="16"/>
  <c r="C85" i="16"/>
  <c r="B85" i="16"/>
  <c r="F84" i="16"/>
  <c r="E84" i="16"/>
  <c r="D84" i="16"/>
  <c r="C84" i="16"/>
  <c r="B84" i="16"/>
  <c r="F83" i="16"/>
  <c r="E83" i="16"/>
  <c r="D83" i="16"/>
  <c r="C83" i="16"/>
  <c r="B83" i="16"/>
  <c r="F82" i="16"/>
  <c r="E82" i="16"/>
  <c r="C82" i="16"/>
  <c r="B82" i="16"/>
  <c r="F81" i="16"/>
  <c r="E81" i="16"/>
  <c r="D81" i="16"/>
  <c r="C81" i="16"/>
  <c r="B81" i="16"/>
  <c r="F80" i="16"/>
  <c r="E80" i="16"/>
  <c r="D80" i="16"/>
  <c r="C80" i="16"/>
  <c r="A90" i="16"/>
  <c r="A81" i="16"/>
  <c r="A82" i="16"/>
  <c r="A83" i="16"/>
  <c r="A84" i="16"/>
  <c r="A85" i="16"/>
  <c r="A86" i="16"/>
  <c r="A87" i="16"/>
  <c r="A88" i="16"/>
  <c r="A80" i="16"/>
  <c r="C79" i="16"/>
  <c r="D79" i="16"/>
  <c r="E79" i="16"/>
  <c r="F79" i="16"/>
  <c r="B79" i="16"/>
  <c r="Q12" i="11"/>
  <c r="P12" i="11"/>
  <c r="O12" i="11"/>
  <c r="N12" i="11"/>
  <c r="Q10" i="11"/>
  <c r="P10" i="11"/>
  <c r="O10" i="11"/>
  <c r="N10" i="11"/>
  <c r="Q9" i="11"/>
  <c r="P9" i="11"/>
  <c r="O9" i="11"/>
  <c r="N9" i="11"/>
  <c r="Q8" i="11"/>
  <c r="P8" i="11"/>
  <c r="O8" i="11"/>
  <c r="N8" i="11"/>
  <c r="Q7" i="11"/>
  <c r="P7" i="11"/>
  <c r="O7" i="11"/>
  <c r="N7" i="11"/>
  <c r="Q6" i="11"/>
  <c r="P6" i="11"/>
  <c r="O6" i="11"/>
  <c r="N6" i="11"/>
  <c r="Q5" i="11"/>
  <c r="P5" i="11"/>
  <c r="O5" i="11"/>
  <c r="N5" i="11"/>
  <c r="L12" i="11"/>
  <c r="L6" i="11"/>
  <c r="L7" i="11"/>
  <c r="L8" i="11"/>
  <c r="L9" i="11"/>
  <c r="L10" i="11"/>
  <c r="L5" i="11"/>
  <c r="N4" i="11"/>
  <c r="O4" i="11"/>
  <c r="P4" i="11"/>
  <c r="Q4" i="11"/>
  <c r="F5" i="15"/>
  <c r="F5" i="18"/>
  <c r="D5" i="18"/>
  <c r="F11" i="18"/>
  <c r="D11" i="18"/>
  <c r="F17" i="18"/>
  <c r="D17" i="18"/>
  <c r="F24" i="18"/>
  <c r="D24" i="18"/>
  <c r="F28" i="18"/>
  <c r="D28" i="18"/>
  <c r="F34" i="18"/>
  <c r="L89" i="18" s="1"/>
  <c r="D34" i="18"/>
  <c r="J89" i="18" s="1"/>
  <c r="F39" i="18"/>
  <c r="D39" i="18"/>
  <c r="F43" i="18"/>
  <c r="D43" i="18"/>
  <c r="F47" i="18"/>
  <c r="D47" i="18"/>
  <c r="D5" i="15"/>
  <c r="D7" i="15"/>
  <c r="J54" i="15" s="1"/>
  <c r="F7" i="15"/>
  <c r="D8" i="15"/>
  <c r="F8" i="15"/>
  <c r="D9" i="15"/>
  <c r="F9" i="15"/>
  <c r="D10" i="15"/>
  <c r="F10" i="15"/>
  <c r="D13" i="15"/>
  <c r="F13" i="15"/>
  <c r="D14" i="15"/>
  <c r="F14" i="15"/>
  <c r="D15" i="15"/>
  <c r="F15" i="15"/>
  <c r="D16" i="15"/>
  <c r="F16" i="15"/>
  <c r="D18" i="15"/>
  <c r="F18" i="15"/>
  <c r="D20" i="15"/>
  <c r="F20" i="15"/>
  <c r="D25" i="15"/>
  <c r="F25" i="15"/>
  <c r="D35" i="15"/>
  <c r="F35" i="15"/>
  <c r="D40" i="15"/>
  <c r="F40" i="15"/>
  <c r="M2" i="51"/>
  <c r="O2" i="51"/>
  <c r="Q5" i="31"/>
  <c r="A29" i="44"/>
  <c r="A43" i="44" s="1"/>
  <c r="A57" i="44" s="1"/>
  <c r="A21" i="44"/>
  <c r="A35" i="44" s="1"/>
  <c r="A49" i="44" s="1"/>
  <c r="A20" i="44"/>
  <c r="A34" i="44" s="1"/>
  <c r="A48" i="44" s="1"/>
  <c r="A19" i="44"/>
  <c r="A33" i="44" s="1"/>
  <c r="A47" i="44" s="1"/>
  <c r="D44" i="11"/>
  <c r="O15" i="31"/>
  <c r="O14" i="31"/>
  <c r="O13" i="31"/>
  <c r="O12" i="31"/>
  <c r="O11" i="31"/>
  <c r="O10" i="31"/>
  <c r="O9" i="31"/>
  <c r="O8" i="31"/>
  <c r="O7" i="31"/>
  <c r="P8" i="31"/>
  <c r="P9" i="31"/>
  <c r="P10" i="31"/>
  <c r="P11" i="31"/>
  <c r="P13" i="31"/>
  <c r="I43" i="16"/>
  <c r="J43" i="16"/>
  <c r="I44" i="16"/>
  <c r="J44" i="16"/>
  <c r="B5" i="18"/>
  <c r="A1" i="18" s="1"/>
  <c r="I23" i="16"/>
  <c r="J23" i="16"/>
  <c r="I24" i="16"/>
  <c r="J24" i="16"/>
  <c r="D44" i="16"/>
  <c r="E5" i="18"/>
  <c r="E11" i="18"/>
  <c r="C5" i="18"/>
  <c r="C11" i="18"/>
  <c r="E17" i="18"/>
  <c r="C17" i="18"/>
  <c r="E24" i="18"/>
  <c r="C24" i="18"/>
  <c r="E28" i="18"/>
  <c r="C28" i="18"/>
  <c r="E34" i="18"/>
  <c r="K89" i="18" s="1"/>
  <c r="C34" i="18"/>
  <c r="I89" i="18" s="1"/>
  <c r="E39" i="18"/>
  <c r="C39" i="18"/>
  <c r="E43" i="18"/>
  <c r="C43" i="18"/>
  <c r="E47" i="18"/>
  <c r="C47" i="18"/>
  <c r="J26" i="18"/>
  <c r="A11" i="18"/>
  <c r="A17" i="18"/>
  <c r="A24" i="18"/>
  <c r="A28" i="18"/>
  <c r="A34" i="18"/>
  <c r="A39" i="18"/>
  <c r="A43" i="18"/>
  <c r="A47" i="18"/>
  <c r="D64" i="12"/>
  <c r="E64" i="12"/>
  <c r="D65" i="12"/>
  <c r="E65" i="12"/>
  <c r="D66" i="12"/>
  <c r="E66" i="12"/>
  <c r="D67" i="12"/>
  <c r="E67" i="12"/>
  <c r="D68" i="12"/>
  <c r="E68" i="12"/>
  <c r="D69" i="12"/>
  <c r="E69" i="12"/>
  <c r="D70" i="12"/>
  <c r="E70" i="12"/>
  <c r="D71" i="12"/>
  <c r="E71" i="12"/>
  <c r="D72" i="12"/>
  <c r="E72" i="12"/>
  <c r="D73" i="12"/>
  <c r="E73" i="12"/>
  <c r="D74" i="12"/>
  <c r="E74" i="12"/>
  <c r="D75" i="12"/>
  <c r="E75" i="12"/>
  <c r="D76" i="12"/>
  <c r="E76" i="12"/>
  <c r="D77" i="12"/>
  <c r="E77" i="12"/>
  <c r="D78" i="12"/>
  <c r="E78" i="12"/>
  <c r="D86" i="12"/>
  <c r="E86" i="12"/>
  <c r="D63" i="12"/>
  <c r="E63" i="12"/>
  <c r="E5" i="15"/>
  <c r="E40" i="15"/>
  <c r="K83" i="15" s="1"/>
  <c r="C5" i="15"/>
  <c r="C40" i="15"/>
  <c r="I83" i="15" s="1"/>
  <c r="E35" i="15"/>
  <c r="C35" i="15"/>
  <c r="E25" i="15"/>
  <c r="C25" i="15"/>
  <c r="E20" i="15"/>
  <c r="C20" i="15"/>
  <c r="E18" i="15"/>
  <c r="C18" i="15"/>
  <c r="E16" i="15"/>
  <c r="C16" i="15"/>
  <c r="E15" i="15"/>
  <c r="C15" i="15"/>
  <c r="E14" i="15"/>
  <c r="C14" i="15"/>
  <c r="E13" i="15"/>
  <c r="C13" i="15"/>
  <c r="E10" i="15"/>
  <c r="C10" i="15"/>
  <c r="E9" i="15"/>
  <c r="C9" i="15"/>
  <c r="E8" i="15"/>
  <c r="C8" i="15"/>
  <c r="C7" i="15"/>
  <c r="I54" i="15" s="1"/>
  <c r="E7" i="15"/>
  <c r="K54" i="15" s="1"/>
  <c r="D7" i="18"/>
  <c r="F7" i="18"/>
  <c r="C7" i="18"/>
  <c r="E7" i="18"/>
  <c r="B47" i="18"/>
  <c r="B43" i="18"/>
  <c r="B39" i="18"/>
  <c r="B34" i="18"/>
  <c r="H89" i="18" s="1"/>
  <c r="B28" i="18"/>
  <c r="B24" i="18"/>
  <c r="B17" i="18"/>
  <c r="B11" i="18"/>
  <c r="B7" i="18"/>
  <c r="E44" i="16"/>
  <c r="B44" i="16"/>
  <c r="L41" i="21"/>
  <c r="A7" i="15"/>
  <c r="A89" i="15" s="1"/>
  <c r="A13" i="15"/>
  <c r="A95" i="15" s="1"/>
  <c r="A18" i="15"/>
  <c r="A100" i="15" s="1"/>
  <c r="A20" i="15"/>
  <c r="A102" i="15" s="1"/>
  <c r="A25" i="15"/>
  <c r="A107" i="15" s="1"/>
  <c r="A35" i="15"/>
  <c r="A117" i="15" s="1"/>
  <c r="L43" i="19"/>
  <c r="A8" i="15"/>
  <c r="A90" i="15" s="1"/>
  <c r="A9" i="15"/>
  <c r="A91" i="15" s="1"/>
  <c r="A10" i="15"/>
  <c r="A92" i="15" s="1"/>
  <c r="A14" i="15"/>
  <c r="A96" i="15" s="1"/>
  <c r="A15" i="15"/>
  <c r="A97" i="15" s="1"/>
  <c r="A16" i="15"/>
  <c r="A98" i="15" s="1"/>
  <c r="A40" i="15"/>
  <c r="A122" i="15" s="1"/>
  <c r="A7" i="18"/>
  <c r="L52" i="76" s="1"/>
  <c r="E44" i="11"/>
  <c r="B65" i="16"/>
  <c r="D65" i="16"/>
  <c r="B66" i="16"/>
  <c r="D66" i="16"/>
  <c r="E66" i="16"/>
  <c r="B67" i="16"/>
  <c r="D67" i="16"/>
  <c r="E67" i="16"/>
  <c r="B68" i="16"/>
  <c r="D68" i="16"/>
  <c r="E68" i="16"/>
  <c r="B69" i="16"/>
  <c r="D69" i="16"/>
  <c r="E69" i="16"/>
  <c r="B70" i="16"/>
  <c r="D70" i="16"/>
  <c r="E70" i="16"/>
  <c r="B71" i="16"/>
  <c r="D71" i="16"/>
  <c r="E71" i="16"/>
  <c r="B72" i="16"/>
  <c r="D72" i="16"/>
  <c r="E72" i="16"/>
  <c r="B74" i="16"/>
  <c r="D74" i="16"/>
  <c r="E74" i="16"/>
  <c r="I82" i="16"/>
  <c r="N41" i="75" s="1"/>
  <c r="I83" i="16"/>
  <c r="N34" i="75" s="1"/>
  <c r="I84" i="16"/>
  <c r="N30" i="75" s="1"/>
  <c r="I85" i="16"/>
  <c r="N24" i="75" s="1"/>
  <c r="I86" i="16"/>
  <c r="N19" i="75" s="1"/>
  <c r="I87" i="16"/>
  <c r="N15" i="75" s="1"/>
  <c r="I88" i="16"/>
  <c r="N11" i="75" s="1"/>
  <c r="I90" i="16"/>
  <c r="D46" i="16"/>
  <c r="E46" i="16"/>
  <c r="D47" i="16"/>
  <c r="E47" i="16"/>
  <c r="D48" i="16"/>
  <c r="E48" i="16"/>
  <c r="D49" i="16"/>
  <c r="E49" i="16"/>
  <c r="D50" i="16"/>
  <c r="E50" i="16"/>
  <c r="D51" i="16"/>
  <c r="E51" i="16"/>
  <c r="D52" i="16"/>
  <c r="E52" i="16"/>
  <c r="D53" i="16"/>
  <c r="E53" i="16"/>
  <c r="D54" i="16"/>
  <c r="E54" i="16"/>
  <c r="D56" i="16"/>
  <c r="E56" i="16"/>
  <c r="B47" i="16"/>
  <c r="B48" i="16"/>
  <c r="B49" i="16"/>
  <c r="B50" i="16"/>
  <c r="B51" i="16"/>
  <c r="B52" i="16"/>
  <c r="B53" i="16"/>
  <c r="B54" i="16"/>
  <c r="B56" i="16"/>
  <c r="C26" i="16"/>
  <c r="D26" i="16"/>
  <c r="E26" i="16"/>
  <c r="F26" i="16"/>
  <c r="C27" i="16"/>
  <c r="D27" i="16"/>
  <c r="E27" i="16"/>
  <c r="F27" i="16"/>
  <c r="C28" i="16"/>
  <c r="D28" i="16"/>
  <c r="E28" i="16"/>
  <c r="F28" i="16"/>
  <c r="C29" i="16"/>
  <c r="D29" i="16"/>
  <c r="E29" i="16"/>
  <c r="F29" i="16"/>
  <c r="C30" i="16"/>
  <c r="D30" i="16"/>
  <c r="E30" i="16"/>
  <c r="F30" i="16"/>
  <c r="C31" i="16"/>
  <c r="D31" i="16"/>
  <c r="E31" i="16"/>
  <c r="F31" i="16"/>
  <c r="C32" i="16"/>
  <c r="D32" i="16"/>
  <c r="E32" i="16"/>
  <c r="F32" i="16"/>
  <c r="C33" i="16"/>
  <c r="E33" i="16"/>
  <c r="F33" i="16"/>
  <c r="C34" i="16"/>
  <c r="D34" i="16"/>
  <c r="E34" i="16"/>
  <c r="F34" i="16"/>
  <c r="C36" i="16"/>
  <c r="D36" i="16"/>
  <c r="E36" i="16"/>
  <c r="F36" i="16"/>
  <c r="B27" i="16"/>
  <c r="B28" i="16"/>
  <c r="B29" i="16"/>
  <c r="B30" i="16"/>
  <c r="B31" i="16"/>
  <c r="B32" i="16"/>
  <c r="B33" i="16"/>
  <c r="B34" i="16"/>
  <c r="B36" i="16"/>
  <c r="B26" i="16"/>
  <c r="A74" i="16"/>
  <c r="A72" i="16"/>
  <c r="A71" i="16"/>
  <c r="A70" i="16"/>
  <c r="A69" i="16"/>
  <c r="A68" i="16"/>
  <c r="A67" i="16"/>
  <c r="A66" i="16"/>
  <c r="A65" i="16"/>
  <c r="A64" i="16"/>
  <c r="A56" i="16"/>
  <c r="A54" i="16"/>
  <c r="A53" i="16"/>
  <c r="A52" i="16"/>
  <c r="A51" i="16"/>
  <c r="A50" i="16"/>
  <c r="A49" i="16"/>
  <c r="A48" i="16"/>
  <c r="A47" i="16"/>
  <c r="A46" i="16"/>
  <c r="A36" i="16"/>
  <c r="A34" i="16"/>
  <c r="A33" i="16"/>
  <c r="A32" i="16"/>
  <c r="B24" i="16"/>
  <c r="C24" i="16"/>
  <c r="D24" i="16"/>
  <c r="E24" i="16"/>
  <c r="F24" i="16"/>
  <c r="A26" i="16"/>
  <c r="A27" i="16"/>
  <c r="A28" i="16"/>
  <c r="A29" i="16"/>
  <c r="A30" i="16"/>
  <c r="A31" i="16"/>
  <c r="B62" i="16"/>
  <c r="D62" i="16"/>
  <c r="E62" i="16"/>
  <c r="B64" i="16"/>
  <c r="D64" i="16"/>
  <c r="E64" i="16"/>
  <c r="D90" i="12"/>
  <c r="E90" i="12"/>
  <c r="D91" i="12"/>
  <c r="E91" i="12"/>
  <c r="D92" i="12"/>
  <c r="E92" i="12"/>
  <c r="D93" i="12"/>
  <c r="E93" i="12"/>
  <c r="D94" i="12"/>
  <c r="E94" i="12"/>
  <c r="D95" i="12"/>
  <c r="E95" i="12"/>
  <c r="D96" i="12"/>
  <c r="E96" i="12"/>
  <c r="D97" i="12"/>
  <c r="E97" i="12"/>
  <c r="D98" i="12"/>
  <c r="E98" i="12"/>
  <c r="D99" i="12"/>
  <c r="E99" i="12"/>
  <c r="D100" i="12"/>
  <c r="E100" i="12"/>
  <c r="D101" i="12"/>
  <c r="E101" i="12"/>
  <c r="D102" i="12"/>
  <c r="E102" i="12"/>
  <c r="D103" i="12"/>
  <c r="E103" i="12"/>
  <c r="D104" i="12"/>
  <c r="E104" i="12"/>
  <c r="D105" i="12"/>
  <c r="E105" i="12"/>
  <c r="D113" i="12"/>
  <c r="E113" i="12"/>
  <c r="A113" i="12"/>
  <c r="A105" i="12"/>
  <c r="A104" i="12"/>
  <c r="A103" i="12"/>
  <c r="A102" i="12"/>
  <c r="A101" i="12"/>
  <c r="A100" i="12"/>
  <c r="A99" i="12"/>
  <c r="A98" i="12"/>
  <c r="A97" i="12"/>
  <c r="A96" i="12"/>
  <c r="A95" i="12"/>
  <c r="A94" i="12"/>
  <c r="A93" i="12"/>
  <c r="A92" i="12"/>
  <c r="A91" i="12"/>
  <c r="A90" i="12"/>
  <c r="E89" i="12"/>
  <c r="D89" i="12"/>
  <c r="A86" i="12"/>
  <c r="A78" i="12"/>
  <c r="A77" i="12"/>
  <c r="A76" i="12"/>
  <c r="A75" i="12"/>
  <c r="A74" i="12"/>
  <c r="A73" i="12"/>
  <c r="A72" i="12"/>
  <c r="A71" i="12"/>
  <c r="A70" i="12"/>
  <c r="A69" i="12"/>
  <c r="A68" i="12"/>
  <c r="A67" i="12"/>
  <c r="A66" i="12"/>
  <c r="A65" i="12"/>
  <c r="A64" i="12"/>
  <c r="A63" i="12"/>
  <c r="E61" i="12"/>
  <c r="D61" i="12"/>
  <c r="C55" i="12"/>
  <c r="D55" i="12"/>
  <c r="E55" i="12"/>
  <c r="F55" i="12"/>
  <c r="A55" i="12"/>
  <c r="A46" i="12"/>
  <c r="A45" i="12"/>
  <c r="A44" i="12"/>
  <c r="A43" i="12"/>
  <c r="A42" i="12"/>
  <c r="A41" i="12"/>
  <c r="A40" i="12"/>
  <c r="A39" i="12"/>
  <c r="A38" i="12"/>
  <c r="A37" i="12"/>
  <c r="A36" i="12"/>
  <c r="A35" i="12"/>
  <c r="A34" i="12"/>
  <c r="A33" i="12"/>
  <c r="A32" i="12"/>
  <c r="F31" i="12"/>
  <c r="E31" i="12"/>
  <c r="D31" i="12"/>
  <c r="C31" i="12"/>
  <c r="S6" i="11"/>
  <c r="S7" i="11"/>
  <c r="S8" i="11"/>
  <c r="S9" i="11"/>
  <c r="S10" i="11"/>
  <c r="S12" i="11"/>
  <c r="D34" i="11"/>
  <c r="E34" i="11"/>
  <c r="D35" i="11"/>
  <c r="E35" i="11"/>
  <c r="D36" i="11"/>
  <c r="E36" i="11"/>
  <c r="D37" i="11"/>
  <c r="E37" i="11"/>
  <c r="D38" i="11"/>
  <c r="E38" i="11"/>
  <c r="D39" i="11"/>
  <c r="E39" i="11"/>
  <c r="D41" i="11"/>
  <c r="E41" i="11"/>
  <c r="O265" i="21"/>
  <c r="O264" i="21"/>
  <c r="O263" i="21"/>
  <c r="O262" i="21"/>
  <c r="O261" i="21"/>
  <c r="O266" i="21"/>
  <c r="D45" i="11"/>
  <c r="E45" i="11"/>
  <c r="D46" i="11"/>
  <c r="E46" i="11"/>
  <c r="D47" i="11"/>
  <c r="E47" i="11"/>
  <c r="D48" i="11"/>
  <c r="E48" i="11"/>
  <c r="D49" i="11"/>
  <c r="E49" i="11"/>
  <c r="D50" i="11"/>
  <c r="E50" i="11"/>
  <c r="D52" i="11"/>
  <c r="E52" i="11"/>
  <c r="A52" i="11"/>
  <c r="A50" i="11"/>
  <c r="A49" i="11"/>
  <c r="A48" i="11"/>
  <c r="A47" i="11"/>
  <c r="A46" i="11"/>
  <c r="A45" i="11"/>
  <c r="A41" i="11"/>
  <c r="A39" i="11"/>
  <c r="A38" i="11"/>
  <c r="A37" i="11"/>
  <c r="A36" i="11"/>
  <c r="A35" i="11"/>
  <c r="A34" i="11"/>
  <c r="A27" i="11"/>
  <c r="A25" i="11"/>
  <c r="A24" i="11"/>
  <c r="A23" i="11"/>
  <c r="A22" i="11"/>
  <c r="A21" i="11"/>
  <c r="A20" i="11"/>
  <c r="D33" i="11"/>
  <c r="E33" i="11"/>
  <c r="C19" i="11"/>
  <c r="D19" i="11"/>
  <c r="E19" i="11"/>
  <c r="F19" i="11"/>
  <c r="O230" i="21" s="1"/>
  <c r="C20" i="11"/>
  <c r="D20" i="11"/>
  <c r="N236" i="21" s="1"/>
  <c r="E20" i="11"/>
  <c r="F20" i="11"/>
  <c r="O236" i="21" s="1"/>
  <c r="C21" i="11"/>
  <c r="D21" i="11"/>
  <c r="N235" i="21" s="1"/>
  <c r="E21" i="11"/>
  <c r="F21" i="11"/>
  <c r="O235" i="21" s="1"/>
  <c r="C22" i="11"/>
  <c r="D22" i="11"/>
  <c r="N234" i="21" s="1"/>
  <c r="E22" i="11"/>
  <c r="F22" i="11"/>
  <c r="O234" i="21" s="1"/>
  <c r="C23" i="11"/>
  <c r="D23" i="11"/>
  <c r="N233" i="21" s="1"/>
  <c r="E23" i="11"/>
  <c r="F23" i="11"/>
  <c r="O233" i="21" s="1"/>
  <c r="C24" i="11"/>
  <c r="D24" i="11"/>
  <c r="N232" i="21" s="1"/>
  <c r="E24" i="11"/>
  <c r="F24" i="11"/>
  <c r="O232" i="21" s="1"/>
  <c r="C25" i="11"/>
  <c r="D25" i="11"/>
  <c r="N231" i="21" s="1"/>
  <c r="E25" i="11"/>
  <c r="F25" i="11"/>
  <c r="O231" i="21" s="1"/>
  <c r="C27" i="11"/>
  <c r="D27" i="11"/>
  <c r="E27" i="11"/>
  <c r="F27" i="11"/>
  <c r="A507" i="76" l="1"/>
  <c r="K7" i="15"/>
  <c r="L7" i="15"/>
  <c r="A51" i="51"/>
  <c r="L9" i="15"/>
  <c r="E3" i="44"/>
  <c r="D89" i="18"/>
  <c r="C89" i="18"/>
  <c r="F3" i="44"/>
  <c r="F10" i="44" s="1"/>
  <c r="E89" i="18"/>
  <c r="F89" i="18"/>
  <c r="B89" i="18"/>
  <c r="B59" i="18"/>
  <c r="L41" i="76"/>
  <c r="L88" i="76"/>
  <c r="A1" i="51"/>
  <c r="L37" i="76"/>
  <c r="L84" i="76"/>
  <c r="L32" i="76"/>
  <c r="L79" i="76"/>
  <c r="L26" i="76"/>
  <c r="L73" i="76"/>
  <c r="L22" i="76"/>
  <c r="L69" i="76"/>
  <c r="L15" i="76"/>
  <c r="L62" i="76"/>
  <c r="L45" i="76"/>
  <c r="L92" i="76"/>
  <c r="L9" i="76"/>
  <c r="L56" i="76"/>
  <c r="N230" i="21"/>
  <c r="H17" i="11"/>
  <c r="C118" i="15"/>
  <c r="N11" i="19" s="1"/>
  <c r="C113" i="15"/>
  <c r="N16" i="19" s="1"/>
  <c r="C109" i="15"/>
  <c r="N20" i="19" s="1"/>
  <c r="C104" i="15"/>
  <c r="N25" i="19" s="1"/>
  <c r="C98" i="15"/>
  <c r="N31" i="19" s="1"/>
  <c r="C93" i="15"/>
  <c r="N36" i="19" s="1"/>
  <c r="C89" i="15"/>
  <c r="N40" i="19" s="1"/>
  <c r="C122" i="15"/>
  <c r="N7" i="19" s="1"/>
  <c r="C117" i="15"/>
  <c r="N12" i="19" s="1"/>
  <c r="C112" i="15"/>
  <c r="N17" i="19" s="1"/>
  <c r="C108" i="15"/>
  <c r="N21" i="19" s="1"/>
  <c r="C103" i="15"/>
  <c r="N26" i="19" s="1"/>
  <c r="C97" i="15"/>
  <c r="N32" i="19" s="1"/>
  <c r="C92" i="15"/>
  <c r="N37" i="19" s="1"/>
  <c r="C114" i="15"/>
  <c r="N15" i="19" s="1"/>
  <c r="C105" i="15"/>
  <c r="N24" i="19" s="1"/>
  <c r="C95" i="15"/>
  <c r="N34" i="19" s="1"/>
  <c r="C120" i="15"/>
  <c r="N9" i="19" s="1"/>
  <c r="C115" i="15"/>
  <c r="N14" i="19" s="1"/>
  <c r="C111" i="15"/>
  <c r="N18" i="19" s="1"/>
  <c r="C107" i="15"/>
  <c r="N22" i="19" s="1"/>
  <c r="C102" i="15"/>
  <c r="N27" i="19" s="1"/>
  <c r="C96" i="15"/>
  <c r="N33" i="19" s="1"/>
  <c r="C91" i="15"/>
  <c r="N38" i="19" s="1"/>
  <c r="C119" i="15"/>
  <c r="N10" i="19" s="1"/>
  <c r="C110" i="15"/>
  <c r="N19" i="19" s="1"/>
  <c r="C100" i="15"/>
  <c r="N29" i="19" s="1"/>
  <c r="C90" i="15"/>
  <c r="N39" i="19" s="1"/>
  <c r="C3" i="44"/>
  <c r="L15" i="15"/>
  <c r="B3" i="44"/>
  <c r="F12" i="44"/>
  <c r="F11" i="44"/>
  <c r="A59" i="18"/>
  <c r="L51" i="75"/>
  <c r="L5" i="76"/>
  <c r="L5" i="15"/>
  <c r="F48" i="15" s="1"/>
  <c r="C87" i="15" s="1"/>
  <c r="N6" i="19" s="1"/>
  <c r="L40" i="15"/>
  <c r="L18" i="15"/>
  <c r="L13" i="15"/>
  <c r="L7" i="18"/>
  <c r="L5" i="18"/>
  <c r="F57" i="18" s="1"/>
  <c r="D3" i="44"/>
  <c r="L39" i="18"/>
  <c r="L17" i="18"/>
  <c r="L20" i="15"/>
  <c r="L14" i="15"/>
  <c r="L8" i="15"/>
  <c r="L54" i="15"/>
  <c r="L35" i="15"/>
  <c r="L16" i="15"/>
  <c r="L10" i="15"/>
  <c r="L34" i="18"/>
  <c r="L11" i="18"/>
  <c r="L25" i="15"/>
  <c r="L73" i="15"/>
  <c r="L72" i="15"/>
  <c r="L74" i="15"/>
  <c r="L76" i="15"/>
  <c r="L75" i="15"/>
  <c r="L28" i="18"/>
  <c r="J72" i="15"/>
  <c r="J74" i="15"/>
  <c r="J75" i="15"/>
  <c r="J73" i="15"/>
  <c r="J76" i="15"/>
  <c r="F53" i="15"/>
  <c r="F64" i="15"/>
  <c r="F73" i="15"/>
  <c r="F81" i="15"/>
  <c r="F76" i="15"/>
  <c r="F69" i="15"/>
  <c r="F52" i="15"/>
  <c r="F80" i="15"/>
  <c r="F54" i="15"/>
  <c r="F65" i="15"/>
  <c r="F74" i="15"/>
  <c r="F83" i="15"/>
  <c r="F68" i="15"/>
  <c r="F58" i="15"/>
  <c r="F63" i="15"/>
  <c r="F56" i="15"/>
  <c r="F66" i="15"/>
  <c r="F75" i="15"/>
  <c r="F50" i="15"/>
  <c r="F57" i="15"/>
  <c r="F72" i="15"/>
  <c r="F59" i="15"/>
  <c r="F70" i="15"/>
  <c r="F78" i="15"/>
  <c r="F51" i="15"/>
  <c r="F61" i="15"/>
  <c r="F71" i="15"/>
  <c r="F79" i="15"/>
  <c r="L47" i="18"/>
  <c r="I74" i="15"/>
  <c r="I76" i="15"/>
  <c r="I73" i="15"/>
  <c r="I72" i="15"/>
  <c r="I75" i="15"/>
  <c r="L43" i="18"/>
  <c r="L24" i="18"/>
  <c r="F63" i="18"/>
  <c r="F72" i="18"/>
  <c r="F82" i="18"/>
  <c r="F93" i="18"/>
  <c r="F59" i="18"/>
  <c r="F64" i="18"/>
  <c r="F73" i="18"/>
  <c r="F83" i="18"/>
  <c r="F95" i="18"/>
  <c r="F65" i="18"/>
  <c r="F74" i="18"/>
  <c r="F84" i="18"/>
  <c r="F96" i="18"/>
  <c r="F66" i="18"/>
  <c r="F76" i="18"/>
  <c r="F86" i="18"/>
  <c r="F97" i="18"/>
  <c r="F67" i="18"/>
  <c r="F77" i="18"/>
  <c r="F87" i="18"/>
  <c r="F99" i="18"/>
  <c r="F69" i="18"/>
  <c r="F78" i="18"/>
  <c r="F88" i="18"/>
  <c r="F100" i="18"/>
  <c r="F60" i="18"/>
  <c r="F70" i="18"/>
  <c r="F80" i="18"/>
  <c r="F91" i="18"/>
  <c r="F101" i="18"/>
  <c r="F61" i="18"/>
  <c r="F71" i="18"/>
  <c r="F81" i="18"/>
  <c r="F92" i="18"/>
  <c r="F103" i="18"/>
  <c r="K75" i="15"/>
  <c r="K73" i="15"/>
  <c r="K72" i="15"/>
  <c r="K74" i="15"/>
  <c r="K76" i="15"/>
  <c r="A53" i="18"/>
  <c r="B101" i="18"/>
  <c r="B60" i="18"/>
  <c r="B61" i="18"/>
  <c r="D61" i="18"/>
  <c r="D60" i="18"/>
  <c r="C61" i="18"/>
  <c r="C60" i="18"/>
  <c r="E60" i="18"/>
  <c r="E61" i="18"/>
  <c r="K48" i="15"/>
  <c r="E54" i="15"/>
  <c r="E73" i="15"/>
  <c r="E75" i="15"/>
  <c r="E76" i="15"/>
  <c r="E72" i="15"/>
  <c r="E74" i="15"/>
  <c r="D74" i="15"/>
  <c r="D75" i="15"/>
  <c r="D73" i="15"/>
  <c r="D72" i="15"/>
  <c r="D54" i="15"/>
  <c r="D76" i="15"/>
  <c r="C74" i="15"/>
  <c r="C75" i="15"/>
  <c r="C72" i="15"/>
  <c r="C76" i="15"/>
  <c r="C54" i="15"/>
  <c r="C73" i="15"/>
  <c r="I37" i="15"/>
  <c r="I27" i="15"/>
  <c r="I22" i="15"/>
  <c r="I16" i="15"/>
  <c r="I10" i="15"/>
  <c r="I36" i="15"/>
  <c r="I26" i="15"/>
  <c r="I21" i="15"/>
  <c r="I15" i="15"/>
  <c r="I9" i="15"/>
  <c r="I35" i="15"/>
  <c r="I25" i="15"/>
  <c r="I20" i="15"/>
  <c r="I14" i="15"/>
  <c r="I8" i="15"/>
  <c r="A70" i="15"/>
  <c r="L20" i="19" s="1"/>
  <c r="L25" i="21"/>
  <c r="A50" i="15"/>
  <c r="L40" i="19" s="1"/>
  <c r="L5" i="21"/>
  <c r="A51" i="15"/>
  <c r="L39" i="19" s="1"/>
  <c r="L6" i="21"/>
  <c r="A83" i="15"/>
  <c r="L7" i="19" s="1"/>
  <c r="L38" i="21"/>
  <c r="L268" i="21" s="1"/>
  <c r="A65" i="15"/>
  <c r="L25" i="19" s="1"/>
  <c r="L20" i="21"/>
  <c r="A52" i="15"/>
  <c r="L38" i="19" s="1"/>
  <c r="L7" i="21"/>
  <c r="A80" i="15"/>
  <c r="L10" i="19" s="1"/>
  <c r="L35" i="21"/>
  <c r="A59" i="15"/>
  <c r="L31" i="19" s="1"/>
  <c r="L14" i="21"/>
  <c r="A68" i="15"/>
  <c r="L22" i="19" s="1"/>
  <c r="L23" i="21"/>
  <c r="A53" i="15"/>
  <c r="L37" i="19" s="1"/>
  <c r="L8" i="21"/>
  <c r="A66" i="15"/>
  <c r="L24" i="19" s="1"/>
  <c r="L21" i="21"/>
  <c r="A78" i="15"/>
  <c r="L12" i="19" s="1"/>
  <c r="L33" i="21"/>
  <c r="A79" i="15"/>
  <c r="L11" i="19" s="1"/>
  <c r="L34" i="21"/>
  <c r="A58" i="15"/>
  <c r="L32" i="19" s="1"/>
  <c r="L13" i="21"/>
  <c r="A63" i="15"/>
  <c r="L27" i="19" s="1"/>
  <c r="L18" i="21"/>
  <c r="A56" i="15"/>
  <c r="L34" i="19" s="1"/>
  <c r="L11" i="21"/>
  <c r="A69" i="15"/>
  <c r="L21" i="19" s="1"/>
  <c r="L24" i="21"/>
  <c r="A81" i="15"/>
  <c r="L9" i="19" s="1"/>
  <c r="L36" i="21"/>
  <c r="A64" i="15"/>
  <c r="L26" i="19" s="1"/>
  <c r="L19" i="21"/>
  <c r="A71" i="15"/>
  <c r="L19" i="19" s="1"/>
  <c r="L26" i="21"/>
  <c r="A57" i="15"/>
  <c r="L33" i="19" s="1"/>
  <c r="L12" i="21"/>
  <c r="A61" i="15"/>
  <c r="L29" i="19" s="1"/>
  <c r="L16" i="21"/>
  <c r="I39" i="18"/>
  <c r="L73" i="18"/>
  <c r="I34" i="18"/>
  <c r="I11" i="18"/>
  <c r="I57" i="18"/>
  <c r="I5" i="18"/>
  <c r="C57" i="18" s="1"/>
  <c r="L83" i="15"/>
  <c r="J103" i="18"/>
  <c r="I51" i="18"/>
  <c r="I7" i="18"/>
  <c r="C65" i="18"/>
  <c r="C74" i="18"/>
  <c r="C80" i="18"/>
  <c r="C97" i="18"/>
  <c r="C59" i="18"/>
  <c r="C66" i="18"/>
  <c r="C81" i="18"/>
  <c r="C67" i="18"/>
  <c r="C76" i="18"/>
  <c r="C82" i="18"/>
  <c r="C91" i="18"/>
  <c r="C63" i="18"/>
  <c r="C72" i="18"/>
  <c r="C87" i="18"/>
  <c r="C95" i="18"/>
  <c r="C101" i="18"/>
  <c r="C69" i="18"/>
  <c r="C83" i="18"/>
  <c r="C70" i="18"/>
  <c r="C84" i="18"/>
  <c r="C99" i="18"/>
  <c r="C71" i="18"/>
  <c r="C86" i="18"/>
  <c r="C100" i="18"/>
  <c r="C73" i="18"/>
  <c r="C77" i="18"/>
  <c r="C103" i="18"/>
  <c r="C78" i="18"/>
  <c r="C93" i="18"/>
  <c r="C64" i="18"/>
  <c r="C96" i="18"/>
  <c r="C92" i="18"/>
  <c r="C88" i="18"/>
  <c r="I28" i="18"/>
  <c r="I48" i="15"/>
  <c r="I5" i="15"/>
  <c r="C48" i="15" s="1"/>
  <c r="I38" i="15"/>
  <c r="I28" i="15"/>
  <c r="I23" i="15"/>
  <c r="I18" i="15"/>
  <c r="I13" i="15"/>
  <c r="I7" i="15"/>
  <c r="J96" i="18"/>
  <c r="I43" i="18"/>
  <c r="I24" i="18"/>
  <c r="L48" i="15"/>
  <c r="J71" i="18"/>
  <c r="I17" i="18"/>
  <c r="L103" i="18"/>
  <c r="J83" i="15"/>
  <c r="I40" i="15"/>
  <c r="I47" i="18"/>
  <c r="J48" i="15"/>
  <c r="C58" i="15"/>
  <c r="C59" i="15"/>
  <c r="C70" i="15"/>
  <c r="C61" i="15"/>
  <c r="C71" i="15"/>
  <c r="C63" i="15"/>
  <c r="C78" i="15"/>
  <c r="C56" i="15"/>
  <c r="C68" i="15"/>
  <c r="C83" i="15"/>
  <c r="C57" i="15"/>
  <c r="C50" i="15"/>
  <c r="C66" i="15"/>
  <c r="C64" i="15"/>
  <c r="C65" i="15"/>
  <c r="C52" i="15"/>
  <c r="C80" i="15"/>
  <c r="C53" i="15"/>
  <c r="C81" i="15"/>
  <c r="C69" i="15"/>
  <c r="C79" i="15"/>
  <c r="C51" i="15"/>
  <c r="L67" i="18"/>
  <c r="K11" i="18"/>
  <c r="K67" i="18"/>
  <c r="J11" i="18"/>
  <c r="J67" i="18"/>
  <c r="I67" i="18"/>
  <c r="H11" i="18"/>
  <c r="H67" i="18"/>
  <c r="H64" i="18"/>
  <c r="A71" i="52"/>
  <c r="A82" i="52"/>
  <c r="G89" i="52"/>
  <c r="S89" i="52" s="1"/>
  <c r="AE89" i="52" s="1"/>
  <c r="A101" i="52"/>
  <c r="A63" i="52"/>
  <c r="A33" i="52"/>
  <c r="G47" i="52"/>
  <c r="S47" i="52" s="1"/>
  <c r="AE47" i="52" s="1"/>
  <c r="A58" i="52"/>
  <c r="A100" i="52"/>
  <c r="L93" i="18"/>
  <c r="L92" i="18"/>
  <c r="K92" i="18"/>
  <c r="K93" i="18"/>
  <c r="J87" i="18"/>
  <c r="J93" i="18"/>
  <c r="J92" i="18"/>
  <c r="I93" i="18"/>
  <c r="I92" i="18"/>
  <c r="H92" i="18"/>
  <c r="H93" i="18"/>
  <c r="E93" i="18"/>
  <c r="E92" i="18"/>
  <c r="D93" i="18"/>
  <c r="D92" i="18"/>
  <c r="B92" i="18"/>
  <c r="B93" i="18"/>
  <c r="I68" i="15"/>
  <c r="K21" i="15"/>
  <c r="J36" i="15"/>
  <c r="J58" i="15"/>
  <c r="J79" i="15"/>
  <c r="J15" i="15"/>
  <c r="J39" i="18"/>
  <c r="J78" i="15"/>
  <c r="J68" i="15"/>
  <c r="J14" i="15"/>
  <c r="J28" i="15"/>
  <c r="J81" i="15"/>
  <c r="A35" i="52"/>
  <c r="A41" i="52"/>
  <c r="A93" i="52"/>
  <c r="A34" i="52"/>
  <c r="A76" i="52"/>
  <c r="A94" i="52"/>
  <c r="A21" i="52"/>
  <c r="A95" i="52"/>
  <c r="A64" i="52"/>
  <c r="A29" i="52"/>
  <c r="A78" i="52"/>
  <c r="G46" i="52"/>
  <c r="A96" i="52"/>
  <c r="A22" i="52"/>
  <c r="A36" i="52"/>
  <c r="A67" i="52"/>
  <c r="A97" i="52"/>
  <c r="A66" i="52"/>
  <c r="A24" i="52"/>
  <c r="A37" i="52"/>
  <c r="A25" i="52"/>
  <c r="A56" i="52"/>
  <c r="K80" i="15"/>
  <c r="J38" i="15"/>
  <c r="J65" i="15"/>
  <c r="J51" i="15"/>
  <c r="J8" i="15"/>
  <c r="K13" i="15"/>
  <c r="J18" i="15"/>
  <c r="K99" i="18"/>
  <c r="J25" i="15"/>
  <c r="J70" i="15"/>
  <c r="J71" i="15"/>
  <c r="J69" i="15"/>
  <c r="J66" i="15"/>
  <c r="L83" i="18"/>
  <c r="L84" i="18"/>
  <c r="L74" i="18"/>
  <c r="K86" i="18"/>
  <c r="K83" i="18"/>
  <c r="K84" i="18"/>
  <c r="J24" i="18"/>
  <c r="K74" i="18"/>
  <c r="J97" i="18"/>
  <c r="J83" i="18"/>
  <c r="J84" i="18"/>
  <c r="J77" i="18"/>
  <c r="J74" i="18"/>
  <c r="J65" i="18"/>
  <c r="I96" i="18"/>
  <c r="I83" i="18"/>
  <c r="I84" i="18"/>
  <c r="I80" i="18"/>
  <c r="I74" i="18"/>
  <c r="H83" i="18"/>
  <c r="H84" i="18"/>
  <c r="H74" i="18"/>
  <c r="L11" i="75"/>
  <c r="A99" i="18"/>
  <c r="L15" i="75"/>
  <c r="A95" i="18"/>
  <c r="L19" i="75"/>
  <c r="A91" i="18"/>
  <c r="L24" i="75"/>
  <c r="A86" i="18"/>
  <c r="L30" i="75"/>
  <c r="A80" i="18"/>
  <c r="L34" i="75"/>
  <c r="A76" i="18"/>
  <c r="L41" i="75"/>
  <c r="A69" i="18"/>
  <c r="L47" i="75"/>
  <c r="A63" i="18"/>
  <c r="K57" i="18"/>
  <c r="E83" i="18"/>
  <c r="E74" i="18"/>
  <c r="E84" i="18"/>
  <c r="E67" i="18"/>
  <c r="J57" i="18"/>
  <c r="D83" i="18"/>
  <c r="D74" i="18"/>
  <c r="D84" i="18"/>
  <c r="D67" i="18"/>
  <c r="B74" i="18"/>
  <c r="B67" i="18"/>
  <c r="B83" i="18"/>
  <c r="B84" i="18"/>
  <c r="K26" i="15"/>
  <c r="K38" i="15"/>
  <c r="J16" i="15"/>
  <c r="J23" i="15"/>
  <c r="J10" i="15"/>
  <c r="K68" i="15"/>
  <c r="J57" i="15"/>
  <c r="I63" i="15"/>
  <c r="I78" i="15"/>
  <c r="L7" i="75"/>
  <c r="A103" i="18"/>
  <c r="K5" i="15"/>
  <c r="E48" i="15" s="1"/>
  <c r="J73" i="18"/>
  <c r="K88" i="18"/>
  <c r="J72" i="18"/>
  <c r="I65" i="18"/>
  <c r="J34" i="18"/>
  <c r="J70" i="18"/>
  <c r="J64" i="18"/>
  <c r="K34" i="18"/>
  <c r="J88" i="18"/>
  <c r="J78" i="18"/>
  <c r="J63" i="18"/>
  <c r="K82" i="18"/>
  <c r="J101" i="18"/>
  <c r="J91" i="18"/>
  <c r="K12" i="18"/>
  <c r="J19" i="18"/>
  <c r="L77" i="18"/>
  <c r="J51" i="18"/>
  <c r="K103" i="18"/>
  <c r="J21" i="18"/>
  <c r="L101" i="18"/>
  <c r="L82" i="18"/>
  <c r="D91" i="18"/>
  <c r="J48" i="18"/>
  <c r="J66" i="18"/>
  <c r="J86" i="18"/>
  <c r="D69" i="18"/>
  <c r="J12" i="18"/>
  <c r="J47" i="18"/>
  <c r="L100" i="18"/>
  <c r="L78" i="18"/>
  <c r="A27" i="52"/>
  <c r="A69" i="52"/>
  <c r="A92" i="52"/>
  <c r="A38" i="52"/>
  <c r="A68" i="52"/>
  <c r="A99" i="52"/>
  <c r="A39" i="52"/>
  <c r="A23" i="52"/>
  <c r="A32" i="52"/>
  <c r="A40" i="52"/>
  <c r="A65" i="52"/>
  <c r="A74" i="52"/>
  <c r="A80" i="52"/>
  <c r="A50" i="52"/>
  <c r="N46" i="52"/>
  <c r="A98" i="52"/>
  <c r="A20" i="52"/>
  <c r="A28" i="52"/>
  <c r="K96" i="18"/>
  <c r="J44" i="18"/>
  <c r="J36" i="18"/>
  <c r="J81" i="18"/>
  <c r="J14" i="18"/>
  <c r="L71" i="18"/>
  <c r="L65" i="18"/>
  <c r="J43" i="18"/>
  <c r="K78" i="18"/>
  <c r="J100" i="18"/>
  <c r="J99" i="18"/>
  <c r="J82" i="18"/>
  <c r="P12" i="31"/>
  <c r="P15" i="31"/>
  <c r="K5" i="18"/>
  <c r="E57" i="18" s="1"/>
  <c r="D86" i="18"/>
  <c r="D99" i="18"/>
  <c r="D80" i="18"/>
  <c r="D95" i="18"/>
  <c r="D76" i="18"/>
  <c r="J26" i="15"/>
  <c r="J21" i="15"/>
  <c r="J9" i="15"/>
  <c r="J22" i="15"/>
  <c r="J64" i="15"/>
  <c r="I51" i="15"/>
  <c r="L66" i="15"/>
  <c r="L65" i="15"/>
  <c r="L56" i="15"/>
  <c r="K40" i="15"/>
  <c r="L50" i="15"/>
  <c r="K61" i="15"/>
  <c r="J80" i="15"/>
  <c r="J13" i="15"/>
  <c r="J59" i="15"/>
  <c r="I103" i="18"/>
  <c r="I59" i="18"/>
  <c r="A51" i="52"/>
  <c r="A53" i="52"/>
  <c r="A55" i="52"/>
  <c r="A57" i="52"/>
  <c r="A59" i="52"/>
  <c r="C46" i="52"/>
  <c r="K46" i="52"/>
  <c r="J53" i="15"/>
  <c r="J52" i="15"/>
  <c r="J50" i="15"/>
  <c r="I76" i="18"/>
  <c r="J61" i="15"/>
  <c r="I50" i="15"/>
  <c r="I56" i="15"/>
  <c r="I61" i="15"/>
  <c r="J56" i="15"/>
  <c r="J63" i="15"/>
  <c r="J69" i="18"/>
  <c r="J76" i="18"/>
  <c r="J80" i="18"/>
  <c r="J95" i="18"/>
  <c r="K30" i="18"/>
  <c r="E80" i="15"/>
  <c r="O268" i="21"/>
  <c r="H29" i="18"/>
  <c r="H20" i="18"/>
  <c r="H18" i="18"/>
  <c r="J5" i="18"/>
  <c r="D57" i="18" s="1"/>
  <c r="H57" i="18"/>
  <c r="H5" i="18"/>
  <c r="B57" i="18" s="1"/>
  <c r="O260" i="21"/>
  <c r="J5" i="15"/>
  <c r="D48" i="15" s="1"/>
  <c r="H7" i="18"/>
  <c r="J40" i="15"/>
  <c r="K56" i="15"/>
  <c r="K44" i="18"/>
  <c r="K36" i="18"/>
  <c r="K77" i="18"/>
  <c r="K8" i="15"/>
  <c r="L76" i="18"/>
  <c r="K50" i="15"/>
  <c r="I91" i="18"/>
  <c r="J30" i="18"/>
  <c r="E64" i="18"/>
  <c r="K95" i="18"/>
  <c r="K39" i="18"/>
  <c r="K91" i="18"/>
  <c r="J28" i="18"/>
  <c r="K80" i="18"/>
  <c r="K76" i="18"/>
  <c r="J17" i="18"/>
  <c r="K69" i="18"/>
  <c r="K73" i="18"/>
  <c r="K71" i="18"/>
  <c r="D65" i="18"/>
  <c r="D70" i="18"/>
  <c r="D72" i="18"/>
  <c r="D77" i="18"/>
  <c r="D81" i="18"/>
  <c r="E97" i="18"/>
  <c r="E100" i="18"/>
  <c r="B64" i="18"/>
  <c r="B66" i="18"/>
  <c r="B71" i="18"/>
  <c r="B73" i="18"/>
  <c r="B78" i="18"/>
  <c r="B82" i="18"/>
  <c r="B88" i="18"/>
  <c r="B97" i="18"/>
  <c r="K22" i="15"/>
  <c r="K16" i="15"/>
  <c r="J7" i="18"/>
  <c r="I97" i="18"/>
  <c r="I81" i="18"/>
  <c r="I66" i="18"/>
  <c r="K47" i="18"/>
  <c r="K59" i="18"/>
  <c r="J7" i="15"/>
  <c r="I69" i="18"/>
  <c r="E78" i="18"/>
  <c r="L64" i="18"/>
  <c r="K100" i="18"/>
  <c r="K29" i="18"/>
  <c r="K72" i="18"/>
  <c r="J18" i="18"/>
  <c r="K24" i="18"/>
  <c r="E76" i="18"/>
  <c r="K17" i="18"/>
  <c r="I99" i="18"/>
  <c r="I101" i="18"/>
  <c r="B91" i="18"/>
  <c r="H28" i="18"/>
  <c r="I82" i="18"/>
  <c r="B80" i="18"/>
  <c r="H17" i="18"/>
  <c r="I63" i="18"/>
  <c r="I64" i="18"/>
  <c r="L69" i="15"/>
  <c r="L57" i="15"/>
  <c r="K14" i="15"/>
  <c r="I81" i="15"/>
  <c r="L71" i="15"/>
  <c r="L59" i="15"/>
  <c r="L58" i="15"/>
  <c r="K79" i="15"/>
  <c r="E56" i="15"/>
  <c r="L81" i="18"/>
  <c r="K21" i="18"/>
  <c r="L80" i="18"/>
  <c r="K7" i="18"/>
  <c r="J59" i="18"/>
  <c r="I100" i="18"/>
  <c r="I95" i="18"/>
  <c r="B63" i="18"/>
  <c r="B76" i="18"/>
  <c r="B86" i="18"/>
  <c r="B95" i="18"/>
  <c r="B65" i="18"/>
  <c r="B70" i="18"/>
  <c r="B72" i="18"/>
  <c r="B77" i="18"/>
  <c r="B81" i="18"/>
  <c r="B87" i="18"/>
  <c r="B96" i="18"/>
  <c r="B100" i="18"/>
  <c r="K37" i="15"/>
  <c r="L61" i="15"/>
  <c r="K59" i="15"/>
  <c r="K63" i="15"/>
  <c r="I71" i="15"/>
  <c r="I70" i="15"/>
  <c r="I53" i="15"/>
  <c r="K19" i="18"/>
  <c r="K14" i="18"/>
  <c r="K13" i="18"/>
  <c r="K101" i="18"/>
  <c r="K87" i="18"/>
  <c r="H43" i="18"/>
  <c r="E95" i="18"/>
  <c r="E86" i="18"/>
  <c r="L80" i="15"/>
  <c r="K23" i="15"/>
  <c r="E66" i="15"/>
  <c r="K9" i="15"/>
  <c r="L51" i="15"/>
  <c r="K36" i="15"/>
  <c r="K15" i="15"/>
  <c r="I65" i="15"/>
  <c r="K18" i="15"/>
  <c r="L52" i="15"/>
  <c r="L68" i="15"/>
  <c r="K70" i="15"/>
  <c r="L87" i="18"/>
  <c r="K26" i="18"/>
  <c r="J45" i="18"/>
  <c r="K97" i="18"/>
  <c r="K35" i="18"/>
  <c r="J29" i="18"/>
  <c r="K81" i="18"/>
  <c r="E81" i="18"/>
  <c r="J25" i="18"/>
  <c r="K20" i="18"/>
  <c r="J20" i="18"/>
  <c r="E72" i="18"/>
  <c r="K18" i="18"/>
  <c r="K70" i="18"/>
  <c r="E70" i="18"/>
  <c r="J13" i="18"/>
  <c r="H45" i="18"/>
  <c r="K43" i="18"/>
  <c r="L97" i="18"/>
  <c r="L96" i="18"/>
  <c r="K28" i="18"/>
  <c r="E88" i="18"/>
  <c r="E66" i="18"/>
  <c r="K28" i="15"/>
  <c r="L79" i="15"/>
  <c r="L70" i="15"/>
  <c r="L64" i="15"/>
  <c r="E64" i="15"/>
  <c r="L53" i="15"/>
  <c r="K10" i="15"/>
  <c r="E52" i="15"/>
  <c r="J37" i="15"/>
  <c r="J27" i="15"/>
  <c r="I66" i="15"/>
  <c r="L78" i="15"/>
  <c r="L81" i="15"/>
  <c r="K25" i="15"/>
  <c r="K20" i="15"/>
  <c r="L63" i="15"/>
  <c r="K35" i="15"/>
  <c r="J20" i="15"/>
  <c r="I64" i="15"/>
  <c r="K49" i="18"/>
  <c r="L88" i="18"/>
  <c r="K25" i="18"/>
  <c r="L70" i="18"/>
  <c r="L66" i="18"/>
  <c r="J49" i="18"/>
  <c r="K48" i="18"/>
  <c r="K45" i="18"/>
  <c r="J35" i="18"/>
  <c r="K65" i="18"/>
  <c r="I87" i="18"/>
  <c r="I77" i="18"/>
  <c r="I70" i="18"/>
  <c r="H44" i="18"/>
  <c r="H96" i="18"/>
  <c r="H35" i="18"/>
  <c r="H25" i="18"/>
  <c r="H13" i="18"/>
  <c r="L72" i="18"/>
  <c r="E63" i="18"/>
  <c r="K63" i="18"/>
  <c r="K64" i="18"/>
  <c r="K66" i="18"/>
  <c r="B99" i="18"/>
  <c r="I86" i="18"/>
  <c r="I88" i="18"/>
  <c r="H24" i="18"/>
  <c r="I78" i="18"/>
  <c r="I73" i="18"/>
  <c r="I72" i="18"/>
  <c r="I71" i="18"/>
  <c r="B69" i="18"/>
  <c r="H34" i="18"/>
  <c r="L57" i="18"/>
  <c r="E101" i="18"/>
  <c r="E99" i="18"/>
  <c r="E96" i="18"/>
  <c r="E91" i="18"/>
  <c r="E87" i="18"/>
  <c r="E82" i="18"/>
  <c r="E80" i="18"/>
  <c r="E77" i="18"/>
  <c r="E73" i="18"/>
  <c r="E71" i="18"/>
  <c r="E69" i="18"/>
  <c r="E65" i="18"/>
  <c r="K27" i="15"/>
  <c r="D70" i="15"/>
  <c r="J35" i="15"/>
  <c r="K78" i="15"/>
  <c r="K81" i="15"/>
  <c r="D50" i="15"/>
  <c r="D51" i="15"/>
  <c r="E57" i="15"/>
  <c r="E59" i="15"/>
  <c r="D63" i="15"/>
  <c r="E68" i="15"/>
  <c r="E71" i="15"/>
  <c r="E103" i="18"/>
  <c r="L59" i="18"/>
  <c r="K51" i="18"/>
  <c r="L63" i="18"/>
  <c r="L69" i="18"/>
  <c r="L86" i="18"/>
  <c r="L91" i="18"/>
  <c r="L95" i="18"/>
  <c r="L99" i="18"/>
  <c r="E79" i="15"/>
  <c r="H36" i="18"/>
  <c r="H21" i="18"/>
  <c r="H14" i="18"/>
  <c r="H12" i="18"/>
  <c r="H77" i="18"/>
  <c r="K69" i="15"/>
  <c r="K66" i="15"/>
  <c r="I79" i="15"/>
  <c r="H49" i="18"/>
  <c r="H26" i="18"/>
  <c r="H87" i="18"/>
  <c r="H65" i="18"/>
  <c r="D87" i="18"/>
  <c r="D96" i="18"/>
  <c r="D100" i="18"/>
  <c r="D103" i="18"/>
  <c r="K64" i="15"/>
  <c r="K65" i="15"/>
  <c r="J47" i="52"/>
  <c r="V47" i="52" s="1"/>
  <c r="AH47" i="52" s="1"/>
  <c r="J89" i="52"/>
  <c r="V89" i="52" s="1"/>
  <c r="AH89" i="52" s="1"/>
  <c r="H30" i="18"/>
  <c r="H19" i="18"/>
  <c r="P14" i="31"/>
  <c r="K71" i="15"/>
  <c r="D80" i="15"/>
  <c r="K57" i="15"/>
  <c r="I80" i="15"/>
  <c r="I52" i="15"/>
  <c r="K58" i="15"/>
  <c r="K53" i="15"/>
  <c r="K52" i="15"/>
  <c r="K51" i="15"/>
  <c r="I69" i="15"/>
  <c r="I59" i="15"/>
  <c r="I58" i="15"/>
  <c r="I57" i="15"/>
  <c r="E51" i="15"/>
  <c r="E53" i="15"/>
  <c r="D57" i="15"/>
  <c r="E58" i="15"/>
  <c r="E61" i="15"/>
  <c r="E63" i="15"/>
  <c r="E65" i="15"/>
  <c r="D68" i="15"/>
  <c r="E69" i="15"/>
  <c r="E70" i="15"/>
  <c r="E78" i="15"/>
  <c r="E81" i="15"/>
  <c r="E83" i="15"/>
  <c r="H39" i="18"/>
  <c r="H47" i="18"/>
  <c r="H82" i="18"/>
  <c r="H88" i="18"/>
  <c r="H97" i="18"/>
  <c r="H73" i="18"/>
  <c r="D59" i="18"/>
  <c r="E50" i="15"/>
  <c r="D52" i="15"/>
  <c r="D53" i="15"/>
  <c r="D58" i="15"/>
  <c r="D59" i="15"/>
  <c r="D64" i="15"/>
  <c r="D65" i="15"/>
  <c r="D71" i="15"/>
  <c r="D78" i="15"/>
  <c r="D64" i="18"/>
  <c r="D66" i="18"/>
  <c r="D71" i="18"/>
  <c r="D73" i="18"/>
  <c r="D78" i="18"/>
  <c r="D82" i="18"/>
  <c r="D88" i="18"/>
  <c r="D97" i="18"/>
  <c r="D101" i="18"/>
  <c r="D63" i="18"/>
  <c r="L47" i="52"/>
  <c r="X47" i="52" s="1"/>
  <c r="AJ47" i="52" s="1"/>
  <c r="L89" i="52"/>
  <c r="X89" i="52" s="1"/>
  <c r="AJ89" i="52" s="1"/>
  <c r="H66" i="18"/>
  <c r="H70" i="18"/>
  <c r="H81" i="18"/>
  <c r="H100" i="18"/>
  <c r="H101" i="18"/>
  <c r="H71" i="18"/>
  <c r="E59" i="18"/>
  <c r="D56" i="15"/>
  <c r="D61" i="15"/>
  <c r="D66" i="15"/>
  <c r="D81" i="15"/>
  <c r="H78" i="18"/>
  <c r="H72" i="18"/>
  <c r="D69" i="15"/>
  <c r="D79" i="15"/>
  <c r="D83" i="15"/>
  <c r="F47" i="52"/>
  <c r="R47" i="52" s="1"/>
  <c r="AD47" i="52" s="1"/>
  <c r="H47" i="52"/>
  <c r="T47" i="52" s="1"/>
  <c r="AF47" i="52" s="1"/>
  <c r="K47" i="52"/>
  <c r="W47" i="52" s="1"/>
  <c r="AI47" i="52" s="1"/>
  <c r="F89" i="52"/>
  <c r="R89" i="52" s="1"/>
  <c r="AD89" i="52" s="1"/>
  <c r="H89" i="52"/>
  <c r="T89" i="52" s="1"/>
  <c r="AF89" i="52" s="1"/>
  <c r="K89" i="52"/>
  <c r="W89" i="52" s="1"/>
  <c r="AI89" i="52" s="1"/>
  <c r="E46" i="44" l="1"/>
  <c r="B5" i="44"/>
  <c r="B7" i="44"/>
  <c r="B9" i="44"/>
  <c r="B11" i="44"/>
  <c r="B13" i="44"/>
  <c r="B10" i="44"/>
  <c r="B12" i="44"/>
  <c r="B6" i="44"/>
  <c r="B8" i="44"/>
  <c r="E7" i="44"/>
  <c r="E9" i="44"/>
  <c r="E11" i="44"/>
  <c r="E13" i="44"/>
  <c r="E5" i="44"/>
  <c r="E8" i="44"/>
  <c r="E10" i="44"/>
  <c r="E38" i="44" s="1"/>
  <c r="E12" i="44"/>
  <c r="E54" i="44" s="1"/>
  <c r="E6" i="44"/>
  <c r="C7" i="44"/>
  <c r="C9" i="44"/>
  <c r="C11" i="44"/>
  <c r="C13" i="44"/>
  <c r="C5" i="44"/>
  <c r="C6" i="44"/>
  <c r="C8" i="44"/>
  <c r="C10" i="44"/>
  <c r="C12" i="44"/>
  <c r="D7" i="44"/>
  <c r="D9" i="44"/>
  <c r="D11" i="44"/>
  <c r="D13" i="44"/>
  <c r="D5" i="44"/>
  <c r="D8" i="44"/>
  <c r="D10" i="44"/>
  <c r="F52" i="44" s="1"/>
  <c r="D12" i="44"/>
  <c r="F40" i="44" s="1"/>
  <c r="D6" i="44"/>
  <c r="F5" i="44"/>
  <c r="E33" i="44" s="1"/>
  <c r="F13" i="44"/>
  <c r="F6" i="44"/>
  <c r="A1" i="44"/>
  <c r="F7" i="44"/>
  <c r="F8" i="44"/>
  <c r="F18" i="44"/>
  <c r="F9" i="44"/>
  <c r="E32" i="44"/>
  <c r="E18" i="44"/>
  <c r="C18" i="44"/>
  <c r="C32" i="44"/>
  <c r="B18" i="44"/>
  <c r="L234" i="21"/>
  <c r="L264" i="21" s="1"/>
  <c r="L235" i="21"/>
  <c r="L265" i="21" s="1"/>
  <c r="L233" i="21"/>
  <c r="L263" i="21" s="1"/>
  <c r="L232" i="21"/>
  <c r="L262" i="21" s="1"/>
  <c r="L236" i="21"/>
  <c r="L266" i="21" s="1"/>
  <c r="L231" i="21"/>
  <c r="L261" i="21" s="1"/>
  <c r="B32" i="44"/>
  <c r="B46" i="44"/>
  <c r="F46" i="44"/>
  <c r="F32" i="44"/>
  <c r="D32" i="44"/>
  <c r="D46" i="44"/>
  <c r="D18" i="44"/>
  <c r="C46" i="44"/>
  <c r="J11" i="78"/>
  <c r="J48" i="78" s="1"/>
  <c r="J85" i="78" s="1"/>
  <c r="U28" i="78"/>
  <c r="U65" i="78" s="1"/>
  <c r="U102" i="78" s="1"/>
  <c r="U11" i="78"/>
  <c r="U48" i="78" s="1"/>
  <c r="U85" i="78" s="1"/>
  <c r="U32" i="78"/>
  <c r="U69" i="78" s="1"/>
  <c r="U106" i="78" s="1"/>
  <c r="J24" i="78"/>
  <c r="J61" i="78" s="1"/>
  <c r="J98" i="78" s="1"/>
  <c r="U24" i="78"/>
  <c r="U61" i="78" s="1"/>
  <c r="U98" i="78" s="1"/>
  <c r="J19" i="78"/>
  <c r="J56" i="78" s="1"/>
  <c r="J93" i="78" s="1"/>
  <c r="J16" i="78"/>
  <c r="J53" i="78" s="1"/>
  <c r="J90" i="78" s="1"/>
  <c r="U19" i="78"/>
  <c r="U56" i="78" s="1"/>
  <c r="U93" i="78" s="1"/>
  <c r="U16" i="78"/>
  <c r="U53" i="78" s="1"/>
  <c r="U90" i="78" s="1"/>
  <c r="J28" i="78"/>
  <c r="J65" i="78" s="1"/>
  <c r="J102" i="78" s="1"/>
  <c r="U17" i="78"/>
  <c r="U54" i="78" s="1"/>
  <c r="U91" i="78" s="1"/>
  <c r="E55" i="44" l="1"/>
  <c r="E50" i="44"/>
  <c r="F33" i="44"/>
  <c r="E49" i="44"/>
  <c r="E40" i="44"/>
  <c r="E52" i="44"/>
  <c r="E36" i="44"/>
  <c r="D48" i="44"/>
  <c r="E35" i="44"/>
  <c r="E51" i="44"/>
  <c r="F50" i="44"/>
  <c r="F49" i="44"/>
  <c r="E48" i="44"/>
  <c r="E47" i="44"/>
  <c r="E34" i="44"/>
  <c r="E15" i="44"/>
  <c r="E24" i="44" s="1"/>
  <c r="E39" i="44"/>
  <c r="E41" i="44"/>
  <c r="E53" i="44"/>
  <c r="D53" i="44"/>
  <c r="F15" i="44"/>
  <c r="F19" i="44" s="1"/>
  <c r="E37" i="44"/>
  <c r="B41" i="44"/>
  <c r="B52" i="44"/>
  <c r="B47" i="44"/>
  <c r="B35" i="44"/>
  <c r="B40" i="44"/>
  <c r="B33" i="44"/>
  <c r="B34" i="44"/>
  <c r="B38" i="44"/>
  <c r="B36" i="44"/>
  <c r="B54" i="44"/>
  <c r="B50" i="44"/>
  <c r="B15" i="44"/>
  <c r="B21" i="44" s="1"/>
  <c r="B48" i="44"/>
  <c r="B53" i="44"/>
  <c r="B39" i="44"/>
  <c r="B55" i="44"/>
  <c r="C41" i="44"/>
  <c r="B37" i="44"/>
  <c r="B51" i="44"/>
  <c r="C15" i="44"/>
  <c r="C20" i="44" s="1"/>
  <c r="B49" i="44"/>
  <c r="C37" i="44"/>
  <c r="D34" i="44"/>
  <c r="D36" i="44"/>
  <c r="C39" i="44"/>
  <c r="D39" i="44"/>
  <c r="F53" i="44"/>
  <c r="D55" i="44"/>
  <c r="F38" i="44"/>
  <c r="C38" i="44"/>
  <c r="D54" i="44"/>
  <c r="C40" i="44"/>
  <c r="D47" i="44"/>
  <c r="D52" i="44"/>
  <c r="C33" i="44"/>
  <c r="F51" i="44"/>
  <c r="F55" i="44"/>
  <c r="D37" i="44"/>
  <c r="C35" i="44"/>
  <c r="F35" i="44"/>
  <c r="D38" i="44"/>
  <c r="C51" i="44"/>
  <c r="F37" i="44"/>
  <c r="D49" i="44"/>
  <c r="C36" i="44"/>
  <c r="D35" i="44"/>
  <c r="C53" i="44"/>
  <c r="D50" i="44"/>
  <c r="C48" i="44"/>
  <c r="F34" i="44"/>
  <c r="C54" i="44"/>
  <c r="D40" i="44"/>
  <c r="D15" i="44"/>
  <c r="D22" i="44" s="1"/>
  <c r="C47" i="44"/>
  <c r="F54" i="44"/>
  <c r="F39" i="44"/>
  <c r="F47" i="44"/>
  <c r="C50" i="44"/>
  <c r="F36" i="44"/>
  <c r="C49" i="44"/>
  <c r="C55" i="44"/>
  <c r="D41" i="44"/>
  <c r="F41" i="44"/>
  <c r="C34" i="44"/>
  <c r="C52" i="44"/>
  <c r="F48" i="44"/>
  <c r="D51" i="44"/>
  <c r="D33" i="44"/>
  <c r="J19" i="71"/>
  <c r="J16" i="71"/>
  <c r="J11" i="71"/>
  <c r="J32" i="78"/>
  <c r="J69" i="78" s="1"/>
  <c r="J106" i="78" s="1"/>
  <c r="J24" i="71"/>
  <c r="J28" i="71"/>
  <c r="J22" i="78"/>
  <c r="J59" i="78" s="1"/>
  <c r="J96" i="78" s="1"/>
  <c r="U29" i="78"/>
  <c r="U66" i="78" s="1"/>
  <c r="U103" i="78" s="1"/>
  <c r="U22" i="78"/>
  <c r="U59" i="78" s="1"/>
  <c r="U96" i="78" s="1"/>
  <c r="J9" i="78"/>
  <c r="J46" i="78" s="1"/>
  <c r="J83" i="78" s="1"/>
  <c r="U15" i="78"/>
  <c r="U52" i="78" s="1"/>
  <c r="U89" i="78" s="1"/>
  <c r="J10" i="78"/>
  <c r="J47" i="78" s="1"/>
  <c r="J84" i="78" s="1"/>
  <c r="U25" i="78"/>
  <c r="U62" i="78" s="1"/>
  <c r="U99" i="78" s="1"/>
  <c r="J14" i="78"/>
  <c r="J51" i="78" s="1"/>
  <c r="J88" i="78" s="1"/>
  <c r="U21" i="78"/>
  <c r="U58" i="78" s="1"/>
  <c r="U95" i="78" s="1"/>
  <c r="U13" i="78"/>
  <c r="U50" i="78" s="1"/>
  <c r="U87" i="78" s="1"/>
  <c r="J13" i="78"/>
  <c r="J50" i="78" s="1"/>
  <c r="J87" i="78" s="1"/>
  <c r="J21" i="78"/>
  <c r="J58" i="78" s="1"/>
  <c r="J95" i="78" s="1"/>
  <c r="J25" i="78"/>
  <c r="J62" i="78" s="1"/>
  <c r="J99" i="78" s="1"/>
  <c r="U14" i="78"/>
  <c r="U51" i="78" s="1"/>
  <c r="U88" i="78" s="1"/>
  <c r="U9" i="78"/>
  <c r="U46" i="78" s="1"/>
  <c r="U83" i="78" s="1"/>
  <c r="J29" i="78"/>
  <c r="J66" i="78" s="1"/>
  <c r="J103" i="78" s="1"/>
  <c r="J15" i="78"/>
  <c r="J52" i="78" s="1"/>
  <c r="J89" i="78" s="1"/>
  <c r="U20" i="78"/>
  <c r="U57" i="78" s="1"/>
  <c r="U94" i="78" s="1"/>
  <c r="J20" i="78"/>
  <c r="J57" i="78" s="1"/>
  <c r="J94" i="78" s="1"/>
  <c r="U10" i="78"/>
  <c r="U47" i="78" s="1"/>
  <c r="U84" i="78" s="1"/>
  <c r="E20" i="44" l="1"/>
  <c r="E21" i="44"/>
  <c r="E26" i="44"/>
  <c r="E22" i="44"/>
  <c r="F24" i="44"/>
  <c r="E19" i="44"/>
  <c r="E27" i="44"/>
  <c r="E23" i="44"/>
  <c r="F20" i="44"/>
  <c r="F23" i="44"/>
  <c r="F29" i="44"/>
  <c r="E25" i="44"/>
  <c r="F26" i="44"/>
  <c r="E43" i="44"/>
  <c r="E29" i="44"/>
  <c r="E57" i="44"/>
  <c r="F22" i="44"/>
  <c r="F25" i="44"/>
  <c r="F27" i="44"/>
  <c r="F21" i="44"/>
  <c r="B25" i="44"/>
  <c r="B24" i="44"/>
  <c r="C24" i="44"/>
  <c r="B22" i="44"/>
  <c r="B26" i="44"/>
  <c r="B19" i="44"/>
  <c r="B29" i="44"/>
  <c r="B27" i="44"/>
  <c r="B20" i="44"/>
  <c r="B23" i="44"/>
  <c r="C27" i="44"/>
  <c r="C26" i="44"/>
  <c r="C25" i="44"/>
  <c r="C21" i="44"/>
  <c r="B43" i="44"/>
  <c r="C29" i="44"/>
  <c r="B57" i="44"/>
  <c r="C23" i="44"/>
  <c r="C19" i="44"/>
  <c r="C22" i="44"/>
  <c r="J53" i="71"/>
  <c r="J90" i="71" s="1"/>
  <c r="Q45" i="31"/>
  <c r="J65" i="71"/>
  <c r="J102" i="71" s="1"/>
  <c r="Q57" i="31"/>
  <c r="J61" i="71"/>
  <c r="J98" i="71" s="1"/>
  <c r="Q53" i="31"/>
  <c r="J48" i="71"/>
  <c r="J85" i="71" s="1"/>
  <c r="Q40" i="31"/>
  <c r="J56" i="71"/>
  <c r="J93" i="71" s="1"/>
  <c r="Q48" i="31"/>
  <c r="D27" i="44"/>
  <c r="D26" i="44"/>
  <c r="D19" i="44"/>
  <c r="D43" i="44"/>
  <c r="D23" i="44"/>
  <c r="D21" i="44"/>
  <c r="D25" i="44"/>
  <c r="C57" i="44"/>
  <c r="D29" i="44"/>
  <c r="F43" i="44"/>
  <c r="C43" i="44"/>
  <c r="D24" i="44"/>
  <c r="D57" i="44"/>
  <c r="D20" i="44"/>
  <c r="F57" i="44"/>
  <c r="T72" i="78"/>
  <c r="T109" i="78"/>
  <c r="J32" i="71"/>
  <c r="U72" i="78"/>
  <c r="U109" i="78" s="1"/>
  <c r="J21" i="71"/>
  <c r="J14" i="71"/>
  <c r="J29" i="71"/>
  <c r="J22" i="71"/>
  <c r="J20" i="71"/>
  <c r="J10" i="71"/>
  <c r="J25" i="71"/>
  <c r="J13" i="71"/>
  <c r="J15" i="71"/>
  <c r="J35" i="71" l="1"/>
  <c r="J57" i="71"/>
  <c r="J94" i="71" s="1"/>
  <c r="Q49" i="31"/>
  <c r="J66" i="71"/>
  <c r="J103" i="71" s="1"/>
  <c r="Q58" i="31"/>
  <c r="J59" i="71"/>
  <c r="J96" i="71" s="1"/>
  <c r="Q51" i="31"/>
  <c r="J58" i="71"/>
  <c r="J95" i="71" s="1"/>
  <c r="Q50" i="31"/>
  <c r="J51" i="71"/>
  <c r="J88" i="71" s="1"/>
  <c r="Q43" i="31"/>
  <c r="J50" i="71"/>
  <c r="J87" i="71" s="1"/>
  <c r="Q42" i="31"/>
  <c r="J69" i="71"/>
  <c r="J106" i="71" s="1"/>
  <c r="Q61" i="31"/>
  <c r="J52" i="71"/>
  <c r="J89" i="71" s="1"/>
  <c r="Q44" i="31"/>
  <c r="J62" i="71"/>
  <c r="J99" i="71" s="1"/>
  <c r="Q54" i="31"/>
  <c r="J47" i="71"/>
  <c r="J84" i="71" s="1"/>
  <c r="Q39" i="31"/>
  <c r="J46" i="71"/>
  <c r="J83" i="71" s="1"/>
  <c r="J72" i="71" l="1"/>
  <c r="Q64" i="31"/>
  <c r="J109" i="71"/>
  <c r="I47" i="16" l="1"/>
  <c r="I50" i="16"/>
  <c r="I52" i="16"/>
  <c r="I49" i="16"/>
  <c r="I54" i="16"/>
  <c r="C85" i="60"/>
  <c r="I85" i="60" s="1"/>
  <c r="O85" i="60" s="1"/>
  <c r="U85" i="60" s="1"/>
  <c r="J8" i="16" l="1"/>
  <c r="I48" i="16"/>
  <c r="I51" i="16"/>
  <c r="J13" i="16"/>
  <c r="J31" i="16" s="1"/>
  <c r="J51" i="16" s="1"/>
  <c r="J10" i="16"/>
  <c r="J28" i="16" s="1"/>
  <c r="J48" i="16" s="1"/>
  <c r="J9" i="16"/>
  <c r="J27" i="16" s="1"/>
  <c r="J47" i="16" s="1"/>
  <c r="J11" i="16"/>
  <c r="J29" i="16" s="1"/>
  <c r="J49" i="16" s="1"/>
  <c r="J14" i="16"/>
  <c r="J32" i="16" s="1"/>
  <c r="J52" i="16" s="1"/>
  <c r="I18" i="16"/>
  <c r="I36" i="16" s="1"/>
  <c r="J12" i="16"/>
  <c r="J30" i="16" s="1"/>
  <c r="J50" i="16" s="1"/>
  <c r="J15" i="16"/>
  <c r="J33" i="16" s="1"/>
  <c r="J53" i="16" s="1"/>
  <c r="C58" i="60"/>
  <c r="I58" i="60" s="1"/>
  <c r="O58" i="60" s="1"/>
  <c r="U58" i="60" s="1"/>
  <c r="I6" i="60"/>
  <c r="O6" i="60" s="1"/>
  <c r="U6" i="60" s="1"/>
  <c r="A1" i="60"/>
  <c r="Y80" i="60"/>
  <c r="T89" i="60"/>
  <c r="H87" i="60"/>
  <c r="T61" i="60"/>
  <c r="N62" i="60"/>
  <c r="H63" i="60"/>
  <c r="T37" i="60"/>
  <c r="T21" i="60"/>
  <c r="N47" i="60"/>
  <c r="N31" i="60"/>
  <c r="N15" i="60"/>
  <c r="H41" i="60"/>
  <c r="H25" i="60"/>
  <c r="H9" i="60"/>
  <c r="B68" i="60"/>
  <c r="B15" i="60"/>
  <c r="B31" i="60"/>
  <c r="B47" i="60"/>
  <c r="N87" i="60"/>
  <c r="T68" i="60"/>
  <c r="N69" i="60"/>
  <c r="H70" i="60"/>
  <c r="T44" i="60"/>
  <c r="T28" i="60"/>
  <c r="T12" i="60"/>
  <c r="N38" i="60"/>
  <c r="N22" i="60"/>
  <c r="H48" i="60"/>
  <c r="H32" i="60"/>
  <c r="H16" i="60"/>
  <c r="B61" i="60"/>
  <c r="B60" i="60"/>
  <c r="B24" i="60"/>
  <c r="B40" i="60"/>
  <c r="N90" i="60"/>
  <c r="T71" i="60"/>
  <c r="N72" i="60"/>
  <c r="H73" i="60"/>
  <c r="T47" i="60"/>
  <c r="T31" i="60"/>
  <c r="T15" i="60"/>
  <c r="N41" i="60"/>
  <c r="N25" i="60"/>
  <c r="N9" i="60"/>
  <c r="H35" i="60"/>
  <c r="H19" i="60"/>
  <c r="B92" i="60"/>
  <c r="B74" i="60"/>
  <c r="B21" i="60"/>
  <c r="B37" i="60"/>
  <c r="T90" i="60"/>
  <c r="H88" i="60"/>
  <c r="T62" i="60"/>
  <c r="N63" i="60"/>
  <c r="H64" i="60"/>
  <c r="T38" i="60"/>
  <c r="T22" i="60"/>
  <c r="N48" i="60"/>
  <c r="N32" i="60"/>
  <c r="N16" i="60"/>
  <c r="H42" i="60"/>
  <c r="H26" i="60"/>
  <c r="H10" i="60"/>
  <c r="B67" i="60"/>
  <c r="B14" i="60"/>
  <c r="B30" i="60"/>
  <c r="B46" i="60"/>
  <c r="T94" i="60"/>
  <c r="H91" i="60"/>
  <c r="T65" i="60"/>
  <c r="N66" i="60"/>
  <c r="H67" i="60"/>
  <c r="T41" i="60"/>
  <c r="T25" i="60"/>
  <c r="T9" i="60"/>
  <c r="N35" i="60"/>
  <c r="N19" i="60"/>
  <c r="H45" i="60"/>
  <c r="H29" i="60"/>
  <c r="H13" i="60"/>
  <c r="B64" i="60"/>
  <c r="B11" i="60"/>
  <c r="B27" i="60"/>
  <c r="B43" i="60"/>
  <c r="N91" i="60"/>
  <c r="T72" i="60"/>
  <c r="N73" i="60"/>
  <c r="H74" i="60"/>
  <c r="T48" i="60"/>
  <c r="T32" i="60"/>
  <c r="T16" i="60"/>
  <c r="N42" i="60"/>
  <c r="N26" i="60"/>
  <c r="N10" i="60"/>
  <c r="H36" i="60"/>
  <c r="H20" i="60"/>
  <c r="B91" i="60"/>
  <c r="B73" i="60"/>
  <c r="B20" i="60"/>
  <c r="B36" i="60"/>
  <c r="T87" i="60"/>
  <c r="T75" i="60"/>
  <c r="N77" i="60"/>
  <c r="N60" i="60"/>
  <c r="H61" i="60"/>
  <c r="T35" i="60"/>
  <c r="T19" i="60"/>
  <c r="N45" i="60"/>
  <c r="N29" i="60"/>
  <c r="N13" i="60"/>
  <c r="H39" i="60"/>
  <c r="H23" i="60"/>
  <c r="B88" i="60"/>
  <c r="B70" i="60"/>
  <c r="B17" i="60"/>
  <c r="B33" i="60"/>
  <c r="B50" i="60"/>
  <c r="H92" i="60"/>
  <c r="T66" i="60"/>
  <c r="N67" i="60"/>
  <c r="H68" i="60"/>
  <c r="T42" i="60"/>
  <c r="T26" i="60"/>
  <c r="T10" i="60"/>
  <c r="N36" i="60"/>
  <c r="N20" i="60"/>
  <c r="H46" i="60"/>
  <c r="H30" i="60"/>
  <c r="H14" i="60"/>
  <c r="B63" i="60"/>
  <c r="B26" i="60"/>
  <c r="A80" i="60"/>
  <c r="Y53" i="60"/>
  <c r="A53" i="60"/>
  <c r="Y1" i="60"/>
  <c r="N88" i="60"/>
  <c r="T69" i="60"/>
  <c r="N70" i="60"/>
  <c r="H71" i="60"/>
  <c r="T45" i="60"/>
  <c r="T29" i="60"/>
  <c r="T13" i="60"/>
  <c r="N39" i="60"/>
  <c r="N23" i="60"/>
  <c r="H50" i="60"/>
  <c r="H33" i="60"/>
  <c r="H17" i="60"/>
  <c r="B87" i="60"/>
  <c r="B77" i="60"/>
  <c r="B23" i="60"/>
  <c r="B39" i="60"/>
  <c r="T88" i="60"/>
  <c r="T77" i="60"/>
  <c r="T60" i="60"/>
  <c r="N61" i="60"/>
  <c r="H62" i="60"/>
  <c r="T36" i="60"/>
  <c r="T20" i="60"/>
  <c r="N46" i="60"/>
  <c r="N30" i="60"/>
  <c r="N14" i="60"/>
  <c r="H40" i="60"/>
  <c r="H24" i="60"/>
  <c r="H8" i="60"/>
  <c r="B69" i="60"/>
  <c r="B16" i="60"/>
  <c r="B32" i="60"/>
  <c r="T91" i="60"/>
  <c r="H89" i="60"/>
  <c r="T63" i="60"/>
  <c r="N64" i="60"/>
  <c r="H65" i="60"/>
  <c r="T39" i="60"/>
  <c r="T23" i="60"/>
  <c r="N50" i="60"/>
  <c r="N33" i="60"/>
  <c r="N17" i="60"/>
  <c r="H43" i="60"/>
  <c r="H27" i="60"/>
  <c r="H11" i="60"/>
  <c r="B66" i="60"/>
  <c r="B13" i="60"/>
  <c r="B29" i="60"/>
  <c r="B45" i="60"/>
  <c r="N89" i="60"/>
  <c r="T70" i="60"/>
  <c r="N71" i="60"/>
  <c r="H72" i="60"/>
  <c r="T46" i="60"/>
  <c r="T30" i="60"/>
  <c r="T14" i="60"/>
  <c r="N40" i="60"/>
  <c r="N24" i="60"/>
  <c r="N8" i="60"/>
  <c r="H34" i="60"/>
  <c r="H18" i="60"/>
  <c r="B94" i="60"/>
  <c r="B75" i="60"/>
  <c r="B22" i="60"/>
  <c r="B38" i="60"/>
  <c r="B44" i="60"/>
  <c r="N92" i="60"/>
  <c r="T73" i="60"/>
  <c r="N74" i="60"/>
  <c r="H75" i="60"/>
  <c r="T50" i="60"/>
  <c r="T33" i="60"/>
  <c r="T17" i="60"/>
  <c r="N43" i="60"/>
  <c r="N27" i="60"/>
  <c r="N11" i="60"/>
  <c r="H37" i="60"/>
  <c r="H21" i="60"/>
  <c r="B90" i="60"/>
  <c r="B72" i="60"/>
  <c r="B19" i="60"/>
  <c r="B35" i="60"/>
  <c r="T92" i="60"/>
  <c r="H90" i="60"/>
  <c r="T64" i="60"/>
  <c r="N65" i="60"/>
  <c r="H66" i="60"/>
  <c r="T40" i="60"/>
  <c r="T24" i="60"/>
  <c r="T8" i="60"/>
  <c r="N34" i="60"/>
  <c r="N18" i="60"/>
  <c r="H44" i="60"/>
  <c r="H28" i="60"/>
  <c r="H12" i="60"/>
  <c r="B65" i="60"/>
  <c r="B12" i="60"/>
  <c r="B28" i="60"/>
  <c r="B48" i="60"/>
  <c r="H94" i="60"/>
  <c r="T67" i="60"/>
  <c r="N68" i="60"/>
  <c r="H69" i="60"/>
  <c r="T43" i="60"/>
  <c r="T27" i="60"/>
  <c r="T11" i="60"/>
  <c r="N37" i="60"/>
  <c r="N21" i="60"/>
  <c r="H47" i="60"/>
  <c r="H31" i="60"/>
  <c r="H15" i="60"/>
  <c r="B62" i="60"/>
  <c r="B9" i="60"/>
  <c r="B25" i="60"/>
  <c r="B41" i="60"/>
  <c r="N94" i="60"/>
  <c r="T74" i="60"/>
  <c r="N75" i="60"/>
  <c r="H77" i="60"/>
  <c r="H60" i="60"/>
  <c r="T34" i="60"/>
  <c r="T18" i="60"/>
  <c r="N44" i="60"/>
  <c r="N28" i="60"/>
  <c r="N12" i="60"/>
  <c r="H38" i="60"/>
  <c r="H22" i="60"/>
  <c r="B89" i="60"/>
  <c r="B71" i="60"/>
  <c r="B18" i="60"/>
  <c r="B34" i="60"/>
  <c r="B10" i="60"/>
  <c r="B42" i="60"/>
  <c r="B8" i="60"/>
  <c r="J26" i="16" l="1"/>
  <c r="J46" i="16" s="1"/>
  <c r="I56" i="16"/>
  <c r="J18" i="16"/>
  <c r="J36" i="16" s="1"/>
  <c r="J56" i="16" s="1"/>
  <c r="Q15" i="31"/>
  <c r="Q11" i="31"/>
  <c r="Q13" i="31"/>
  <c r="Q9" i="31"/>
  <c r="Q14" i="31"/>
  <c r="Q8" i="31"/>
  <c r="Q10" i="31"/>
  <c r="Q12" i="31"/>
  <c r="B61" i="12" l="1"/>
  <c r="B89" i="12"/>
  <c r="B19" i="11"/>
  <c r="M230" i="21" s="1"/>
  <c r="B31" i="12"/>
  <c r="M4" i="11"/>
  <c r="B44" i="11"/>
  <c r="B5" i="15"/>
  <c r="A1" i="15" s="1"/>
  <c r="A59" i="12"/>
  <c r="A257" i="21" l="1"/>
  <c r="A227" i="21"/>
  <c r="B87" i="15"/>
  <c r="M6" i="19" s="1"/>
  <c r="A1" i="19" s="1"/>
  <c r="B119" i="15"/>
  <c r="M10" i="19" s="1"/>
  <c r="B93" i="15"/>
  <c r="M36" i="19" s="1"/>
  <c r="B114" i="15"/>
  <c r="M15" i="19" s="1"/>
  <c r="B110" i="15"/>
  <c r="M19" i="19" s="1"/>
  <c r="B105" i="15"/>
  <c r="M24" i="19" s="1"/>
  <c r="B112" i="15"/>
  <c r="M17" i="19" s="1"/>
  <c r="B108" i="15"/>
  <c r="M21" i="19" s="1"/>
  <c r="B103" i="15"/>
  <c r="M26" i="19" s="1"/>
  <c r="B113" i="15"/>
  <c r="M16" i="19" s="1"/>
  <c r="B118" i="15"/>
  <c r="M11" i="19" s="1"/>
  <c r="B109" i="15"/>
  <c r="M20" i="19" s="1"/>
  <c r="B120" i="15"/>
  <c r="M9" i="19" s="1"/>
  <c r="B104" i="15"/>
  <c r="M25" i="19" s="1"/>
  <c r="B115" i="15"/>
  <c r="M14" i="19" s="1"/>
  <c r="B111" i="15"/>
  <c r="M18" i="19" s="1"/>
  <c r="B65" i="15"/>
  <c r="A44" i="15"/>
  <c r="B81" i="15"/>
  <c r="B71" i="15"/>
  <c r="B76" i="15"/>
  <c r="B74" i="15"/>
  <c r="B75" i="15"/>
  <c r="B72" i="15"/>
  <c r="B73" i="15"/>
  <c r="B54" i="15"/>
  <c r="H5" i="15"/>
  <c r="B48" i="15" s="1"/>
  <c r="H48" i="15"/>
  <c r="B93" i="12" l="1"/>
  <c r="B66" i="12"/>
  <c r="B15" i="15"/>
  <c r="B97" i="15" s="1"/>
  <c r="M32" i="19" s="1"/>
  <c r="B47" i="11"/>
  <c r="M7" i="11"/>
  <c r="B18" i="15"/>
  <c r="B100" i="15" s="1"/>
  <c r="M29" i="19" s="1"/>
  <c r="B67" i="12"/>
  <c r="B16" i="15"/>
  <c r="B98" i="15" s="1"/>
  <c r="M31" i="19" s="1"/>
  <c r="B94" i="12"/>
  <c r="B50" i="11"/>
  <c r="B35" i="15"/>
  <c r="B117" i="15" s="1"/>
  <c r="M12" i="19" s="1"/>
  <c r="M10" i="11"/>
  <c r="B13" i="15"/>
  <c r="B95" i="15" s="1"/>
  <c r="M34" i="19" s="1"/>
  <c r="B46" i="11"/>
  <c r="M6" i="11"/>
  <c r="B77" i="12"/>
  <c r="B104" i="12"/>
  <c r="B100" i="12"/>
  <c r="B73" i="12"/>
  <c r="B97" i="12"/>
  <c r="B70" i="12"/>
  <c r="B95" i="12"/>
  <c r="B68" i="12"/>
  <c r="B10" i="15"/>
  <c r="B92" i="15" s="1"/>
  <c r="M37" i="19" s="1"/>
  <c r="B101" i="12"/>
  <c r="B74" i="12"/>
  <c r="B90" i="12"/>
  <c r="B8" i="15"/>
  <c r="B90" i="15" s="1"/>
  <c r="M39" i="19" s="1"/>
  <c r="B9" i="15"/>
  <c r="B91" i="15" s="1"/>
  <c r="M38" i="19" s="1"/>
  <c r="B91" i="12"/>
  <c r="B64" i="12"/>
  <c r="B20" i="15"/>
  <c r="B102" i="15" s="1"/>
  <c r="M27" i="19" s="1"/>
  <c r="M8" i="11"/>
  <c r="B48" i="11"/>
  <c r="B78" i="12"/>
  <c r="B105" i="12"/>
  <c r="M5" i="11"/>
  <c r="B45" i="11"/>
  <c r="B14" i="11"/>
  <c r="N268" i="21" s="1"/>
  <c r="B7" i="15"/>
  <c r="B89" i="15" s="1"/>
  <c r="B99" i="12"/>
  <c r="B72" i="12"/>
  <c r="B49" i="11"/>
  <c r="B25" i="15"/>
  <c r="B107" i="15" s="1"/>
  <c r="M22" i="19" s="1"/>
  <c r="M9" i="11"/>
  <c r="B76" i="12"/>
  <c r="B103" i="12"/>
  <c r="B96" i="12"/>
  <c r="B69" i="12"/>
  <c r="B98" i="12"/>
  <c r="B71" i="12"/>
  <c r="B102" i="12"/>
  <c r="B75" i="12"/>
  <c r="B65" i="12"/>
  <c r="B92" i="12"/>
  <c r="B14" i="15"/>
  <c r="B96" i="15" s="1"/>
  <c r="M33" i="19" s="1"/>
  <c r="H54" i="15" l="1"/>
  <c r="M40" i="19"/>
  <c r="H72" i="15"/>
  <c r="H73" i="15"/>
  <c r="H76" i="15"/>
  <c r="H74" i="15"/>
  <c r="H75" i="15"/>
  <c r="B40" i="15"/>
  <c r="B41" i="11"/>
  <c r="R12" i="11"/>
  <c r="B52" i="11"/>
  <c r="B22" i="11"/>
  <c r="M234" i="21" s="1"/>
  <c r="B20" i="11"/>
  <c r="M236" i="21" s="1"/>
  <c r="B24" i="11"/>
  <c r="M232" i="21" s="1"/>
  <c r="H79" i="15"/>
  <c r="B79" i="15"/>
  <c r="H36" i="15"/>
  <c r="H14" i="15"/>
  <c r="B57" i="15"/>
  <c r="H57" i="15"/>
  <c r="B21" i="11"/>
  <c r="M235" i="21" s="1"/>
  <c r="B78" i="15"/>
  <c r="H35" i="15"/>
  <c r="H28" i="15"/>
  <c r="H71" i="15"/>
  <c r="B52" i="15"/>
  <c r="H52" i="15"/>
  <c r="H9" i="15"/>
  <c r="B63" i="15"/>
  <c r="H20" i="15"/>
  <c r="H66" i="15"/>
  <c r="H23" i="15"/>
  <c r="B66" i="15"/>
  <c r="B23" i="11"/>
  <c r="M233" i="21" s="1"/>
  <c r="B70" i="15"/>
  <c r="H27" i="15"/>
  <c r="H70" i="15"/>
  <c r="B64" i="15"/>
  <c r="H64" i="15"/>
  <c r="H21" i="15"/>
  <c r="B25" i="11"/>
  <c r="M231" i="21" s="1"/>
  <c r="H58" i="15"/>
  <c r="H15" i="15"/>
  <c r="B58" i="15"/>
  <c r="H51" i="15"/>
  <c r="B51" i="15"/>
  <c r="H8" i="15"/>
  <c r="B27" i="11"/>
  <c r="M12" i="11"/>
  <c r="H25" i="15"/>
  <c r="B68" i="15"/>
  <c r="H69" i="15"/>
  <c r="H26" i="15"/>
  <c r="B69" i="15"/>
  <c r="H13" i="15"/>
  <c r="B56" i="15"/>
  <c r="H80" i="15"/>
  <c r="H37" i="15"/>
  <c r="B80" i="15"/>
  <c r="B61" i="15"/>
  <c r="H18" i="15"/>
  <c r="H22" i="15"/>
  <c r="H65" i="15"/>
  <c r="H38" i="15"/>
  <c r="H81" i="15"/>
  <c r="B50" i="15"/>
  <c r="H7" i="15"/>
  <c r="B55" i="12"/>
  <c r="B53" i="15"/>
  <c r="H10" i="15"/>
  <c r="H53" i="15"/>
  <c r="B59" i="15"/>
  <c r="H16" i="15"/>
  <c r="H59" i="15"/>
  <c r="H78" i="15" l="1"/>
  <c r="B122" i="15"/>
  <c r="M7" i="19" s="1"/>
  <c r="H56" i="15"/>
  <c r="H61" i="15"/>
  <c r="H50" i="15"/>
  <c r="H68" i="15"/>
  <c r="H63" i="15"/>
  <c r="H40" i="15"/>
  <c r="B83" i="15"/>
  <c r="H83" i="15"/>
  <c r="H99" i="18"/>
  <c r="H80" i="18"/>
  <c r="H86" i="18"/>
  <c r="H95" i="18"/>
  <c r="H51" i="18"/>
  <c r="H63" i="18"/>
  <c r="H76" i="18"/>
  <c r="H59" i="18"/>
  <c r="B103" i="18"/>
  <c r="H91" i="18"/>
  <c r="H103" i="18"/>
  <c r="H69" i="18"/>
</calcChain>
</file>

<file path=xl/sharedStrings.xml><?xml version="1.0" encoding="utf-8"?>
<sst xmlns="http://schemas.openxmlformats.org/spreadsheetml/2006/main" count="3243" uniqueCount="547">
  <si>
    <t>All industries</t>
  </si>
  <si>
    <t>Pharmaceuticals</t>
  </si>
  <si>
    <t>Construction</t>
  </si>
  <si>
    <t>Education</t>
  </si>
  <si>
    <t>6-Industry</t>
  </si>
  <si>
    <t>Engineering</t>
  </si>
  <si>
    <t>Rest of manufacturing</t>
  </si>
  <si>
    <t>Health and social work</t>
  </si>
  <si>
    <t>Manufacturing</t>
  </si>
  <si>
    <t>Elementary occupations</t>
  </si>
  <si>
    <t>All occupations</t>
  </si>
  <si>
    <t xml:space="preserve"> </t>
  </si>
  <si>
    <t>Set new years here:-</t>
  </si>
  <si>
    <t>Levels (000s)</t>
  </si>
  <si>
    <t>Growth (% per annum)</t>
  </si>
  <si>
    <t>Change (000s)</t>
  </si>
  <si>
    <t>Existing years</t>
  </si>
  <si>
    <t>Levels</t>
  </si>
  <si>
    <t>Change</t>
  </si>
  <si>
    <t>Absolute levels and changes (000s)</t>
  </si>
  <si>
    <t>Annual growth and industry shares (percent)</t>
  </si>
  <si>
    <t>Annual growth and occupation shares (percent)</t>
  </si>
  <si>
    <t>1st</t>
  </si>
  <si>
    <t>2nd</t>
  </si>
  <si>
    <t>3rd</t>
  </si>
  <si>
    <t>4th</t>
  </si>
  <si>
    <t>5th</t>
  </si>
  <si>
    <t>to</t>
  </si>
  <si>
    <t>Years shown from</t>
  </si>
  <si>
    <t>Net</t>
  </si>
  <si>
    <t>Replacement</t>
  </si>
  <si>
    <t>Demand</t>
  </si>
  <si>
    <t>Total</t>
  </si>
  <si>
    <t>Requirement</t>
  </si>
  <si>
    <t>per cent</t>
  </si>
  <si>
    <t>thousands</t>
  </si>
  <si>
    <t>% per annum</t>
  </si>
  <si>
    <t>All qualifications</t>
  </si>
  <si>
    <t>Qualification</t>
  </si>
  <si>
    <t>Total Requirement</t>
  </si>
  <si>
    <t>Net Change</t>
  </si>
  <si>
    <t>Growth % per annum</t>
  </si>
  <si>
    <t>RD p.a%</t>
  </si>
  <si>
    <t>Replace-ment Demand</t>
  </si>
  <si>
    <t>Total Require-ment</t>
  </si>
  <si>
    <t>Years used in the formula for RD p.a%</t>
  </si>
  <si>
    <t>Pre-primary education</t>
  </si>
  <si>
    <t>Primary education (1st stage basic)</t>
  </si>
  <si>
    <t>Lower secondary education (2nd stage basic)</t>
  </si>
  <si>
    <t>Upper secondary education</t>
  </si>
  <si>
    <t>Post-secondary non-tertiary education</t>
  </si>
  <si>
    <t>First stage of tertiary education</t>
  </si>
  <si>
    <t>Second stage of tertiary education</t>
  </si>
  <si>
    <t>Components of change</t>
  </si>
  <si>
    <t>Base year</t>
  </si>
  <si>
    <t>Target year</t>
  </si>
  <si>
    <t>Scale effect</t>
  </si>
  <si>
    <t>Occupation effect</t>
  </si>
  <si>
    <t>Industry mix effect</t>
  </si>
  <si>
    <t>SOC2010 Sub-Major Groups</t>
  </si>
  <si>
    <t>000s</t>
  </si>
  <si>
    <t>% share</t>
  </si>
  <si>
    <t xml:space="preserve">%   </t>
  </si>
  <si>
    <t>Engineering [26-28]</t>
  </si>
  <si>
    <t>Pharmaceuticals [21]</t>
  </si>
  <si>
    <t>Construction [41-43]</t>
  </si>
  <si>
    <t>Education [85]</t>
  </si>
  <si>
    <t>Health and social work [86-88]</t>
  </si>
  <si>
    <t>Industry Mix Effect ("shift")</t>
  </si>
  <si>
    <t>Occupation effect                   ("share")</t>
  </si>
  <si>
    <t>occ share</t>
  </si>
  <si>
    <t>Target Year</t>
  </si>
  <si>
    <t>All Occupations (Base Year)</t>
  </si>
  <si>
    <t>Notes.    Benchmark projections generated by E3ME and WLME.</t>
  </si>
  <si>
    <r>
      <t>The “</t>
    </r>
    <r>
      <rPr>
        <b/>
        <i/>
        <sz val="9"/>
        <rFont val="Arial"/>
        <family val="2"/>
      </rPr>
      <t>Scale effect</t>
    </r>
    <r>
      <rPr>
        <sz val="9"/>
        <rFont val="Arial"/>
        <family val="2"/>
      </rPr>
      <t>”  shows the changes that would have occurred if employment in each occupation and industry grew at the same rate as for total employment.</t>
    </r>
  </si>
  <si>
    <r>
      <t xml:space="preserve">The </t>
    </r>
    <r>
      <rPr>
        <b/>
        <i/>
        <sz val="9"/>
        <rFont val="Arial"/>
        <family val="2"/>
      </rPr>
      <t>industry mix</t>
    </r>
    <r>
      <rPr>
        <sz val="9"/>
        <rFont val="Arial"/>
        <family val="2"/>
      </rPr>
      <t xml:space="preserve"> or “</t>
    </r>
    <r>
      <rPr>
        <b/>
        <i/>
        <sz val="9"/>
        <rFont val="Arial"/>
        <family val="2"/>
      </rPr>
      <t>shift</t>
    </r>
    <r>
      <rPr>
        <sz val="9"/>
        <rFont val="Arial"/>
        <family val="2"/>
      </rPr>
      <t xml:space="preserve">” effect  shows the contributions that would have been made if the occupational mix in each industry had remained constant (the industry mix or “shift” effect). </t>
    </r>
  </si>
  <si>
    <t xml:space="preserve">This has been calculated using ratios of change for total employment  in the industry,  divided by the ratio of change for all industries (to net out the scale effect). </t>
  </si>
  <si>
    <r>
      <t xml:space="preserve">It therefore differs from the “shift” effect reported in Meagher </t>
    </r>
    <r>
      <rPr>
        <i/>
        <sz val="9"/>
        <rFont val="Arial"/>
        <family val="2"/>
      </rPr>
      <t>et al.</t>
    </r>
    <r>
      <rPr>
        <sz val="9"/>
        <rFont val="Arial"/>
        <family val="2"/>
      </rPr>
      <t xml:space="preserve"> (2013) which also incorporates the scale effect.</t>
    </r>
  </si>
  <si>
    <r>
      <t xml:space="preserve">The contributions due to changes in </t>
    </r>
    <r>
      <rPr>
        <b/>
        <i/>
        <sz val="9"/>
        <rFont val="Arial"/>
        <family val="2"/>
      </rPr>
      <t>occupational mix</t>
    </r>
    <r>
      <rPr>
        <sz val="9"/>
        <rFont val="Arial"/>
        <family val="2"/>
      </rPr>
      <t xml:space="preserve"> (the “</t>
    </r>
    <r>
      <rPr>
        <b/>
        <i/>
        <sz val="9"/>
        <rFont val="Arial"/>
        <family val="2"/>
      </rPr>
      <t>share</t>
    </r>
    <r>
      <rPr>
        <sz val="9"/>
        <rFont val="Arial"/>
        <family val="2"/>
      </rPr>
      <t>”  effect) are calculated as the residual of the total change net of the scale effect and the industry mix (or “shift”) effect.</t>
    </r>
  </si>
  <si>
    <r>
      <t xml:space="preserve">Column 2 in the shift-share tables reported in Meagher </t>
    </r>
    <r>
      <rPr>
        <i/>
        <sz val="9"/>
        <rFont val="Arial"/>
        <family val="2"/>
      </rPr>
      <t>et al</t>
    </r>
    <r>
      <rPr>
        <sz val="9"/>
        <rFont val="Arial"/>
        <family val="2"/>
      </rPr>
      <t>. (2013)  (the “shift” effect) can be formed by adding the scale and industry effects  in % terms, as shown here.</t>
    </r>
  </si>
  <si>
    <t>Agriculture, etc</t>
  </si>
  <si>
    <t>Mining and quarrying</t>
  </si>
  <si>
    <t>Electrical equipment</t>
  </si>
  <si>
    <t>Wholesale and retail trade</t>
  </si>
  <si>
    <t>Media</t>
  </si>
  <si>
    <t>Telecommunications</t>
  </si>
  <si>
    <t>Health</t>
  </si>
  <si>
    <t>Arts and entertainment</t>
  </si>
  <si>
    <t>Mining and quarrying [05-09]</t>
  </si>
  <si>
    <t>Electrical equipment [27]</t>
  </si>
  <si>
    <t>Rest of manufacturing [13-25,29-33]</t>
  </si>
  <si>
    <t>Wholesale and retail trade [45-47]</t>
  </si>
  <si>
    <t>Telecommunications [61]</t>
  </si>
  <si>
    <t>Arts and entertainment [90-93]</t>
  </si>
  <si>
    <t>Media [58-60]</t>
  </si>
  <si>
    <t>Manufacturing [10-33]</t>
  </si>
  <si>
    <t>Current Input File:</t>
  </si>
  <si>
    <t>Manager</t>
  </si>
  <si>
    <t>Males</t>
  </si>
  <si>
    <t>Females</t>
  </si>
  <si>
    <t>Males and females</t>
  </si>
  <si>
    <t>Population</t>
  </si>
  <si>
    <t>Labour Force</t>
  </si>
  <si>
    <t>65+</t>
  </si>
  <si>
    <t>(in age bands)</t>
  </si>
  <si>
    <t>Where does the data come from for this? (LPB)</t>
  </si>
  <si>
    <t>Note: For Belgium there is no European LFS data for some of the ISCED Qualifications.</t>
  </si>
  <si>
    <t>15-19</t>
  </si>
  <si>
    <t>20-24</t>
  </si>
  <si>
    <t>25-29</t>
  </si>
  <si>
    <t>30-34</t>
  </si>
  <si>
    <t>35-39</t>
  </si>
  <si>
    <t>40-44</t>
  </si>
  <si>
    <t>45-49</t>
  </si>
  <si>
    <t>50-54</t>
  </si>
  <si>
    <t>55-59</t>
  </si>
  <si>
    <t>60-64</t>
  </si>
  <si>
    <t>15+</t>
  </si>
  <si>
    <t>All Low qualifications</t>
  </si>
  <si>
    <t>All Medium qualifications</t>
  </si>
  <si>
    <t>All High qualifications</t>
  </si>
  <si>
    <t>Date run</t>
  </si>
  <si>
    <t>Basic metals [24]</t>
  </si>
  <si>
    <t>Metal products [25]</t>
  </si>
  <si>
    <t>Publishing activities [58]</t>
  </si>
  <si>
    <t>Financial services [64]</t>
  </si>
  <si>
    <t>Employment activities [78]</t>
  </si>
  <si>
    <t>Membership organisations [94]</t>
  </si>
  <si>
    <t>Other manufacturing</t>
  </si>
  <si>
    <t>Sewerage</t>
  </si>
  <si>
    <t>Civil engineering</t>
  </si>
  <si>
    <t>Water transport</t>
  </si>
  <si>
    <t>Air transport</t>
  </si>
  <si>
    <t>Accommodation</t>
  </si>
  <si>
    <t>Publishing activities</t>
  </si>
  <si>
    <t>Scientific research and development</t>
  </si>
  <si>
    <t>Employment activities</t>
  </si>
  <si>
    <t>Choose Database File</t>
  </si>
  <si>
    <t>Replacement Demand rate</t>
  </si>
  <si>
    <t>Replacement Demand level</t>
  </si>
  <si>
    <t>Database</t>
  </si>
  <si>
    <t>Database current</t>
  </si>
  <si>
    <t>To return to this sheet from any page, just click the home icon</t>
  </si>
  <si>
    <t>Sheet name</t>
  </si>
  <si>
    <t>Contents</t>
  </si>
  <si>
    <t>WARNING</t>
  </si>
  <si>
    <t>BUSINESS REGISTER AND EMPLOYMENT SURVEY</t>
  </si>
  <si>
    <t>THESE DATA HAVE BEEN COLLECTED</t>
  </si>
  <si>
    <t>UNDER THE TERMS OF THE Statistics of Trade Act 1947</t>
  </si>
  <si>
    <t>THE ESTIMATES ARE BASED ON DATA ONS HAVE PLACED IN THE PUBLIC DOMAIN</t>
  </si>
  <si>
    <t>REPORTING</t>
  </si>
  <si>
    <t>The projections presented in this Workbook are calculated from a number of different data sources, using</t>
  </si>
  <si>
    <t>a variety of econometric and statistical techniques. As a result, precise margins of error cannot be assigned</t>
  </si>
  <si>
    <t>For unpublished analyses, a more lenient criterion can be used. However, the uncertainties associated with</t>
  </si>
  <si>
    <t>However, there is inevitably some degree of judgement required on the part of the researcher.</t>
  </si>
  <si>
    <t>For cases in between 1,000 and 10,000 individuals, it is difficult to prescribe general rules, and an element of</t>
  </si>
  <si>
    <t>publishable then the equivalent figures in the workbooks should not be published. Where the focus is on</t>
  </si>
  <si>
    <t>self-employment or upon occupations, a more stringent cut-off should be applied.</t>
  </si>
  <si>
    <t>PUBLISHED DATA: Ideally, a minimum of 10,000 individuals per cell</t>
  </si>
  <si>
    <t>UNPUBLISHED DATA: A minimum of 1,000 individuals per cell</t>
  </si>
  <si>
    <t>Aggregation of 75 detailed industries to 22 Industry groups</t>
  </si>
  <si>
    <t>Agriculture [01-03]</t>
  </si>
  <si>
    <t>Agriculture, etc [01-03]</t>
  </si>
  <si>
    <t>Coal, oil &amp; gas; Mining &amp; related [05-09]</t>
  </si>
  <si>
    <t>Food drink and tobacco [10-12]</t>
  </si>
  <si>
    <t>Food products [10]</t>
  </si>
  <si>
    <t>Beverages &amp; tobacco [11-12]</t>
  </si>
  <si>
    <t>Computers, etc [26]</t>
  </si>
  <si>
    <t>Machinery, etc [28]</t>
  </si>
  <si>
    <t>Textiles [13]</t>
  </si>
  <si>
    <t>Wearing apparel; Leather, etc [14,15]</t>
  </si>
  <si>
    <t>Wood, etc [16]</t>
  </si>
  <si>
    <t>Paper, etc [17]</t>
  </si>
  <si>
    <t>Printing &amp; recording [18]</t>
  </si>
  <si>
    <t>Coke &amp; refining; Chemicals,etc [19,20]</t>
  </si>
  <si>
    <t>Rubber &amp; plastic [22]</t>
  </si>
  <si>
    <t>Other non-metallic [23]</t>
  </si>
  <si>
    <t>Motor vehicles, etc [29]</t>
  </si>
  <si>
    <t>Other trans. equipment [30]</t>
  </si>
  <si>
    <t>Furniture [31]</t>
  </si>
  <si>
    <t>Other manufacturing [32]</t>
  </si>
  <si>
    <t>Repair &amp; installation [33]</t>
  </si>
  <si>
    <t>Electricity and gas [35]</t>
  </si>
  <si>
    <t>Electricity, gas, etc [35]</t>
  </si>
  <si>
    <t>Water and sewerage [36-39]</t>
  </si>
  <si>
    <t>Water [36]</t>
  </si>
  <si>
    <t>Sewerage [37]</t>
  </si>
  <si>
    <t>Waste management [38-39]</t>
  </si>
  <si>
    <t>Construction [41]</t>
  </si>
  <si>
    <t>Civil engineering [42]</t>
  </si>
  <si>
    <t>Specialised construction [43]</t>
  </si>
  <si>
    <t>Sale of motor vehicles [45]</t>
  </si>
  <si>
    <t>Wholesale trade [46]</t>
  </si>
  <si>
    <t>Retail trade [47]</t>
  </si>
  <si>
    <t>Transport and storage [49-53]</t>
  </si>
  <si>
    <t>Land transport, etc [49]</t>
  </si>
  <si>
    <t>Water transport [50]</t>
  </si>
  <si>
    <t>Air transport [51]</t>
  </si>
  <si>
    <t>Warehousing, etc [52]</t>
  </si>
  <si>
    <t>Postal, etc [53]</t>
  </si>
  <si>
    <t>Accommodation and food [55-56]</t>
  </si>
  <si>
    <t>Accommodation [55]</t>
  </si>
  <si>
    <t>Food &amp; beverage services [56]</t>
  </si>
  <si>
    <t>Film &amp;  music [59]</t>
  </si>
  <si>
    <t>Broadcasting [60]</t>
  </si>
  <si>
    <t>Information technology [61-63]</t>
  </si>
  <si>
    <t>Computer programming, etc [62]</t>
  </si>
  <si>
    <t>Information services [63]</t>
  </si>
  <si>
    <t>Finance and insurance [64-66]</t>
  </si>
  <si>
    <t>Insurance &amp; pensions [65]</t>
  </si>
  <si>
    <t>Auxiliary  services [66]</t>
  </si>
  <si>
    <t>Real estate [68]</t>
  </si>
  <si>
    <t>Professional services [69-75]</t>
  </si>
  <si>
    <t>Legal &amp; accounting [69]</t>
  </si>
  <si>
    <t>Head offices, etc [70]</t>
  </si>
  <si>
    <t>Architectural &amp; related [71]</t>
  </si>
  <si>
    <t>Scientific research [72]</t>
  </si>
  <si>
    <t>Advertising, etc [73]</t>
  </si>
  <si>
    <t>Other professional [74]</t>
  </si>
  <si>
    <t>Veterinary [75]</t>
  </si>
  <si>
    <t>Support services [77-82]</t>
  </si>
  <si>
    <t>Rental &amp; leasing [77]</t>
  </si>
  <si>
    <t>Travel, etc [79]</t>
  </si>
  <si>
    <t>Security, etc [80]</t>
  </si>
  <si>
    <t>Services to buildings [81]</t>
  </si>
  <si>
    <t>Office admin. [82]</t>
  </si>
  <si>
    <t>Public admin. and defence [84]</t>
  </si>
  <si>
    <t>Public admin. &amp; defence [84]</t>
  </si>
  <si>
    <t>Health [86]</t>
  </si>
  <si>
    <t>Residential care [87]</t>
  </si>
  <si>
    <t>Social work [88]</t>
  </si>
  <si>
    <t>Arts &amp; entertainment [90]</t>
  </si>
  <si>
    <t>Libraries, etc [91]</t>
  </si>
  <si>
    <t>Gambling [92]</t>
  </si>
  <si>
    <t>Sport &amp; recreation [93]</t>
  </si>
  <si>
    <t>Other services [94-99]</t>
  </si>
  <si>
    <t>Repair of  goods [95]</t>
  </si>
  <si>
    <t>Other personal service [96-99]</t>
  </si>
  <si>
    <t>Aggregation of 75 detailed industries to 6 Broad industrial sectors</t>
  </si>
  <si>
    <t>Primary sector and utilities [01-09,35-39]</t>
  </si>
  <si>
    <t>Trade, accomod. and transport [45-56]</t>
  </si>
  <si>
    <t>Business and other services [58-82,90-99]</t>
  </si>
  <si>
    <t>Non-market services [84-88]</t>
  </si>
  <si>
    <t>Primary sector and utilities</t>
  </si>
  <si>
    <t>Trade, accomod. and transport</t>
  </si>
  <si>
    <t>Business and other services</t>
  </si>
  <si>
    <t>75-Industry</t>
  </si>
  <si>
    <t>Coal, oil &amp; gas; Mining &amp; related</t>
  </si>
  <si>
    <t>Food products</t>
  </si>
  <si>
    <t>Beverages and tobacco</t>
  </si>
  <si>
    <t>Textiles</t>
  </si>
  <si>
    <t>Wearing apparel; Leather, etc</t>
  </si>
  <si>
    <t xml:space="preserve">Wood and cork </t>
  </si>
  <si>
    <t>Paper, etc</t>
  </si>
  <si>
    <t>Printing and recording</t>
  </si>
  <si>
    <t>Coke and petroleum; Chemicals, etc</t>
  </si>
  <si>
    <t>Rubber and plastic</t>
  </si>
  <si>
    <t>Other non-metallic</t>
  </si>
  <si>
    <t>Basic metals</t>
  </si>
  <si>
    <t>Metal products</t>
  </si>
  <si>
    <t>Computer, etc</t>
  </si>
  <si>
    <t>Machinery n.e.c.</t>
  </si>
  <si>
    <t>Motor vehicles, etc</t>
  </si>
  <si>
    <t>Other transport equipment</t>
  </si>
  <si>
    <t>Furniture</t>
  </si>
  <si>
    <t>Repair and installation</t>
  </si>
  <si>
    <t>Electricity, gas, etc</t>
  </si>
  <si>
    <t>Water</t>
  </si>
  <si>
    <t>Waste management</t>
  </si>
  <si>
    <t>Specialised construction</t>
  </si>
  <si>
    <t>Motor vehicle trade</t>
  </si>
  <si>
    <t>Wholesale trade</t>
  </si>
  <si>
    <t>Retail trade</t>
  </si>
  <si>
    <t>Land transport, etc</t>
  </si>
  <si>
    <t>Warehousing, etc</t>
  </si>
  <si>
    <t>Postal and courier</t>
  </si>
  <si>
    <t>Food and beverage services</t>
  </si>
  <si>
    <t>Film and music</t>
  </si>
  <si>
    <t>Broadcasting</t>
  </si>
  <si>
    <t>Computing services</t>
  </si>
  <si>
    <t>Information services</t>
  </si>
  <si>
    <t>Financial services</t>
  </si>
  <si>
    <t>Insurance and pensions</t>
  </si>
  <si>
    <t>Auxiliary financial services</t>
  </si>
  <si>
    <t>Real estate</t>
  </si>
  <si>
    <t>Legal and accounting</t>
  </si>
  <si>
    <t>Head offices, etc</t>
  </si>
  <si>
    <t>Architectural and related</t>
  </si>
  <si>
    <t>Advertising, etc</t>
  </si>
  <si>
    <t>Other professional</t>
  </si>
  <si>
    <t>Veterinary</t>
  </si>
  <si>
    <t>Rental and leasing</t>
  </si>
  <si>
    <t>Travel, etc</t>
  </si>
  <si>
    <t>Security, etc</t>
  </si>
  <si>
    <t>Services to buildings</t>
  </si>
  <si>
    <t>Office administrative</t>
  </si>
  <si>
    <t>Public administration and defence</t>
  </si>
  <si>
    <t xml:space="preserve">Education </t>
  </si>
  <si>
    <t>Residential care</t>
  </si>
  <si>
    <t>Social work</t>
  </si>
  <si>
    <t>Libraries, etc</t>
  </si>
  <si>
    <t>Gambling and betting</t>
  </si>
  <si>
    <t>Sport and recreation</t>
  </si>
  <si>
    <t>Membership organisations</t>
  </si>
  <si>
    <t>Repair of goods</t>
  </si>
  <si>
    <t>Other personal service</t>
  </si>
  <si>
    <t>22-Industry</t>
  </si>
  <si>
    <t>Agriculture</t>
  </si>
  <si>
    <t>Food drink and tobacco</t>
  </si>
  <si>
    <t>Electricity and gas</t>
  </si>
  <si>
    <t>Water and sewerage</t>
  </si>
  <si>
    <t>Transport and storage</t>
  </si>
  <si>
    <t>Accommodation and food</t>
  </si>
  <si>
    <t>Information technology</t>
  </si>
  <si>
    <t>Finance and insurance</t>
  </si>
  <si>
    <t>Professional services</t>
  </si>
  <si>
    <t>Support services</t>
  </si>
  <si>
    <t>Public admin. and defence</t>
  </si>
  <si>
    <t>Other services</t>
  </si>
  <si>
    <t>Sub-major group names:</t>
  </si>
  <si>
    <t>9-Occupation</t>
  </si>
  <si>
    <t>Major group names:</t>
  </si>
  <si>
    <t>Managers, directors and senior officials</t>
  </si>
  <si>
    <t>Professional occupations</t>
  </si>
  <si>
    <t>Skilled trades occupations</t>
  </si>
  <si>
    <t>Process, plant and machine operatives</t>
  </si>
  <si>
    <t>9-Qualification names:</t>
  </si>
  <si>
    <t>No Qualification</t>
  </si>
  <si>
    <t>Gender names:</t>
  </si>
  <si>
    <t>Status names:</t>
  </si>
  <si>
    <t>M+F</t>
  </si>
  <si>
    <t>All</t>
  </si>
  <si>
    <t>All in employment</t>
  </si>
  <si>
    <t>M</t>
  </si>
  <si>
    <t>EE</t>
  </si>
  <si>
    <t>Employees in employment</t>
  </si>
  <si>
    <t>F</t>
  </si>
  <si>
    <t>SE</t>
  </si>
  <si>
    <t>Self-employment</t>
  </si>
  <si>
    <t>FT</t>
  </si>
  <si>
    <t>Full-time employees</t>
  </si>
  <si>
    <t>PT</t>
  </si>
  <si>
    <t>Part-time employees</t>
  </si>
  <si>
    <t>Industry groups</t>
  </si>
  <si>
    <t>Industry sectors</t>
  </si>
  <si>
    <t>6-Qualification names:</t>
  </si>
  <si>
    <t>Qualification groups</t>
  </si>
  <si>
    <t>Industry</t>
  </si>
  <si>
    <t>Industry Group [SIC2007]</t>
  </si>
  <si>
    <t>Ind75 industry [SIC2007]</t>
  </si>
  <si>
    <t>Broad industry [SIC2007]</t>
  </si>
  <si>
    <t>Aggregation of 9-Qualifications to 6-Qualification groups</t>
  </si>
  <si>
    <t>Female</t>
  </si>
  <si>
    <t>Male</t>
  </si>
  <si>
    <t>Total employment</t>
  </si>
  <si>
    <t>Male employment</t>
  </si>
  <si>
    <t>Female employment</t>
  </si>
  <si>
    <t>Industry 22 Total</t>
  </si>
  <si>
    <t>Industry 21 Total</t>
  </si>
  <si>
    <t>Industry 20 Total</t>
  </si>
  <si>
    <t>Industry 17 Total</t>
  </si>
  <si>
    <t>Industry 16 Total</t>
  </si>
  <si>
    <t>Industry 14 Total</t>
  </si>
  <si>
    <t>Industry 13 Total</t>
  </si>
  <si>
    <t>Industry 12 Total</t>
  </si>
  <si>
    <t>Industry 11 Total</t>
  </si>
  <si>
    <t>Industry 10 Total</t>
  </si>
  <si>
    <t>Industry 9 Total</t>
  </si>
  <si>
    <t>Industry 8 Total</t>
  </si>
  <si>
    <t>Industry 7 Total</t>
  </si>
  <si>
    <t>Industry 5 Total</t>
  </si>
  <si>
    <t>Industry 4 Total</t>
  </si>
  <si>
    <t>Industry 3 Total</t>
  </si>
  <si>
    <t>(% share)</t>
  </si>
  <si>
    <t>Self employed</t>
  </si>
  <si>
    <t>Part time</t>
  </si>
  <si>
    <t>Full time</t>
  </si>
  <si>
    <t>Changes in Employment Status (000s)</t>
  </si>
  <si>
    <t>Employment by Gender</t>
  </si>
  <si>
    <t xml:space="preserve">Employment Status </t>
  </si>
  <si>
    <t xml:space="preserve">% p.a. changes </t>
  </si>
  <si>
    <t>Ind T1</t>
  </si>
  <si>
    <t>Ind T2</t>
  </si>
  <si>
    <t>Occ T2</t>
  </si>
  <si>
    <t>Employment by Industry Sector (6 industries)</t>
  </si>
  <si>
    <t>Employment by Industry Group (22 industries)</t>
  </si>
  <si>
    <t>Ind T3</t>
  </si>
  <si>
    <t>Occ T3</t>
  </si>
  <si>
    <t>Employment by Industry (75 industries)</t>
  </si>
  <si>
    <t>Ind T4</t>
  </si>
  <si>
    <t>Ind T6</t>
  </si>
  <si>
    <t>Occ T4</t>
  </si>
  <si>
    <t>Ind T5</t>
  </si>
  <si>
    <t>Employment by Industry Group in Sector (6 + 22 industries)</t>
  </si>
  <si>
    <t>Employment Status by Industry Group and Gender (22 industries)</t>
  </si>
  <si>
    <t>Employment Status by Industry and Gender (75 industries)</t>
  </si>
  <si>
    <t>Ind F1</t>
  </si>
  <si>
    <t>Occ F1</t>
  </si>
  <si>
    <t>Ind F2</t>
  </si>
  <si>
    <t>Occ F2</t>
  </si>
  <si>
    <t>IndOcc T1</t>
  </si>
  <si>
    <t>Line Chart Employment by Industry (6 + 22 industries)</t>
  </si>
  <si>
    <t>Occupation Composition by Gender (9 occupations by 75 industries)</t>
  </si>
  <si>
    <t>Occupation Composition by Employment Status (9 occupations by 75 industries)</t>
  </si>
  <si>
    <t>Occ T1</t>
  </si>
  <si>
    <t>Bar Chart Growth in Employment by Industry Group (6 + 22 industries)</t>
  </si>
  <si>
    <t>Qual T1</t>
  </si>
  <si>
    <t>Employment by Qualification (9 qualifications)</t>
  </si>
  <si>
    <t>Qual F1</t>
  </si>
  <si>
    <t>Line chart Employment by Qualification (9 qualifications)</t>
  </si>
  <si>
    <t>ShiftShare T1</t>
  </si>
  <si>
    <t>RD F1</t>
  </si>
  <si>
    <t>RD T1</t>
  </si>
  <si>
    <t>Basic T1</t>
  </si>
  <si>
    <t>Basic T2</t>
  </si>
  <si>
    <t>Basic T3</t>
  </si>
  <si>
    <t>Employment by Industry Sector, Occupation Group and Qualification (9 occupations by 6 industries by 9 qualifications)</t>
  </si>
  <si>
    <t>IndOcc T2</t>
  </si>
  <si>
    <t>Linked to sheet IndustryTable4</t>
  </si>
  <si>
    <t>Select years for the Tables</t>
  </si>
  <si>
    <t>Linked to sheet Industry Table1</t>
  </si>
  <si>
    <t>Linked to sheet IndustryTable1</t>
  </si>
  <si>
    <t>Linked to sheet OccupationTable3</t>
  </si>
  <si>
    <r>
      <t xml:space="preserve">Uses the 3nd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</si>
  <si>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Linked to sheet Occupation Table1</t>
  </si>
  <si>
    <r>
      <t xml:space="preserve">Uses the 1st, 3nd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</si>
  <si>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r>
      <t xml:space="preserve">Uses the 3rd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 (via OccupationTable1)</t>
    </r>
  </si>
  <si>
    <t>Absolute Changes (000s)</t>
  </si>
  <si>
    <t>Occ F3</t>
  </si>
  <si>
    <t>Occ F4</t>
  </si>
  <si>
    <t>Changes in Occupational Employment Structure (9 occupations)</t>
  </si>
  <si>
    <t>Occupational Change by Gender (9 occupations)</t>
  </si>
  <si>
    <t>Part-time</t>
  </si>
  <si>
    <t>Full-time</t>
  </si>
  <si>
    <t>Occ F5</t>
  </si>
  <si>
    <t>Occupational Change by Status (9 occupations)</t>
  </si>
  <si>
    <t>Employment Change by Occupation Group and Gender and Replacement Demand (9 occupations)</t>
  </si>
  <si>
    <t>Occ T5</t>
  </si>
  <si>
    <t>Employment Change by Occupation Group, Status and Gender (9 occupations)</t>
  </si>
  <si>
    <r>
      <t xml:space="preserve">Uses the 1st, 3rdand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</si>
  <si>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r>
      <t xml:space="preserve">Uses the 1st,3rd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</si>
  <si>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r>
      <t xml:space="preserve">Uses the 1st, 3rd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</si>
  <si>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axis bounds</t>
  </si>
  <si>
    <t>major unit</t>
  </si>
  <si>
    <t>max</t>
  </si>
  <si>
    <t>min</t>
  </si>
  <si>
    <t>Scenario</t>
  </si>
  <si>
    <t>.Main</t>
  </si>
  <si>
    <t>MDM version</t>
  </si>
  <si>
    <r>
      <t xml:space="preserve">Uses the 1st, 3rd and 5th years selected  for </t>
    </r>
    <r>
      <rPr>
        <b/>
        <sz val="10"/>
        <color indexed="54"/>
        <rFont val="Arial"/>
        <family val="2"/>
      </rPr>
      <t>Summary Tables</t>
    </r>
    <r>
      <rPr>
        <sz val="10"/>
        <color indexed="54"/>
        <rFont val="Arial"/>
        <family val="2"/>
      </rPr>
      <t xml:space="preserve"> in sheet Manager</t>
    </r>
  </si>
  <si>
    <t>RQF8 Doctorate</t>
  </si>
  <si>
    <t>RQF7 Other higher degree</t>
  </si>
  <si>
    <t>RQF6 First degree</t>
  </si>
  <si>
    <t>RQF5 Foundation degree;Nursing;Teaching</t>
  </si>
  <si>
    <t>RQF4 HE below degree level</t>
  </si>
  <si>
    <t>RQF3 A level &amp; equivalent</t>
  </si>
  <si>
    <t>RQF2 GCSE(A-C) &amp; equivalent</t>
  </si>
  <si>
    <t>RQF1 GCSE(below grade C) &amp; equivalent</t>
  </si>
  <si>
    <t>RQF 7-8</t>
  </si>
  <si>
    <t>RQF 4-6</t>
  </si>
  <si>
    <t>6-Qualification groups (RQF)</t>
  </si>
  <si>
    <t>6-Qualifications (RQF)</t>
  </si>
  <si>
    <t>Non-marketed services</t>
  </si>
  <si>
    <t>Shares (%)</t>
  </si>
  <si>
    <t>Shares of all occupations (%)</t>
  </si>
  <si>
    <t>Shares of all qualifications (%)</t>
  </si>
  <si>
    <t>Qualification levels (000s)</t>
  </si>
  <si>
    <t>THIS EXCEL WORKBOOK CONTAINS DATA</t>
  </si>
  <si>
    <t>BASED ON THE ANNUAL BUSINESS INQUIRY /</t>
  </si>
  <si>
    <t>based on counts of at least 10,000 individuals. This should provide a reasonable degree of statistical robustness to</t>
  </si>
  <si>
    <t>the estimates whether historic or forecast, and also ensure that you are not in breach of the Statistics of trade Act, 1947.</t>
  </si>
  <si>
    <t>judgement on behalf of the user is needed.  At an industry level, and focussing just on employees, the limits</t>
  </si>
  <si>
    <t>set by ONS in publishing ABI or BRES data can be used as a general guide. If ONS do not regard estimates as</t>
  </si>
  <si>
    <t>projections involving fewer than 1,000 individuals are probably too great for such estimates to be useful.</t>
  </si>
  <si>
    <t>26-Occupation</t>
  </si>
  <si>
    <t>11 Corporate managers and directors</t>
  </si>
  <si>
    <t>12 Other managers and proprietors</t>
  </si>
  <si>
    <t>21 Science, research, engineering and technology professionals</t>
  </si>
  <si>
    <t>Associate professional occupations</t>
  </si>
  <si>
    <t>22 Health professionals</t>
  </si>
  <si>
    <t>Administrative and secretarial occupations</t>
  </si>
  <si>
    <t>23 Teaching and other educational professionals</t>
  </si>
  <si>
    <t>24 Business, media and public service professionals</t>
  </si>
  <si>
    <t>Caring, leisure and other service occupations</t>
  </si>
  <si>
    <t>31 Science, engineering and technology associate professionals</t>
  </si>
  <si>
    <t>Sales and customer service occupations</t>
  </si>
  <si>
    <t>32 Health and social care associate professionals</t>
  </si>
  <si>
    <t>33 Protective service occupations</t>
  </si>
  <si>
    <t>34 Culture, media and sports occupations</t>
  </si>
  <si>
    <t>35 Business and public service associate professionals</t>
  </si>
  <si>
    <t>41 Administrative occupations</t>
  </si>
  <si>
    <t>42 Secretarial and related occupations</t>
  </si>
  <si>
    <t>51 Skilled agricultural and related trades</t>
  </si>
  <si>
    <t>52 Skilled metal, electrical and electronic trades</t>
  </si>
  <si>
    <t>53 Skilled construction and building trades</t>
  </si>
  <si>
    <t>54 Textiles, printing and other skilled trades</t>
  </si>
  <si>
    <t>61 Caring personal service occupations</t>
  </si>
  <si>
    <t>62 Leisure, travel and related personal service occupations</t>
  </si>
  <si>
    <t>63 Community and civil enforcement occupations</t>
  </si>
  <si>
    <t>71 Sales occupations</t>
  </si>
  <si>
    <t>72 Customer service occupations</t>
  </si>
  <si>
    <t>81 Process, plant and machine operatives</t>
  </si>
  <si>
    <t>82 Transport and mobile machine drivers and operatives</t>
  </si>
  <si>
    <t>91 Elementary trades and related occupations</t>
  </si>
  <si>
    <t>92 Elementary administration and service occupations</t>
  </si>
  <si>
    <t>Aggregation of 26-Sub major occupation groups to 9-Major occupation groups</t>
  </si>
  <si>
    <t>9-Occupation (SOC2020)</t>
  </si>
  <si>
    <t>SOC2020 Sub-Major Groups</t>
  </si>
  <si>
    <t>Aggregation 26 occupations to 9 Major group names:</t>
  </si>
  <si>
    <t>Employment Change by Occupation and Replacement Demand (26 occupations)</t>
  </si>
  <si>
    <t>Employment Change by Occupation in Occupation Group (9 + 26 occupations)</t>
  </si>
  <si>
    <t>Occupation Composition by Gender (26 occupations)</t>
  </si>
  <si>
    <t>Bar Chart Growth in Employment by Occupation (9 + 26 occupations)</t>
  </si>
  <si>
    <t>Line Chart Employment by Occupation (9 + 26 occupations)</t>
  </si>
  <si>
    <t>Shift-Share by Occupation (26 occupations)</t>
  </si>
  <si>
    <t>Replacement Demand by Occupation and Qualification (26 occupations by 9 qualifications)</t>
  </si>
  <si>
    <t>Replacement Demand by Occupation Group (9 + 26 occupations)</t>
  </si>
  <si>
    <t>Employment Change by Occupation and Replacement Demand (26 occupations by 9 qualifications)</t>
  </si>
  <si>
    <t>Occupation by Qualification (26 occupations by 9 qualifications)</t>
  </si>
  <si>
    <t>Nuffield - Rev 13547</t>
  </si>
  <si>
    <t>Date database created</t>
  </si>
  <si>
    <t>26-Occupation (SOC2020)</t>
  </si>
  <si>
    <t>Region/Nation</t>
  </si>
  <si>
    <t>Region/Nation name</t>
  </si>
  <si>
    <t>Copyright:  Warwick Institute for Employment Research / Cambridge Econometrics, 2023</t>
  </si>
  <si>
    <t>M:\IE\Projects\Nuffield via NFER AI and automation\Data\Results\Workbooks\GB\v2 Main\GB_Database.Main.xlsx</t>
  </si>
  <si>
    <t>M:\IE\Projects\Nuffield via NFER AI and automation\Data\Results\Workbooks\UK\v2 Main\UK_Database.Main.xlsx</t>
  </si>
  <si>
    <r>
      <t xml:space="preserve">to the estimates. For further details, see the </t>
    </r>
    <r>
      <rPr>
        <i/>
        <sz val="12"/>
        <color theme="1"/>
        <rFont val="Arial"/>
        <family val="2"/>
      </rPr>
      <t xml:space="preserve">Skills Imperative 2035 </t>
    </r>
    <r>
      <rPr>
        <sz val="12"/>
        <color theme="1"/>
        <rFont val="Arial"/>
        <family val="2"/>
      </rPr>
      <t>Technical Report.</t>
    </r>
  </si>
  <si>
    <r>
      <t xml:space="preserve">The results update those previously produced under the </t>
    </r>
    <r>
      <rPr>
        <i/>
        <sz val="12"/>
        <color theme="1"/>
        <rFont val="Arial"/>
        <family val="2"/>
      </rPr>
      <t>Working Futures</t>
    </r>
    <r>
      <rPr>
        <sz val="12"/>
        <color theme="1"/>
        <rFont val="Arial"/>
        <family val="2"/>
      </rPr>
      <t xml:space="preserve"> banner.</t>
    </r>
  </si>
  <si>
    <t xml:space="preserve">As a general rule of thumb, it is advisable to only publish statistics or analyses which are </t>
  </si>
  <si>
    <t>Thus, in summary, we advise:</t>
  </si>
  <si>
    <t>6 Industries</t>
  </si>
  <si>
    <t>22 Industries</t>
  </si>
  <si>
    <t>75 Industries</t>
  </si>
  <si>
    <t>6 + 22 Industries</t>
  </si>
  <si>
    <t>9 Occupations by 75 Industries</t>
  </si>
  <si>
    <t>9 Occupations</t>
  </si>
  <si>
    <t>26 Occupations</t>
  </si>
  <si>
    <t>9 + 26 Occupations</t>
  </si>
  <si>
    <t>9 Qualifications</t>
  </si>
  <si>
    <t>26 Occupations by 9 Qualifications</t>
  </si>
  <si>
    <t>9 Occupations by 9 Qualifications</t>
  </si>
  <si>
    <t>9 Occupations by 6 Industries by 9 Qualifications</t>
  </si>
  <si>
    <t>M:/IE/Projects/Nuffield via NFER AI and automation/Data/Results/Workbooks/NE/NE_Database.Main.xlsx</t>
  </si>
  <si>
    <t>9. North East</t>
  </si>
  <si>
    <t>North East</t>
  </si>
  <si>
    <t>02 10 2023 05:01:01 PM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</si>
</sst>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3" formatCode="_-* #,##0.00_-;\-* #,##0.00_-;_-* &quot;-&quot;??_-;_-@_-"/>
    <numFmt numFmtId="164" formatCode="0.0"/>
    <numFmt numFmtId="165" formatCode="0.00000"/>
    <numFmt numFmtId="166" formatCode="#,##0.0"/>
    <numFmt numFmtId="167" formatCode="0.0%"/>
    <numFmt numFmtId="168" formatCode="_-* #,##0_-;\-* #,##0_-;_-* &quot;-&quot;??_-;_-@_-"/>
    <numFmt numFmtId="169" formatCode="_-* #,##0.00000_-;\-* #,##0.00000_-;_-* &quot;-&quot;??_-;_-@_-"/>
    <numFmt numFmtId="170" formatCode="0.000000"/>
  </numFmts>
  <fonts count="35" x14ac:knownFonts="1">
    <font>
      <sz val="10"/>
      <name val="Arial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sz val="12"/>
      <name val="Times New Roman"/>
      <family val="1"/>
    </font>
    <font>
      <sz val="10"/>
      <name val="Arial"/>
      <family val="2"/>
    </font>
    <font>
      <sz val="10"/>
      <name val="Times New Roman"/>
      <family val="1"/>
    </font>
    <font>
      <b/>
      <sz val="12"/>
      <name val="Arial"/>
      <family val="2"/>
    </font>
    <font>
      <i/>
      <sz val="10"/>
      <name val="Arial"/>
      <family val="2"/>
    </font>
    <font>
      <b/>
      <sz val="10"/>
      <color indexed="54"/>
      <name val="Arial"/>
      <family val="2"/>
    </font>
    <font>
      <sz val="10"/>
      <color indexed="54"/>
      <name val="Arial"/>
      <family val="2"/>
    </font>
    <font>
      <sz val="11"/>
      <name val="Arial"/>
      <family val="2"/>
    </font>
    <font>
      <sz val="9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sz val="9"/>
      <color rgb="FFFF0000"/>
      <name val="Courier New"/>
      <family val="3"/>
    </font>
    <font>
      <b/>
      <i/>
      <sz val="9"/>
      <name val="Arial"/>
      <family val="2"/>
    </font>
    <font>
      <i/>
      <sz val="9"/>
      <name val="Arial"/>
      <family val="2"/>
    </font>
    <font>
      <b/>
      <sz val="16"/>
      <name val="Arial"/>
      <family val="2"/>
    </font>
    <font>
      <sz val="10"/>
      <name val="Arial"/>
      <family val="2"/>
    </font>
    <font>
      <b/>
      <sz val="14"/>
      <color theme="1"/>
      <name val="Arial"/>
      <family val="2"/>
    </font>
    <font>
      <u/>
      <sz val="10"/>
      <color theme="10"/>
      <name val="Arial"/>
      <family val="2"/>
    </font>
    <font>
      <b/>
      <sz val="11"/>
      <name val="Arial"/>
      <family val="2"/>
    </font>
    <font>
      <sz val="10"/>
      <color theme="1"/>
      <name val="Times New Roman"/>
      <family val="1"/>
    </font>
    <font>
      <b/>
      <sz val="15"/>
      <color rgb="FFFFFFFF"/>
      <name val="Arial"/>
      <family val="2"/>
    </font>
    <font>
      <b/>
      <sz val="15"/>
      <color rgb="FFFF0000"/>
      <name val="Arial"/>
      <family val="2"/>
    </font>
    <font>
      <b/>
      <sz val="15"/>
      <color theme="1"/>
      <name val="Arial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i/>
      <sz val="12"/>
      <color theme="1"/>
      <name val="Arial"/>
      <family val="2"/>
    </font>
    <font>
      <sz val="12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</fills>
  <borders count="2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dashed">
        <color indexed="64"/>
      </bottom>
      <diagonal/>
    </border>
    <border>
      <left/>
      <right/>
      <top style="thin">
        <color indexed="64"/>
      </top>
      <bottom style="dashed">
        <color indexed="64"/>
      </bottom>
      <diagonal/>
    </border>
    <border>
      <left/>
      <right style="thin">
        <color indexed="64"/>
      </right>
      <top style="thin">
        <color indexed="64"/>
      </top>
      <bottom style="dashed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17">
    <xf numFmtId="0" fontId="0" fillId="0" borderId="0"/>
    <xf numFmtId="43" fontId="3" fillId="0" borderId="0" applyFont="0" applyFill="0" applyBorder="0" applyAlignment="0" applyProtection="0"/>
    <xf numFmtId="0" fontId="6" fillId="0" borderId="0"/>
    <xf numFmtId="0" fontId="8" fillId="0" borderId="0"/>
    <xf numFmtId="0" fontId="3" fillId="0" borderId="0"/>
    <xf numFmtId="0" fontId="15" fillId="0" borderId="0"/>
    <xf numFmtId="0" fontId="8" fillId="0" borderId="0"/>
    <xf numFmtId="0" fontId="8" fillId="0" borderId="0"/>
    <xf numFmtId="0" fontId="15" fillId="0" borderId="0"/>
    <xf numFmtId="0" fontId="2" fillId="0" borderId="0"/>
    <xf numFmtId="9" fontId="3" fillId="0" borderId="0" applyFont="0" applyFill="0" applyBorder="0" applyAlignment="0" applyProtection="0"/>
    <xf numFmtId="9" fontId="23" fillId="0" borderId="0" applyFont="0" applyFill="0" applyBorder="0" applyAlignment="0" applyProtection="0"/>
    <xf numFmtId="0" fontId="25" fillId="0" borderId="0" applyNumberFormat="0" applyFill="0" applyBorder="0" applyAlignment="0" applyProtection="0"/>
    <xf numFmtId="0" fontId="8" fillId="0" borderId="0"/>
    <xf numFmtId="0" fontId="3" fillId="0" borderId="0"/>
    <xf numFmtId="0" fontId="1" fillId="0" borderId="0"/>
    <xf numFmtId="0" fontId="8" fillId="0" borderId="0"/>
  </cellStyleXfs>
  <cellXfs count="389">
    <xf numFmtId="0" fontId="0" fillId="0" borderId="0" xfId="0"/>
    <xf numFmtId="0" fontId="5" fillId="0" borderId="0" xfId="0" applyFont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1" fontId="0" fillId="0" borderId="0" xfId="0" applyNumberFormat="1"/>
    <xf numFmtId="3" fontId="0" fillId="0" borderId="0" xfId="0" applyNumberFormat="1"/>
    <xf numFmtId="0" fontId="0" fillId="0" borderId="0" xfId="0" applyAlignment="1">
      <alignment textRotation="90" wrapText="1"/>
    </xf>
    <xf numFmtId="0" fontId="7" fillId="0" borderId="0" xfId="0" applyFont="1"/>
    <xf numFmtId="1" fontId="5" fillId="0" borderId="0" xfId="2" applyNumberFormat="1" applyFont="1"/>
    <xf numFmtId="0" fontId="0" fillId="0" borderId="0" xfId="0" applyAlignment="1">
      <alignment horizontal="right"/>
    </xf>
    <xf numFmtId="1" fontId="5" fillId="0" borderId="0" xfId="0" applyNumberFormat="1" applyFont="1"/>
    <xf numFmtId="164" fontId="7" fillId="0" borderId="0" xfId="3" applyNumberFormat="1" applyFont="1"/>
    <xf numFmtId="0" fontId="9" fillId="0" borderId="0" xfId="3" applyFont="1"/>
    <xf numFmtId="0" fontId="5" fillId="0" borderId="0" xfId="3" applyFont="1" applyAlignment="1">
      <alignment horizontal="right"/>
    </xf>
    <xf numFmtId="1" fontId="7" fillId="0" borderId="0" xfId="3" applyNumberFormat="1" applyFont="1"/>
    <xf numFmtId="0" fontId="0" fillId="0" borderId="9" xfId="0" applyBorder="1"/>
    <xf numFmtId="1" fontId="5" fillId="0" borderId="9" xfId="0" applyNumberFormat="1" applyFont="1" applyBorder="1"/>
    <xf numFmtId="0" fontId="0" fillId="0" borderId="10" xfId="0" applyBorder="1"/>
    <xf numFmtId="0" fontId="5" fillId="0" borderId="9" xfId="3" applyFont="1" applyBorder="1" applyAlignment="1">
      <alignment horizontal="right"/>
    </xf>
    <xf numFmtId="164" fontId="7" fillId="0" borderId="10" xfId="3" applyNumberFormat="1" applyFont="1" applyBorder="1"/>
    <xf numFmtId="3" fontId="7" fillId="0" borderId="0" xfId="3" applyNumberFormat="1" applyFont="1"/>
    <xf numFmtId="0" fontId="5" fillId="0" borderId="11" xfId="0" applyFont="1" applyBorder="1"/>
    <xf numFmtId="3" fontId="7" fillId="0" borderId="10" xfId="3" applyNumberFormat="1" applyFont="1" applyBorder="1"/>
    <xf numFmtId="0" fontId="10" fillId="0" borderId="0" xfId="0" applyFont="1"/>
    <xf numFmtId="3" fontId="10" fillId="0" borderId="0" xfId="0" applyNumberFormat="1" applyFont="1"/>
    <xf numFmtId="3" fontId="7" fillId="0" borderId="0" xfId="0" applyNumberFormat="1" applyFont="1"/>
    <xf numFmtId="3" fontId="7" fillId="0" borderId="10" xfId="0" applyNumberFormat="1" applyFont="1" applyBorder="1"/>
    <xf numFmtId="3" fontId="0" fillId="0" borderId="10" xfId="0" applyNumberFormat="1" applyBorder="1"/>
    <xf numFmtId="1" fontId="5" fillId="0" borderId="10" xfId="0" applyNumberFormat="1" applyFont="1" applyBorder="1"/>
    <xf numFmtId="0" fontId="0" fillId="0" borderId="11" xfId="0" applyBorder="1"/>
    <xf numFmtId="0" fontId="5" fillId="0" borderId="10" xfId="0" applyFont="1" applyBorder="1" applyAlignment="1">
      <alignment horizontal="right"/>
    </xf>
    <xf numFmtId="0" fontId="7" fillId="0" borderId="0" xfId="0" applyFont="1" applyAlignment="1">
      <alignment horizontal="right"/>
    </xf>
    <xf numFmtId="0" fontId="7" fillId="0" borderId="10" xfId="0" applyFont="1" applyBorder="1"/>
    <xf numFmtId="164" fontId="0" fillId="0" borderId="0" xfId="0" applyNumberFormat="1"/>
    <xf numFmtId="0" fontId="5" fillId="0" borderId="10" xfId="0" applyFont="1" applyBorder="1"/>
    <xf numFmtId="1" fontId="5" fillId="0" borderId="10" xfId="0" applyNumberFormat="1" applyFont="1" applyBorder="1" applyAlignment="1">
      <alignment horizontal="right"/>
    </xf>
    <xf numFmtId="164" fontId="0" fillId="0" borderId="10" xfId="0" applyNumberFormat="1" applyBorder="1"/>
    <xf numFmtId="164" fontId="10" fillId="0" borderId="0" xfId="0" applyNumberFormat="1" applyFont="1"/>
    <xf numFmtId="0" fontId="7" fillId="0" borderId="0" xfId="0" applyFont="1" applyAlignment="1">
      <alignment horizontal="left"/>
    </xf>
    <xf numFmtId="0" fontId="12" fillId="0" borderId="0" xfId="0" applyFont="1"/>
    <xf numFmtId="0" fontId="0" fillId="0" borderId="0" xfId="0" applyAlignment="1">
      <alignment horizontal="center"/>
    </xf>
    <xf numFmtId="1" fontId="0" fillId="0" borderId="0" xfId="0" applyNumberFormat="1" applyAlignment="1">
      <alignment horizontal="right"/>
    </xf>
    <xf numFmtId="164" fontId="7" fillId="0" borderId="0" xfId="0" applyNumberFormat="1" applyFont="1"/>
    <xf numFmtId="164" fontId="7" fillId="0" borderId="10" xfId="0" applyNumberFormat="1" applyFont="1" applyBorder="1"/>
    <xf numFmtId="0" fontId="0" fillId="2" borderId="13" xfId="0" applyFill="1" applyBorder="1"/>
    <xf numFmtId="0" fontId="0" fillId="2" borderId="14" xfId="0" applyFill="1" applyBorder="1"/>
    <xf numFmtId="0" fontId="0" fillId="2" borderId="15" xfId="0" applyFill="1" applyBorder="1"/>
    <xf numFmtId="0" fontId="0" fillId="2" borderId="0" xfId="0" applyFill="1"/>
    <xf numFmtId="0" fontId="0" fillId="2" borderId="16" xfId="0" applyFill="1" applyBorder="1"/>
    <xf numFmtId="0" fontId="0" fillId="2" borderId="17" xfId="0" applyFill="1" applyBorder="1"/>
    <xf numFmtId="0" fontId="0" fillId="2" borderId="18" xfId="0" applyFill="1" applyBorder="1"/>
    <xf numFmtId="0" fontId="0" fillId="2" borderId="19" xfId="0" applyFill="1" applyBorder="1"/>
    <xf numFmtId="0" fontId="0" fillId="2" borderId="0" xfId="0" applyFill="1" applyAlignment="1">
      <alignment horizontal="center"/>
    </xf>
    <xf numFmtId="1" fontId="0" fillId="2" borderId="0" xfId="0" applyNumberFormat="1" applyFill="1" applyAlignment="1">
      <alignment horizontal="center"/>
    </xf>
    <xf numFmtId="0" fontId="0" fillId="2" borderId="20" xfId="0" applyFill="1" applyBorder="1" applyAlignment="1">
      <alignment horizontal="center"/>
    </xf>
    <xf numFmtId="0" fontId="0" fillId="2" borderId="21" xfId="0" applyFill="1" applyBorder="1" applyAlignment="1">
      <alignment horizontal="center"/>
    </xf>
    <xf numFmtId="0" fontId="0" fillId="0" borderId="10" xfId="0" applyBorder="1" applyAlignment="1">
      <alignment horizontal="right"/>
    </xf>
    <xf numFmtId="0" fontId="5" fillId="0" borderId="10" xfId="3" applyFont="1" applyBorder="1" applyAlignment="1">
      <alignment horizontal="right"/>
    </xf>
    <xf numFmtId="3" fontId="0" fillId="0" borderId="11" xfId="0" applyNumberFormat="1" applyBorder="1"/>
    <xf numFmtId="164" fontId="7" fillId="0" borderId="11" xfId="3" applyNumberFormat="1" applyFont="1" applyBorder="1"/>
    <xf numFmtId="166" fontId="0" fillId="0" borderId="10" xfId="0" applyNumberFormat="1" applyBorder="1"/>
    <xf numFmtId="166" fontId="7" fillId="0" borderId="0" xfId="3" applyNumberFormat="1" applyFont="1"/>
    <xf numFmtId="166" fontId="0" fillId="0" borderId="0" xfId="0" applyNumberFormat="1"/>
    <xf numFmtId="166" fontId="7" fillId="0" borderId="10" xfId="3" applyNumberFormat="1" applyFont="1" applyBorder="1"/>
    <xf numFmtId="0" fontId="0" fillId="0" borderId="0" xfId="0" applyAlignment="1">
      <alignment wrapText="1"/>
    </xf>
    <xf numFmtId="0" fontId="0" fillId="0" borderId="0" xfId="0" applyAlignment="1">
      <alignment horizontal="right" wrapText="1"/>
    </xf>
    <xf numFmtId="167" fontId="0" fillId="0" borderId="0" xfId="0" applyNumberFormat="1"/>
    <xf numFmtId="1" fontId="5" fillId="0" borderId="0" xfId="0" applyNumberFormat="1" applyFont="1" applyAlignment="1">
      <alignment horizontal="right"/>
    </xf>
    <xf numFmtId="1" fontId="5" fillId="0" borderId="9" xfId="0" applyNumberFormat="1" applyFont="1" applyBorder="1" applyAlignment="1">
      <alignment horizontal="right"/>
    </xf>
    <xf numFmtId="0" fontId="5" fillId="0" borderId="17" xfId="0" applyFont="1" applyBorder="1"/>
    <xf numFmtId="3" fontId="7" fillId="0" borderId="0" xfId="1" applyNumberFormat="1" applyFont="1"/>
    <xf numFmtId="0" fontId="7" fillId="0" borderId="11" xfId="0" applyFont="1" applyBorder="1"/>
    <xf numFmtId="0" fontId="7" fillId="0" borderId="11" xfId="0" applyFont="1" applyBorder="1" applyAlignment="1">
      <alignment horizontal="center"/>
    </xf>
    <xf numFmtId="0" fontId="9" fillId="3" borderId="0" xfId="0" applyFont="1" applyFill="1"/>
    <xf numFmtId="0" fontId="0" fillId="3" borderId="0" xfId="0" applyFill="1"/>
    <xf numFmtId="0" fontId="3" fillId="0" borderId="0" xfId="0" applyFont="1" applyAlignment="1">
      <alignment horizontal="right"/>
    </xf>
    <xf numFmtId="0" fontId="3" fillId="0" borderId="0" xfId="0" applyFont="1"/>
    <xf numFmtId="0" fontId="3" fillId="0" borderId="0" xfId="0" applyFont="1" applyAlignment="1">
      <alignment horizontal="right" wrapText="1"/>
    </xf>
    <xf numFmtId="0" fontId="5" fillId="0" borderId="0" xfId="0" applyFont="1" applyAlignment="1">
      <alignment vertical="center" wrapText="1"/>
    </xf>
    <xf numFmtId="0" fontId="13" fillId="0" borderId="0" xfId="3" applyFont="1"/>
    <xf numFmtId="3" fontId="5" fillId="0" borderId="0" xfId="0" applyNumberFormat="1" applyFont="1"/>
    <xf numFmtId="0" fontId="0" fillId="0" borderId="9" xfId="0" applyBorder="1" applyAlignment="1">
      <alignment horizontal="right" wrapText="1"/>
    </xf>
    <xf numFmtId="1" fontId="3" fillId="0" borderId="0" xfId="2" applyNumberFormat="1" applyFont="1"/>
    <xf numFmtId="0" fontId="5" fillId="0" borderId="0" xfId="0" applyFont="1" applyAlignment="1">
      <alignment wrapText="1"/>
    </xf>
    <xf numFmtId="0" fontId="3" fillId="0" borderId="0" xfId="4"/>
    <xf numFmtId="0" fontId="3" fillId="0" borderId="10" xfId="4" applyBorder="1"/>
    <xf numFmtId="3" fontId="3" fillId="0" borderId="10" xfId="4" applyNumberFormat="1" applyBorder="1"/>
    <xf numFmtId="3" fontId="3" fillId="0" borderId="0" xfId="4" applyNumberFormat="1"/>
    <xf numFmtId="0" fontId="3" fillId="0" borderId="11" xfId="4" applyBorder="1" applyAlignment="1">
      <alignment horizontal="centerContinuous"/>
    </xf>
    <xf numFmtId="0" fontId="3" fillId="0" borderId="11" xfId="4" applyBorder="1"/>
    <xf numFmtId="164" fontId="3" fillId="0" borderId="0" xfId="4" applyNumberFormat="1"/>
    <xf numFmtId="164" fontId="3" fillId="0" borderId="10" xfId="4" applyNumberFormat="1" applyBorder="1"/>
    <xf numFmtId="0" fontId="5" fillId="0" borderId="11" xfId="0" applyFont="1" applyBorder="1" applyAlignment="1">
      <alignment horizontal="right"/>
    </xf>
    <xf numFmtId="1" fontId="5" fillId="0" borderId="10" xfId="4" applyNumberFormat="1" applyFont="1" applyBorder="1" applyAlignment="1">
      <alignment horizontal="left"/>
    </xf>
    <xf numFmtId="1" fontId="5" fillId="0" borderId="10" xfId="4" applyNumberFormat="1" applyFont="1" applyBorder="1" applyAlignment="1">
      <alignment horizontal="left" wrapText="1"/>
    </xf>
    <xf numFmtId="0" fontId="3" fillId="0" borderId="0" xfId="4" applyAlignment="1">
      <alignment wrapText="1"/>
    </xf>
    <xf numFmtId="0" fontId="3" fillId="0" borderId="0" xfId="4" applyAlignment="1">
      <alignment horizontal="centerContinuous"/>
    </xf>
    <xf numFmtId="0" fontId="3" fillId="0" borderId="0" xfId="4" applyAlignment="1">
      <alignment horizontal="right" wrapText="1"/>
    </xf>
    <xf numFmtId="0" fontId="0" fillId="0" borderId="10" xfId="0" applyBorder="1" applyAlignment="1">
      <alignment horizontal="right" wrapText="1"/>
    </xf>
    <xf numFmtId="0" fontId="3" fillId="0" borderId="10" xfId="4" applyBorder="1" applyAlignment="1">
      <alignment horizontal="right" wrapText="1"/>
    </xf>
    <xf numFmtId="1" fontId="3" fillId="0" borderId="0" xfId="4" applyNumberFormat="1"/>
    <xf numFmtId="1" fontId="3" fillId="0" borderId="10" xfId="4" applyNumberFormat="1" applyBorder="1"/>
    <xf numFmtId="1" fontId="3" fillId="0" borderId="0" xfId="4" applyNumberFormat="1" applyAlignment="1">
      <alignment horizontal="right" wrapText="1"/>
    </xf>
    <xf numFmtId="1" fontId="3" fillId="0" borderId="10" xfId="4" applyNumberFormat="1" applyBorder="1" applyAlignment="1">
      <alignment horizontal="right" wrapText="1"/>
    </xf>
    <xf numFmtId="0" fontId="5" fillId="0" borderId="0" xfId="4" applyFont="1" applyAlignment="1">
      <alignment horizontal="center"/>
    </xf>
    <xf numFmtId="3" fontId="3" fillId="0" borderId="11" xfId="4" applyNumberFormat="1" applyBorder="1"/>
    <xf numFmtId="1" fontId="5" fillId="0" borderId="10" xfId="4" applyNumberFormat="1" applyFont="1" applyBorder="1" applyAlignment="1">
      <alignment wrapText="1"/>
    </xf>
    <xf numFmtId="0" fontId="5" fillId="0" borderId="0" xfId="4" applyFont="1"/>
    <xf numFmtId="0" fontId="3" fillId="0" borderId="10" xfId="0" applyFont="1" applyBorder="1" applyAlignment="1">
      <alignment horizontal="right" wrapText="1"/>
    </xf>
    <xf numFmtId="0" fontId="3" fillId="0" borderId="10" xfId="4" applyBorder="1" applyAlignment="1">
      <alignment horizontal="right"/>
    </xf>
    <xf numFmtId="0" fontId="3" fillId="0" borderId="0" xfId="4" applyAlignment="1">
      <alignment horizontal="right"/>
    </xf>
    <xf numFmtId="0" fontId="5" fillId="0" borderId="11" xfId="4" applyFont="1" applyBorder="1"/>
    <xf numFmtId="0" fontId="3" fillId="0" borderId="11" xfId="4" applyBorder="1" applyAlignment="1">
      <alignment horizontal="right"/>
    </xf>
    <xf numFmtId="1" fontId="5" fillId="0" borderId="10" xfId="4" applyNumberFormat="1" applyFont="1" applyBorder="1"/>
    <xf numFmtId="0" fontId="5" fillId="0" borderId="10" xfId="4" applyFont="1" applyBorder="1" applyAlignment="1">
      <alignment horizontal="right"/>
    </xf>
    <xf numFmtId="0" fontId="10" fillId="0" borderId="0" xfId="4" applyFont="1"/>
    <xf numFmtId="3" fontId="10" fillId="0" borderId="0" xfId="4" applyNumberFormat="1" applyFont="1"/>
    <xf numFmtId="0" fontId="0" fillId="0" borderId="0" xfId="0" quotePrefix="1"/>
    <xf numFmtId="0" fontId="0" fillId="0" borderId="0" xfId="0" applyAlignment="1">
      <alignment textRotation="90"/>
    </xf>
    <xf numFmtId="1" fontId="3" fillId="0" borderId="0" xfId="0" applyNumberFormat="1" applyFont="1"/>
    <xf numFmtId="0" fontId="3" fillId="2" borderId="20" xfId="0" applyFont="1" applyFill="1" applyBorder="1" applyAlignment="1">
      <alignment horizontal="center"/>
    </xf>
    <xf numFmtId="0" fontId="16" fillId="4" borderId="0" xfId="5" applyFont="1" applyFill="1"/>
    <xf numFmtId="0" fontId="15" fillId="4" borderId="0" xfId="5" applyFill="1"/>
    <xf numFmtId="0" fontId="15" fillId="0" borderId="0" xfId="5"/>
    <xf numFmtId="0" fontId="16" fillId="4" borderId="11" xfId="5" applyFont="1" applyFill="1" applyBorder="1" applyAlignment="1">
      <alignment horizontal="right"/>
    </xf>
    <xf numFmtId="1" fontId="16" fillId="4" borderId="11" xfId="5" applyNumberFormat="1" applyFont="1" applyFill="1" applyBorder="1" applyAlignment="1">
      <alignment horizontal="right"/>
    </xf>
    <xf numFmtId="1" fontId="5" fillId="4" borderId="0" xfId="6" applyNumberFormat="1" applyFont="1" applyFill="1"/>
    <xf numFmtId="0" fontId="16" fillId="4" borderId="10" xfId="5" applyFont="1" applyFill="1" applyBorder="1" applyAlignment="1">
      <alignment horizontal="right"/>
    </xf>
    <xf numFmtId="1" fontId="15" fillId="0" borderId="0" xfId="5" applyNumberFormat="1"/>
    <xf numFmtId="0" fontId="16" fillId="0" borderId="0" xfId="5" applyFont="1"/>
    <xf numFmtId="0" fontId="17" fillId="0" borderId="0" xfId="5" applyFont="1"/>
    <xf numFmtId="1" fontId="17" fillId="0" borderId="0" xfId="0" applyNumberFormat="1" applyFont="1"/>
    <xf numFmtId="0" fontId="19" fillId="0" borderId="0" xfId="0" applyFont="1" applyAlignment="1">
      <alignment horizontal="left" vertical="center" readingOrder="1"/>
    </xf>
    <xf numFmtId="168" fontId="15" fillId="0" borderId="0" xfId="1" applyNumberFormat="1" applyFont="1"/>
    <xf numFmtId="164" fontId="15" fillId="0" borderId="0" xfId="5" applyNumberFormat="1"/>
    <xf numFmtId="164" fontId="15" fillId="0" borderId="11" xfId="5" applyNumberFormat="1" applyBorder="1"/>
    <xf numFmtId="1" fontId="5" fillId="0" borderId="0" xfId="6" applyNumberFormat="1" applyFont="1"/>
    <xf numFmtId="0" fontId="16" fillId="0" borderId="0" xfId="5" applyFont="1" applyAlignment="1">
      <alignment horizontal="right"/>
    </xf>
    <xf numFmtId="0" fontId="15" fillId="0" borderId="10" xfId="5" applyBorder="1"/>
    <xf numFmtId="0" fontId="15" fillId="0" borderId="11" xfId="5" applyBorder="1"/>
    <xf numFmtId="164" fontId="15" fillId="0" borderId="10" xfId="5" applyNumberFormat="1" applyBorder="1"/>
    <xf numFmtId="1" fontId="15" fillId="0" borderId="10" xfId="5" applyNumberFormat="1" applyBorder="1"/>
    <xf numFmtId="0" fontId="3" fillId="0" borderId="10" xfId="5" applyFont="1" applyBorder="1"/>
    <xf numFmtId="3" fontId="15" fillId="0" borderId="11" xfId="5" applyNumberFormat="1" applyBorder="1"/>
    <xf numFmtId="3" fontId="15" fillId="0" borderId="0" xfId="5" applyNumberFormat="1"/>
    <xf numFmtId="3" fontId="15" fillId="0" borderId="10" xfId="5" applyNumberFormat="1" applyBorder="1"/>
    <xf numFmtId="0" fontId="16" fillId="4" borderId="11" xfId="5" applyFont="1" applyFill="1" applyBorder="1" applyAlignment="1">
      <alignment horizontal="center"/>
    </xf>
    <xf numFmtId="0" fontId="16" fillId="4" borderId="0" xfId="5" applyFont="1" applyFill="1" applyAlignment="1">
      <alignment horizontal="right"/>
    </xf>
    <xf numFmtId="0" fontId="15" fillId="4" borderId="10" xfId="5" applyFill="1" applyBorder="1"/>
    <xf numFmtId="0" fontId="9" fillId="3" borderId="0" xfId="4" applyFont="1" applyFill="1"/>
    <xf numFmtId="0" fontId="3" fillId="3" borderId="0" xfId="4" applyFill="1"/>
    <xf numFmtId="0" fontId="12" fillId="0" borderId="0" xfId="4" applyFont="1"/>
    <xf numFmtId="0" fontId="16" fillId="4" borderId="9" xfId="5" applyFont="1" applyFill="1" applyBorder="1" applyAlignment="1">
      <alignment horizontal="right"/>
    </xf>
    <xf numFmtId="0" fontId="1" fillId="0" borderId="0" xfId="5" applyFont="1"/>
    <xf numFmtId="0" fontId="1" fillId="0" borderId="0" xfId="5" applyFont="1" applyAlignment="1">
      <alignment wrapText="1"/>
    </xf>
    <xf numFmtId="168" fontId="15" fillId="0" borderId="0" xfId="1" applyNumberFormat="1" applyFont="1" applyFill="1" applyBorder="1"/>
    <xf numFmtId="168" fontId="15" fillId="0" borderId="0" xfId="1" applyNumberFormat="1" applyFont="1" applyFill="1"/>
    <xf numFmtId="2" fontId="15" fillId="0" borderId="11" xfId="5" applyNumberFormat="1" applyBorder="1"/>
    <xf numFmtId="2" fontId="15" fillId="0" borderId="0" xfId="5" applyNumberFormat="1"/>
    <xf numFmtId="0" fontId="1" fillId="4" borderId="10" xfId="5" applyFont="1" applyFill="1" applyBorder="1"/>
    <xf numFmtId="168" fontId="15" fillId="0" borderId="10" xfId="1" applyNumberFormat="1" applyFont="1" applyFill="1" applyBorder="1"/>
    <xf numFmtId="0" fontId="15" fillId="0" borderId="0" xfId="5" applyAlignment="1">
      <alignment vertical="top" wrapText="1"/>
    </xf>
    <xf numFmtId="169" fontId="1" fillId="0" borderId="0" xfId="1" applyNumberFormat="1" applyFont="1" applyFill="1"/>
    <xf numFmtId="0" fontId="14" fillId="0" borderId="0" xfId="0" applyFont="1" applyAlignment="1">
      <alignment horizontal="left" vertical="top"/>
    </xf>
    <xf numFmtId="0" fontId="15" fillId="0" borderId="0" xfId="5" applyAlignment="1">
      <alignment horizontal="left" vertical="top"/>
    </xf>
    <xf numFmtId="4" fontId="0" fillId="0" borderId="0" xfId="0" applyNumberFormat="1"/>
    <xf numFmtId="2" fontId="7" fillId="0" borderId="0" xfId="3" applyNumberFormat="1" applyFont="1"/>
    <xf numFmtId="0" fontId="0" fillId="2" borderId="15" xfId="0" applyFill="1" applyBorder="1" applyAlignment="1">
      <alignment horizontal="right"/>
    </xf>
    <xf numFmtId="0" fontId="22" fillId="0" borderId="0" xfId="0" applyFont="1"/>
    <xf numFmtId="0" fontId="5" fillId="2" borderId="12" xfId="0" applyFont="1" applyFill="1" applyBorder="1" applyAlignment="1">
      <alignment horizontal="left" vertical="center"/>
    </xf>
    <xf numFmtId="0" fontId="5" fillId="2" borderId="12" xfId="0" applyFont="1" applyFill="1" applyBorder="1" applyAlignment="1">
      <alignment vertical="center"/>
    </xf>
    <xf numFmtId="1" fontId="3" fillId="0" borderId="0" xfId="4" applyNumberFormat="1" applyAlignment="1">
      <alignment horizontal="right"/>
    </xf>
    <xf numFmtId="0" fontId="5" fillId="0" borderId="9" xfId="4" applyFont="1" applyBorder="1"/>
    <xf numFmtId="0" fontId="5" fillId="0" borderId="10" xfId="4" applyFont="1" applyBorder="1"/>
    <xf numFmtId="0" fontId="18" fillId="0" borderId="0" xfId="4" applyFont="1"/>
    <xf numFmtId="0" fontId="5" fillId="0" borderId="0" xfId="3" applyFont="1"/>
    <xf numFmtId="0" fontId="5" fillId="0" borderId="0" xfId="4" applyFont="1" applyAlignment="1">
      <alignment horizontal="right"/>
    </xf>
    <xf numFmtId="0" fontId="5" fillId="0" borderId="11" xfId="4" applyFont="1" applyBorder="1" applyAlignment="1">
      <alignment horizontal="centerContinuous"/>
    </xf>
    <xf numFmtId="0" fontId="3" fillId="0" borderId="9" xfId="4" applyBorder="1" applyAlignment="1">
      <alignment horizontal="centerContinuous"/>
    </xf>
    <xf numFmtId="0" fontId="3" fillId="0" borderId="9" xfId="4" applyBorder="1"/>
    <xf numFmtId="1" fontId="5" fillId="0" borderId="10" xfId="4" applyNumberFormat="1" applyFont="1" applyBorder="1" applyAlignment="1">
      <alignment horizontal="right"/>
    </xf>
    <xf numFmtId="3" fontId="3" fillId="0" borderId="0" xfId="1" applyNumberFormat="1" applyFont="1"/>
    <xf numFmtId="3" fontId="3" fillId="0" borderId="0" xfId="1" applyNumberFormat="1" applyFont="1" applyBorder="1"/>
    <xf numFmtId="3" fontId="3" fillId="0" borderId="10" xfId="1" applyNumberFormat="1" applyFont="1" applyBorder="1"/>
    <xf numFmtId="3" fontId="3" fillId="0" borderId="11" xfId="1" applyNumberFormat="1" applyFont="1" applyBorder="1"/>
    <xf numFmtId="0" fontId="16" fillId="4" borderId="0" xfId="5" applyFont="1" applyFill="1" applyAlignment="1">
      <alignment horizontal="center"/>
    </xf>
    <xf numFmtId="0" fontId="16" fillId="4" borderId="11" xfId="5" applyFont="1" applyFill="1" applyBorder="1" applyAlignment="1">
      <alignment horizontal="center" wrapText="1"/>
    </xf>
    <xf numFmtId="0" fontId="9" fillId="0" borderId="0" xfId="0" applyFont="1"/>
    <xf numFmtId="0" fontId="5" fillId="0" borderId="9" xfId="0" applyFont="1" applyBorder="1"/>
    <xf numFmtId="1" fontId="18" fillId="0" borderId="0" xfId="0" applyNumberFormat="1" applyFont="1"/>
    <xf numFmtId="0" fontId="5" fillId="0" borderId="1" xfId="0" applyFont="1" applyBorder="1"/>
    <xf numFmtId="2" fontId="15" fillId="0" borderId="10" xfId="5" applyNumberFormat="1" applyBorder="1"/>
    <xf numFmtId="0" fontId="0" fillId="2" borderId="10" xfId="0" applyFill="1" applyBorder="1"/>
    <xf numFmtId="0" fontId="5" fillId="2" borderId="14" xfId="0" applyFont="1" applyFill="1" applyBorder="1" applyAlignment="1">
      <alignment horizontal="left" vertical="center"/>
    </xf>
    <xf numFmtId="167" fontId="0" fillId="0" borderId="0" xfId="11" applyNumberFormat="1" applyFont="1" applyAlignment="1"/>
    <xf numFmtId="0" fontId="5" fillId="0" borderId="9" xfId="0" applyFont="1" applyBorder="1" applyAlignment="1">
      <alignment vertical="center" wrapText="1"/>
    </xf>
    <xf numFmtId="0" fontId="0" fillId="0" borderId="9" xfId="0" applyBorder="1" applyAlignment="1">
      <alignment horizontal="right"/>
    </xf>
    <xf numFmtId="0" fontId="24" fillId="0" borderId="0" xfId="5" applyFont="1"/>
    <xf numFmtId="0" fontId="0" fillId="2" borderId="23" xfId="0" applyFill="1" applyBorder="1" applyAlignment="1">
      <alignment horizontal="right"/>
    </xf>
    <xf numFmtId="3" fontId="10" fillId="0" borderId="10" xfId="0" applyNumberFormat="1" applyFont="1" applyBorder="1"/>
    <xf numFmtId="164" fontId="10" fillId="0" borderId="10" xfId="0" applyNumberFormat="1" applyFont="1" applyBorder="1"/>
    <xf numFmtId="3" fontId="3" fillId="0" borderId="0" xfId="5" applyNumberFormat="1" applyFont="1"/>
    <xf numFmtId="0" fontId="5" fillId="0" borderId="0" xfId="0" applyFont="1" applyAlignment="1">
      <alignment horizontal="left"/>
    </xf>
    <xf numFmtId="0" fontId="5" fillId="0" borderId="22" xfId="0" applyFont="1" applyBorder="1"/>
    <xf numFmtId="0" fontId="25" fillId="0" borderId="22" xfId="12" applyBorder="1"/>
    <xf numFmtId="0" fontId="3" fillId="0" borderId="22" xfId="0" applyFont="1" applyBorder="1"/>
    <xf numFmtId="0" fontId="0" fillId="0" borderId="22" xfId="0" applyBorder="1"/>
    <xf numFmtId="0" fontId="26" fillId="0" borderId="0" xfId="0" applyFont="1"/>
    <xf numFmtId="0" fontId="3" fillId="0" borderId="0" xfId="13" applyFont="1" applyAlignment="1">
      <alignment horizontal="center"/>
    </xf>
    <xf numFmtId="0" fontId="31" fillId="0" borderId="0" xfId="7" applyFont="1" applyAlignment="1">
      <alignment horizontal="center" vertical="center"/>
    </xf>
    <xf numFmtId="0" fontId="27" fillId="0" borderId="5" xfId="7" applyFont="1" applyBorder="1" applyAlignment="1">
      <alignment horizontal="center"/>
    </xf>
    <xf numFmtId="0" fontId="1" fillId="0" borderId="1" xfId="7" applyFont="1" applyBorder="1" applyAlignment="1">
      <alignment horizontal="center" vertical="center"/>
    </xf>
    <xf numFmtId="0" fontId="1" fillId="0" borderId="2" xfId="7" applyFont="1" applyBorder="1" applyAlignment="1">
      <alignment horizontal="center" vertical="center"/>
    </xf>
    <xf numFmtId="0" fontId="31" fillId="0" borderId="2" xfId="7" applyFont="1" applyBorder="1" applyAlignment="1">
      <alignment horizontal="center" vertical="center"/>
    </xf>
    <xf numFmtId="0" fontId="1" fillId="0" borderId="3" xfId="7" applyFont="1" applyBorder="1" applyAlignment="1">
      <alignment horizontal="center" vertical="center"/>
    </xf>
    <xf numFmtId="0" fontId="32" fillId="0" borderId="4" xfId="7" applyFont="1" applyBorder="1" applyAlignment="1">
      <alignment horizontal="center" vertical="center"/>
    </xf>
    <xf numFmtId="0" fontId="32" fillId="0" borderId="0" xfId="7" applyFont="1" applyAlignment="1">
      <alignment horizontal="center" vertical="center"/>
    </xf>
    <xf numFmtId="0" fontId="1" fillId="0" borderId="5" xfId="7" applyFont="1" applyBorder="1" applyAlignment="1">
      <alignment horizontal="center" vertical="center"/>
    </xf>
    <xf numFmtId="0" fontId="31" fillId="0" borderId="4" xfId="7" applyFont="1" applyBorder="1" applyAlignment="1">
      <alignment horizontal="center" vertical="center"/>
    </xf>
    <xf numFmtId="0" fontId="8" fillId="0" borderId="0" xfId="7" applyAlignment="1">
      <alignment horizontal="center"/>
    </xf>
    <xf numFmtId="0" fontId="5" fillId="0" borderId="0" xfId="14" applyFont="1"/>
    <xf numFmtId="0" fontId="3" fillId="0" borderId="0" xfId="14"/>
    <xf numFmtId="1" fontId="16" fillId="0" borderId="0" xfId="0" applyNumberFormat="1" applyFont="1"/>
    <xf numFmtId="0" fontId="3" fillId="0" borderId="7" xfId="0" applyFont="1" applyBorder="1"/>
    <xf numFmtId="0" fontId="3" fillId="0" borderId="2" xfId="0" applyFont="1" applyBorder="1"/>
    <xf numFmtId="1" fontId="0" fillId="0" borderId="10" xfId="0" applyNumberFormat="1" applyBorder="1"/>
    <xf numFmtId="1" fontId="7" fillId="0" borderId="0" xfId="0" applyNumberFormat="1" applyFont="1"/>
    <xf numFmtId="1" fontId="5" fillId="0" borderId="11" xfId="0" applyNumberFormat="1" applyFont="1" applyBorder="1"/>
    <xf numFmtId="167" fontId="0" fillId="0" borderId="10" xfId="11" applyNumberFormat="1" applyFont="1" applyBorder="1" applyAlignment="1"/>
    <xf numFmtId="1" fontId="3" fillId="0" borderId="10" xfId="4" applyNumberFormat="1" applyBorder="1" applyAlignment="1">
      <alignment horizontal="center" wrapText="1"/>
    </xf>
    <xf numFmtId="0" fontId="3" fillId="0" borderId="0" xfId="15" applyFont="1"/>
    <xf numFmtId="1" fontId="3" fillId="0" borderId="0" xfId="15" applyNumberFormat="1" applyFont="1"/>
    <xf numFmtId="3" fontId="3" fillId="0" borderId="0" xfId="15" applyNumberFormat="1" applyFont="1"/>
    <xf numFmtId="3" fontId="3" fillId="0" borderId="0" xfId="15" applyNumberFormat="1" applyFont="1" applyAlignment="1">
      <alignment horizontal="right"/>
    </xf>
    <xf numFmtId="1" fontId="3" fillId="0" borderId="0" xfId="15" applyNumberFormat="1" applyFont="1" applyAlignment="1">
      <alignment horizontal="right"/>
    </xf>
    <xf numFmtId="1" fontId="5" fillId="0" borderId="0" xfId="15" applyNumberFormat="1" applyFont="1"/>
    <xf numFmtId="0" fontId="5" fillId="0" borderId="11" xfId="15" applyFont="1" applyBorder="1"/>
    <xf numFmtId="0" fontId="3" fillId="0" borderId="11" xfId="15" applyFont="1" applyBorder="1"/>
    <xf numFmtId="1" fontId="3" fillId="0" borderId="10" xfId="15" applyNumberFormat="1" applyFont="1" applyBorder="1"/>
    <xf numFmtId="0" fontId="5" fillId="0" borderId="10" xfId="15" applyFont="1" applyBorder="1" applyAlignment="1">
      <alignment horizontal="right"/>
    </xf>
    <xf numFmtId="0" fontId="5" fillId="0" borderId="0" xfId="15" applyFont="1" applyAlignment="1">
      <alignment horizontal="centerContinuous"/>
    </xf>
    <xf numFmtId="3" fontId="3" fillId="0" borderId="10" xfId="15" applyNumberFormat="1" applyFont="1" applyBorder="1"/>
    <xf numFmtId="0" fontId="3" fillId="0" borderId="0" xfId="15" applyFont="1" applyAlignment="1">
      <alignment horizontal="right"/>
    </xf>
    <xf numFmtId="3" fontId="3" fillId="0" borderId="0" xfId="3" applyNumberFormat="1" applyFont="1"/>
    <xf numFmtId="1" fontId="5" fillId="0" borderId="11" xfId="15" applyNumberFormat="1" applyFont="1" applyBorder="1"/>
    <xf numFmtId="3" fontId="3" fillId="0" borderId="10" xfId="3" applyNumberFormat="1" applyFont="1" applyBorder="1" applyAlignment="1">
      <alignment horizontal="right"/>
    </xf>
    <xf numFmtId="0" fontId="3" fillId="0" borderId="10" xfId="15" applyFont="1" applyBorder="1"/>
    <xf numFmtId="1" fontId="5" fillId="0" borderId="0" xfId="15" applyNumberFormat="1" applyFont="1" applyAlignment="1">
      <alignment horizontal="centerContinuous"/>
    </xf>
    <xf numFmtId="0" fontId="5" fillId="0" borderId="10" xfId="15" applyFont="1" applyBorder="1"/>
    <xf numFmtId="1" fontId="5" fillId="0" borderId="10" xfId="15" applyNumberFormat="1" applyFont="1" applyBorder="1" applyAlignment="1">
      <alignment horizontal="right"/>
    </xf>
    <xf numFmtId="1" fontId="3" fillId="0" borderId="10" xfId="3" applyNumberFormat="1" applyFont="1" applyBorder="1" applyAlignment="1">
      <alignment horizontal="right"/>
    </xf>
    <xf numFmtId="0" fontId="5" fillId="0" borderId="0" xfId="15" applyFont="1" applyAlignment="1">
      <alignment horizontal="right"/>
    </xf>
    <xf numFmtId="0" fontId="5" fillId="0" borderId="0" xfId="15" applyFont="1"/>
    <xf numFmtId="1" fontId="5" fillId="0" borderId="0" xfId="15" applyNumberFormat="1" applyFont="1" applyAlignment="1">
      <alignment horizontal="right"/>
    </xf>
    <xf numFmtId="1" fontId="3" fillId="0" borderId="0" xfId="16" applyNumberFormat="1" applyFont="1"/>
    <xf numFmtId="1" fontId="5" fillId="0" borderId="0" xfId="16" applyNumberFormat="1" applyFont="1"/>
    <xf numFmtId="1" fontId="10" fillId="0" borderId="0" xfId="16" applyNumberFormat="1" applyFont="1"/>
    <xf numFmtId="1" fontId="3" fillId="0" borderId="0" xfId="16" applyNumberFormat="1" applyFont="1" applyAlignment="1">
      <alignment horizontal="right"/>
    </xf>
    <xf numFmtId="1" fontId="3" fillId="0" borderId="10" xfId="16" applyNumberFormat="1" applyFont="1" applyBorder="1"/>
    <xf numFmtId="1" fontId="26" fillId="0" borderId="11" xfId="16" applyNumberFormat="1" applyFont="1" applyBorder="1"/>
    <xf numFmtId="1" fontId="3" fillId="0" borderId="11" xfId="16" applyNumberFormat="1" applyFont="1" applyBorder="1"/>
    <xf numFmtId="1" fontId="18" fillId="0" borderId="10" xfId="16" applyNumberFormat="1" applyFont="1" applyBorder="1"/>
    <xf numFmtId="1" fontId="5" fillId="0" borderId="10" xfId="16" applyNumberFormat="1" applyFont="1" applyBorder="1" applyAlignment="1">
      <alignment horizontal="right"/>
    </xf>
    <xf numFmtId="1" fontId="18" fillId="0" borderId="0" xfId="16" applyNumberFormat="1" applyFont="1"/>
    <xf numFmtId="0" fontId="16" fillId="0" borderId="11" xfId="5" applyFont="1" applyBorder="1" applyAlignment="1">
      <alignment horizontal="right"/>
    </xf>
    <xf numFmtId="1" fontId="16" fillId="0" borderId="11" xfId="5" applyNumberFormat="1" applyFont="1" applyBorder="1" applyAlignment="1">
      <alignment horizontal="right"/>
    </xf>
    <xf numFmtId="0" fontId="16" fillId="0" borderId="10" xfId="5" applyFont="1" applyBorder="1" applyAlignment="1">
      <alignment horizontal="right"/>
    </xf>
    <xf numFmtId="1" fontId="5" fillId="0" borderId="10" xfId="6" applyNumberFormat="1" applyFont="1" applyBorder="1"/>
    <xf numFmtId="0" fontId="16" fillId="0" borderId="10" xfId="5" applyFont="1" applyBorder="1"/>
    <xf numFmtId="0" fontId="16" fillId="0" borderId="11" xfId="5" applyFont="1" applyBorder="1"/>
    <xf numFmtId="0" fontId="31" fillId="0" borderId="0" xfId="5" applyFont="1"/>
    <xf numFmtId="1" fontId="5" fillId="0" borderId="11" xfId="6" applyNumberFormat="1" applyFont="1" applyBorder="1"/>
    <xf numFmtId="3" fontId="5" fillId="0" borderId="0" xfId="15" applyNumberFormat="1" applyFont="1" applyAlignment="1">
      <alignment horizontal="centerContinuous"/>
    </xf>
    <xf numFmtId="1" fontId="5" fillId="0" borderId="0" xfId="7" applyNumberFormat="1" applyFont="1"/>
    <xf numFmtId="3" fontId="5" fillId="0" borderId="10" xfId="15" applyNumberFormat="1" applyFont="1" applyBorder="1" applyAlignment="1">
      <alignment horizontal="right"/>
    </xf>
    <xf numFmtId="3" fontId="5" fillId="0" borderId="0" xfId="3" applyNumberFormat="1" applyFont="1"/>
    <xf numFmtId="0" fontId="3" fillId="0" borderId="0" xfId="3" applyFont="1"/>
    <xf numFmtId="1" fontId="3" fillId="0" borderId="0" xfId="3" applyNumberFormat="1" applyFont="1"/>
    <xf numFmtId="1" fontId="3" fillId="0" borderId="0" xfId="3" applyNumberFormat="1" applyFont="1" applyAlignment="1">
      <alignment horizontal="right"/>
    </xf>
    <xf numFmtId="1" fontId="5" fillId="0" borderId="0" xfId="3" applyNumberFormat="1" applyFont="1"/>
    <xf numFmtId="1" fontId="5" fillId="0" borderId="0" xfId="3" applyNumberFormat="1" applyFont="1" applyAlignment="1">
      <alignment horizontal="left"/>
    </xf>
    <xf numFmtId="1" fontId="5" fillId="0" borderId="0" xfId="3" applyNumberFormat="1" applyFont="1" applyAlignment="1">
      <alignment horizontal="right"/>
    </xf>
    <xf numFmtId="0" fontId="5" fillId="0" borderId="11" xfId="3" applyFont="1" applyBorder="1"/>
    <xf numFmtId="1" fontId="5" fillId="0" borderId="11" xfId="3" applyNumberFormat="1" applyFont="1" applyBorder="1"/>
    <xf numFmtId="0" fontId="3" fillId="0" borderId="11" xfId="3" applyFont="1" applyBorder="1"/>
    <xf numFmtId="1" fontId="3" fillId="0" borderId="11" xfId="3" applyNumberFormat="1" applyFont="1" applyBorder="1"/>
    <xf numFmtId="0" fontId="5" fillId="0" borderId="0" xfId="3" applyFont="1" applyAlignment="1">
      <alignment horizontal="left"/>
    </xf>
    <xf numFmtId="0" fontId="3" fillId="0" borderId="10" xfId="3" applyFont="1" applyBorder="1"/>
    <xf numFmtId="1" fontId="3" fillId="0" borderId="10" xfId="3" applyNumberFormat="1" applyFont="1" applyBorder="1"/>
    <xf numFmtId="0" fontId="4" fillId="0" borderId="0" xfId="3" applyFont="1"/>
    <xf numFmtId="0" fontId="5" fillId="0" borderId="10" xfId="3" applyFont="1" applyBorder="1"/>
    <xf numFmtId="1" fontId="5" fillId="0" borderId="10" xfId="3" applyNumberFormat="1" applyFont="1" applyBorder="1" applyAlignment="1">
      <alignment horizontal="right"/>
    </xf>
    <xf numFmtId="2" fontId="3" fillId="0" borderId="0" xfId="3" applyNumberFormat="1" applyFont="1" applyAlignment="1">
      <alignment horizontal="right"/>
    </xf>
    <xf numFmtId="164" fontId="3" fillId="0" borderId="0" xfId="3" applyNumberFormat="1" applyFont="1" applyAlignment="1">
      <alignment horizontal="right"/>
    </xf>
    <xf numFmtId="164" fontId="3" fillId="0" borderId="0" xfId="16" applyNumberFormat="1" applyFont="1" applyAlignment="1">
      <alignment horizontal="right"/>
    </xf>
    <xf numFmtId="164" fontId="3" fillId="0" borderId="10" xfId="16" applyNumberFormat="1" applyFont="1" applyBorder="1" applyAlignment="1">
      <alignment horizontal="right"/>
    </xf>
    <xf numFmtId="166" fontId="3" fillId="0" borderId="0" xfId="3" applyNumberFormat="1" applyFont="1"/>
    <xf numFmtId="166" fontId="3" fillId="0" borderId="0" xfId="15" applyNumberFormat="1" applyFont="1"/>
    <xf numFmtId="166" fontId="7" fillId="0" borderId="0" xfId="1" applyNumberFormat="1" applyFont="1"/>
    <xf numFmtId="166" fontId="7" fillId="0" borderId="0" xfId="1" applyNumberFormat="1" applyFont="1" applyBorder="1"/>
    <xf numFmtId="166" fontId="7" fillId="0" borderId="0" xfId="0" applyNumberFormat="1" applyFont="1"/>
    <xf numFmtId="166" fontId="7" fillId="0" borderId="10" xfId="1" applyNumberFormat="1" applyFont="1" applyBorder="1"/>
    <xf numFmtId="166" fontId="7" fillId="0" borderId="10" xfId="0" applyNumberFormat="1" applyFont="1" applyBorder="1"/>
    <xf numFmtId="166" fontId="3" fillId="0" borderId="0" xfId="4" applyNumberFormat="1"/>
    <xf numFmtId="166" fontId="3" fillId="0" borderId="10" xfId="4" applyNumberFormat="1" applyBorder="1"/>
    <xf numFmtId="166" fontId="3" fillId="0" borderId="10" xfId="15" applyNumberFormat="1" applyFont="1" applyBorder="1"/>
    <xf numFmtId="165" fontId="3" fillId="0" borderId="0" xfId="15" applyNumberFormat="1" applyFont="1"/>
    <xf numFmtId="170" fontId="0" fillId="0" borderId="0" xfId="0" applyNumberFormat="1"/>
    <xf numFmtId="1" fontId="10" fillId="0" borderId="0" xfId="16" applyNumberFormat="1" applyFont="1" applyAlignment="1">
      <alignment horizontal="right"/>
    </xf>
    <xf numFmtId="1" fontId="3" fillId="0" borderId="10" xfId="16" applyNumberFormat="1" applyFont="1" applyBorder="1" applyAlignment="1">
      <alignment horizontal="right"/>
    </xf>
    <xf numFmtId="1" fontId="10" fillId="0" borderId="10" xfId="16" applyNumberFormat="1" applyFont="1" applyBorder="1" applyAlignment="1">
      <alignment horizontal="right"/>
    </xf>
    <xf numFmtId="1" fontId="5" fillId="0" borderId="11" xfId="16" applyNumberFormat="1" applyFont="1" applyBorder="1" applyAlignment="1">
      <alignment horizontal="right"/>
    </xf>
    <xf numFmtId="1" fontId="5" fillId="0" borderId="11" xfId="16" applyNumberFormat="1" applyFont="1" applyBorder="1" applyAlignment="1">
      <alignment horizontal="center"/>
    </xf>
    <xf numFmtId="1" fontId="5" fillId="0" borderId="0" xfId="16" applyNumberFormat="1" applyFont="1" applyAlignment="1">
      <alignment horizontal="right"/>
    </xf>
    <xf numFmtId="1" fontId="3" fillId="0" borderId="11" xfId="16" applyNumberFormat="1" applyFont="1" applyBorder="1" applyAlignment="1">
      <alignment horizontal="right"/>
    </xf>
    <xf numFmtId="0" fontId="5" fillId="0" borderId="10" xfId="3" applyFont="1" applyBorder="1" applyAlignment="1">
      <alignment horizontal="center"/>
    </xf>
    <xf numFmtId="4" fontId="3" fillId="0" borderId="0" xfId="3" applyNumberFormat="1" applyFont="1"/>
    <xf numFmtId="4" fontId="3" fillId="0" borderId="0" xfId="15" applyNumberFormat="1" applyFont="1"/>
    <xf numFmtId="0" fontId="13" fillId="0" borderId="0" xfId="15" applyFont="1"/>
    <xf numFmtId="0" fontId="13" fillId="0" borderId="0" xfId="15" applyFont="1" applyAlignment="1">
      <alignment horizontal="centerContinuous"/>
    </xf>
    <xf numFmtId="0" fontId="13" fillId="0" borderId="0" xfId="4" applyFont="1"/>
    <xf numFmtId="0" fontId="3" fillId="0" borderId="0" xfId="4" applyAlignment="1">
      <alignment horizontal="center" vertical="center"/>
    </xf>
    <xf numFmtId="164" fontId="3" fillId="0" borderId="0" xfId="3" applyNumberFormat="1" applyFont="1" applyAlignment="1">
      <alignment horizontal="center" vertical="center"/>
    </xf>
    <xf numFmtId="1" fontId="3" fillId="0" borderId="0" xfId="15" applyNumberFormat="1" applyFont="1" applyAlignment="1">
      <alignment vertical="center"/>
    </xf>
    <xf numFmtId="3" fontId="3" fillId="0" borderId="0" xfId="3" applyNumberFormat="1" applyFont="1" applyAlignment="1">
      <alignment horizontal="center" vertical="center"/>
    </xf>
    <xf numFmtId="3" fontId="3" fillId="0" borderId="0" xfId="15" applyNumberFormat="1" applyFont="1" applyAlignment="1">
      <alignment horizontal="center" vertical="center"/>
    </xf>
    <xf numFmtId="1" fontId="5" fillId="0" borderId="10" xfId="15" applyNumberFormat="1" applyFont="1" applyBorder="1" applyAlignment="1">
      <alignment vertical="center"/>
    </xf>
    <xf numFmtId="3" fontId="5" fillId="0" borderId="10" xfId="15" applyNumberFormat="1" applyFont="1" applyBorder="1" applyAlignment="1">
      <alignment horizontal="center" vertical="center"/>
    </xf>
    <xf numFmtId="164" fontId="5" fillId="0" borderId="10" xfId="3" applyNumberFormat="1" applyFont="1" applyBorder="1" applyAlignment="1">
      <alignment horizontal="center" vertical="center"/>
    </xf>
    <xf numFmtId="9" fontId="0" fillId="0" borderId="0" xfId="11" applyFont="1"/>
    <xf numFmtId="9" fontId="5" fillId="0" borderId="0" xfId="11" applyFont="1"/>
    <xf numFmtId="0" fontId="5" fillId="0" borderId="10" xfId="0" applyFont="1" applyBorder="1" applyAlignment="1">
      <alignment horizontal="center"/>
    </xf>
    <xf numFmtId="1" fontId="5" fillId="0" borderId="10" xfId="0" applyNumberFormat="1" applyFont="1" applyBorder="1" applyAlignment="1">
      <alignment horizontal="center"/>
    </xf>
    <xf numFmtId="3" fontId="13" fillId="0" borderId="0" xfId="3" applyNumberFormat="1" applyFont="1"/>
    <xf numFmtId="0" fontId="3" fillId="0" borderId="0" xfId="0" applyFont="1" applyAlignment="1">
      <alignment wrapText="1"/>
    </xf>
    <xf numFmtId="1" fontId="3" fillId="0" borderId="9" xfId="0" applyNumberFormat="1" applyFont="1" applyBorder="1" applyAlignment="1">
      <alignment horizontal="right" wrapText="1"/>
    </xf>
    <xf numFmtId="3" fontId="3" fillId="0" borderId="0" xfId="0" applyNumberFormat="1" applyFont="1" applyAlignment="1">
      <alignment wrapText="1"/>
    </xf>
    <xf numFmtId="167" fontId="3" fillId="0" borderId="0" xfId="10" applyNumberFormat="1" applyFont="1" applyAlignment="1">
      <alignment wrapText="1"/>
    </xf>
    <xf numFmtId="0" fontId="10" fillId="0" borderId="10" xfId="0" applyFont="1" applyBorder="1"/>
    <xf numFmtId="1" fontId="3" fillId="0" borderId="0" xfId="0" applyNumberFormat="1" applyFont="1" applyAlignment="1">
      <alignment horizontal="right" wrapText="1"/>
    </xf>
    <xf numFmtId="167" fontId="3" fillId="0" borderId="10" xfId="10" applyNumberFormat="1" applyFont="1" applyBorder="1" applyAlignment="1">
      <alignment wrapText="1"/>
    </xf>
    <xf numFmtId="1" fontId="3" fillId="0" borderId="0" xfId="0" applyNumberFormat="1" applyFont="1" applyAlignment="1">
      <alignment horizontal="right"/>
    </xf>
    <xf numFmtId="0" fontId="27" fillId="0" borderId="0" xfId="7" applyFont="1" applyAlignment="1">
      <alignment horizontal="center"/>
    </xf>
    <xf numFmtId="0" fontId="30" fillId="0" borderId="0" xfId="7" applyFont="1" applyAlignment="1">
      <alignment horizontal="center" vertical="center"/>
    </xf>
    <xf numFmtId="0" fontId="29" fillId="0" borderId="0" xfId="7" applyFont="1" applyAlignment="1">
      <alignment horizontal="center" vertical="center"/>
    </xf>
    <xf numFmtId="0" fontId="34" fillId="0" borderId="0" xfId="7" applyFont="1" applyAlignment="1">
      <alignment horizontal="center" vertical="center"/>
    </xf>
    <xf numFmtId="1" fontId="3" fillId="0" borderId="0" xfId="0" applyNumberFormat="1" applyFont="1" applyAlignment="1">
      <alignment textRotation="90"/>
    </xf>
    <xf numFmtId="168" fontId="0" fillId="0" borderId="10" xfId="1" applyNumberFormat="1" applyFont="1" applyBorder="1" applyAlignment="1"/>
    <xf numFmtId="168" fontId="3" fillId="0" borderId="10" xfId="1" applyNumberFormat="1" applyFont="1" applyBorder="1" applyAlignment="1">
      <alignment wrapText="1"/>
    </xf>
    <xf numFmtId="4" fontId="5" fillId="0" borderId="0" xfId="0" applyNumberFormat="1" applyFont="1"/>
    <xf numFmtId="0" fontId="1" fillId="0" borderId="0" xfId="7" applyFont="1" applyAlignment="1">
      <alignment horizontal="center" vertical="center"/>
    </xf>
    <xf numFmtId="0" fontId="1" fillId="0" borderId="4" xfId="7" applyFont="1" applyBorder="1" applyAlignment="1">
      <alignment horizontal="center" vertical="center"/>
    </xf>
    <xf numFmtId="0" fontId="27" fillId="0" borderId="4" xfId="7" applyFont="1" applyBorder="1" applyAlignment="1">
      <alignment horizontal="center"/>
    </xf>
    <xf numFmtId="0" fontId="27" fillId="0" borderId="6" xfId="7" applyFont="1" applyBorder="1" applyAlignment="1">
      <alignment horizontal="center"/>
    </xf>
    <xf numFmtId="0" fontId="27" fillId="0" borderId="7" xfId="7" applyFont="1" applyBorder="1" applyAlignment="1">
      <alignment horizontal="center"/>
    </xf>
    <xf numFmtId="0" fontId="27" fillId="0" borderId="8" xfId="7" applyFont="1" applyBorder="1" applyAlignment="1">
      <alignment horizontal="center"/>
    </xf>
    <xf numFmtId="0" fontId="5" fillId="3" borderId="0" xfId="4" applyFont="1" applyFill="1"/>
    <xf numFmtId="0" fontId="27" fillId="0" borderId="0" xfId="7" applyFont="1" applyAlignment="1">
      <alignment horizontal="center"/>
    </xf>
    <xf numFmtId="0" fontId="28" fillId="5" borderId="0" xfId="7" applyFont="1" applyFill="1" applyAlignment="1">
      <alignment horizontal="center" vertical="center"/>
    </xf>
    <xf numFmtId="0" fontId="29" fillId="0" borderId="0" xfId="7" applyFont="1" applyAlignment="1">
      <alignment horizontal="center" vertical="center"/>
    </xf>
    <xf numFmtId="0" fontId="30" fillId="0" borderId="0" xfId="7" applyFont="1" applyAlignment="1">
      <alignment horizontal="center" vertical="center" wrapText="1"/>
    </xf>
    <xf numFmtId="0" fontId="30" fillId="0" borderId="0" xfId="7" applyFont="1" applyAlignment="1">
      <alignment horizontal="center" vertical="center"/>
    </xf>
    <xf numFmtId="0" fontId="1" fillId="0" borderId="0" xfId="7" applyFont="1" applyAlignment="1">
      <alignment horizontal="center" vertical="center"/>
    </xf>
    <xf numFmtId="0" fontId="5" fillId="0" borderId="0" xfId="3" applyFont="1" applyAlignment="1">
      <alignment horizontal="center"/>
    </xf>
    <xf numFmtId="0" fontId="5" fillId="0" borderId="10" xfId="3" applyFont="1" applyBorder="1" applyAlignment="1">
      <alignment horizontal="center"/>
    </xf>
    <xf numFmtId="1" fontId="5" fillId="0" borderId="11" xfId="16" applyNumberFormat="1" applyFont="1" applyBorder="1" applyAlignment="1">
      <alignment horizontal="center"/>
    </xf>
    <xf numFmtId="1" fontId="5" fillId="0" borderId="0" xfId="15" applyNumberFormat="1" applyFont="1" applyAlignment="1">
      <alignment horizontal="center"/>
    </xf>
    <xf numFmtId="0" fontId="5" fillId="0" borderId="0" xfId="15" applyFont="1" applyAlignment="1">
      <alignment horizontal="center"/>
    </xf>
    <xf numFmtId="1" fontId="5" fillId="0" borderId="0" xfId="16" applyNumberFormat="1" applyFont="1" applyAlignment="1">
      <alignment horizontal="center"/>
    </xf>
    <xf numFmtId="0" fontId="5" fillId="0" borderId="0" xfId="0" applyFont="1" applyAlignment="1">
      <alignment horizontal="center"/>
    </xf>
    <xf numFmtId="0" fontId="16" fillId="0" borderId="0" xfId="5" applyFont="1" applyAlignment="1">
      <alignment horizontal="center"/>
    </xf>
    <xf numFmtId="0" fontId="16" fillId="0" borderId="9" xfId="5" applyFont="1" applyBorder="1" applyAlignment="1">
      <alignment horizontal="center"/>
    </xf>
    <xf numFmtId="0" fontId="9" fillId="0" borderId="0" xfId="3" applyFont="1" applyAlignment="1">
      <alignment horizontal="left" vertical="top" wrapText="1"/>
    </xf>
    <xf numFmtId="0" fontId="7" fillId="0" borderId="11" xfId="0" applyFont="1" applyBorder="1" applyAlignment="1">
      <alignment horizontal="center" wrapText="1"/>
    </xf>
    <xf numFmtId="1" fontId="7" fillId="0" borderId="11" xfId="0" applyNumberFormat="1" applyFont="1" applyBorder="1" applyAlignment="1">
      <alignment horizontal="center" wrapText="1"/>
    </xf>
    <xf numFmtId="0" fontId="5" fillId="0" borderId="0" xfId="4" applyFont="1" applyAlignment="1">
      <alignment horizontal="center"/>
    </xf>
    <xf numFmtId="0" fontId="5" fillId="0" borderId="11" xfId="4" applyFont="1" applyBorder="1" applyAlignment="1">
      <alignment horizontal="center"/>
    </xf>
    <xf numFmtId="0" fontId="14" fillId="0" borderId="0" xfId="0" applyFont="1" applyAlignment="1">
      <alignment horizontal="left" vertical="top" wrapText="1"/>
    </xf>
    <xf numFmtId="0" fontId="16" fillId="4" borderId="10" xfId="5" applyFont="1" applyFill="1" applyBorder="1" applyAlignment="1">
      <alignment horizontal="center"/>
    </xf>
    <xf numFmtId="0" fontId="16" fillId="4" borderId="11" xfId="5" applyFont="1" applyFill="1" applyBorder="1" applyAlignment="1">
      <alignment horizontal="center"/>
    </xf>
    <xf numFmtId="0" fontId="16" fillId="4" borderId="11" xfId="5" applyFont="1" applyFill="1" applyBorder="1" applyAlignment="1">
      <alignment horizontal="center" wrapText="1"/>
    </xf>
    <xf numFmtId="0" fontId="5" fillId="0" borderId="9" xfId="4" applyFont="1" applyBorder="1" applyAlignment="1">
      <alignment horizontal="center"/>
    </xf>
    <xf numFmtId="22" fontId="0" fillId="0" borderId="0" xfId="0" applyNumberFormat="1"/>
  </cellXfs>
  <cellStyles count="17">
    <cellStyle name="Comma" xfId="1" builtinId="3"/>
    <cellStyle name="Hyperlink" xfId="12" builtinId="8"/>
    <cellStyle name="Normal" xfId="0" builtinId="0"/>
    <cellStyle name="Normal 2" xfId="4" xr:uid="{00000000-0005-0000-0000-000003000000}"/>
    <cellStyle name="Normal 2 2" xfId="7" xr:uid="{00000000-0005-0000-0000-000004000000}"/>
    <cellStyle name="Normal 3" xfId="6" xr:uid="{00000000-0005-0000-0000-000005000000}"/>
    <cellStyle name="Normal 3 2" xfId="14" xr:uid="{00000000-0005-0000-0000-000006000000}"/>
    <cellStyle name="Normal 4" xfId="8" xr:uid="{00000000-0005-0000-0000-000007000000}"/>
    <cellStyle name="Normal 5" xfId="5" xr:uid="{00000000-0005-0000-0000-000008000000}"/>
    <cellStyle name="Normal 6" xfId="9" xr:uid="{00000000-0005-0000-0000-000009000000}"/>
    <cellStyle name="Normal 7" xfId="15" xr:uid="{00000000-0005-0000-0000-00000A000000}"/>
    <cellStyle name="Normal_16UK" xfId="2" xr:uid="{00000000-0005-0000-0000-00000B000000}"/>
    <cellStyle name="Normal_Book2" xfId="16" xr:uid="{00000000-0005-0000-0000-00000C000000}"/>
    <cellStyle name="Normal_SSDAtables" xfId="3" xr:uid="{00000000-0005-0000-0000-00000D000000}"/>
    <cellStyle name="Normal_WarningSheet" xfId="13" xr:uid="{00000000-0005-0000-0000-00000E000000}"/>
    <cellStyle name="Percent" xfId="11" builtinId="5"/>
    <cellStyle name="Percent 2" xfId="10" xr:uid="{00000000-0005-0000-0000-000010000000}"/>
  </cellStyles>
  <dxfs count="15">
    <dxf>
      <font>
        <b/>
        <i val="0"/>
        <condense val="0"/>
        <extend val="0"/>
        <color auto="1"/>
      </font>
    </dxf>
    <dxf>
      <font>
        <color theme="1" tint="0.34998626667073579"/>
      </font>
    </dxf>
    <dxf>
      <font>
        <b/>
        <i val="0"/>
        <condense val="0"/>
        <extend val="0"/>
        <color auto="1"/>
      </font>
    </dxf>
    <dxf>
      <font>
        <color theme="1" tint="0.34998626667073579"/>
      </font>
    </dxf>
    <dxf>
      <font>
        <b/>
        <i val="0"/>
        <condense val="0"/>
        <extend val="0"/>
        <color auto="1"/>
      </font>
    </dxf>
    <dxf>
      <font>
        <color theme="1" tint="0.3499862666707357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theme" Target="theme/theme1.xml"/><Relationship Id="rId47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styles" Target="styles.xml"/><Relationship Id="rId48" Type="http://schemas.openxmlformats.org/officeDocument/2006/relationships/customXml" Target="../customXml/item2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microsoft.com/office/2006/relationships/vbaProject" Target="vbaProject.bin"/><Relationship Id="rId20" Type="http://schemas.openxmlformats.org/officeDocument/2006/relationships/worksheet" Target="worksheets/sheet20.xml"/><Relationship Id="rId41" Type="http://schemas.openxmlformats.org/officeDocument/2006/relationships/externalLink" Target="externalLinks/externalLink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4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8.xml"/></Relationships>
</file>

<file path=xl/charts/_rels/chart5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32756178915522327"/>
          <c:y val="2.8320326004183771E-2"/>
          <c:w val="0.63925054006941662"/>
          <c:h val="0.89648480247726559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'Ind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F1'!$L$7:$L$40</c:f>
              <c:strCache>
                <c:ptCount val="34"/>
                <c:pt idx="0">
                  <c:v>All industries</c:v>
                </c:pt>
                <c:pt idx="2">
                  <c:v>Health and social work</c:v>
                </c:pt>
                <c:pt idx="3">
                  <c:v>Education</c:v>
                </c:pt>
                <c:pt idx="4">
                  <c:v>Public admin. and defence</c:v>
                </c:pt>
                <c:pt idx="5">
                  <c:v>[Non-marketed services]</c:v>
                </c:pt>
                <c:pt idx="7">
                  <c:v>Other services</c:v>
                </c:pt>
                <c:pt idx="8">
                  <c:v>Arts and entertainment</c:v>
                </c:pt>
                <c:pt idx="9">
                  <c:v>Support services</c:v>
                </c:pt>
                <c:pt idx="10">
                  <c:v>Professional services</c:v>
                </c:pt>
                <c:pt idx="11">
                  <c:v>Real estate</c:v>
                </c:pt>
                <c:pt idx="12">
                  <c:v>Finance and insurance</c:v>
                </c:pt>
                <c:pt idx="13">
                  <c:v>Information technology</c:v>
                </c:pt>
                <c:pt idx="14">
                  <c:v>Media</c:v>
                </c:pt>
                <c:pt idx="15">
                  <c:v>[Business and other services]</c:v>
                </c:pt>
                <c:pt idx="17">
                  <c:v>Accommodation and food</c:v>
                </c:pt>
                <c:pt idx="18">
                  <c:v>Transport and storage</c:v>
                </c:pt>
                <c:pt idx="19">
                  <c:v>Wholesale and retail trade</c:v>
                </c:pt>
                <c:pt idx="20">
                  <c:v>[Trade, accomod. and transport]</c:v>
                </c:pt>
                <c:pt idx="22">
                  <c:v>[Construction]</c:v>
                </c:pt>
                <c:pt idx="24">
                  <c:v>Rest of manufacturing</c:v>
                </c:pt>
                <c:pt idx="25">
                  <c:v>Engineering</c:v>
                </c:pt>
                <c:pt idx="26">
                  <c:v>Food drink and tobacco</c:v>
                </c:pt>
                <c:pt idx="27">
                  <c:v>[Manufacturing]</c:v>
                </c:pt>
                <c:pt idx="29">
                  <c:v>Water and sewerage</c:v>
                </c:pt>
                <c:pt idx="30">
                  <c:v>Electricity and gas</c:v>
                </c:pt>
                <c:pt idx="31">
                  <c:v>Mining and quarrying</c:v>
                </c:pt>
                <c:pt idx="32">
                  <c:v>Agriculture</c:v>
                </c:pt>
                <c:pt idx="33">
                  <c:v>[Primary sector and utilities]</c:v>
                </c:pt>
              </c:strCache>
            </c:strRef>
          </c:cat>
          <c:val>
            <c:numRef>
              <c:f>'Ind F1'!$M$7:$M$40</c:f>
              <c:numCache>
                <c:formatCode>General</c:formatCode>
                <c:ptCount val="34"/>
                <c:pt idx="0">
                  <c:v>-0.30598127509877671</c:v>
                </c:pt>
                <c:pt idx="2">
                  <c:v>-1.2295906347747909E-2</c:v>
                </c:pt>
                <c:pt idx="3">
                  <c:v>-0.7821291498766425</c:v>
                </c:pt>
                <c:pt idx="4">
                  <c:v>0.88376325475427731</c:v>
                </c:pt>
                <c:pt idx="5">
                  <c:v>-6.8490082344629943E-2</c:v>
                </c:pt>
                <c:pt idx="7">
                  <c:v>-3.317782180363904</c:v>
                </c:pt>
                <c:pt idx="8">
                  <c:v>-0.4253236782690184</c:v>
                </c:pt>
                <c:pt idx="9">
                  <c:v>0.46675555228361532</c:v>
                </c:pt>
                <c:pt idx="10">
                  <c:v>-2.4144361008234583</c:v>
                </c:pt>
                <c:pt idx="11">
                  <c:v>1.0716177464500598</c:v>
                </c:pt>
                <c:pt idx="12">
                  <c:v>-2.4766636683457466</c:v>
                </c:pt>
                <c:pt idx="13">
                  <c:v>-2.0154465518005371</c:v>
                </c:pt>
                <c:pt idx="14">
                  <c:v>2.5964470429385322</c:v>
                </c:pt>
                <c:pt idx="15">
                  <c:v>-1.1492491057750742</c:v>
                </c:pt>
                <c:pt idx="17">
                  <c:v>1.5641465017990352</c:v>
                </c:pt>
                <c:pt idx="18">
                  <c:v>3.8047577490901041</c:v>
                </c:pt>
                <c:pt idx="19">
                  <c:v>-0.50689431032212573</c:v>
                </c:pt>
                <c:pt idx="20">
                  <c:v>0.81821529615699884</c:v>
                </c:pt>
                <c:pt idx="22">
                  <c:v>0.64048668023506394</c:v>
                </c:pt>
                <c:pt idx="24">
                  <c:v>-3.9189889924450272</c:v>
                </c:pt>
                <c:pt idx="25">
                  <c:v>-3.759906448778727</c:v>
                </c:pt>
                <c:pt idx="26">
                  <c:v>1.5176270549353443</c:v>
                </c:pt>
                <c:pt idx="27">
                  <c:v>-3.3402817243805893</c:v>
                </c:pt>
                <c:pt idx="29">
                  <c:v>3.1233265573671787</c:v>
                </c:pt>
                <c:pt idx="30">
                  <c:v>19.798069565040976</c:v>
                </c:pt>
                <c:pt idx="31">
                  <c:v>-3.119892028641158</c:v>
                </c:pt>
                <c:pt idx="32">
                  <c:v>-6.3395119861210265</c:v>
                </c:pt>
                <c:pt idx="33">
                  <c:v>4.2835634656757993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B93-4BE8-A289-BE30E28486EE}"/>
            </c:ext>
          </c:extLst>
        </c:ser>
        <c:ser>
          <c:idx val="0"/>
          <c:order val="1"/>
          <c:tx>
            <c:strRef>
              <c:f>'Ind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F1'!$L$7:$L$40</c:f>
              <c:strCache>
                <c:ptCount val="34"/>
                <c:pt idx="0">
                  <c:v>All industries</c:v>
                </c:pt>
                <c:pt idx="2">
                  <c:v>Health and social work</c:v>
                </c:pt>
                <c:pt idx="3">
                  <c:v>Education</c:v>
                </c:pt>
                <c:pt idx="4">
                  <c:v>Public admin. and defence</c:v>
                </c:pt>
                <c:pt idx="5">
                  <c:v>[Non-marketed services]</c:v>
                </c:pt>
                <c:pt idx="7">
                  <c:v>Other services</c:v>
                </c:pt>
                <c:pt idx="8">
                  <c:v>Arts and entertainment</c:v>
                </c:pt>
                <c:pt idx="9">
                  <c:v>Support services</c:v>
                </c:pt>
                <c:pt idx="10">
                  <c:v>Professional services</c:v>
                </c:pt>
                <c:pt idx="11">
                  <c:v>Real estate</c:v>
                </c:pt>
                <c:pt idx="12">
                  <c:v>Finance and insurance</c:v>
                </c:pt>
                <c:pt idx="13">
                  <c:v>Information technology</c:v>
                </c:pt>
                <c:pt idx="14">
                  <c:v>Media</c:v>
                </c:pt>
                <c:pt idx="15">
                  <c:v>[Business and other services]</c:v>
                </c:pt>
                <c:pt idx="17">
                  <c:v>Accommodation and food</c:v>
                </c:pt>
                <c:pt idx="18">
                  <c:v>Transport and storage</c:v>
                </c:pt>
                <c:pt idx="19">
                  <c:v>Wholesale and retail trade</c:v>
                </c:pt>
                <c:pt idx="20">
                  <c:v>[Trade, accomod. and transport]</c:v>
                </c:pt>
                <c:pt idx="22">
                  <c:v>[Construction]</c:v>
                </c:pt>
                <c:pt idx="24">
                  <c:v>Rest of manufacturing</c:v>
                </c:pt>
                <c:pt idx="25">
                  <c:v>Engineering</c:v>
                </c:pt>
                <c:pt idx="26">
                  <c:v>Food drink and tobacco</c:v>
                </c:pt>
                <c:pt idx="27">
                  <c:v>[Manufacturing]</c:v>
                </c:pt>
                <c:pt idx="29">
                  <c:v>Water and sewerage</c:v>
                </c:pt>
                <c:pt idx="30">
                  <c:v>Electricity and gas</c:v>
                </c:pt>
                <c:pt idx="31">
                  <c:v>Mining and quarrying</c:v>
                </c:pt>
                <c:pt idx="32">
                  <c:v>Agriculture</c:v>
                </c:pt>
                <c:pt idx="33">
                  <c:v>[Primary sector and utilities]</c:v>
                </c:pt>
              </c:strCache>
            </c:strRef>
          </c:cat>
          <c:val>
            <c:numRef>
              <c:f>'Ind F1'!$N$7:$N$40</c:f>
              <c:numCache>
                <c:formatCode>General</c:formatCode>
                <c:ptCount val="34"/>
                <c:pt idx="0">
                  <c:v>0.33752261436221787</c:v>
                </c:pt>
                <c:pt idx="2">
                  <c:v>0.89703568831791536</c:v>
                </c:pt>
                <c:pt idx="3">
                  <c:v>0.64325521662738083</c:v>
                </c:pt>
                <c:pt idx="4">
                  <c:v>-9.4534382869071454E-2</c:v>
                </c:pt>
                <c:pt idx="5">
                  <c:v>0.64363055244627265</c:v>
                </c:pt>
                <c:pt idx="7">
                  <c:v>-1.3843564590900193</c:v>
                </c:pt>
                <c:pt idx="8">
                  <c:v>0.81469221869561181</c:v>
                </c:pt>
                <c:pt idx="9">
                  <c:v>0.37516084685238482</c:v>
                </c:pt>
                <c:pt idx="10">
                  <c:v>0.54011052744145083</c:v>
                </c:pt>
                <c:pt idx="11">
                  <c:v>0.88453515462685317</c:v>
                </c:pt>
                <c:pt idx="12">
                  <c:v>0.24218678956147155</c:v>
                </c:pt>
                <c:pt idx="13">
                  <c:v>1.2491151134933931</c:v>
                </c:pt>
                <c:pt idx="14">
                  <c:v>-8.2490936038182028E-3</c:v>
                </c:pt>
                <c:pt idx="15">
                  <c:v>0.37911766560443372</c:v>
                </c:pt>
                <c:pt idx="17">
                  <c:v>1.2032894481447398</c:v>
                </c:pt>
                <c:pt idx="18">
                  <c:v>0.28306204486863162</c:v>
                </c:pt>
                <c:pt idx="19">
                  <c:v>-1.2906663332756807E-3</c:v>
                </c:pt>
                <c:pt idx="20">
                  <c:v>0.41642035856557236</c:v>
                </c:pt>
                <c:pt idx="22">
                  <c:v>-0.27602754268255536</c:v>
                </c:pt>
                <c:pt idx="24">
                  <c:v>-0.98821092473546646</c:v>
                </c:pt>
                <c:pt idx="25">
                  <c:v>-0.34137129465912075</c:v>
                </c:pt>
                <c:pt idx="26">
                  <c:v>-0.14033962672496125</c:v>
                </c:pt>
                <c:pt idx="27">
                  <c:v>-0.77598144890543841</c:v>
                </c:pt>
                <c:pt idx="29">
                  <c:v>0.32730901270849877</c:v>
                </c:pt>
                <c:pt idx="30">
                  <c:v>1.4315559427879876E-2</c:v>
                </c:pt>
                <c:pt idx="31">
                  <c:v>-1.7107740893458234</c:v>
                </c:pt>
                <c:pt idx="32">
                  <c:v>0.41458262232376697</c:v>
                </c:pt>
                <c:pt idx="33">
                  <c:v>8.9544589846579647E-2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B93-4BE8-A289-BE30E28486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1426392"/>
        <c:axId val="137969896"/>
      </c:barChart>
      <c:catAx>
        <c:axId val="251426392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79698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37969896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0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% per annum</a:t>
                </a:r>
              </a:p>
            </c:rich>
          </c:tx>
          <c:layout>
            <c:manualLayout>
              <c:xMode val="edge"/>
              <c:yMode val="edge"/>
              <c:x val="0.85281505458472884"/>
              <c:y val="0.9570317063482980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1426392"/>
        <c:crosses val="autoZero"/>
        <c:crossBetween val="between"/>
        <c:minorUnit val="1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5699934191150069"/>
          <c:y val="0.95507858041695559"/>
          <c:w val="0.11544027811637315"/>
          <c:h val="4.199220752344492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8328143736555897E-2"/>
          <c:y val="6.9182531574561834E-2"/>
          <c:w val="0.87224041939852393"/>
          <c:h val="0.7861651315291116"/>
        </c:manualLayout>
      </c:layout>
      <c:areaChart>
        <c:grouping val="stacked"/>
        <c:varyColors val="0"/>
        <c:ser>
          <c:idx val="1"/>
          <c:order val="0"/>
          <c:tx>
            <c:strRef>
              <c:f>'Ind F2'!$L$6</c:f>
              <c:strCache>
                <c:ptCount val="1"/>
                <c:pt idx="0">
                  <c:v>Agriculture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F2'!$M$6:$AL$6</c:f>
              <c:numCache>
                <c:formatCode>#,##0</c:formatCode>
                <c:ptCount val="26"/>
                <c:pt idx="0">
                  <c:v>10.407999999947899</c:v>
                </c:pt>
                <c:pt idx="1">
                  <c:v>17.189000000108724</c:v>
                </c:pt>
                <c:pt idx="2">
                  <c:v>5.846000000002495</c:v>
                </c:pt>
                <c:pt idx="3">
                  <c:v>9.1729999998904059</c:v>
                </c:pt>
                <c:pt idx="4">
                  <c:v>12.800000000002639</c:v>
                </c:pt>
                <c:pt idx="5">
                  <c:v>7.5630000000325035</c:v>
                </c:pt>
                <c:pt idx="6">
                  <c:v>4.9390000000159713</c:v>
                </c:pt>
                <c:pt idx="7">
                  <c:v>7.9769999999540886</c:v>
                </c:pt>
                <c:pt idx="8">
                  <c:v>10.737000000129482</c:v>
                </c:pt>
                <c:pt idx="9">
                  <c:v>5.6520000000104469</c:v>
                </c:pt>
                <c:pt idx="10">
                  <c:v>5.4509999999013061</c:v>
                </c:pt>
                <c:pt idx="11">
                  <c:v>5.4939999999436644</c:v>
                </c:pt>
                <c:pt idx="12">
                  <c:v>5.5309999999559976</c:v>
                </c:pt>
                <c:pt idx="13">
                  <c:v>5.5929999999462732</c:v>
                </c:pt>
                <c:pt idx="14">
                  <c:v>5.6319999999292962</c:v>
                </c:pt>
                <c:pt idx="15">
                  <c:v>5.6419999998911603</c:v>
                </c:pt>
                <c:pt idx="16">
                  <c:v>5.657999999825515</c:v>
                </c:pt>
                <c:pt idx="17">
                  <c:v>5.673999999944499</c:v>
                </c:pt>
                <c:pt idx="18">
                  <c:v>5.6849999999404774</c:v>
                </c:pt>
                <c:pt idx="19">
                  <c:v>5.6969999999611121</c:v>
                </c:pt>
                <c:pt idx="20">
                  <c:v>5.7159999999615367</c:v>
                </c:pt>
                <c:pt idx="21">
                  <c:v>5.7339999999768763</c:v>
                </c:pt>
                <c:pt idx="22">
                  <c:v>5.751999999970109</c:v>
                </c:pt>
                <c:pt idx="23">
                  <c:v>5.7689999999793402</c:v>
                </c:pt>
                <c:pt idx="24" formatCode="#,##0.00">
                  <c:v>5.7839999998799296</c:v>
                </c:pt>
                <c:pt idx="25">
                  <c:v>5.7999999998997858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CA4-40D6-BD1E-474194B8C77E}"/>
            </c:ext>
          </c:extLst>
        </c:ser>
        <c:ser>
          <c:idx val="2"/>
          <c:order val="1"/>
          <c:tx>
            <c:strRef>
              <c:f>'Ind F2'!$L$7</c:f>
              <c:strCache>
                <c:ptCount val="1"/>
                <c:pt idx="0">
                  <c:v>Mining and quarrying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F2'!$M$7:$AL$7</c:f>
              <c:numCache>
                <c:formatCode>#,##0</c:formatCode>
                <c:ptCount val="26"/>
                <c:pt idx="0">
                  <c:v>2.5280000000027081</c:v>
                </c:pt>
                <c:pt idx="1">
                  <c:v>2.8839999999956221</c:v>
                </c:pt>
                <c:pt idx="2">
                  <c:v>2.6970000000011369</c:v>
                </c:pt>
                <c:pt idx="3">
                  <c:v>2.6259999999910795</c:v>
                </c:pt>
                <c:pt idx="4">
                  <c:v>2.2010000000016237</c:v>
                </c:pt>
                <c:pt idx="5">
                  <c:v>2.1220000000001642</c:v>
                </c:pt>
                <c:pt idx="6">
                  <c:v>2.4939999999931195</c:v>
                </c:pt>
                <c:pt idx="7">
                  <c:v>1.5439999999968277</c:v>
                </c:pt>
                <c:pt idx="8">
                  <c:v>1.6140000000095249</c:v>
                </c:pt>
                <c:pt idx="9">
                  <c:v>1.4599999999974611</c:v>
                </c:pt>
                <c:pt idx="10">
                  <c:v>1.8109999999980091</c:v>
                </c:pt>
                <c:pt idx="11">
                  <c:v>1.7620000000007983</c:v>
                </c:pt>
                <c:pt idx="12">
                  <c:v>1.7480000000081084</c:v>
                </c:pt>
                <c:pt idx="13">
                  <c:v>1.695000000004022</c:v>
                </c:pt>
                <c:pt idx="14">
                  <c:v>1.6390000000077676</c:v>
                </c:pt>
                <c:pt idx="15">
                  <c:v>1.5999999999931795</c:v>
                </c:pt>
                <c:pt idx="16">
                  <c:v>1.5739999999975665</c:v>
                </c:pt>
                <c:pt idx="17">
                  <c:v>1.5470000000004924</c:v>
                </c:pt>
                <c:pt idx="18">
                  <c:v>1.5229999999946389</c:v>
                </c:pt>
                <c:pt idx="19">
                  <c:v>1.5019999999904801</c:v>
                </c:pt>
                <c:pt idx="20">
                  <c:v>1.4849999999993075</c:v>
                </c:pt>
                <c:pt idx="21">
                  <c:v>1.4629999999961967</c:v>
                </c:pt>
                <c:pt idx="22">
                  <c:v>1.4449999999949696</c:v>
                </c:pt>
                <c:pt idx="23">
                  <c:v>1.4259999999932413</c:v>
                </c:pt>
                <c:pt idx="24" formatCode="#,##0.00">
                  <c:v>1.4120000000000137</c:v>
                </c:pt>
                <c:pt idx="25">
                  <c:v>1.3979999999938684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CA4-40D6-BD1E-474194B8C77E}"/>
            </c:ext>
          </c:extLst>
        </c:ser>
        <c:ser>
          <c:idx val="3"/>
          <c:order val="2"/>
          <c:tx>
            <c:strRef>
              <c:f>'Ind F2'!$L$8</c:f>
              <c:strCache>
                <c:ptCount val="1"/>
                <c:pt idx="0">
                  <c:v>Electricity and gas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F2'!$M$8:$AL$8</c:f>
              <c:numCache>
                <c:formatCode>#,##0</c:formatCode>
                <c:ptCount val="26"/>
                <c:pt idx="0">
                  <c:v>7.9820000000236178</c:v>
                </c:pt>
                <c:pt idx="1">
                  <c:v>6.0919999999520549</c:v>
                </c:pt>
                <c:pt idx="2">
                  <c:v>7.9049999999533513</c:v>
                </c:pt>
                <c:pt idx="3">
                  <c:v>8.5030000000122801</c:v>
                </c:pt>
                <c:pt idx="4">
                  <c:v>6.2029999999497845</c:v>
                </c:pt>
                <c:pt idx="5">
                  <c:v>4.1479999999737878</c:v>
                </c:pt>
                <c:pt idx="6">
                  <c:v>4.7999999999705993</c:v>
                </c:pt>
                <c:pt idx="7">
                  <c:v>6.2920000000563787</c:v>
                </c:pt>
                <c:pt idx="8">
                  <c:v>5.4789999999781074</c:v>
                </c:pt>
                <c:pt idx="9">
                  <c:v>9.8579999999228942</c:v>
                </c:pt>
                <c:pt idx="10">
                  <c:v>10.234999999929453</c:v>
                </c:pt>
                <c:pt idx="11">
                  <c:v>10.22499999988726</c:v>
                </c:pt>
                <c:pt idx="12">
                  <c:v>10.083999999955742</c:v>
                </c:pt>
                <c:pt idx="13">
                  <c:v>10.052999999993352</c:v>
                </c:pt>
                <c:pt idx="14">
                  <c:v>10.062999999948531</c:v>
                </c:pt>
                <c:pt idx="15">
                  <c:v>10.067000000182878</c:v>
                </c:pt>
                <c:pt idx="16">
                  <c:v>10.067000000089218</c:v>
                </c:pt>
                <c:pt idx="17">
                  <c:v>10.076000000069618</c:v>
                </c:pt>
                <c:pt idx="18">
                  <c:v>10.084000000116751</c:v>
                </c:pt>
                <c:pt idx="19">
                  <c:v>10.10000000015356</c:v>
                </c:pt>
                <c:pt idx="20">
                  <c:v>10.119000000097232</c:v>
                </c:pt>
                <c:pt idx="21">
                  <c:v>10.144000000106185</c:v>
                </c:pt>
                <c:pt idx="22">
                  <c:v>10.169000000137354</c:v>
                </c:pt>
                <c:pt idx="23">
                  <c:v>10.196000000175623</c:v>
                </c:pt>
                <c:pt idx="24" formatCode="#,##0.00">
                  <c:v>10.225000000120005</c:v>
                </c:pt>
                <c:pt idx="25">
                  <c:v>10.257000000087229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CA4-40D6-BD1E-474194B8C77E}"/>
            </c:ext>
          </c:extLst>
        </c:ser>
        <c:ser>
          <c:idx val="0"/>
          <c:order val="3"/>
          <c:tx>
            <c:strRef>
              <c:f>'Ind F2'!$L$9</c:f>
              <c:strCache>
                <c:ptCount val="1"/>
                <c:pt idx="0">
                  <c:v>Water and sewerage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chemeClr val="tx1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F2'!$M$9:$AL$9</c:f>
              <c:numCache>
                <c:formatCode>#,##0</c:formatCode>
                <c:ptCount val="26"/>
                <c:pt idx="0">
                  <c:v>4.4299999999905282</c:v>
                </c:pt>
                <c:pt idx="1">
                  <c:v>6.8850000000046929</c:v>
                </c:pt>
                <c:pt idx="2">
                  <c:v>6.7799999999887737</c:v>
                </c:pt>
                <c:pt idx="3">
                  <c:v>5.974999999945295</c:v>
                </c:pt>
                <c:pt idx="4">
                  <c:v>6.3480000000054311</c:v>
                </c:pt>
                <c:pt idx="5">
                  <c:v>6.5030000000021211</c:v>
                </c:pt>
                <c:pt idx="6">
                  <c:v>6.3219999999877201</c:v>
                </c:pt>
                <c:pt idx="7">
                  <c:v>9.0159999999600355</c:v>
                </c:pt>
                <c:pt idx="8">
                  <c:v>10.366000000066814</c:v>
                </c:pt>
                <c:pt idx="9">
                  <c:v>6.8869999999880784</c:v>
                </c:pt>
                <c:pt idx="10">
                  <c:v>7.5839999999815424</c:v>
                </c:pt>
                <c:pt idx="11">
                  <c:v>7.4179999999887061</c:v>
                </c:pt>
                <c:pt idx="12">
                  <c:v>7.3550000000198468</c:v>
                </c:pt>
                <c:pt idx="13">
                  <c:v>7.3980000000102084</c:v>
                </c:pt>
                <c:pt idx="14">
                  <c:v>7.6400000000170163</c:v>
                </c:pt>
                <c:pt idx="15">
                  <c:v>7.7579999999951728</c:v>
                </c:pt>
                <c:pt idx="16">
                  <c:v>7.8479999999833341</c:v>
                </c:pt>
                <c:pt idx="17">
                  <c:v>7.9049999999972336</c:v>
                </c:pt>
                <c:pt idx="18">
                  <c:v>7.9459999999816233</c:v>
                </c:pt>
                <c:pt idx="19">
                  <c:v>7.9559999999776716</c:v>
                </c:pt>
                <c:pt idx="20">
                  <c:v>7.9650000000057446</c:v>
                </c:pt>
                <c:pt idx="21">
                  <c:v>7.9709999999969092</c:v>
                </c:pt>
                <c:pt idx="22">
                  <c:v>7.9779999999993976</c:v>
                </c:pt>
                <c:pt idx="23">
                  <c:v>7.96900000000704</c:v>
                </c:pt>
                <c:pt idx="24" formatCode="#,##0.00">
                  <c:v>7.9850000000422749</c:v>
                </c:pt>
                <c:pt idx="25">
                  <c:v>7.9649999999836893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BB-4C95-A899-B448F94DD7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4626528"/>
        <c:axId val="254626912"/>
      </c:areaChart>
      <c:catAx>
        <c:axId val="2546265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46269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4626912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1.0482201753721488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462652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20708868519262555"/>
          <c:y val="0.9404955394969049"/>
          <c:w val="0.67507859518612257"/>
          <c:h val="4.010361967262659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905432017565845E-2"/>
          <c:y val="7.3221832118928271E-2"/>
          <c:w val="0.87539499596050963"/>
          <c:h val="0.76569115872938642"/>
        </c:manualLayout>
      </c:layout>
      <c:areaChart>
        <c:grouping val="stacked"/>
        <c:varyColors val="0"/>
        <c:ser>
          <c:idx val="1"/>
          <c:order val="0"/>
          <c:tx>
            <c:strRef>
              <c:f>'Ind F2'!$L$12</c:f>
              <c:strCache>
                <c:ptCount val="1"/>
                <c:pt idx="0">
                  <c:v>Food drink and tobacco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F2'!$M$12:$AL$12</c:f>
              <c:numCache>
                <c:formatCode>#,##0</c:formatCode>
                <c:ptCount val="26"/>
                <c:pt idx="0">
                  <c:v>13.120999999948593</c:v>
                </c:pt>
                <c:pt idx="1">
                  <c:v>10.545000000073818</c:v>
                </c:pt>
                <c:pt idx="2">
                  <c:v>12.468999999893969</c:v>
                </c:pt>
                <c:pt idx="3">
                  <c:v>11.330999999861023</c:v>
                </c:pt>
                <c:pt idx="4">
                  <c:v>10.356000000014429</c:v>
                </c:pt>
                <c:pt idx="5">
                  <c:v>11.212000000066105</c:v>
                </c:pt>
                <c:pt idx="6">
                  <c:v>12.162000000128115</c:v>
                </c:pt>
                <c:pt idx="7">
                  <c:v>11.206000000013109</c:v>
                </c:pt>
                <c:pt idx="8">
                  <c:v>16.387000000248108</c:v>
                </c:pt>
                <c:pt idx="9">
                  <c:v>12.574999999921447</c:v>
                </c:pt>
                <c:pt idx="10">
                  <c:v>12.08899999995249</c:v>
                </c:pt>
                <c:pt idx="11">
                  <c:v>12.110000000012624</c:v>
                </c:pt>
                <c:pt idx="12">
                  <c:v>12.140000000184024</c:v>
                </c:pt>
                <c:pt idx="13">
                  <c:v>12.238000000206524</c:v>
                </c:pt>
                <c:pt idx="14">
                  <c:v>12.24500000017734</c:v>
                </c:pt>
                <c:pt idx="15">
                  <c:v>12.193000000237667</c:v>
                </c:pt>
                <c:pt idx="16">
                  <c:v>12.176000000005301</c:v>
                </c:pt>
                <c:pt idx="17">
                  <c:v>12.145000000039158</c:v>
                </c:pt>
                <c:pt idx="18">
                  <c:v>12.109000000045691</c:v>
                </c:pt>
                <c:pt idx="19">
                  <c:v>12.070000000036041</c:v>
                </c:pt>
                <c:pt idx="20">
                  <c:v>12.034000000100052</c:v>
                </c:pt>
                <c:pt idx="21">
                  <c:v>11.999000000051421</c:v>
                </c:pt>
                <c:pt idx="22">
                  <c:v>11.960000000054059</c:v>
                </c:pt>
                <c:pt idx="23">
                  <c:v>11.921000000050569</c:v>
                </c:pt>
                <c:pt idx="24" formatCode="#,##0.00">
                  <c:v>11.879000000123103</c:v>
                </c:pt>
                <c:pt idx="25">
                  <c:v>11.836999999912951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A0-41D5-BF7E-8A4B7EBE3C25}"/>
            </c:ext>
          </c:extLst>
        </c:ser>
        <c:ser>
          <c:idx val="2"/>
          <c:order val="1"/>
          <c:tx>
            <c:strRef>
              <c:f>'Ind F2'!$L$13</c:f>
              <c:strCache>
                <c:ptCount val="1"/>
                <c:pt idx="0">
                  <c:v>Engineering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F2'!$M$13:$AL$13</c:f>
              <c:numCache>
                <c:formatCode>#,##0</c:formatCode>
                <c:ptCount val="26"/>
                <c:pt idx="0">
                  <c:v>19.819000000022054</c:v>
                </c:pt>
                <c:pt idx="1">
                  <c:v>22.106999999973038</c:v>
                </c:pt>
                <c:pt idx="2">
                  <c:v>23.998999999871934</c:v>
                </c:pt>
                <c:pt idx="3">
                  <c:v>21.151999999908913</c:v>
                </c:pt>
                <c:pt idx="4">
                  <c:v>20.164999999918685</c:v>
                </c:pt>
                <c:pt idx="5">
                  <c:v>20.202999999951121</c:v>
                </c:pt>
                <c:pt idx="6">
                  <c:v>18.801999999965993</c:v>
                </c:pt>
                <c:pt idx="7">
                  <c:v>20.582000000008083</c:v>
                </c:pt>
                <c:pt idx="8">
                  <c:v>21.716000000056795</c:v>
                </c:pt>
                <c:pt idx="9">
                  <c:v>17.826999999924141</c:v>
                </c:pt>
                <c:pt idx="10">
                  <c:v>16.679999999939167</c:v>
                </c:pt>
                <c:pt idx="11">
                  <c:v>17.231999999960411</c:v>
                </c:pt>
                <c:pt idx="12">
                  <c:v>17.147000000069692</c:v>
                </c:pt>
                <c:pt idx="13">
                  <c:v>17.206000000064364</c:v>
                </c:pt>
                <c:pt idx="14">
                  <c:v>17.215000000062698</c:v>
                </c:pt>
                <c:pt idx="15">
                  <c:v>17.218000000096591</c:v>
                </c:pt>
                <c:pt idx="16">
                  <c:v>17.070000000030696</c:v>
                </c:pt>
                <c:pt idx="17">
                  <c:v>16.917000000052866</c:v>
                </c:pt>
                <c:pt idx="18">
                  <c:v>16.768000000025872</c:v>
                </c:pt>
                <c:pt idx="19">
                  <c:v>16.622000000015159</c:v>
                </c:pt>
                <c:pt idx="20">
                  <c:v>16.501000000073685</c:v>
                </c:pt>
                <c:pt idx="21">
                  <c:v>16.370000000030831</c:v>
                </c:pt>
                <c:pt idx="22">
                  <c:v>16.23900000003383</c:v>
                </c:pt>
                <c:pt idx="23">
                  <c:v>16.107000000027675</c:v>
                </c:pt>
                <c:pt idx="24" formatCode="#,##0.00">
                  <c:v>15.97600000006344</c:v>
                </c:pt>
                <c:pt idx="25">
                  <c:v>15.845999999941995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EA0-41D5-BF7E-8A4B7EBE3C25}"/>
            </c:ext>
          </c:extLst>
        </c:ser>
        <c:ser>
          <c:idx val="3"/>
          <c:order val="2"/>
          <c:tx>
            <c:strRef>
              <c:f>'Ind F2'!$L$14</c:f>
              <c:strCache>
                <c:ptCount val="1"/>
                <c:pt idx="0">
                  <c:v>Rest of manufacturing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F2'!$M$14:$AL$14</c:f>
              <c:numCache>
                <c:formatCode>#,##0</c:formatCode>
                <c:ptCount val="26"/>
                <c:pt idx="0">
                  <c:v>83.521999999934607</c:v>
                </c:pt>
                <c:pt idx="1">
                  <c:v>78.702000000159018</c:v>
                </c:pt>
                <c:pt idx="2">
                  <c:v>77.049999999750227</c:v>
                </c:pt>
                <c:pt idx="3">
                  <c:v>81.028999999327979</c:v>
                </c:pt>
                <c:pt idx="4">
                  <c:v>82.550999999948672</c:v>
                </c:pt>
                <c:pt idx="5">
                  <c:v>90.622000000107377</c:v>
                </c:pt>
                <c:pt idx="6">
                  <c:v>85.946000000061744</c:v>
                </c:pt>
                <c:pt idx="7">
                  <c:v>94.258999999835297</c:v>
                </c:pt>
                <c:pt idx="8">
                  <c:v>87.468000000589058</c:v>
                </c:pt>
                <c:pt idx="9">
                  <c:v>80.548999999794404</c:v>
                </c:pt>
                <c:pt idx="10">
                  <c:v>74.202999999838298</c:v>
                </c:pt>
                <c:pt idx="11">
                  <c:v>74.823000000022915</c:v>
                </c:pt>
                <c:pt idx="12">
                  <c:v>73.758000000477509</c:v>
                </c:pt>
                <c:pt idx="13">
                  <c:v>72.813000000371858</c:v>
                </c:pt>
                <c:pt idx="14">
                  <c:v>72.072000000422776</c:v>
                </c:pt>
                <c:pt idx="15">
                  <c:v>71.075000000140477</c:v>
                </c:pt>
                <c:pt idx="16">
                  <c:v>70.214999999917524</c:v>
                </c:pt>
                <c:pt idx="17">
                  <c:v>69.363000000071011</c:v>
                </c:pt>
                <c:pt idx="18">
                  <c:v>68.547999999900384</c:v>
                </c:pt>
                <c:pt idx="19">
                  <c:v>67.769999999764238</c:v>
                </c:pt>
                <c:pt idx="20">
                  <c:v>67.086000000131008</c:v>
                </c:pt>
                <c:pt idx="21">
                  <c:v>66.389999999942205</c:v>
                </c:pt>
                <c:pt idx="22">
                  <c:v>65.72699999992227</c:v>
                </c:pt>
                <c:pt idx="23">
                  <c:v>65.096999999871301</c:v>
                </c:pt>
                <c:pt idx="24" formatCode="#,##0.00">
                  <c:v>64.502000000110527</c:v>
                </c:pt>
                <c:pt idx="25">
                  <c:v>63.932999999685606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EA0-41D5-BF7E-8A4B7EBE3C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1989464"/>
        <c:axId val="253597832"/>
      </c:areaChart>
      <c:catAx>
        <c:axId val="2519894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783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3597832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9.4637296860595726E-3"/>
              <c:y val="1.2552314077530559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198946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3123053901208482"/>
          <c:y val="0.93514739877602659"/>
          <c:w val="0.50157767336115666"/>
          <c:h val="4.60251516176120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9905432017565845E-2"/>
          <c:y val="7.3221832118928271E-2"/>
          <c:w val="0.87539499596050963"/>
          <c:h val="0.76987526342190526"/>
        </c:manualLayout>
      </c:layout>
      <c:areaChart>
        <c:grouping val="stacked"/>
        <c:varyColors val="0"/>
        <c:ser>
          <c:idx val="1"/>
          <c:order val="0"/>
          <c:tx>
            <c:strRef>
              <c:f>'Ind F2'!$L$16</c:f>
              <c:strCache>
                <c:ptCount val="1"/>
                <c:pt idx="0">
                  <c:v>Construction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F2'!$M$16:$AL$16</c:f>
              <c:numCache>
                <c:formatCode>#,##0</c:formatCode>
                <c:ptCount val="26"/>
                <c:pt idx="0">
                  <c:v>84.206999999699008</c:v>
                </c:pt>
                <c:pt idx="1">
                  <c:v>78.816000000302495</c:v>
                </c:pt>
                <c:pt idx="2">
                  <c:v>74.371999999670223</c:v>
                </c:pt>
                <c:pt idx="3">
                  <c:v>70.66499999867537</c:v>
                </c:pt>
                <c:pt idx="4">
                  <c:v>70.63499999980678</c:v>
                </c:pt>
                <c:pt idx="5">
                  <c:v>66.990999999728743</c:v>
                </c:pt>
                <c:pt idx="6">
                  <c:v>65.845999999572186</c:v>
                </c:pt>
                <c:pt idx="7">
                  <c:v>66.819999999375582</c:v>
                </c:pt>
                <c:pt idx="8">
                  <c:v>72.955000000898082</c:v>
                </c:pt>
                <c:pt idx="9">
                  <c:v>72.67500000056009</c:v>
                </c:pt>
                <c:pt idx="10">
                  <c:v>69.163999999273457</c:v>
                </c:pt>
                <c:pt idx="11">
                  <c:v>67.606999999376939</c:v>
                </c:pt>
                <c:pt idx="12">
                  <c:v>67.369999998874846</c:v>
                </c:pt>
                <c:pt idx="13">
                  <c:v>66.972999998608216</c:v>
                </c:pt>
                <c:pt idx="14">
                  <c:v>66.823999998731125</c:v>
                </c:pt>
                <c:pt idx="15">
                  <c:v>66.884999997326702</c:v>
                </c:pt>
                <c:pt idx="16">
                  <c:v>66.882999997282496</c:v>
                </c:pt>
                <c:pt idx="17">
                  <c:v>66.734999997635413</c:v>
                </c:pt>
                <c:pt idx="18">
                  <c:v>66.654999996912991</c:v>
                </c:pt>
                <c:pt idx="19">
                  <c:v>66.532999997053381</c:v>
                </c:pt>
                <c:pt idx="20">
                  <c:v>66.485999997375828</c:v>
                </c:pt>
                <c:pt idx="21">
                  <c:v>66.444999997628003</c:v>
                </c:pt>
                <c:pt idx="22">
                  <c:v>66.414999997206664</c:v>
                </c:pt>
                <c:pt idx="23">
                  <c:v>66.394999997172107</c:v>
                </c:pt>
                <c:pt idx="24" formatCode="#,##0.00">
                  <c:v>66.375999997539807</c:v>
                </c:pt>
                <c:pt idx="25">
                  <c:v>66.354999997656051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091-4833-92D7-C94527035F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598616"/>
        <c:axId val="253599008"/>
      </c:areaChart>
      <c:catAx>
        <c:axId val="25359861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90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3599008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1.2552314077530559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8616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51577326789024558"/>
          <c:y val="0.93514739877602659"/>
          <c:w val="0.12776035076180794"/>
          <c:h val="4.60251516176120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0332874972819527E-2"/>
          <c:y val="7.3221832118928271E-2"/>
          <c:w val="0.8795569405248217"/>
          <c:h val="0.7719673157681296"/>
        </c:manualLayout>
      </c:layout>
      <c:areaChart>
        <c:grouping val="stacked"/>
        <c:varyColors val="0"/>
        <c:ser>
          <c:idx val="1"/>
          <c:order val="0"/>
          <c:tx>
            <c:strRef>
              <c:f>'Ind F2'!$L$19</c:f>
              <c:strCache>
                <c:ptCount val="1"/>
                <c:pt idx="0">
                  <c:v>Wholesale and retail trade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F2'!$M$19:$AL$19</c:f>
              <c:numCache>
                <c:formatCode>#,##0</c:formatCode>
                <c:ptCount val="26"/>
                <c:pt idx="0">
                  <c:v>162.81299999899053</c:v>
                </c:pt>
                <c:pt idx="1">
                  <c:v>161.4540000004518</c:v>
                </c:pt>
                <c:pt idx="2">
                  <c:v>155.92899999664584</c:v>
                </c:pt>
                <c:pt idx="3">
                  <c:v>158.65699999797886</c:v>
                </c:pt>
                <c:pt idx="4">
                  <c:v>175.4860000023898</c:v>
                </c:pt>
                <c:pt idx="5">
                  <c:v>174.85700000374186</c:v>
                </c:pt>
                <c:pt idx="6">
                  <c:v>167.43300000397562</c:v>
                </c:pt>
                <c:pt idx="7">
                  <c:v>161.76100000299868</c:v>
                </c:pt>
                <c:pt idx="8">
                  <c:v>158.80200000351368</c:v>
                </c:pt>
                <c:pt idx="9">
                  <c:v>170.39800000086126</c:v>
                </c:pt>
                <c:pt idx="10">
                  <c:v>170.4700000010169</c:v>
                </c:pt>
                <c:pt idx="11">
                  <c:v>169.66699999905316</c:v>
                </c:pt>
                <c:pt idx="12">
                  <c:v>169.15500000458479</c:v>
                </c:pt>
                <c:pt idx="13">
                  <c:v>169.14100000598441</c:v>
                </c:pt>
                <c:pt idx="14">
                  <c:v>169.20800000505295</c:v>
                </c:pt>
                <c:pt idx="15">
                  <c:v>169.38800000605769</c:v>
                </c:pt>
                <c:pt idx="16">
                  <c:v>169.4720000012988</c:v>
                </c:pt>
                <c:pt idx="17">
                  <c:v>169.53300000183037</c:v>
                </c:pt>
                <c:pt idx="18">
                  <c:v>169.58300000253686</c:v>
                </c:pt>
                <c:pt idx="19">
                  <c:v>169.64100000236374</c:v>
                </c:pt>
                <c:pt idx="20">
                  <c:v>169.72500000232586</c:v>
                </c:pt>
                <c:pt idx="21">
                  <c:v>169.82400000239048</c:v>
                </c:pt>
                <c:pt idx="22">
                  <c:v>169.92200000201927</c:v>
                </c:pt>
                <c:pt idx="23">
                  <c:v>170.10800000176923</c:v>
                </c:pt>
                <c:pt idx="24" formatCode="#,##0.00">
                  <c:v>170.27800000274874</c:v>
                </c:pt>
                <c:pt idx="25">
                  <c:v>170.43699999908375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82F-44B2-8BA6-32F17547BDD2}"/>
            </c:ext>
          </c:extLst>
        </c:ser>
        <c:ser>
          <c:idx val="2"/>
          <c:order val="1"/>
          <c:tx>
            <c:strRef>
              <c:f>'Ind F2'!$L$20</c:f>
              <c:strCache>
                <c:ptCount val="1"/>
                <c:pt idx="0">
                  <c:v>Transport and storage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F2'!$M$20:$AL$20</c:f>
              <c:numCache>
                <c:formatCode>#,##0</c:formatCode>
                <c:ptCount val="26"/>
                <c:pt idx="0">
                  <c:v>42.370999999397142</c:v>
                </c:pt>
                <c:pt idx="1">
                  <c:v>53.663000000163855</c:v>
                </c:pt>
                <c:pt idx="2">
                  <c:v>47.54799999925762</c:v>
                </c:pt>
                <c:pt idx="3">
                  <c:v>51.705999999081122</c:v>
                </c:pt>
                <c:pt idx="4">
                  <c:v>50.12500000012286</c:v>
                </c:pt>
                <c:pt idx="5">
                  <c:v>50.688000000389223</c:v>
                </c:pt>
                <c:pt idx="6">
                  <c:v>52.050000000533032</c:v>
                </c:pt>
                <c:pt idx="7">
                  <c:v>52.525999999304467</c:v>
                </c:pt>
                <c:pt idx="8">
                  <c:v>64.085000000285703</c:v>
                </c:pt>
                <c:pt idx="9">
                  <c:v>59.498999999342587</c:v>
                </c:pt>
                <c:pt idx="10">
                  <c:v>61.093000000102215</c:v>
                </c:pt>
                <c:pt idx="11">
                  <c:v>62.855000000723663</c:v>
                </c:pt>
                <c:pt idx="12">
                  <c:v>62.934000001388902</c:v>
                </c:pt>
                <c:pt idx="13">
                  <c:v>63.035000001358043</c:v>
                </c:pt>
                <c:pt idx="14">
                  <c:v>63.311000001385132</c:v>
                </c:pt>
                <c:pt idx="15">
                  <c:v>63.446000000786242</c:v>
                </c:pt>
                <c:pt idx="16">
                  <c:v>63.494000000158458</c:v>
                </c:pt>
                <c:pt idx="17">
                  <c:v>63.535000000422528</c:v>
                </c:pt>
                <c:pt idx="18">
                  <c:v>63.571000000468679</c:v>
                </c:pt>
                <c:pt idx="19">
                  <c:v>63.603000000134429</c:v>
                </c:pt>
                <c:pt idx="20">
                  <c:v>63.648000000684682</c:v>
                </c:pt>
                <c:pt idx="21">
                  <c:v>63.67500000034223</c:v>
                </c:pt>
                <c:pt idx="22">
                  <c:v>63.699000000343815</c:v>
                </c:pt>
                <c:pt idx="23">
                  <c:v>63.718000000204263</c:v>
                </c:pt>
                <c:pt idx="24" formatCode="#,##0.00">
                  <c:v>63.729000000698953</c:v>
                </c:pt>
                <c:pt idx="25">
                  <c:v>63.739000000015331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82F-44B2-8BA6-32F17547BDD2}"/>
            </c:ext>
          </c:extLst>
        </c:ser>
        <c:ser>
          <c:idx val="3"/>
          <c:order val="2"/>
          <c:tx>
            <c:strRef>
              <c:f>'Ind F2'!$L$21</c:f>
              <c:strCache>
                <c:ptCount val="1"/>
                <c:pt idx="0">
                  <c:v>Accommodation and food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F2'!$M$21:$AL$21</c:f>
              <c:numCache>
                <c:formatCode>#,##0</c:formatCode>
                <c:ptCount val="26"/>
                <c:pt idx="0">
                  <c:v>67.261999999945218</c:v>
                </c:pt>
                <c:pt idx="1">
                  <c:v>73.681000000630959</c:v>
                </c:pt>
                <c:pt idx="2">
                  <c:v>68.623999999312161</c:v>
                </c:pt>
                <c:pt idx="3">
                  <c:v>80.524999999638922</c:v>
                </c:pt>
                <c:pt idx="4">
                  <c:v>72.614000000352334</c:v>
                </c:pt>
                <c:pt idx="5">
                  <c:v>85.956000001465171</c:v>
                </c:pt>
                <c:pt idx="6">
                  <c:v>82.482000001597214</c:v>
                </c:pt>
                <c:pt idx="7">
                  <c:v>94.432000001470882</c:v>
                </c:pt>
                <c:pt idx="8">
                  <c:v>82.224000001404775</c:v>
                </c:pt>
                <c:pt idx="9">
                  <c:v>96.471000000242128</c:v>
                </c:pt>
                <c:pt idx="10">
                  <c:v>92.891999999969698</c:v>
                </c:pt>
                <c:pt idx="11">
                  <c:v>88.428999999614106</c:v>
                </c:pt>
                <c:pt idx="12">
                  <c:v>89.347000001668562</c:v>
                </c:pt>
                <c:pt idx="13">
                  <c:v>91.164000002413729</c:v>
                </c:pt>
                <c:pt idx="14">
                  <c:v>93.449000001899904</c:v>
                </c:pt>
                <c:pt idx="15">
                  <c:v>95.547000002973505</c:v>
                </c:pt>
                <c:pt idx="16">
                  <c:v>97.373000000450105</c:v>
                </c:pt>
                <c:pt idx="17">
                  <c:v>99.071000000871521</c:v>
                </c:pt>
                <c:pt idx="18">
                  <c:v>100.69900000148121</c:v>
                </c:pt>
                <c:pt idx="19">
                  <c:v>102.2870000016279</c:v>
                </c:pt>
                <c:pt idx="20">
                  <c:v>103.85200000144273</c:v>
                </c:pt>
                <c:pt idx="21">
                  <c:v>105.38700000163885</c:v>
                </c:pt>
                <c:pt idx="22">
                  <c:v>106.88700000164562</c:v>
                </c:pt>
                <c:pt idx="23">
                  <c:v>108.35400000172973</c:v>
                </c:pt>
                <c:pt idx="24" formatCode="#,##0.00">
                  <c:v>109.77200000190589</c:v>
                </c:pt>
                <c:pt idx="25">
                  <c:v>111.1469999997182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82F-44B2-8BA6-32F17547BD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599792"/>
        <c:axId val="253600184"/>
      </c:areaChart>
      <c:catAx>
        <c:axId val="25359979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6001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360018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9239364011245532E-3"/>
              <c:y val="1.0460261731275467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979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0427915780318149"/>
          <c:y val="0.93514739877602659"/>
          <c:w val="0.55467554807872665"/>
          <c:h val="4.60251516176120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905432017565845E-2"/>
          <c:y val="7.337541227605042E-2"/>
          <c:w val="0.87381770767952038"/>
          <c:h val="0.7777793701261565"/>
        </c:manualLayout>
      </c:layout>
      <c:areaChart>
        <c:grouping val="stacked"/>
        <c:varyColors val="0"/>
        <c:ser>
          <c:idx val="1"/>
          <c:order val="0"/>
          <c:tx>
            <c:strRef>
              <c:f>'Ind F2'!$L$24</c:f>
              <c:strCache>
                <c:ptCount val="1"/>
                <c:pt idx="0">
                  <c:v>Media</c:v>
                </c:pt>
              </c:strCache>
            </c:strRef>
          </c:tx>
          <c:spPr>
            <a:solidFill>
              <a:schemeClr val="tx1">
                <a:lumMod val="95000"/>
                <a:lumOff val="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F2'!$M$24:$AL$24</c:f>
              <c:numCache>
                <c:formatCode>#,##0</c:formatCode>
                <c:ptCount val="26"/>
                <c:pt idx="0">
                  <c:v>4.6669999999821385</c:v>
                </c:pt>
                <c:pt idx="1">
                  <c:v>5.0869999999766611</c:v>
                </c:pt>
                <c:pt idx="2">
                  <c:v>3.9289999999975631</c:v>
                </c:pt>
                <c:pt idx="3">
                  <c:v>7.8180000000004322</c:v>
                </c:pt>
                <c:pt idx="4">
                  <c:v>5.3169999999924151</c:v>
                </c:pt>
                <c:pt idx="5">
                  <c:v>7.8250000000005118</c:v>
                </c:pt>
                <c:pt idx="6">
                  <c:v>4.8659999999540284</c:v>
                </c:pt>
                <c:pt idx="7">
                  <c:v>6.9370000000563286</c:v>
                </c:pt>
                <c:pt idx="8">
                  <c:v>3.5330000000045567</c:v>
                </c:pt>
                <c:pt idx="9">
                  <c:v>9.1439999999976784</c:v>
                </c:pt>
                <c:pt idx="10">
                  <c:v>8.8949999999797331</c:v>
                </c:pt>
                <c:pt idx="11">
                  <c:v>8.7949999998932711</c:v>
                </c:pt>
                <c:pt idx="12">
                  <c:v>8.7669999999889523</c:v>
                </c:pt>
                <c:pt idx="13">
                  <c:v>8.7349999999485988</c:v>
                </c:pt>
                <c:pt idx="14">
                  <c:v>8.7149999999931822</c:v>
                </c:pt>
                <c:pt idx="15">
                  <c:v>8.7439999999353351</c:v>
                </c:pt>
                <c:pt idx="16">
                  <c:v>8.7620000001283476</c:v>
                </c:pt>
                <c:pt idx="17">
                  <c:v>8.7730000002604704</c:v>
                </c:pt>
                <c:pt idx="18">
                  <c:v>8.7910000002105875</c:v>
                </c:pt>
                <c:pt idx="19">
                  <c:v>8.8050000002214812</c:v>
                </c:pt>
                <c:pt idx="20">
                  <c:v>8.8200000002387267</c:v>
                </c:pt>
                <c:pt idx="21">
                  <c:v>8.8300000002273951</c:v>
                </c:pt>
                <c:pt idx="22">
                  <c:v>8.8450000002511029</c:v>
                </c:pt>
                <c:pt idx="23">
                  <c:v>8.8570000002644633</c:v>
                </c:pt>
                <c:pt idx="24" formatCode="#,##0.00">
                  <c:v>8.8720000001446238</c:v>
                </c:pt>
                <c:pt idx="25">
                  <c:v>8.8840000000381973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F7B-4588-829A-546C63534D57}"/>
            </c:ext>
          </c:extLst>
        </c:ser>
        <c:ser>
          <c:idx val="2"/>
          <c:order val="1"/>
          <c:tx>
            <c:strRef>
              <c:f>'Ind F2'!$L$25</c:f>
              <c:strCache>
                <c:ptCount val="1"/>
                <c:pt idx="0">
                  <c:v>Information technology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F2'!$M$25:$AL$25</c:f>
              <c:numCache>
                <c:formatCode>#,##0</c:formatCode>
                <c:ptCount val="26"/>
                <c:pt idx="0">
                  <c:v>26.876000000065044</c:v>
                </c:pt>
                <c:pt idx="1">
                  <c:v>29.039999999554929</c:v>
                </c:pt>
                <c:pt idx="2">
                  <c:v>26.575999999853707</c:v>
                </c:pt>
                <c:pt idx="3">
                  <c:v>25.043000000110904</c:v>
                </c:pt>
                <c:pt idx="4">
                  <c:v>24.293999999773462</c:v>
                </c:pt>
                <c:pt idx="5">
                  <c:v>28.204999999688201</c:v>
                </c:pt>
                <c:pt idx="6">
                  <c:v>25.924999999634345</c:v>
                </c:pt>
                <c:pt idx="7">
                  <c:v>31.396000000299455</c:v>
                </c:pt>
                <c:pt idx="8">
                  <c:v>34.071999999617752</c:v>
                </c:pt>
                <c:pt idx="9">
                  <c:v>29.431999999776014</c:v>
                </c:pt>
                <c:pt idx="10">
                  <c:v>25.47499999979382</c:v>
                </c:pt>
                <c:pt idx="11">
                  <c:v>26.209999999549499</c:v>
                </c:pt>
                <c:pt idx="12">
                  <c:v>26.486999999725523</c:v>
                </c:pt>
                <c:pt idx="13">
                  <c:v>27.030999999778</c:v>
                </c:pt>
                <c:pt idx="14">
                  <c:v>27.456999999682544</c:v>
                </c:pt>
                <c:pt idx="15">
                  <c:v>27.810000000448834</c:v>
                </c:pt>
                <c:pt idx="16">
                  <c:v>28.145000000517925</c:v>
                </c:pt>
                <c:pt idx="17">
                  <c:v>28.445000000472636</c:v>
                </c:pt>
                <c:pt idx="18">
                  <c:v>28.731000000548214</c:v>
                </c:pt>
                <c:pt idx="19">
                  <c:v>29.011000000721435</c:v>
                </c:pt>
                <c:pt idx="20">
                  <c:v>29.31100000051164</c:v>
                </c:pt>
                <c:pt idx="21">
                  <c:v>29.602000000556181</c:v>
                </c:pt>
                <c:pt idx="22">
                  <c:v>29.890000000694105</c:v>
                </c:pt>
                <c:pt idx="23">
                  <c:v>30.170000000846962</c:v>
                </c:pt>
                <c:pt idx="24" formatCode="#,##0.00">
                  <c:v>30.436000000574843</c:v>
                </c:pt>
                <c:pt idx="25">
                  <c:v>30.689000000358785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F7B-4588-829A-546C63534D57}"/>
            </c:ext>
          </c:extLst>
        </c:ser>
        <c:ser>
          <c:idx val="3"/>
          <c:order val="2"/>
          <c:tx>
            <c:strRef>
              <c:f>'Ind F2'!$L$26</c:f>
              <c:strCache>
                <c:ptCount val="1"/>
                <c:pt idx="0">
                  <c:v>Finance and insurance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F2'!$M$26:$AL$26</c:f>
              <c:numCache>
                <c:formatCode>#,##0</c:formatCode>
                <c:ptCount val="26"/>
                <c:pt idx="0">
                  <c:v>26.321000000005139</c:v>
                </c:pt>
                <c:pt idx="1">
                  <c:v>26.651999999807821</c:v>
                </c:pt>
                <c:pt idx="2">
                  <c:v>24.040999999846466</c:v>
                </c:pt>
                <c:pt idx="3">
                  <c:v>23.906999999966072</c:v>
                </c:pt>
                <c:pt idx="4">
                  <c:v>26.533999999800312</c:v>
                </c:pt>
                <c:pt idx="5">
                  <c:v>26.168999999849351</c:v>
                </c:pt>
                <c:pt idx="6">
                  <c:v>26.32399999979075</c:v>
                </c:pt>
                <c:pt idx="7">
                  <c:v>24.392000000025604</c:v>
                </c:pt>
                <c:pt idx="8">
                  <c:v>27.207999999824292</c:v>
                </c:pt>
                <c:pt idx="9">
                  <c:v>24.832999999834986</c:v>
                </c:pt>
                <c:pt idx="10">
                  <c:v>23.084999999885827</c:v>
                </c:pt>
                <c:pt idx="11">
                  <c:v>23.916999999725594</c:v>
                </c:pt>
                <c:pt idx="12">
                  <c:v>23.932999999952116</c:v>
                </c:pt>
                <c:pt idx="13">
                  <c:v>23.942999999944078</c:v>
                </c:pt>
                <c:pt idx="14">
                  <c:v>23.898999999935462</c:v>
                </c:pt>
                <c:pt idx="15">
                  <c:v>23.889000000319875</c:v>
                </c:pt>
                <c:pt idx="16">
                  <c:v>23.905000000485565</c:v>
                </c:pt>
                <c:pt idx="17">
                  <c:v>23.921000000463025</c:v>
                </c:pt>
                <c:pt idx="18">
                  <c:v>23.931000000416329</c:v>
                </c:pt>
                <c:pt idx="19">
                  <c:v>23.940000000526204</c:v>
                </c:pt>
                <c:pt idx="20">
                  <c:v>23.955000000490973</c:v>
                </c:pt>
                <c:pt idx="21">
                  <c:v>23.951000000464276</c:v>
                </c:pt>
                <c:pt idx="22">
                  <c:v>23.94800000054402</c:v>
                </c:pt>
                <c:pt idx="23">
                  <c:v>23.945000000603379</c:v>
                </c:pt>
                <c:pt idx="24" formatCode="#,##0.00">
                  <c:v>23.940000000527274</c:v>
                </c:pt>
                <c:pt idx="25">
                  <c:v>23.938000000099546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F7B-4588-829A-546C63534D57}"/>
            </c:ext>
          </c:extLst>
        </c:ser>
        <c:ser>
          <c:idx val="0"/>
          <c:order val="3"/>
          <c:tx>
            <c:strRef>
              <c:f>'Ind F2'!$L$27</c:f>
              <c:strCache>
                <c:ptCount val="1"/>
                <c:pt idx="0">
                  <c:v>Real estate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F2'!$M$27:$AL$27</c:f>
              <c:numCache>
                <c:formatCode>#,##0</c:formatCode>
                <c:ptCount val="26"/>
                <c:pt idx="0">
                  <c:v>22.21500000002132</c:v>
                </c:pt>
                <c:pt idx="1">
                  <c:v>16.585999999907159</c:v>
                </c:pt>
                <c:pt idx="2">
                  <c:v>17.236999999872271</c:v>
                </c:pt>
                <c:pt idx="3">
                  <c:v>20.041999999910455</c:v>
                </c:pt>
                <c:pt idx="4">
                  <c:v>20.789999999890689</c:v>
                </c:pt>
                <c:pt idx="5">
                  <c:v>17.609999999974573</c:v>
                </c:pt>
                <c:pt idx="6">
                  <c:v>17.159999999973842</c:v>
                </c:pt>
                <c:pt idx="7">
                  <c:v>13.764000000023774</c:v>
                </c:pt>
                <c:pt idx="8">
                  <c:v>17.969000000004197</c:v>
                </c:pt>
                <c:pt idx="9">
                  <c:v>20.42399999993853</c:v>
                </c:pt>
                <c:pt idx="10">
                  <c:v>18.573999999919479</c:v>
                </c:pt>
                <c:pt idx="11">
                  <c:v>18.386999999863399</c:v>
                </c:pt>
                <c:pt idx="12">
                  <c:v>18.205000000074335</c:v>
                </c:pt>
                <c:pt idx="13">
                  <c:v>18.214000000102423</c:v>
                </c:pt>
                <c:pt idx="14">
                  <c:v>18.357000000073398</c:v>
                </c:pt>
                <c:pt idx="15">
                  <c:v>18.522000000260267</c:v>
                </c:pt>
                <c:pt idx="16">
                  <c:v>18.740000000151745</c:v>
                </c:pt>
                <c:pt idx="17">
                  <c:v>18.985000000216935</c:v>
                </c:pt>
                <c:pt idx="18">
                  <c:v>19.245000000225918</c:v>
                </c:pt>
                <c:pt idx="19">
                  <c:v>19.515000000267751</c:v>
                </c:pt>
                <c:pt idx="20">
                  <c:v>19.788000000273655</c:v>
                </c:pt>
                <c:pt idx="21">
                  <c:v>20.066000000254384</c:v>
                </c:pt>
                <c:pt idx="22">
                  <c:v>20.347000000290986</c:v>
                </c:pt>
                <c:pt idx="23">
                  <c:v>20.631000000332101</c:v>
                </c:pt>
                <c:pt idx="24" formatCode="#,##0.00">
                  <c:v>20.913000000325471</c:v>
                </c:pt>
                <c:pt idx="25">
                  <c:v>21.197000000018889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7F6-40CB-8490-F63AF969C3B0}"/>
            </c:ext>
          </c:extLst>
        </c:ser>
        <c:ser>
          <c:idx val="4"/>
          <c:order val="4"/>
          <c:tx>
            <c:strRef>
              <c:f>'Ind F2'!$L$28</c:f>
              <c:strCache>
                <c:ptCount val="1"/>
                <c:pt idx="0">
                  <c:v>Professional services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F2'!$M$28:$AL$28</c:f>
              <c:numCache>
                <c:formatCode>#,##0</c:formatCode>
                <c:ptCount val="26"/>
                <c:pt idx="0">
                  <c:v>69.732000000527734</c:v>
                </c:pt>
                <c:pt idx="1">
                  <c:v>71.270999998867936</c:v>
                </c:pt>
                <c:pt idx="2">
                  <c:v>67.011999999867101</c:v>
                </c:pt>
                <c:pt idx="3">
                  <c:v>65.261000000404081</c:v>
                </c:pt>
                <c:pt idx="4">
                  <c:v>70.228999999411101</c:v>
                </c:pt>
                <c:pt idx="5">
                  <c:v>80.351999999048971</c:v>
                </c:pt>
                <c:pt idx="6">
                  <c:v>81.506999998855662</c:v>
                </c:pt>
                <c:pt idx="7">
                  <c:v>59.726000000503099</c:v>
                </c:pt>
                <c:pt idx="8">
                  <c:v>66.548999999298758</c:v>
                </c:pt>
                <c:pt idx="9">
                  <c:v>68.207999999705365</c:v>
                </c:pt>
                <c:pt idx="10">
                  <c:v>71.108999999742551</c:v>
                </c:pt>
                <c:pt idx="11">
                  <c:v>71.927999998965319</c:v>
                </c:pt>
                <c:pt idx="12">
                  <c:v>72.05999999955651</c:v>
                </c:pt>
                <c:pt idx="13">
                  <c:v>72.36699999957213</c:v>
                </c:pt>
                <c:pt idx="14">
                  <c:v>72.746999999551235</c:v>
                </c:pt>
                <c:pt idx="15">
                  <c:v>73.075000001019859</c:v>
                </c:pt>
                <c:pt idx="16">
                  <c:v>73.365000001897229</c:v>
                </c:pt>
                <c:pt idx="17">
                  <c:v>73.687000001734475</c:v>
                </c:pt>
                <c:pt idx="18">
                  <c:v>74.040000001709984</c:v>
                </c:pt>
                <c:pt idx="19">
                  <c:v>74.430000002068837</c:v>
                </c:pt>
                <c:pt idx="20">
                  <c:v>74.859000001746992</c:v>
                </c:pt>
                <c:pt idx="21">
                  <c:v>75.296000001760589</c:v>
                </c:pt>
                <c:pt idx="22">
                  <c:v>75.739000002090947</c:v>
                </c:pt>
                <c:pt idx="23">
                  <c:v>76.18700000234594</c:v>
                </c:pt>
                <c:pt idx="24" formatCode="#,##0.00">
                  <c:v>76.641000001910115</c:v>
                </c:pt>
                <c:pt idx="25">
                  <c:v>77.093000000910507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7F6-40CB-8490-F63AF969C3B0}"/>
            </c:ext>
          </c:extLst>
        </c:ser>
        <c:ser>
          <c:idx val="5"/>
          <c:order val="5"/>
          <c:tx>
            <c:strRef>
              <c:f>'Ind F2'!$L$29</c:f>
              <c:strCache>
                <c:ptCount val="1"/>
                <c:pt idx="0">
                  <c:v>Support services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F2'!$M$29:$AL$29</c:f>
              <c:numCache>
                <c:formatCode>#,##0</c:formatCode>
                <c:ptCount val="26"/>
                <c:pt idx="0">
                  <c:v>80.045999999856676</c:v>
                </c:pt>
                <c:pt idx="1">
                  <c:v>66.369000000465249</c:v>
                </c:pt>
                <c:pt idx="2">
                  <c:v>82.743999999734186</c:v>
                </c:pt>
                <c:pt idx="3">
                  <c:v>80.412999999519428</c:v>
                </c:pt>
                <c:pt idx="4">
                  <c:v>79.776000000107985</c:v>
                </c:pt>
                <c:pt idx="5">
                  <c:v>85.496000000568472</c:v>
                </c:pt>
                <c:pt idx="6">
                  <c:v>87.5110000007069</c:v>
                </c:pt>
                <c:pt idx="7">
                  <c:v>95.163999999918431</c:v>
                </c:pt>
                <c:pt idx="8">
                  <c:v>97.389000000995921</c:v>
                </c:pt>
                <c:pt idx="9">
                  <c:v>89.171999999947872</c:v>
                </c:pt>
                <c:pt idx="10">
                  <c:v>87.509999999800925</c:v>
                </c:pt>
                <c:pt idx="11">
                  <c:v>88.003000000177039</c:v>
                </c:pt>
                <c:pt idx="12">
                  <c:v>88.450000000865828</c:v>
                </c:pt>
                <c:pt idx="13">
                  <c:v>88.560000000975577</c:v>
                </c:pt>
                <c:pt idx="14">
                  <c:v>88.927000000846178</c:v>
                </c:pt>
                <c:pt idx="15">
                  <c:v>89.225000000844602</c:v>
                </c:pt>
                <c:pt idx="16">
                  <c:v>89.575999999823466</c:v>
                </c:pt>
                <c:pt idx="17">
                  <c:v>89.918000000079743</c:v>
                </c:pt>
                <c:pt idx="18">
                  <c:v>90.250000000114838</c:v>
                </c:pt>
                <c:pt idx="19">
                  <c:v>90.585000000019761</c:v>
                </c:pt>
                <c:pt idx="20">
                  <c:v>90.929000000323086</c:v>
                </c:pt>
                <c:pt idx="21">
                  <c:v>91.25900000014353</c:v>
                </c:pt>
                <c:pt idx="22">
                  <c:v>91.584000000140009</c:v>
                </c:pt>
                <c:pt idx="23">
                  <c:v>91.913000000092978</c:v>
                </c:pt>
                <c:pt idx="24" formatCode="#,##0.00">
                  <c:v>92.239000000428916</c:v>
                </c:pt>
                <c:pt idx="25">
                  <c:v>92.565999999639004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7F6-40CB-8490-F63AF969C3B0}"/>
            </c:ext>
          </c:extLst>
        </c:ser>
        <c:ser>
          <c:idx val="6"/>
          <c:order val="6"/>
          <c:tx>
            <c:strRef>
              <c:f>'Ind F2'!$L$30</c:f>
              <c:strCache>
                <c:ptCount val="1"/>
                <c:pt idx="0">
                  <c:v>Arts and entertainment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F2'!$M$30:$AL$30</c:f>
              <c:numCache>
                <c:formatCode>#,##0</c:formatCode>
                <c:ptCount val="26"/>
                <c:pt idx="0">
                  <c:v>27.633999999845766</c:v>
                </c:pt>
                <c:pt idx="1">
                  <c:v>29.013999999985359</c:v>
                </c:pt>
                <c:pt idx="2">
                  <c:v>36.644000000043732</c:v>
                </c:pt>
                <c:pt idx="3">
                  <c:v>37.971999999865147</c:v>
                </c:pt>
                <c:pt idx="4">
                  <c:v>31.245000000073397</c:v>
                </c:pt>
                <c:pt idx="5">
                  <c:v>33.387000000208353</c:v>
                </c:pt>
                <c:pt idx="6">
                  <c:v>30.201000000044353</c:v>
                </c:pt>
                <c:pt idx="7">
                  <c:v>30.83799999994611</c:v>
                </c:pt>
                <c:pt idx="8">
                  <c:v>29.576000000099697</c:v>
                </c:pt>
                <c:pt idx="9">
                  <c:v>34.839000000201779</c:v>
                </c:pt>
                <c:pt idx="10">
                  <c:v>32.683000000148347</c:v>
                </c:pt>
                <c:pt idx="11">
                  <c:v>33.153000000014771</c:v>
                </c:pt>
                <c:pt idx="12">
                  <c:v>32.805000000400661</c:v>
                </c:pt>
                <c:pt idx="13">
                  <c:v>33.008000000438912</c:v>
                </c:pt>
                <c:pt idx="14">
                  <c:v>33.490000000472172</c:v>
                </c:pt>
                <c:pt idx="15">
                  <c:v>33.741000000543231</c:v>
                </c:pt>
                <c:pt idx="16">
                  <c:v>34.087000000560359</c:v>
                </c:pt>
                <c:pt idx="17">
                  <c:v>34.399000000625328</c:v>
                </c:pt>
                <c:pt idx="18">
                  <c:v>34.694000000674393</c:v>
                </c:pt>
                <c:pt idx="19">
                  <c:v>34.979000000621646</c:v>
                </c:pt>
                <c:pt idx="20">
                  <c:v>35.280000000704341</c:v>
                </c:pt>
                <c:pt idx="21">
                  <c:v>35.599000000623889</c:v>
                </c:pt>
                <c:pt idx="22">
                  <c:v>35.925000000699569</c:v>
                </c:pt>
                <c:pt idx="23">
                  <c:v>36.259000000678832</c:v>
                </c:pt>
                <c:pt idx="24" formatCode="#,##0.00">
                  <c:v>36.587000000747892</c:v>
                </c:pt>
                <c:pt idx="25">
                  <c:v>36.913000000295199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7F6-40CB-8490-F63AF969C3B0}"/>
            </c:ext>
          </c:extLst>
        </c:ser>
        <c:ser>
          <c:idx val="7"/>
          <c:order val="7"/>
          <c:tx>
            <c:strRef>
              <c:f>'Ind F2'!$L$31</c:f>
              <c:strCache>
                <c:ptCount val="1"/>
                <c:pt idx="0">
                  <c:v>Other services</c:v>
                </c:pt>
              </c:strCache>
            </c:strRef>
          </c:tx>
          <c:spPr>
            <a:solidFill>
              <a:schemeClr val="bg1"/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F2'!$M$31:$AL$31</c:f>
              <c:numCache>
                <c:formatCode>#,##0</c:formatCode>
                <c:ptCount val="26"/>
                <c:pt idx="0">
                  <c:v>29.03599999985002</c:v>
                </c:pt>
                <c:pt idx="1">
                  <c:v>34.024999999762358</c:v>
                </c:pt>
                <c:pt idx="2">
                  <c:v>26.654000000004345</c:v>
                </c:pt>
                <c:pt idx="3">
                  <c:v>30.369999999953528</c:v>
                </c:pt>
                <c:pt idx="4">
                  <c:v>35.406999999987512</c:v>
                </c:pt>
                <c:pt idx="5">
                  <c:v>39.938000000123239</c:v>
                </c:pt>
                <c:pt idx="6">
                  <c:v>27.567999999855648</c:v>
                </c:pt>
                <c:pt idx="7">
                  <c:v>31.149999999983809</c:v>
                </c:pt>
                <c:pt idx="8">
                  <c:v>39.94800000012809</c:v>
                </c:pt>
                <c:pt idx="9">
                  <c:v>32.278000000198759</c:v>
                </c:pt>
                <c:pt idx="10">
                  <c:v>33.737999999823501</c:v>
                </c:pt>
                <c:pt idx="11">
                  <c:v>31.02799999966733</c:v>
                </c:pt>
                <c:pt idx="12">
                  <c:v>29.513999999967542</c:v>
                </c:pt>
                <c:pt idx="13">
                  <c:v>29.267999999911122</c:v>
                </c:pt>
                <c:pt idx="14">
                  <c:v>29.098999999961393</c:v>
                </c:pt>
                <c:pt idx="15">
                  <c:v>28.926999999942922</c:v>
                </c:pt>
                <c:pt idx="16">
                  <c:v>28.745000000221676</c:v>
                </c:pt>
                <c:pt idx="17">
                  <c:v>28.569000000594976</c:v>
                </c:pt>
                <c:pt idx="18">
                  <c:v>28.401000000498151</c:v>
                </c:pt>
                <c:pt idx="19">
                  <c:v>28.239000000545385</c:v>
                </c:pt>
                <c:pt idx="20">
                  <c:v>28.088000000555237</c:v>
                </c:pt>
                <c:pt idx="21">
                  <c:v>27.937000000539861</c:v>
                </c:pt>
                <c:pt idx="22">
                  <c:v>27.796000000604042</c:v>
                </c:pt>
                <c:pt idx="23">
                  <c:v>27.651000000665409</c:v>
                </c:pt>
                <c:pt idx="24" formatCode="#,##0.00">
                  <c:v>27.512000000385314</c:v>
                </c:pt>
                <c:pt idx="25">
                  <c:v>27.372000000096246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7F6-40CB-8490-F63AF969C3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600968"/>
        <c:axId val="313462488"/>
      </c:areaChart>
      <c:catAx>
        <c:axId val="25360096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248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2488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1.0482201753721488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6009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28075731401976695"/>
          <c:y val="0.93501239643194956"/>
          <c:w val="0.71924266962684369"/>
          <c:h val="6.49876681795858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905432017565845E-2"/>
          <c:y val="7.3068893528183729E-2"/>
          <c:w val="0.87539499596050963"/>
          <c:h val="0.78079331941544883"/>
        </c:manualLayout>
      </c:layout>
      <c:areaChart>
        <c:grouping val="stacked"/>
        <c:varyColors val="0"/>
        <c:ser>
          <c:idx val="1"/>
          <c:order val="0"/>
          <c:tx>
            <c:strRef>
              <c:f>'Ind F2'!$L$34</c:f>
              <c:strCache>
                <c:ptCount val="1"/>
                <c:pt idx="0">
                  <c:v>Public admin. and defence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F2'!$M$34:$AL$34</c:f>
              <c:numCache>
                <c:formatCode>#,##0</c:formatCode>
                <c:ptCount val="26"/>
                <c:pt idx="0">
                  <c:v>108.78199999979836</c:v>
                </c:pt>
                <c:pt idx="1">
                  <c:v>89.183999999252094</c:v>
                </c:pt>
                <c:pt idx="2">
                  <c:v>76.585000000062038</c:v>
                </c:pt>
                <c:pt idx="3">
                  <c:v>75.028999999977557</c:v>
                </c:pt>
                <c:pt idx="4">
                  <c:v>72.415999999683081</c:v>
                </c:pt>
                <c:pt idx="5">
                  <c:v>67.457999999465031</c:v>
                </c:pt>
                <c:pt idx="6">
                  <c:v>67.324999999295443</c:v>
                </c:pt>
                <c:pt idx="7">
                  <c:v>67.633999999882676</c:v>
                </c:pt>
                <c:pt idx="8">
                  <c:v>64.313999999459682</c:v>
                </c:pt>
                <c:pt idx="9">
                  <c:v>68.509999999851416</c:v>
                </c:pt>
                <c:pt idx="10">
                  <c:v>70.491999999956889</c:v>
                </c:pt>
                <c:pt idx="11">
                  <c:v>69.689999999471723</c:v>
                </c:pt>
                <c:pt idx="12">
                  <c:v>69.218999999636026</c:v>
                </c:pt>
                <c:pt idx="13">
                  <c:v>68.976999999498588</c:v>
                </c:pt>
                <c:pt idx="14">
                  <c:v>68.620999999632588</c:v>
                </c:pt>
                <c:pt idx="15">
                  <c:v>68.748000000034438</c:v>
                </c:pt>
                <c:pt idx="16">
                  <c:v>68.836000000941425</c:v>
                </c:pt>
                <c:pt idx="17">
                  <c:v>68.924000000802749</c:v>
                </c:pt>
                <c:pt idx="18">
                  <c:v>69.0090000006103</c:v>
                </c:pt>
                <c:pt idx="19">
                  <c:v>69.096000000811074</c:v>
                </c:pt>
                <c:pt idx="20">
                  <c:v>69.179000000719</c:v>
                </c:pt>
                <c:pt idx="21">
                  <c:v>69.254000000739779</c:v>
                </c:pt>
                <c:pt idx="22">
                  <c:v>69.322000000856903</c:v>
                </c:pt>
                <c:pt idx="23">
                  <c:v>69.390000000958679</c:v>
                </c:pt>
                <c:pt idx="24" formatCode="#,##0.00">
                  <c:v>69.44900000080753</c:v>
                </c:pt>
                <c:pt idx="25">
                  <c:v>69.499000000265639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392-44C2-845B-192CC1F663B9}"/>
            </c:ext>
          </c:extLst>
        </c:ser>
        <c:ser>
          <c:idx val="2"/>
          <c:order val="1"/>
          <c:tx>
            <c:strRef>
              <c:f>'Ind F2'!$L$35</c:f>
              <c:strCache>
                <c:ptCount val="1"/>
                <c:pt idx="0">
                  <c:v>Education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F2'!$M$35:$AL$35</c:f>
              <c:numCache>
                <c:formatCode>#,##0</c:formatCode>
                <c:ptCount val="26"/>
                <c:pt idx="0">
                  <c:v>105.48400000027748</c:v>
                </c:pt>
                <c:pt idx="1">
                  <c:v>104.05200000016895</c:v>
                </c:pt>
                <c:pt idx="2">
                  <c:v>112.28700000364239</c:v>
                </c:pt>
                <c:pt idx="3">
                  <c:v>101.40200000340488</c:v>
                </c:pt>
                <c:pt idx="4">
                  <c:v>102.73100000058616</c:v>
                </c:pt>
                <c:pt idx="5">
                  <c:v>108.41699999992581</c:v>
                </c:pt>
                <c:pt idx="6">
                  <c:v>106.93499999906213</c:v>
                </c:pt>
                <c:pt idx="7">
                  <c:v>103.88399999875823</c:v>
                </c:pt>
                <c:pt idx="8">
                  <c:v>102.73899999694973</c:v>
                </c:pt>
                <c:pt idx="9">
                  <c:v>107.63300000187928</c:v>
                </c:pt>
                <c:pt idx="10">
                  <c:v>104.24300000191386</c:v>
                </c:pt>
                <c:pt idx="11">
                  <c:v>106.61000000250331</c:v>
                </c:pt>
                <c:pt idx="12">
                  <c:v>108.95499999580977</c:v>
                </c:pt>
                <c:pt idx="13">
                  <c:v>109.7679999950729</c:v>
                </c:pt>
                <c:pt idx="14">
                  <c:v>110.47499999588969</c:v>
                </c:pt>
                <c:pt idx="15">
                  <c:v>110.93099999135777</c:v>
                </c:pt>
                <c:pt idx="16">
                  <c:v>111.15499999627814</c:v>
                </c:pt>
                <c:pt idx="17">
                  <c:v>111.41599999585948</c:v>
                </c:pt>
                <c:pt idx="18">
                  <c:v>111.70799999588826</c:v>
                </c:pt>
                <c:pt idx="19">
                  <c:v>112.04499999539809</c:v>
                </c:pt>
                <c:pt idx="20">
                  <c:v>112.49399999441489</c:v>
                </c:pt>
                <c:pt idx="21">
                  <c:v>112.93599999559095</c:v>
                </c:pt>
                <c:pt idx="22">
                  <c:v>113.38699999515926</c:v>
                </c:pt>
                <c:pt idx="23">
                  <c:v>113.84699999502021</c:v>
                </c:pt>
                <c:pt idx="24" formatCode="#,##0.00">
                  <c:v>114.30699999401163</c:v>
                </c:pt>
                <c:pt idx="25">
                  <c:v>114.767000001966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392-44C2-845B-192CC1F663B9}"/>
            </c:ext>
          </c:extLst>
        </c:ser>
        <c:ser>
          <c:idx val="3"/>
          <c:order val="2"/>
          <c:tx>
            <c:strRef>
              <c:f>'Ind F2'!$L$36</c:f>
              <c:strCache>
                <c:ptCount val="1"/>
                <c:pt idx="0">
                  <c:v>Health and social work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F2'!$M$36:$AL$36</c:f>
              <c:numCache>
                <c:formatCode>#,##0</c:formatCode>
                <c:ptCount val="26"/>
                <c:pt idx="0">
                  <c:v>172.31100000070083</c:v>
                </c:pt>
                <c:pt idx="1">
                  <c:v>161.60099999925018</c:v>
                </c:pt>
                <c:pt idx="2">
                  <c:v>168.909000001675</c:v>
                </c:pt>
                <c:pt idx="3">
                  <c:v>172.40300000139189</c:v>
                </c:pt>
                <c:pt idx="4">
                  <c:v>191.43299999889993</c:v>
                </c:pt>
                <c:pt idx="5">
                  <c:v>191.98099999734157</c:v>
                </c:pt>
                <c:pt idx="6">
                  <c:v>179.1209999977923</c:v>
                </c:pt>
                <c:pt idx="7">
                  <c:v>186.01999999905286</c:v>
                </c:pt>
                <c:pt idx="8">
                  <c:v>182.0379999966934</c:v>
                </c:pt>
                <c:pt idx="9">
                  <c:v>176.54399999888142</c:v>
                </c:pt>
                <c:pt idx="10">
                  <c:v>191.86299999942253</c:v>
                </c:pt>
                <c:pt idx="11">
                  <c:v>195.17400000025688</c:v>
                </c:pt>
                <c:pt idx="12">
                  <c:v>197.57699999757779</c:v>
                </c:pt>
                <c:pt idx="13">
                  <c:v>199.71699999689992</c:v>
                </c:pt>
                <c:pt idx="14">
                  <c:v>202.34499999723229</c:v>
                </c:pt>
                <c:pt idx="15">
                  <c:v>204.34499999804402</c:v>
                </c:pt>
                <c:pt idx="16">
                  <c:v>205.98200000014577</c:v>
                </c:pt>
                <c:pt idx="17">
                  <c:v>207.51699999883857</c:v>
                </c:pt>
                <c:pt idx="18">
                  <c:v>209.02399999851713</c:v>
                </c:pt>
                <c:pt idx="19">
                  <c:v>210.52499999857523</c:v>
                </c:pt>
                <c:pt idx="20">
                  <c:v>212.01199999840324</c:v>
                </c:pt>
                <c:pt idx="21">
                  <c:v>213.4799999980095</c:v>
                </c:pt>
                <c:pt idx="22">
                  <c:v>214.94299999816366</c:v>
                </c:pt>
                <c:pt idx="23">
                  <c:v>216.41499999803102</c:v>
                </c:pt>
                <c:pt idx="24" formatCode="#,##0.00">
                  <c:v>217.8889999974682</c:v>
                </c:pt>
                <c:pt idx="25">
                  <c:v>219.36500000054653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392-44C2-845B-192CC1F663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463272"/>
        <c:axId val="313463664"/>
      </c:areaChart>
      <c:catAx>
        <c:axId val="31346327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366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366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9.4637296860595726E-3"/>
              <c:y val="1.2526096033402922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327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9716103512624344"/>
          <c:y val="0.93528183716075164"/>
          <c:w val="0.68769769052034602"/>
          <c:h val="4.5929018789143947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8234248861974835E-2"/>
          <c:y val="5.2464228934819425E-2"/>
          <c:w val="0.87959010384091241"/>
          <c:h val="0.77705763910488324"/>
        </c:manualLayout>
      </c:layout>
      <c:lineChart>
        <c:grouping val="standard"/>
        <c:varyColors val="0"/>
        <c:ser>
          <c:idx val="0"/>
          <c:order val="0"/>
          <c:tx>
            <c:strRef>
              <c:f>'Ind F2'!$L$5</c:f>
              <c:strCache>
                <c:ptCount val="1"/>
                <c:pt idx="0">
                  <c:v>Primary sector and utilities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F2'!$M$5:$AL$5</c:f>
              <c:numCache>
                <c:formatCode>#,##0</c:formatCode>
                <c:ptCount val="26"/>
                <c:pt idx="0">
                  <c:v>25.347999999964753</c:v>
                </c:pt>
                <c:pt idx="1">
                  <c:v>33.050000000061097</c:v>
                </c:pt>
                <c:pt idx="2">
                  <c:v>23.227999999945759</c:v>
                </c:pt>
                <c:pt idx="3">
                  <c:v>26.276999999839063</c:v>
                </c:pt>
                <c:pt idx="4">
                  <c:v>27.551999999959477</c:v>
                </c:pt>
                <c:pt idx="5">
                  <c:v>20.336000000008575</c:v>
                </c:pt>
                <c:pt idx="6">
                  <c:v>18.554999999967411</c:v>
                </c:pt>
                <c:pt idx="7">
                  <c:v>24.82899999996733</c:v>
                </c:pt>
                <c:pt idx="8">
                  <c:v>28.196000000183929</c:v>
                </c:pt>
                <c:pt idx="9">
                  <c:v>23.85699999991888</c:v>
                </c:pt>
                <c:pt idx="10">
                  <c:v>25.080999999810309</c:v>
                </c:pt>
                <c:pt idx="11">
                  <c:v>24.898999999820429</c:v>
                </c:pt>
                <c:pt idx="12">
                  <c:v>24.717999999939693</c:v>
                </c:pt>
                <c:pt idx="13">
                  <c:v>24.738999999953855</c:v>
                </c:pt>
                <c:pt idx="14">
                  <c:v>24.97399999990261</c:v>
                </c:pt>
                <c:pt idx="15">
                  <c:v>25.067000000062393</c:v>
                </c:pt>
                <c:pt idx="16">
                  <c:v>25.14699999989563</c:v>
                </c:pt>
                <c:pt idx="17">
                  <c:v>25.202000000011843</c:v>
                </c:pt>
                <c:pt idx="18">
                  <c:v>25.238000000033491</c:v>
                </c:pt>
                <c:pt idx="19">
                  <c:v>25.255000000082823</c:v>
                </c:pt>
                <c:pt idx="20">
                  <c:v>25.285000000063821</c:v>
                </c:pt>
                <c:pt idx="21">
                  <c:v>25.312000000076168</c:v>
                </c:pt>
                <c:pt idx="22">
                  <c:v>25.344000000101829</c:v>
                </c:pt>
                <c:pt idx="23">
                  <c:v>25.360000000155242</c:v>
                </c:pt>
                <c:pt idx="24">
                  <c:v>25.406000000042226</c:v>
                </c:pt>
                <c:pt idx="25">
                  <c:v>25.419999999964574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805-44CD-8692-A81F93CACC92}"/>
            </c:ext>
          </c:extLst>
        </c:ser>
        <c:ser>
          <c:idx val="1"/>
          <c:order val="1"/>
          <c:tx>
            <c:strRef>
              <c:f>'Ind F2'!$L$11</c:f>
              <c:strCache>
                <c:ptCount val="1"/>
                <c:pt idx="0">
                  <c:v>Manufacturing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ysDash"/>
            </a:ln>
          </c:spPr>
          <c:marker>
            <c:symbol val="none"/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F2'!$M$11:$AL$11</c:f>
              <c:numCache>
                <c:formatCode>#,##0</c:formatCode>
                <c:ptCount val="26"/>
                <c:pt idx="0">
                  <c:v>116.46199999990526</c:v>
                </c:pt>
                <c:pt idx="1">
                  <c:v>111.35400000020587</c:v>
                </c:pt>
                <c:pt idx="2">
                  <c:v>113.51799999951612</c:v>
                </c:pt>
                <c:pt idx="3">
                  <c:v>113.51199999909792</c:v>
                </c:pt>
                <c:pt idx="4">
                  <c:v>113.07199999988178</c:v>
                </c:pt>
                <c:pt idx="5">
                  <c:v>122.03700000012461</c:v>
                </c:pt>
                <c:pt idx="6">
                  <c:v>116.91000000015586</c:v>
                </c:pt>
                <c:pt idx="7">
                  <c:v>126.0469999998565</c:v>
                </c:pt>
                <c:pt idx="8">
                  <c:v>125.57100000089396</c:v>
                </c:pt>
                <c:pt idx="9">
                  <c:v>110.95099999963999</c:v>
                </c:pt>
                <c:pt idx="10">
                  <c:v>102.97199999972995</c:v>
                </c:pt>
                <c:pt idx="11">
                  <c:v>104.16499999999596</c:v>
                </c:pt>
                <c:pt idx="12">
                  <c:v>103.04500000073122</c:v>
                </c:pt>
                <c:pt idx="13">
                  <c:v>102.25700000064275</c:v>
                </c:pt>
                <c:pt idx="14">
                  <c:v>101.5320000006628</c:v>
                </c:pt>
                <c:pt idx="15">
                  <c:v>100.48600000047473</c:v>
                </c:pt>
                <c:pt idx="16">
                  <c:v>99.460999999953515</c:v>
                </c:pt>
                <c:pt idx="17">
                  <c:v>98.425000000163038</c:v>
                </c:pt>
                <c:pt idx="18">
                  <c:v>97.424999999971945</c:v>
                </c:pt>
                <c:pt idx="19">
                  <c:v>96.461999999815447</c:v>
                </c:pt>
                <c:pt idx="20">
                  <c:v>95.621000000304747</c:v>
                </c:pt>
                <c:pt idx="21">
                  <c:v>94.759000000024457</c:v>
                </c:pt>
                <c:pt idx="22">
                  <c:v>93.926000000010163</c:v>
                </c:pt>
                <c:pt idx="23">
                  <c:v>93.124999999949551</c:v>
                </c:pt>
                <c:pt idx="24">
                  <c:v>92.357000000297063</c:v>
                </c:pt>
                <c:pt idx="25">
                  <c:v>91.615999999540549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805-44CD-8692-A81F93CACC92}"/>
            </c:ext>
          </c:extLst>
        </c:ser>
        <c:ser>
          <c:idx val="2"/>
          <c:order val="2"/>
          <c:tx>
            <c:strRef>
              <c:f>'Ind F2'!$L$16</c:f>
              <c:strCache>
                <c:ptCount val="1"/>
                <c:pt idx="0">
                  <c:v>Construction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none"/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F2'!$M$16:$AL$16</c:f>
              <c:numCache>
                <c:formatCode>#,##0</c:formatCode>
                <c:ptCount val="26"/>
                <c:pt idx="0">
                  <c:v>84.206999999699008</c:v>
                </c:pt>
                <c:pt idx="1">
                  <c:v>78.816000000302495</c:v>
                </c:pt>
                <c:pt idx="2">
                  <c:v>74.371999999670223</c:v>
                </c:pt>
                <c:pt idx="3">
                  <c:v>70.66499999867537</c:v>
                </c:pt>
                <c:pt idx="4">
                  <c:v>70.63499999980678</c:v>
                </c:pt>
                <c:pt idx="5">
                  <c:v>66.990999999728743</c:v>
                </c:pt>
                <c:pt idx="6">
                  <c:v>65.845999999572186</c:v>
                </c:pt>
                <c:pt idx="7">
                  <c:v>66.819999999375582</c:v>
                </c:pt>
                <c:pt idx="8">
                  <c:v>72.955000000898082</c:v>
                </c:pt>
                <c:pt idx="9">
                  <c:v>72.67500000056009</c:v>
                </c:pt>
                <c:pt idx="10">
                  <c:v>69.163999999273457</c:v>
                </c:pt>
                <c:pt idx="11">
                  <c:v>67.606999999376939</c:v>
                </c:pt>
                <c:pt idx="12">
                  <c:v>67.369999998874846</c:v>
                </c:pt>
                <c:pt idx="13">
                  <c:v>66.972999998608216</c:v>
                </c:pt>
                <c:pt idx="14">
                  <c:v>66.823999998731125</c:v>
                </c:pt>
                <c:pt idx="15">
                  <c:v>66.884999997326702</c:v>
                </c:pt>
                <c:pt idx="16">
                  <c:v>66.882999997282496</c:v>
                </c:pt>
                <c:pt idx="17">
                  <c:v>66.734999997635413</c:v>
                </c:pt>
                <c:pt idx="18">
                  <c:v>66.654999996912991</c:v>
                </c:pt>
                <c:pt idx="19">
                  <c:v>66.532999997053381</c:v>
                </c:pt>
                <c:pt idx="20">
                  <c:v>66.485999997375828</c:v>
                </c:pt>
                <c:pt idx="21">
                  <c:v>66.444999997628003</c:v>
                </c:pt>
                <c:pt idx="22">
                  <c:v>66.414999997206664</c:v>
                </c:pt>
                <c:pt idx="23">
                  <c:v>66.394999997172107</c:v>
                </c:pt>
                <c:pt idx="24" formatCode="#,##0.00">
                  <c:v>66.375999997539807</c:v>
                </c:pt>
                <c:pt idx="25">
                  <c:v>66.354999997656051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805-44CD-8692-A81F93CACC92}"/>
            </c:ext>
          </c:extLst>
        </c:ser>
        <c:ser>
          <c:idx val="3"/>
          <c:order val="3"/>
          <c:tx>
            <c:strRef>
              <c:f>'Ind F2'!$L$18</c:f>
              <c:strCache>
                <c:ptCount val="1"/>
                <c:pt idx="0">
                  <c:v>Trade, accomod. and transport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F2'!$M$18:$AL$18</c:f>
              <c:numCache>
                <c:formatCode>#,##0</c:formatCode>
                <c:ptCount val="26"/>
                <c:pt idx="0">
                  <c:v>272.44599999833287</c:v>
                </c:pt>
                <c:pt idx="1">
                  <c:v>288.79800000124663</c:v>
                </c:pt>
                <c:pt idx="2">
                  <c:v>272.1009999952156</c:v>
                </c:pt>
                <c:pt idx="3">
                  <c:v>290.88799999669891</c:v>
                </c:pt>
                <c:pt idx="4">
                  <c:v>298.22500000286499</c:v>
                </c:pt>
                <c:pt idx="5">
                  <c:v>311.50100000559627</c:v>
                </c:pt>
                <c:pt idx="6">
                  <c:v>301.96500000610587</c:v>
                </c:pt>
                <c:pt idx="7">
                  <c:v>308.71900000377406</c:v>
                </c:pt>
                <c:pt idx="8">
                  <c:v>305.11100000520418</c:v>
                </c:pt>
                <c:pt idx="9">
                  <c:v>326.36800000044593</c:v>
                </c:pt>
                <c:pt idx="10">
                  <c:v>324.45500000108882</c:v>
                </c:pt>
                <c:pt idx="11">
                  <c:v>320.95099999939094</c:v>
                </c:pt>
                <c:pt idx="12">
                  <c:v>321.43600000764229</c:v>
                </c:pt>
                <c:pt idx="13">
                  <c:v>323.34000000975618</c:v>
                </c:pt>
                <c:pt idx="14">
                  <c:v>325.96800000833798</c:v>
                </c:pt>
                <c:pt idx="15">
                  <c:v>328.38100000981746</c:v>
                </c:pt>
                <c:pt idx="16">
                  <c:v>330.33900000190738</c:v>
                </c:pt>
                <c:pt idx="17">
                  <c:v>332.13900000312447</c:v>
                </c:pt>
                <c:pt idx="18">
                  <c:v>333.85300000448672</c:v>
                </c:pt>
                <c:pt idx="19">
                  <c:v>335.5310000041261</c:v>
                </c:pt>
                <c:pt idx="20">
                  <c:v>337.22500000445325</c:v>
                </c:pt>
                <c:pt idx="21">
                  <c:v>338.88600000437157</c:v>
                </c:pt>
                <c:pt idx="22">
                  <c:v>340.50800000400869</c:v>
                </c:pt>
                <c:pt idx="23">
                  <c:v>342.18000000370319</c:v>
                </c:pt>
                <c:pt idx="24">
                  <c:v>343.77900000535362</c:v>
                </c:pt>
                <c:pt idx="25">
                  <c:v>345.32299999881729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805-44CD-8692-A81F93CACC92}"/>
            </c:ext>
          </c:extLst>
        </c:ser>
        <c:ser>
          <c:idx val="4"/>
          <c:order val="4"/>
          <c:tx>
            <c:strRef>
              <c:f>'Ind F2'!$L$23</c:f>
              <c:strCache>
                <c:ptCount val="1"/>
                <c:pt idx="0">
                  <c:v>Business and other services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F2'!$M$23:$AL$23</c:f>
              <c:numCache>
                <c:formatCode>#,##0</c:formatCode>
                <c:ptCount val="26"/>
                <c:pt idx="0">
                  <c:v>286.52700000015386</c:v>
                </c:pt>
                <c:pt idx="1">
                  <c:v>278.04399999832748</c:v>
                </c:pt>
                <c:pt idx="2">
                  <c:v>284.8369999992193</c:v>
                </c:pt>
                <c:pt idx="3">
                  <c:v>290.82599999973002</c:v>
                </c:pt>
                <c:pt idx="4">
                  <c:v>293.59199999903689</c:v>
                </c:pt>
                <c:pt idx="5">
                  <c:v>318.98199999946166</c:v>
                </c:pt>
                <c:pt idx="6">
                  <c:v>301.06199999881551</c:v>
                </c:pt>
                <c:pt idx="7">
                  <c:v>293.36700000075666</c:v>
                </c:pt>
                <c:pt idx="8">
                  <c:v>316.24399999997331</c:v>
                </c:pt>
                <c:pt idx="9">
                  <c:v>308.32999999960094</c:v>
                </c:pt>
                <c:pt idx="10">
                  <c:v>301.06899999909416</c:v>
                </c:pt>
                <c:pt idx="11">
                  <c:v>301.4209999978562</c:v>
                </c:pt>
                <c:pt idx="12">
                  <c:v>300.22100000053149</c:v>
                </c:pt>
                <c:pt idx="13">
                  <c:v>301.12600000067084</c:v>
                </c:pt>
                <c:pt idx="14">
                  <c:v>302.69100000051554</c:v>
                </c:pt>
                <c:pt idx="15">
                  <c:v>303.93300000331487</c:v>
                </c:pt>
                <c:pt idx="16">
                  <c:v>305.32500000378633</c:v>
                </c:pt>
                <c:pt idx="17">
                  <c:v>306.6970000044476</c:v>
                </c:pt>
                <c:pt idx="18">
                  <c:v>308.0830000043984</c:v>
                </c:pt>
                <c:pt idx="19">
                  <c:v>309.50400000499246</c:v>
                </c:pt>
                <c:pt idx="20">
                  <c:v>311.03000000484462</c:v>
                </c:pt>
                <c:pt idx="21">
                  <c:v>312.54000000457012</c:v>
                </c:pt>
                <c:pt idx="22">
                  <c:v>314.07400000531482</c:v>
                </c:pt>
                <c:pt idx="23">
                  <c:v>315.61300000583009</c:v>
                </c:pt>
                <c:pt idx="24">
                  <c:v>317.14000000504439</c:v>
                </c:pt>
                <c:pt idx="25">
                  <c:v>318.65200000145637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805-44CD-8692-A81F93CACC92}"/>
            </c:ext>
          </c:extLst>
        </c:ser>
        <c:ser>
          <c:idx val="5"/>
          <c:order val="5"/>
          <c:tx>
            <c:strRef>
              <c:f>'Ind F2'!$L$33</c:f>
              <c:strCache>
                <c:ptCount val="1"/>
                <c:pt idx="0">
                  <c:v>Non-marketed services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F2'!$M$33:$AL$33</c:f>
              <c:numCache>
                <c:formatCode>#,##0</c:formatCode>
                <c:ptCount val="26"/>
                <c:pt idx="0">
                  <c:v>386.57700000077671</c:v>
                </c:pt>
                <c:pt idx="1">
                  <c:v>354.83699999867122</c:v>
                </c:pt>
                <c:pt idx="2">
                  <c:v>357.78100000537944</c:v>
                </c:pt>
                <c:pt idx="3">
                  <c:v>348.83400000477434</c:v>
                </c:pt>
                <c:pt idx="4">
                  <c:v>366.57999999916922</c:v>
                </c:pt>
                <c:pt idx="5">
                  <c:v>367.85599999673241</c:v>
                </c:pt>
                <c:pt idx="6">
                  <c:v>353.38099999614985</c:v>
                </c:pt>
                <c:pt idx="7">
                  <c:v>357.53799999769376</c:v>
                </c:pt>
                <c:pt idx="8">
                  <c:v>349.09099999310286</c:v>
                </c:pt>
                <c:pt idx="9">
                  <c:v>352.6870000006121</c:v>
                </c:pt>
                <c:pt idx="10">
                  <c:v>366.59800000129326</c:v>
                </c:pt>
                <c:pt idx="11">
                  <c:v>371.47400000223195</c:v>
                </c:pt>
                <c:pt idx="12">
                  <c:v>375.75099999302358</c:v>
                </c:pt>
                <c:pt idx="13">
                  <c:v>378.46199999147143</c:v>
                </c:pt>
                <c:pt idx="14">
                  <c:v>381.44099999275454</c:v>
                </c:pt>
                <c:pt idx="15">
                  <c:v>384.02399998943622</c:v>
                </c:pt>
                <c:pt idx="16">
                  <c:v>385.97299999736532</c:v>
                </c:pt>
                <c:pt idx="17">
                  <c:v>387.85699999550081</c:v>
                </c:pt>
                <c:pt idx="18">
                  <c:v>389.74099999501567</c:v>
                </c:pt>
                <c:pt idx="19">
                  <c:v>391.66599999478439</c:v>
                </c:pt>
                <c:pt idx="20">
                  <c:v>393.68499999353713</c:v>
                </c:pt>
                <c:pt idx="21">
                  <c:v>395.66999999434023</c:v>
                </c:pt>
                <c:pt idx="22">
                  <c:v>397.65199999417985</c:v>
                </c:pt>
                <c:pt idx="23">
                  <c:v>399.65199999400988</c:v>
                </c:pt>
                <c:pt idx="24">
                  <c:v>401.64499999228735</c:v>
                </c:pt>
                <c:pt idx="25">
                  <c:v>403.63100000277814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805-44CD-8692-A81F93CACC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3464448"/>
        <c:axId val="313464840"/>
      </c:lineChart>
      <c:catAx>
        <c:axId val="3134644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484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484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 sz="1000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7.9491255961844434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4448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8.8855016216081883E-2"/>
          <c:y val="0.90754563164012003"/>
          <c:w val="0.88489191349766172"/>
          <c:h val="7.9735786664920538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317476310572159"/>
          <c:y val="3.9501079600076011E-2"/>
          <c:w val="0.62857240292101169"/>
          <c:h val="0.89605080566489914"/>
        </c:manualLayout>
      </c:layout>
      <c:barChart>
        <c:barDir val="col"/>
        <c:grouping val="percentStacked"/>
        <c:varyColors val="0"/>
        <c:ser>
          <c:idx val="0"/>
          <c:order val="0"/>
          <c:tx>
            <c:strRef>
              <c:f>'Ind F2'!$L$231</c:f>
              <c:strCache>
                <c:ptCount val="1"/>
                <c:pt idx="0">
                  <c:v>Non-marketed services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F2'!$M$231:$O$231</c:f>
              <c:numCache>
                <c:formatCode>0.0</c:formatCode>
                <c:ptCount val="3"/>
                <c:pt idx="0">
                  <c:v>30.459144342295186</c:v>
                </c:pt>
                <c:pt idx="1">
                  <c:v>30.823676008371365</c:v>
                </c:pt>
                <c:pt idx="2">
                  <c:v>32.264745639095011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D03-4130-A9FF-BEAED71CB078}"/>
            </c:ext>
          </c:extLst>
        </c:ser>
        <c:ser>
          <c:idx val="1"/>
          <c:order val="1"/>
          <c:tx>
            <c:strRef>
              <c:f>'Ind F2'!$L$232</c:f>
              <c:strCache>
                <c:ptCount val="1"/>
                <c:pt idx="0">
                  <c:v>Business and other services</c:v>
                </c:pt>
              </c:strCache>
            </c:strRef>
          </c:tx>
          <c:spPr>
            <a:solidFill>
              <a:srgbClr val="333333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F2'!$M$232:$O$232</c:f>
              <c:numCache>
                <c:formatCode>0.0</c:formatCode>
                <c:ptCount val="3"/>
                <c:pt idx="0">
                  <c:v>26.412288451633003</c:v>
                </c:pt>
                <c:pt idx="1">
                  <c:v>25.313976923233895</c:v>
                </c:pt>
                <c:pt idx="2">
                  <c:v>25.471843657610854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D03-4130-A9FF-BEAED71CB078}"/>
            </c:ext>
          </c:extLst>
        </c:ser>
        <c:ser>
          <c:idx val="2"/>
          <c:order val="2"/>
          <c:tx>
            <c:strRef>
              <c:f>'Ind F2'!$L$233</c:f>
              <c:strCache>
                <c:ptCount val="1"/>
                <c:pt idx="0">
                  <c:v>Trade, accomod. and transport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F2'!$M$233:$O$233</c:f>
              <c:numCache>
                <c:formatCode>0.0</c:formatCode>
                <c:ptCount val="3"/>
                <c:pt idx="0">
                  <c:v>25.792848076486536</c:v>
                </c:pt>
                <c:pt idx="1">
                  <c:v>27.280279214001197</c:v>
                </c:pt>
                <c:pt idx="2">
                  <c:v>27.603823190523912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D03-4130-A9FF-BEAED71CB078}"/>
            </c:ext>
          </c:extLst>
        </c:ser>
        <c:ser>
          <c:idx val="3"/>
          <c:order val="3"/>
          <c:tx>
            <c:strRef>
              <c:f>'Ind F2'!$L$234</c:f>
              <c:strCache>
                <c:ptCount val="1"/>
                <c:pt idx="0">
                  <c:v>Construction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F2'!$M$234:$O$234</c:f>
              <c:numCache>
                <c:formatCode>0.0</c:formatCode>
                <c:ptCount val="3"/>
                <c:pt idx="0">
                  <c:v>5.5469763675040227</c:v>
                </c:pt>
                <c:pt idx="1">
                  <c:v>5.8153310367571054</c:v>
                </c:pt>
                <c:pt idx="2">
                  <c:v>5.3041693943026837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D03-4130-A9FF-BEAED71CB078}"/>
            </c:ext>
          </c:extLst>
        </c:ser>
        <c:ser>
          <c:idx val="4"/>
          <c:order val="4"/>
          <c:tx>
            <c:strRef>
              <c:f>'Ind F2'!$L$235</c:f>
              <c:strCache>
                <c:ptCount val="1"/>
                <c:pt idx="0">
                  <c:v>Manufacturing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F2'!$M$235:$O$235</c:f>
              <c:numCache>
                <c:formatCode>0.0</c:formatCode>
                <c:ptCount val="3"/>
                <c:pt idx="0">
                  <c:v>10.104885058657439</c:v>
                </c:pt>
                <c:pt idx="1">
                  <c:v>8.6579183899380112</c:v>
                </c:pt>
                <c:pt idx="2">
                  <c:v>7.3234388251550513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D03-4130-A9FF-BEAED71CB078}"/>
            </c:ext>
          </c:extLst>
        </c:ser>
        <c:ser>
          <c:idx val="5"/>
          <c:order val="5"/>
          <c:tx>
            <c:strRef>
              <c:f>'Ind F2'!$L$236</c:f>
              <c:strCache>
                <c:ptCount val="1"/>
                <c:pt idx="0">
                  <c:v>Primary sector and utilities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F2'!$M$236:$O$236</c:f>
              <c:numCache>
                <c:formatCode>0.0</c:formatCode>
                <c:ptCount val="3"/>
                <c:pt idx="0">
                  <c:v>1.6838577034238349</c:v>
                </c:pt>
                <c:pt idx="1">
                  <c:v>2.1088184276984272</c:v>
                </c:pt>
                <c:pt idx="2">
                  <c:v>2.0319792933124732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D03-4130-A9FF-BEAED71CB078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100"/>
        <c:axId val="313465624"/>
        <c:axId val="313466016"/>
      </c:barChart>
      <c:catAx>
        <c:axId val="3134656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601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6016"/>
        <c:scaling>
          <c:orientation val="minMax"/>
          <c:min val="0"/>
        </c:scaling>
        <c:delete val="0"/>
        <c:axPos val="l"/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562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5238211864787763"/>
          <c:y val="0.34095668707435578"/>
          <c:w val="0.23174639097593544"/>
          <c:h val="0.23908548178993969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555595169263345"/>
          <c:y val="1.6701461377870683E-2"/>
          <c:w val="0.70317569316670592"/>
          <c:h val="0.83507306889352861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'Ind F2'!$N$260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F2'!$L$261:$L$268</c:f>
              <c:strCache>
                <c:ptCount val="8"/>
                <c:pt idx="0">
                  <c:v>Non-marketed services</c:v>
                </c:pt>
                <c:pt idx="1">
                  <c:v>Business and other services</c:v>
                </c:pt>
                <c:pt idx="2">
                  <c:v>Trade, accomod. and transport</c:v>
                </c:pt>
                <c:pt idx="3">
                  <c:v>Construction</c:v>
                </c:pt>
                <c:pt idx="4">
                  <c:v>Manufacturing</c:v>
                </c:pt>
                <c:pt idx="5">
                  <c:v>Primary sector and utilities</c:v>
                </c:pt>
                <c:pt idx="7">
                  <c:v>All industries</c:v>
                </c:pt>
              </c:strCache>
            </c:strRef>
          </c:cat>
          <c:val>
            <c:numRef>
              <c:f>'Ind F2'!$N$261:$N$268</c:f>
              <c:numCache>
                <c:formatCode>#,##0</c:formatCode>
                <c:ptCount val="8"/>
                <c:pt idx="0">
                  <c:v>-1.2579999954391496</c:v>
                </c:pt>
                <c:pt idx="1">
                  <c:v>-17.913000000367504</c:v>
                </c:pt>
                <c:pt idx="2">
                  <c:v>12.953999995492495</c:v>
                </c:pt>
                <c:pt idx="3">
                  <c:v>2.1729999995447002</c:v>
                </c:pt>
                <c:pt idx="4">
                  <c:v>-19.065000000394647</c:v>
                </c:pt>
                <c:pt idx="5">
                  <c:v>4.7449999998017347</c:v>
                </c:pt>
                <c:pt idx="7">
                  <c:v>-18.364000001362228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B3-45E8-A7D6-A7274F9997D3}"/>
            </c:ext>
          </c:extLst>
        </c:ser>
        <c:ser>
          <c:idx val="2"/>
          <c:order val="1"/>
          <c:tx>
            <c:strRef>
              <c:f>'Ind F2'!$O$260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F2'!$L$261:$L$268</c:f>
              <c:strCache>
                <c:ptCount val="8"/>
                <c:pt idx="0">
                  <c:v>Non-marketed services</c:v>
                </c:pt>
                <c:pt idx="1">
                  <c:v>Business and other services</c:v>
                </c:pt>
                <c:pt idx="2">
                  <c:v>Trade, accomod. and transport</c:v>
                </c:pt>
                <c:pt idx="3">
                  <c:v>Construction</c:v>
                </c:pt>
                <c:pt idx="4">
                  <c:v>Manufacturing</c:v>
                </c:pt>
                <c:pt idx="5">
                  <c:v>Primary sector and utilities</c:v>
                </c:pt>
                <c:pt idx="7">
                  <c:v>All industries</c:v>
                </c:pt>
              </c:strCache>
            </c:strRef>
          </c:cat>
          <c:val>
            <c:numRef>
              <c:f>'Ind F2'!$O$261:$O$268</c:f>
              <c:numCache>
                <c:formatCode>#,##0</c:formatCode>
                <c:ptCount val="8"/>
                <c:pt idx="0">
                  <c:v>37.033000001484879</c:v>
                </c:pt>
                <c:pt idx="1">
                  <c:v>17.583000002362212</c:v>
                </c:pt>
                <c:pt idx="2">
                  <c:v>20.867999997728532</c:v>
                </c:pt>
                <c:pt idx="3">
                  <c:v>-2.8090000016173917</c:v>
                </c:pt>
                <c:pt idx="4">
                  <c:v>-11.356000000189397</c:v>
                </c:pt>
                <c:pt idx="5">
                  <c:v>0.33900000015426102</c:v>
                </c:pt>
                <c:pt idx="7">
                  <c:v>61.657999999923092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6B3-45E8-A7D6-A7274F9997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2992"/>
        <c:axId val="313553384"/>
      </c:barChart>
      <c:catAx>
        <c:axId val="31355299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33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338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numFmt formatCode="#,##0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2992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4444497836833232"/>
          <c:y val="0.93528183716075164"/>
          <c:w val="0.29841316098271448"/>
          <c:h val="4.5929018789143947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5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48571462452191999"/>
          <c:y val="1.2452118927463975E-2"/>
          <c:w val="0.48285747967179132"/>
          <c:h val="0.9137939582154336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F1'!$L$7:$L$51</c:f>
              <c:strCache>
                <c:ptCount val="45"/>
                <c:pt idx="0">
                  <c:v>All occupations</c:v>
                </c:pt>
                <c:pt idx="2">
                  <c:v>92 Elementary administration and service occupations</c:v>
                </c:pt>
                <c:pt idx="3">
                  <c:v>91 Elementary trades and related occupations</c:v>
                </c:pt>
                <c:pt idx="4">
                  <c:v>[Elementary occupations]</c:v>
                </c:pt>
                <c:pt idx="6">
                  <c:v>82 Transport and mobile machine drivers and operatives</c:v>
                </c:pt>
                <c:pt idx="7">
                  <c:v>81 Process, plant and machine operatives</c:v>
                </c:pt>
                <c:pt idx="8">
                  <c:v>[Process, plant and machine operatives]</c:v>
                </c:pt>
                <c:pt idx="10">
                  <c:v>72 Customer service occupations</c:v>
                </c:pt>
                <c:pt idx="11">
                  <c:v>71 Sales occupations</c:v>
                </c:pt>
                <c:pt idx="12">
                  <c:v>[Sales and customer service occupations]</c:v>
                </c:pt>
                <c:pt idx="14">
                  <c:v>63 Community and civil enforcement occupations</c:v>
                </c:pt>
                <c:pt idx="15">
                  <c:v>62 Leisure, travel and related personal service occupations</c:v>
                </c:pt>
                <c:pt idx="16">
                  <c:v>61 Caring personal service occupations</c:v>
                </c:pt>
                <c:pt idx="17">
                  <c:v>[Caring, leisure and other service occupations]</c:v>
                </c:pt>
                <c:pt idx="19">
                  <c:v>54 Textiles, printing and other skilled trades</c:v>
                </c:pt>
                <c:pt idx="20">
                  <c:v>53 Skilled construction and building trades</c:v>
                </c:pt>
                <c:pt idx="21">
                  <c:v>52 Skilled metal, electrical and electronic trades</c:v>
                </c:pt>
                <c:pt idx="22">
                  <c:v>51 Skilled agricultural and related trades</c:v>
                </c:pt>
                <c:pt idx="23">
                  <c:v>[Skilled trades occupations]</c:v>
                </c:pt>
                <c:pt idx="25">
                  <c:v>42 Secretarial and related occupations</c:v>
                </c:pt>
                <c:pt idx="26">
                  <c:v>41 Administrative occupations</c:v>
                </c:pt>
                <c:pt idx="27">
                  <c:v>[Administrative and secretarial occupations]</c:v>
                </c:pt>
                <c:pt idx="29">
                  <c:v>35 Business and public service associate professionals</c:v>
                </c:pt>
                <c:pt idx="30">
                  <c:v>34 Culture, media and sports occupations</c:v>
                </c:pt>
                <c:pt idx="31">
                  <c:v>33 Protective service occupations</c:v>
                </c:pt>
                <c:pt idx="32">
                  <c:v>32 Health and social care associate professionals</c:v>
                </c:pt>
                <c:pt idx="33">
                  <c:v>31 Science, engineering and technology associate professionals</c:v>
                </c:pt>
                <c:pt idx="34">
                  <c:v>[Associate professional occupations]</c:v>
                </c:pt>
                <c:pt idx="36">
                  <c:v>24 Business, media and public service professionals</c:v>
                </c:pt>
                <c:pt idx="37">
                  <c:v>23 Teaching and other educational professionals</c:v>
                </c:pt>
                <c:pt idx="38">
                  <c:v>22 Health professionals</c:v>
                </c:pt>
                <c:pt idx="39">
                  <c:v>21 Science, research, engineering and technology professionals</c:v>
                </c:pt>
                <c:pt idx="40">
                  <c:v>[Professional occupations]</c:v>
                </c:pt>
                <c:pt idx="42">
                  <c:v>12 Other managers and proprietors</c:v>
                </c:pt>
                <c:pt idx="43">
                  <c:v>11 Corporate managers and directors</c:v>
                </c:pt>
                <c:pt idx="44">
                  <c:v>[Managers, directors and senior officials]</c:v>
                </c:pt>
              </c:strCache>
            </c:strRef>
          </c:cat>
          <c:val>
            <c:numRef>
              <c:f>'Occ F1'!$N$7:$N$51</c:f>
              <c:numCache>
                <c:formatCode>General</c:formatCode>
                <c:ptCount val="45"/>
                <c:pt idx="0">
                  <c:v>0.33752261436219566</c:v>
                </c:pt>
                <c:pt idx="2">
                  <c:v>8.1425110192601124E-3</c:v>
                </c:pt>
                <c:pt idx="3">
                  <c:v>-1.8995588049037226</c:v>
                </c:pt>
                <c:pt idx="4">
                  <c:v>-0.19007424513651783</c:v>
                </c:pt>
                <c:pt idx="6">
                  <c:v>-0.33234999040935298</c:v>
                </c:pt>
                <c:pt idx="7">
                  <c:v>0.7207158581668649</c:v>
                </c:pt>
                <c:pt idx="8">
                  <c:v>0.1539351508893505</c:v>
                </c:pt>
                <c:pt idx="10">
                  <c:v>2.7433082393231389</c:v>
                </c:pt>
                <c:pt idx="11">
                  <c:v>-0.56581903856246507</c:v>
                </c:pt>
                <c:pt idx="12">
                  <c:v>0.14295664405947761</c:v>
                </c:pt>
                <c:pt idx="14">
                  <c:v>-0.89566171107728909</c:v>
                </c:pt>
                <c:pt idx="15">
                  <c:v>0.1821867048710013</c:v>
                </c:pt>
                <c:pt idx="16">
                  <c:v>0.79828259462559892</c:v>
                </c:pt>
                <c:pt idx="17">
                  <c:v>0.63729359287270082</c:v>
                </c:pt>
                <c:pt idx="19">
                  <c:v>-0.35181208283330268</c:v>
                </c:pt>
                <c:pt idx="20">
                  <c:v>-0.79744162815216235</c:v>
                </c:pt>
                <c:pt idx="21">
                  <c:v>-1.0310651226223211</c:v>
                </c:pt>
                <c:pt idx="22">
                  <c:v>0.78628347946878563</c:v>
                </c:pt>
                <c:pt idx="23">
                  <c:v>-0.6341226876224404</c:v>
                </c:pt>
                <c:pt idx="25">
                  <c:v>-0.50906830229731082</c:v>
                </c:pt>
                <c:pt idx="26">
                  <c:v>-0.88615450774064408</c:v>
                </c:pt>
                <c:pt idx="27">
                  <c:v>-0.8228889787840088</c:v>
                </c:pt>
                <c:pt idx="29">
                  <c:v>-4.0505041124405672E-3</c:v>
                </c:pt>
                <c:pt idx="30">
                  <c:v>0.38084364570027951</c:v>
                </c:pt>
                <c:pt idx="31">
                  <c:v>1.803656539104348</c:v>
                </c:pt>
                <c:pt idx="32">
                  <c:v>0.70448051335030293</c:v>
                </c:pt>
                <c:pt idx="33">
                  <c:v>-0.6839127547068613</c:v>
                </c:pt>
                <c:pt idx="34">
                  <c:v>0.30635460444361495</c:v>
                </c:pt>
                <c:pt idx="36">
                  <c:v>1.4978712280647066</c:v>
                </c:pt>
                <c:pt idx="37">
                  <c:v>1.0840976851205664</c:v>
                </c:pt>
                <c:pt idx="38">
                  <c:v>1.3725523924732919</c:v>
                </c:pt>
                <c:pt idx="39">
                  <c:v>0.93456278520251956</c:v>
                </c:pt>
                <c:pt idx="40">
                  <c:v>1.2467393087312928</c:v>
                </c:pt>
                <c:pt idx="42">
                  <c:v>2.322472491234584</c:v>
                </c:pt>
                <c:pt idx="43">
                  <c:v>8.3278039491885281E-2</c:v>
                </c:pt>
                <c:pt idx="44">
                  <c:v>1.0191116945586387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0B3-408C-89EB-52C0D9681FCD}"/>
            </c:ext>
          </c:extLst>
        </c:ser>
        <c:ser>
          <c:idx val="1"/>
          <c:order val="1"/>
          <c:tx>
            <c:strRef>
              <c:f>'Occ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chemeClr val="bg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F1'!$L$7:$L$51</c:f>
              <c:strCache>
                <c:ptCount val="45"/>
                <c:pt idx="0">
                  <c:v>All occupations</c:v>
                </c:pt>
                <c:pt idx="2">
                  <c:v>92 Elementary administration and service occupations</c:v>
                </c:pt>
                <c:pt idx="3">
                  <c:v>91 Elementary trades and related occupations</c:v>
                </c:pt>
                <c:pt idx="4">
                  <c:v>[Elementary occupations]</c:v>
                </c:pt>
                <c:pt idx="6">
                  <c:v>82 Transport and mobile machine drivers and operatives</c:v>
                </c:pt>
                <c:pt idx="7">
                  <c:v>81 Process, plant and machine operatives</c:v>
                </c:pt>
                <c:pt idx="8">
                  <c:v>[Process, plant and machine operatives]</c:v>
                </c:pt>
                <c:pt idx="10">
                  <c:v>72 Customer service occupations</c:v>
                </c:pt>
                <c:pt idx="11">
                  <c:v>71 Sales occupations</c:v>
                </c:pt>
                <c:pt idx="12">
                  <c:v>[Sales and customer service occupations]</c:v>
                </c:pt>
                <c:pt idx="14">
                  <c:v>63 Community and civil enforcement occupations</c:v>
                </c:pt>
                <c:pt idx="15">
                  <c:v>62 Leisure, travel and related personal service occupations</c:v>
                </c:pt>
                <c:pt idx="16">
                  <c:v>61 Caring personal service occupations</c:v>
                </c:pt>
                <c:pt idx="17">
                  <c:v>[Caring, leisure and other service occupations]</c:v>
                </c:pt>
                <c:pt idx="19">
                  <c:v>54 Textiles, printing and other skilled trades</c:v>
                </c:pt>
                <c:pt idx="20">
                  <c:v>53 Skilled construction and building trades</c:v>
                </c:pt>
                <c:pt idx="21">
                  <c:v>52 Skilled metal, electrical and electronic trades</c:v>
                </c:pt>
                <c:pt idx="22">
                  <c:v>51 Skilled agricultural and related trades</c:v>
                </c:pt>
                <c:pt idx="23">
                  <c:v>[Skilled trades occupations]</c:v>
                </c:pt>
                <c:pt idx="25">
                  <c:v>42 Secretarial and related occupations</c:v>
                </c:pt>
                <c:pt idx="26">
                  <c:v>41 Administrative occupations</c:v>
                </c:pt>
                <c:pt idx="27">
                  <c:v>[Administrative and secretarial occupations]</c:v>
                </c:pt>
                <c:pt idx="29">
                  <c:v>35 Business and public service associate professionals</c:v>
                </c:pt>
                <c:pt idx="30">
                  <c:v>34 Culture, media and sports occupations</c:v>
                </c:pt>
                <c:pt idx="31">
                  <c:v>33 Protective service occupations</c:v>
                </c:pt>
                <c:pt idx="32">
                  <c:v>32 Health and social care associate professionals</c:v>
                </c:pt>
                <c:pt idx="33">
                  <c:v>31 Science, engineering and technology associate professionals</c:v>
                </c:pt>
                <c:pt idx="34">
                  <c:v>[Associate professional occupations]</c:v>
                </c:pt>
                <c:pt idx="36">
                  <c:v>24 Business, media and public service professionals</c:v>
                </c:pt>
                <c:pt idx="37">
                  <c:v>23 Teaching and other educational professionals</c:v>
                </c:pt>
                <c:pt idx="38">
                  <c:v>22 Health professionals</c:v>
                </c:pt>
                <c:pt idx="39">
                  <c:v>21 Science, research, engineering and technology professionals</c:v>
                </c:pt>
                <c:pt idx="40">
                  <c:v>[Professional occupations]</c:v>
                </c:pt>
                <c:pt idx="42">
                  <c:v>12 Other managers and proprietors</c:v>
                </c:pt>
                <c:pt idx="43">
                  <c:v>11 Corporate managers and directors</c:v>
                </c:pt>
                <c:pt idx="44">
                  <c:v>[Managers, directors and senior officials]</c:v>
                </c:pt>
              </c:strCache>
            </c:strRef>
          </c:cat>
          <c:val>
            <c:numRef>
              <c:f>'Occ F1'!$M$7:$M$51</c:f>
              <c:numCache>
                <c:formatCode>General</c:formatCode>
                <c:ptCount val="45"/>
                <c:pt idx="0">
                  <c:v>-0.3059812750987656</c:v>
                </c:pt>
                <c:pt idx="2">
                  <c:v>-1.7864233102176552</c:v>
                </c:pt>
                <c:pt idx="3">
                  <c:v>-5.1009524764847995</c:v>
                </c:pt>
                <c:pt idx="4">
                  <c:v>-2.2107265618185545</c:v>
                </c:pt>
                <c:pt idx="6">
                  <c:v>1.256490377052355</c:v>
                </c:pt>
                <c:pt idx="7">
                  <c:v>-4.4137305882278817</c:v>
                </c:pt>
                <c:pt idx="8">
                  <c:v>-1.5023656350775405</c:v>
                </c:pt>
                <c:pt idx="10">
                  <c:v>1.5610831644915946</c:v>
                </c:pt>
                <c:pt idx="11">
                  <c:v>-2.0812441677521276</c:v>
                </c:pt>
                <c:pt idx="12">
                  <c:v>-1.4911539146336139</c:v>
                </c:pt>
                <c:pt idx="14">
                  <c:v>2.4365222689466837</c:v>
                </c:pt>
                <c:pt idx="15">
                  <c:v>-0.58773568265229059</c:v>
                </c:pt>
                <c:pt idx="16">
                  <c:v>-0.78239649614618711</c:v>
                </c:pt>
                <c:pt idx="17">
                  <c:v>-0.69659591231615581</c:v>
                </c:pt>
                <c:pt idx="19">
                  <c:v>-3.6372681097002202</c:v>
                </c:pt>
                <c:pt idx="20">
                  <c:v>-2.7444135688581728</c:v>
                </c:pt>
                <c:pt idx="21">
                  <c:v>-3.8120543906761784</c:v>
                </c:pt>
                <c:pt idx="22">
                  <c:v>-3.8609097151089067</c:v>
                </c:pt>
                <c:pt idx="23">
                  <c:v>-3.4407445148540661</c:v>
                </c:pt>
                <c:pt idx="25">
                  <c:v>-2.8665141443915521</c:v>
                </c:pt>
                <c:pt idx="26">
                  <c:v>-0.64575523807332003</c:v>
                </c:pt>
                <c:pt idx="27">
                  <c:v>-1.0313824957122741</c:v>
                </c:pt>
                <c:pt idx="29">
                  <c:v>1.4863027490615632</c:v>
                </c:pt>
                <c:pt idx="30">
                  <c:v>-0.93183825362352923</c:v>
                </c:pt>
                <c:pt idx="31">
                  <c:v>2.3433722931692769</c:v>
                </c:pt>
                <c:pt idx="32">
                  <c:v>2.0233344610784521</c:v>
                </c:pt>
                <c:pt idx="33">
                  <c:v>2.9753180176036231</c:v>
                </c:pt>
                <c:pt idx="34">
                  <c:v>1.6789717565502071</c:v>
                </c:pt>
                <c:pt idx="36">
                  <c:v>3.7425069350011997</c:v>
                </c:pt>
                <c:pt idx="37">
                  <c:v>0.74961039979839494</c:v>
                </c:pt>
                <c:pt idx="38">
                  <c:v>1.6014800545100405</c:v>
                </c:pt>
                <c:pt idx="39">
                  <c:v>1.6790361796333197</c:v>
                </c:pt>
                <c:pt idx="40">
                  <c:v>1.9336473158785283</c:v>
                </c:pt>
                <c:pt idx="42">
                  <c:v>1.1855943883452458</c:v>
                </c:pt>
                <c:pt idx="43">
                  <c:v>3.1914253480733734</c:v>
                </c:pt>
                <c:pt idx="44">
                  <c:v>2.3998706639680289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B3-408C-89EB-52C0D9681F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4168"/>
        <c:axId val="313554560"/>
      </c:barChart>
      <c:catAx>
        <c:axId val="313554168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4560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% per annum</a:t>
                </a:r>
              </a:p>
            </c:rich>
          </c:tx>
          <c:layout>
            <c:manualLayout>
              <c:xMode val="edge"/>
              <c:yMode val="edge"/>
              <c:x val="0.87285769431129534"/>
              <c:y val="0.9458227286150016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168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7242033227521949"/>
          <c:y val="0.97204833412938918"/>
          <c:w val="0.29895970048008641"/>
          <c:h val="2.004506798844959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48571462452191999"/>
          <c:y val="1.2452118927463975E-2"/>
          <c:w val="0.48285747967179132"/>
          <c:h val="0.91379395821543363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'Occ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chemeClr val="bg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F1'!$L$82:$L$106</c:f>
              <c:strCache>
                <c:ptCount val="25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</c:strCache>
            </c:strRef>
          </c:cat>
          <c:val>
            <c:numRef>
              <c:f>'Occ F1'!$M$82:$M$106</c:f>
              <c:numCache>
                <c:formatCode>#,##0</c:formatCode>
                <c:ptCount val="25"/>
                <c:pt idx="0">
                  <c:v>8.978807628195753</c:v>
                </c:pt>
                <c:pt idx="1">
                  <c:v>2.1723473816630801</c:v>
                </c:pt>
                <c:pt idx="2">
                  <c:v>4.6087662070190518</c:v>
                </c:pt>
                <c:pt idx="3">
                  <c:v>6.1551579441097033</c:v>
                </c:pt>
                <c:pt idx="4">
                  <c:v>1.9685358773988497</c:v>
                </c:pt>
                <c:pt idx="5">
                  <c:v>10.531051865448909</c:v>
                </c:pt>
                <c:pt idx="6">
                  <c:v>3.5009113194713422</c:v>
                </c:pt>
                <c:pt idx="7">
                  <c:v>2.7349070790265841</c:v>
                </c:pt>
                <c:pt idx="8">
                  <c:v>1.8034728101538988</c:v>
                </c:pt>
                <c:pt idx="9">
                  <c:v>-0.71269519470603448</c:v>
                </c:pt>
                <c:pt idx="10">
                  <c:v>3.8784027344354115</c:v>
                </c:pt>
                <c:pt idx="11">
                  <c:v>-3.6517536290753156</c:v>
                </c:pt>
                <c:pt idx="12">
                  <c:v>-3.4079375414110729</c:v>
                </c:pt>
                <c:pt idx="13">
                  <c:v>-2.2415513578967818</c:v>
                </c:pt>
                <c:pt idx="14">
                  <c:v>-9.1392712986853155</c:v>
                </c:pt>
                <c:pt idx="15">
                  <c:v>-5.3800475750716998</c:v>
                </c:pt>
                <c:pt idx="16">
                  <c:v>-4.2930384293084956</c:v>
                </c:pt>
                <c:pt idx="17">
                  <c:v>-3.4154733125627814</c:v>
                </c:pt>
                <c:pt idx="18">
                  <c:v>-0.7959387129719282</c:v>
                </c:pt>
                <c:pt idx="19">
                  <c:v>0.17654976786870646</c:v>
                </c:pt>
                <c:pt idx="20">
                  <c:v>-11.491214519105128</c:v>
                </c:pt>
                <c:pt idx="21">
                  <c:v>1.6645337714717918</c:v>
                </c:pt>
                <c:pt idx="22">
                  <c:v>-8.8311144867017148</c:v>
                </c:pt>
                <c:pt idx="23">
                  <c:v>2.6483728798543638</c:v>
                </c:pt>
                <c:pt idx="24">
                  <c:v>-4.6795608159829953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3B-487F-80E9-0567EF603948}"/>
            </c:ext>
          </c:extLst>
        </c:ser>
        <c:ser>
          <c:idx val="0"/>
          <c:order val="1"/>
          <c:tx>
            <c:strRef>
              <c:f>'Occ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F1'!$L$82:$L$106</c:f>
              <c:strCache>
                <c:ptCount val="25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</c:strCache>
            </c:strRef>
          </c:cat>
          <c:val>
            <c:numRef>
              <c:f>'Occ F1'!$N$82:$N$106</c:f>
              <c:numCache>
                <c:formatCode>#,##0</c:formatCode>
                <c:ptCount val="25"/>
                <c:pt idx="0">
                  <c:v>0.77610679577185948</c:v>
                </c:pt>
                <c:pt idx="1">
                  <c:v>15.606029144909691</c:v>
                </c:pt>
                <c:pt idx="2">
                  <c:v>8.638896180659728</c:v>
                </c:pt>
                <c:pt idx="3">
                  <c:v>18.287486319040184</c:v>
                </c:pt>
                <c:pt idx="4">
                  <c:v>9.4287549104549555</c:v>
                </c:pt>
                <c:pt idx="5">
                  <c:v>15.677728401469473</c:v>
                </c:pt>
                <c:pt idx="6">
                  <c:v>-2.5114465297474915</c:v>
                </c:pt>
                <c:pt idx="7">
                  <c:v>3.1866232822275613</c:v>
                </c:pt>
                <c:pt idx="8">
                  <c:v>5.0713979996577372</c:v>
                </c:pt>
                <c:pt idx="9">
                  <c:v>0.87258947368746753</c:v>
                </c:pt>
                <c:pt idx="10">
                  <c:v>-3.3126883944539998E-2</c:v>
                </c:pt>
                <c:pt idx="11">
                  <c:v>-13.863301660679539</c:v>
                </c:pt>
                <c:pt idx="12">
                  <c:v>-1.6045916971026131</c:v>
                </c:pt>
                <c:pt idx="13">
                  <c:v>1.2842365777998257</c:v>
                </c:pt>
                <c:pt idx="14">
                  <c:v>-6.1347030728799652</c:v>
                </c:pt>
                <c:pt idx="15">
                  <c:v>-4.0783457470649047</c:v>
                </c:pt>
                <c:pt idx="16">
                  <c:v>-1.0861478873856356</c:v>
                </c:pt>
                <c:pt idx="17">
                  <c:v>10.801137027273271</c:v>
                </c:pt>
                <c:pt idx="18">
                  <c:v>0.73652465759708008</c:v>
                </c:pt>
                <c:pt idx="19">
                  <c:v>-0.19654028258234013</c:v>
                </c:pt>
                <c:pt idx="20">
                  <c:v>-8.4552739812367435</c:v>
                </c:pt>
                <c:pt idx="21">
                  <c:v>11.183553008210936</c:v>
                </c:pt>
                <c:pt idx="22">
                  <c:v>3.966775603682315</c:v>
                </c:pt>
                <c:pt idx="23">
                  <c:v>-2.1313866469307214</c:v>
                </c:pt>
                <c:pt idx="24">
                  <c:v>-3.9094004965948397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A3B-487F-80E9-0567EF6039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4168"/>
        <c:axId val="313554560"/>
      </c:barChart>
      <c:catAx>
        <c:axId val="313554168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4560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0.88315200485707968"/>
              <c:y val="0.94978212240515392"/>
            </c:manualLayout>
          </c:layout>
          <c:overlay val="0"/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168"/>
        <c:crosses val="max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6480491104723274"/>
          <c:y val="0.96198037540801984"/>
          <c:w val="0.28182500271711636"/>
          <c:h val="2.91062308376819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48571462452191999"/>
          <c:y val="1.2452118927463975E-2"/>
          <c:w val="0.48285747967179132"/>
          <c:h val="0.8893494313210849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'Occ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chemeClr val="bg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F1'!$L$153:$L$161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F1'!$M$153:$M$161</c:f>
              <c:numCache>
                <c:formatCode>#,##0</c:formatCode>
                <c:ptCount val="9"/>
                <c:pt idx="0">
                  <c:v>11.15115500985884</c:v>
                </c:pt>
                <c:pt idx="1">
                  <c:v>23.263511893976528</c:v>
                </c:pt>
                <c:pt idx="2">
                  <c:v>11.204998748381172</c:v>
                </c:pt>
                <c:pt idx="3">
                  <c:v>-7.0596911704863885</c:v>
                </c:pt>
                <c:pt idx="4">
                  <c:v>-21.053908660962293</c:v>
                </c:pt>
                <c:pt idx="5">
                  <c:v>-4.034862257665992</c:v>
                </c:pt>
                <c:pt idx="6">
                  <c:v>-9.8266807476333327</c:v>
                </c:pt>
                <c:pt idx="7">
                  <c:v>-6.182741606847344</c:v>
                </c:pt>
                <c:pt idx="8">
                  <c:v>-15.825781209982722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006-49AD-83CA-ED2B408A2B3B}"/>
            </c:ext>
          </c:extLst>
        </c:ser>
        <c:ser>
          <c:idx val="0"/>
          <c:order val="1"/>
          <c:tx>
            <c:strRef>
              <c:f>'Occ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F1'!$L$153:$L$161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F1'!$N$153:$N$161</c:f>
              <c:numCache>
                <c:formatCode>#,##0</c:formatCode>
                <c:ptCount val="9"/>
                <c:pt idx="0">
                  <c:v>16.38213594068155</c:v>
                </c:pt>
                <c:pt idx="1">
                  <c:v>52.032865811624333</c:v>
                </c:pt>
                <c:pt idx="2">
                  <c:v>6.5860373418807399</c:v>
                </c:pt>
                <c:pt idx="3">
                  <c:v>-15.46789335778216</c:v>
                </c:pt>
                <c:pt idx="4">
                  <c:v>-10.014960129530678</c:v>
                </c:pt>
                <c:pt idx="5">
                  <c:v>11.341121402287996</c:v>
                </c:pt>
                <c:pt idx="6">
                  <c:v>2.7282790269742065</c:v>
                </c:pt>
                <c:pt idx="7">
                  <c:v>1.8353889567515864</c:v>
                </c:pt>
                <c:pt idx="8">
                  <c:v>-3.7649749929656195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006-49AD-83CA-ED2B408A2B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4168"/>
        <c:axId val="313554560"/>
      </c:barChart>
      <c:catAx>
        <c:axId val="313554168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4560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0.89275972821341165"/>
              <c:y val="0.94782764654418195"/>
            </c:manualLayout>
          </c:layout>
          <c:overlay val="0"/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168"/>
        <c:crosses val="max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6480491104723274"/>
          <c:y val="0.96198037540801984"/>
          <c:w val="0.28182500271711636"/>
          <c:h val="2.91062308376819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3291178359361627E-2"/>
          <c:y val="6.1930893405078492E-2"/>
          <c:w val="0.90000055627012265"/>
          <c:h val="0.80874460799574588"/>
        </c:manualLayout>
      </c:layout>
      <c:areaChart>
        <c:grouping val="stacked"/>
        <c:varyColors val="0"/>
        <c:ser>
          <c:idx val="0"/>
          <c:order val="0"/>
          <c:tx>
            <c:strRef>
              <c:f>'Occ F2'!$L$6</c:f>
              <c:strCache>
                <c:ptCount val="1"/>
                <c:pt idx="0">
                  <c:v>11 Corporate managers and directors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F2'!$M$6:$AL$6</c:f>
              <c:numCache>
                <c:formatCode>#,##0</c:formatCode>
                <c:ptCount val="26"/>
                <c:pt idx="0">
                  <c:v>47.991712539996641</c:v>
                </c:pt>
                <c:pt idx="1">
                  <c:v>49.995309769033156</c:v>
                </c:pt>
                <c:pt idx="2">
                  <c:v>49.881942257983638</c:v>
                </c:pt>
                <c:pt idx="3">
                  <c:v>51.761595164175908</c:v>
                </c:pt>
                <c:pt idx="4">
                  <c:v>49.698552973577414</c:v>
                </c:pt>
                <c:pt idx="5">
                  <c:v>52.789581565562479</c:v>
                </c:pt>
                <c:pt idx="6">
                  <c:v>52.95540805389826</c:v>
                </c:pt>
                <c:pt idx="7">
                  <c:v>54.341345820545044</c:v>
                </c:pt>
                <c:pt idx="8">
                  <c:v>58.129570875536359</c:v>
                </c:pt>
                <c:pt idx="9">
                  <c:v>60.307239042803182</c:v>
                </c:pt>
                <c:pt idx="10">
                  <c:v>61.768389193758232</c:v>
                </c:pt>
                <c:pt idx="11">
                  <c:v>54.874924595210125</c:v>
                </c:pt>
                <c:pt idx="12">
                  <c:v>55.185179128948079</c:v>
                </c:pt>
                <c:pt idx="13">
                  <c:v>55.672842008840298</c:v>
                </c:pt>
                <c:pt idx="14">
                  <c:v>56.26174713752318</c:v>
                </c:pt>
                <c:pt idx="15">
                  <c:v>56.802971897231664</c:v>
                </c:pt>
                <c:pt idx="16">
                  <c:v>57.324400126131486</c:v>
                </c:pt>
                <c:pt idx="17">
                  <c:v>57.865499681727464</c:v>
                </c:pt>
                <c:pt idx="18">
                  <c:v>58.422080730914644</c:v>
                </c:pt>
                <c:pt idx="19">
                  <c:v>58.970556678422859</c:v>
                </c:pt>
                <c:pt idx="20">
                  <c:v>59.54447037431558</c:v>
                </c:pt>
                <c:pt idx="21">
                  <c:v>60.158017899847707</c:v>
                </c:pt>
                <c:pt idx="22">
                  <c:v>60.812577523973033</c:v>
                </c:pt>
                <c:pt idx="23">
                  <c:v>61.401586465904899</c:v>
                </c:pt>
                <c:pt idx="24">
                  <c:v>62.002481932667536</c:v>
                </c:pt>
                <c:pt idx="25">
                  <c:v>62.544495989530091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720-4568-BDF9-576543F0797E}"/>
            </c:ext>
          </c:extLst>
        </c:ser>
        <c:ser>
          <c:idx val="1"/>
          <c:order val="1"/>
          <c:tx>
            <c:strRef>
              <c:f>'Occ F2'!$L$7</c:f>
              <c:strCache>
                <c:ptCount val="1"/>
                <c:pt idx="0">
                  <c:v>12 Other managers and proprietors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F2'!$M$7:$AL$7</c:f>
              <c:numCache>
                <c:formatCode>#,##0</c:formatCode>
                <c:ptCount val="26"/>
                <c:pt idx="0">
                  <c:v>28.072096202220393</c:v>
                </c:pt>
                <c:pt idx="1">
                  <c:v>31.152602548462543</c:v>
                </c:pt>
                <c:pt idx="2">
                  <c:v>31.167319856947056</c:v>
                </c:pt>
                <c:pt idx="3">
                  <c:v>33.366310440127315</c:v>
                </c:pt>
                <c:pt idx="4">
                  <c:v>33.488330806753893</c:v>
                </c:pt>
                <c:pt idx="5">
                  <c:v>35.787011508835903</c:v>
                </c:pt>
                <c:pt idx="6">
                  <c:v>28.662413865235528</c:v>
                </c:pt>
                <c:pt idx="7">
                  <c:v>31.274073741217638</c:v>
                </c:pt>
                <c:pt idx="8">
                  <c:v>32.497262572499153</c:v>
                </c:pt>
                <c:pt idx="9">
                  <c:v>39.39331360435942</c:v>
                </c:pt>
                <c:pt idx="10">
                  <c:v>37.959358890498983</c:v>
                </c:pt>
                <c:pt idx="11">
                  <c:v>42.49856477522944</c:v>
                </c:pt>
                <c:pt idx="12">
                  <c:v>42.971722017227549</c:v>
                </c:pt>
                <c:pt idx="13">
                  <c:v>43.684464492959442</c:v>
                </c:pt>
                <c:pt idx="14">
                  <c:v>44.553277341158044</c:v>
                </c:pt>
                <c:pt idx="15">
                  <c:v>45.396463520018202</c:v>
                </c:pt>
                <c:pt idx="16">
                  <c:v>46.182427737595745</c:v>
                </c:pt>
                <c:pt idx="17">
                  <c:v>46.998885122875826</c:v>
                </c:pt>
                <c:pt idx="18">
                  <c:v>47.835244964005099</c:v>
                </c:pt>
                <c:pt idx="19">
                  <c:v>48.669906449490419</c:v>
                </c:pt>
                <c:pt idx="20">
                  <c:v>49.524285599551696</c:v>
                </c:pt>
                <c:pt idx="21">
                  <c:v>50.451731798481454</c:v>
                </c:pt>
                <c:pt idx="22">
                  <c:v>51.457648193278352</c:v>
                </c:pt>
                <c:pt idx="23">
                  <c:v>52.32971729269444</c:v>
                </c:pt>
                <c:pt idx="24">
                  <c:v>53.149732178225143</c:v>
                </c:pt>
                <c:pt idx="25">
                  <c:v>53.565388035408674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E7-4E1A-BA1B-1644D5E32C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0568"/>
        <c:axId val="313970960"/>
      </c:areaChart>
      <c:catAx>
        <c:axId val="31397056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09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970960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291178359361714E-3"/>
              <c:y val="9.107484324276406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05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4190505958714619"/>
          <c:y val="0.94227478861151881"/>
          <c:w val="0.68071850393700783"/>
          <c:h val="3.9719368015269679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9108989445751968E-2"/>
          <c:y val="8.3510768667333396E-2"/>
          <c:w val="0.89593908629441665"/>
          <c:h val="0.73360490940421352"/>
        </c:manualLayout>
      </c:layout>
      <c:areaChart>
        <c:grouping val="stacked"/>
        <c:varyColors val="0"/>
        <c:ser>
          <c:idx val="1"/>
          <c:order val="0"/>
          <c:tx>
            <c:strRef>
              <c:f>'Occ F2'!$L$10</c:f>
              <c:strCache>
                <c:ptCount val="1"/>
                <c:pt idx="0">
                  <c:v>21 Science, research, engineering and technology professionals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F2'!$M$10:$AL$10</c:f>
              <c:numCache>
                <c:formatCode>#,##0</c:formatCode>
                <c:ptCount val="26"/>
                <c:pt idx="0">
                  <c:v>53.558561877122202</c:v>
                </c:pt>
                <c:pt idx="1">
                  <c:v>49.534916378722144</c:v>
                </c:pt>
                <c:pt idx="2">
                  <c:v>49.085366883113288</c:v>
                </c:pt>
                <c:pt idx="3">
                  <c:v>47.988884192373646</c:v>
                </c:pt>
                <c:pt idx="4">
                  <c:v>49.147343826516511</c:v>
                </c:pt>
                <c:pt idx="5">
                  <c:v>53.08494534255329</c:v>
                </c:pt>
                <c:pt idx="6">
                  <c:v>51.265921228111878</c:v>
                </c:pt>
                <c:pt idx="7">
                  <c:v>51.043303802871506</c:v>
                </c:pt>
                <c:pt idx="8">
                  <c:v>55.200135521282988</c:v>
                </c:pt>
                <c:pt idx="9">
                  <c:v>55.687059516730201</c:v>
                </c:pt>
                <c:pt idx="10">
                  <c:v>57.693711549572342</c:v>
                </c:pt>
                <c:pt idx="11">
                  <c:v>57.956450474036615</c:v>
                </c:pt>
                <c:pt idx="12">
                  <c:v>58.335506996551757</c:v>
                </c:pt>
                <c:pt idx="13">
                  <c:v>58.870413579675997</c:v>
                </c:pt>
                <c:pt idx="14">
                  <c:v>59.527607541458188</c:v>
                </c:pt>
                <c:pt idx="15">
                  <c:v>60.108225983479294</c:v>
                </c:pt>
                <c:pt idx="16">
                  <c:v>60.660775481352147</c:v>
                </c:pt>
                <c:pt idx="17">
                  <c:v>61.236845869910169</c:v>
                </c:pt>
                <c:pt idx="18">
                  <c:v>61.838571965292786</c:v>
                </c:pt>
                <c:pt idx="19">
                  <c:v>62.441097306213628</c:v>
                </c:pt>
                <c:pt idx="20">
                  <c:v>63.07840914979154</c:v>
                </c:pt>
                <c:pt idx="21">
                  <c:v>63.719490031317982</c:v>
                </c:pt>
                <c:pt idx="22">
                  <c:v>64.365690903271656</c:v>
                </c:pt>
                <c:pt idx="23">
                  <c:v>65.011137268470478</c:v>
                </c:pt>
                <c:pt idx="24">
                  <c:v>65.675884513221121</c:v>
                </c:pt>
                <c:pt idx="25">
                  <c:v>66.33260773023207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E8B-4FD0-A846-3B80B7CA18B9}"/>
            </c:ext>
          </c:extLst>
        </c:ser>
        <c:ser>
          <c:idx val="2"/>
          <c:order val="1"/>
          <c:tx>
            <c:strRef>
              <c:f>'Occ F2'!$L$11</c:f>
              <c:strCache>
                <c:ptCount val="1"/>
                <c:pt idx="0">
                  <c:v>22 Health professionals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F2'!$M$11:$AL$11</c:f>
              <c:numCache>
                <c:formatCode>#,##0</c:formatCode>
                <c:ptCount val="26"/>
                <c:pt idx="0">
                  <c:v>61.093679456144756</c:v>
                </c:pt>
                <c:pt idx="1">
                  <c:v>59.870829645971433</c:v>
                </c:pt>
                <c:pt idx="2">
                  <c:v>63.786781065122007</c:v>
                </c:pt>
                <c:pt idx="3">
                  <c:v>66.081351497211912</c:v>
                </c:pt>
                <c:pt idx="4">
                  <c:v>73.026083133841723</c:v>
                </c:pt>
                <c:pt idx="5">
                  <c:v>74.445418040172925</c:v>
                </c:pt>
                <c:pt idx="6">
                  <c:v>71.981035026093679</c:v>
                </c:pt>
                <c:pt idx="7">
                  <c:v>75.364418848007048</c:v>
                </c:pt>
                <c:pt idx="8">
                  <c:v>75.430266131288207</c:v>
                </c:pt>
                <c:pt idx="9">
                  <c:v>75.385023455696555</c:v>
                </c:pt>
                <c:pt idx="10">
                  <c:v>80.600575984282628</c:v>
                </c:pt>
                <c:pt idx="11">
                  <c:v>83.698259324658792</c:v>
                </c:pt>
                <c:pt idx="12">
                  <c:v>84.997420479936167</c:v>
                </c:pt>
                <c:pt idx="13">
                  <c:v>86.270525906484608</c:v>
                </c:pt>
                <c:pt idx="14">
                  <c:v>87.623622352812575</c:v>
                </c:pt>
                <c:pt idx="15">
                  <c:v>88.781813698391318</c:v>
                </c:pt>
                <c:pt idx="16">
                  <c:v>89.86294039512363</c:v>
                </c:pt>
                <c:pt idx="17">
                  <c:v>90.874915944309407</c:v>
                </c:pt>
                <c:pt idx="18">
                  <c:v>91.812942273254535</c:v>
                </c:pt>
                <c:pt idx="19">
                  <c:v>92.76169179039023</c:v>
                </c:pt>
                <c:pt idx="20">
                  <c:v>93.750298893355279</c:v>
                </c:pt>
                <c:pt idx="21">
                  <c:v>94.806234915425875</c:v>
                </c:pt>
                <c:pt idx="22">
                  <c:v>95.87269308588877</c:v>
                </c:pt>
                <c:pt idx="23">
                  <c:v>96.936911246644826</c:v>
                </c:pt>
                <c:pt idx="24">
                  <c:v>97.965750886273923</c:v>
                </c:pt>
                <c:pt idx="25">
                  <c:v>98.888062303322812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E8B-4FD0-A846-3B80B7CA18B9}"/>
            </c:ext>
          </c:extLst>
        </c:ser>
        <c:ser>
          <c:idx val="3"/>
          <c:order val="2"/>
          <c:tx>
            <c:strRef>
              <c:f>'Occ F2'!$L$12</c:f>
              <c:strCache>
                <c:ptCount val="1"/>
                <c:pt idx="0">
                  <c:v>23 Teaching and other educational professionals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F2'!$M$12:$AL$12</c:f>
              <c:numCache>
                <c:formatCode>#,##0</c:formatCode>
                <c:ptCount val="26"/>
                <c:pt idx="0">
                  <c:v>50.965309730410461</c:v>
                </c:pt>
                <c:pt idx="1">
                  <c:v>50.875121983504663</c:v>
                </c:pt>
                <c:pt idx="2">
                  <c:v>55.885188878318893</c:v>
                </c:pt>
                <c:pt idx="3">
                  <c:v>50.097912855842999</c:v>
                </c:pt>
                <c:pt idx="4">
                  <c:v>49.793555034303672</c:v>
                </c:pt>
                <c:pt idx="5">
                  <c:v>51.740039318389456</c:v>
                </c:pt>
                <c:pt idx="6">
                  <c:v>50.198939836260934</c:v>
                </c:pt>
                <c:pt idx="7">
                  <c:v>49.249393998558276</c:v>
                </c:pt>
                <c:pt idx="8">
                  <c:v>50.455943243150038</c:v>
                </c:pt>
                <c:pt idx="9">
                  <c:v>51.254551275781473</c:v>
                </c:pt>
                <c:pt idx="10">
                  <c:v>53.708575195788306</c:v>
                </c:pt>
                <c:pt idx="11">
                  <c:v>55.232064951730365</c:v>
                </c:pt>
                <c:pt idx="12">
                  <c:v>56.687462194147408</c:v>
                </c:pt>
                <c:pt idx="13">
                  <c:v>57.462315558984791</c:v>
                </c:pt>
                <c:pt idx="14">
                  <c:v>58.218575341484105</c:v>
                </c:pt>
                <c:pt idx="15">
                  <c:v>58.715715140042562</c:v>
                </c:pt>
                <c:pt idx="16">
                  <c:v>59.122766081501034</c:v>
                </c:pt>
                <c:pt idx="17">
                  <c:v>59.550419642839287</c:v>
                </c:pt>
                <c:pt idx="18">
                  <c:v>59.986136039038961</c:v>
                </c:pt>
                <c:pt idx="19">
                  <c:v>60.414009457283512</c:v>
                </c:pt>
                <c:pt idx="20">
                  <c:v>60.847988714044014</c:v>
                </c:pt>
                <c:pt idx="21">
                  <c:v>61.309080752215749</c:v>
                </c:pt>
                <c:pt idx="22">
                  <c:v>61.772450121135805</c:v>
                </c:pt>
                <c:pt idx="23">
                  <c:v>62.233575743038379</c:v>
                </c:pt>
                <c:pt idx="24">
                  <c:v>62.688311736277051</c:v>
                </c:pt>
                <c:pt idx="25">
                  <c:v>63.137330106243262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E8B-4FD0-A846-3B80B7CA18B9}"/>
            </c:ext>
          </c:extLst>
        </c:ser>
        <c:ser>
          <c:idx val="0"/>
          <c:order val="3"/>
          <c:tx>
            <c:strRef>
              <c:f>'Occ F2'!$L$13</c:f>
              <c:strCache>
                <c:ptCount val="1"/>
                <c:pt idx="0">
                  <c:v>24 Business, media and public service professionals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F2'!$M$13:$AL$13</c:f>
              <c:numCache>
                <c:formatCode>#,##0</c:formatCode>
                <c:ptCount val="26"/>
                <c:pt idx="0">
                  <c:v>57.300881222340706</c:v>
                </c:pt>
                <c:pt idx="1">
                  <c:v>51.375305191967435</c:v>
                </c:pt>
                <c:pt idx="2">
                  <c:v>48.020273010945722</c:v>
                </c:pt>
                <c:pt idx="3">
                  <c:v>50.283069861752118</c:v>
                </c:pt>
                <c:pt idx="4">
                  <c:v>49.545197956986776</c:v>
                </c:pt>
                <c:pt idx="5">
                  <c:v>52.220322486637031</c:v>
                </c:pt>
                <c:pt idx="6">
                  <c:v>51.337635695382872</c:v>
                </c:pt>
                <c:pt idx="7">
                  <c:v>49.523293811685924</c:v>
                </c:pt>
                <c:pt idx="8">
                  <c:v>52.703567214201513</c:v>
                </c:pt>
                <c:pt idx="9">
                  <c:v>55.346228521105971</c:v>
                </c:pt>
                <c:pt idx="10">
                  <c:v>62.751374352085939</c:v>
                </c:pt>
                <c:pt idx="11">
                  <c:v>65.624145743392759</c:v>
                </c:pt>
                <c:pt idx="12">
                  <c:v>66.076108251785342</c:v>
                </c:pt>
                <c:pt idx="13">
                  <c:v>66.882597328090895</c:v>
                </c:pt>
                <c:pt idx="14">
                  <c:v>67.815173876171826</c:v>
                </c:pt>
                <c:pt idx="15">
                  <c:v>68.732832036169498</c:v>
                </c:pt>
                <c:pt idx="16">
                  <c:v>69.633595675617286</c:v>
                </c:pt>
                <c:pt idx="17">
                  <c:v>70.531787807362406</c:v>
                </c:pt>
                <c:pt idx="18">
                  <c:v>71.471783861163033</c:v>
                </c:pt>
                <c:pt idx="19">
                  <c:v>72.417961859365064</c:v>
                </c:pt>
                <c:pt idx="20">
                  <c:v>73.429389016539275</c:v>
                </c:pt>
                <c:pt idx="21">
                  <c:v>74.461194325119521</c:v>
                </c:pt>
                <c:pt idx="22">
                  <c:v>75.448369352237933</c:v>
                </c:pt>
                <c:pt idx="23">
                  <c:v>76.437326320515282</c:v>
                </c:pt>
                <c:pt idx="24">
                  <c:v>77.439469244855275</c:v>
                </c:pt>
                <c:pt idx="25">
                  <c:v>78.429102753555412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E8B-4FD0-A846-3B80B7CA1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1744"/>
        <c:axId val="313972136"/>
      </c:areaChart>
      <c:catAx>
        <c:axId val="31397174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21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972136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1.650609719509024E-2"/>
              <c:y val="3.059099723446913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174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"/>
          <c:y val="0.89684729480371306"/>
          <c:w val="0.97366171734883677"/>
          <c:h val="8.1685800008451534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25729671010754E-2"/>
          <c:y val="8.1573294356169543E-2"/>
          <c:w val="0.89593908629441665"/>
          <c:h val="0.7258418595879107"/>
        </c:manualLayout>
      </c:layout>
      <c:areaChart>
        <c:grouping val="stacked"/>
        <c:varyColors val="0"/>
        <c:ser>
          <c:idx val="0"/>
          <c:order val="0"/>
          <c:tx>
            <c:strRef>
              <c:f>'Occ F2'!$L$16</c:f>
              <c:strCache>
                <c:ptCount val="1"/>
                <c:pt idx="0">
                  <c:v>31 Science, engineering and technology associate professionals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F2'!$M$16:$AL$16</c:f>
              <c:numCache>
                <c:formatCode>#,##0</c:formatCode>
                <c:ptCount val="26"/>
                <c:pt idx="0">
                  <c:v>24.649809011933794</c:v>
                </c:pt>
                <c:pt idx="1">
                  <c:v>23.246354807096179</c:v>
                </c:pt>
                <c:pt idx="2">
                  <c:v>23.606375488989034</c:v>
                </c:pt>
                <c:pt idx="3">
                  <c:v>23.489928012736009</c:v>
                </c:pt>
                <c:pt idx="4">
                  <c:v>21.234590090461651</c:v>
                </c:pt>
                <c:pt idx="5">
                  <c:v>22.173700353829513</c:v>
                </c:pt>
                <c:pt idx="6">
                  <c:v>22.058681132985601</c:v>
                </c:pt>
                <c:pt idx="7">
                  <c:v>24.416681299450801</c:v>
                </c:pt>
                <c:pt idx="8">
                  <c:v>25.098160629008511</c:v>
                </c:pt>
                <c:pt idx="9">
                  <c:v>23.792244132513261</c:v>
                </c:pt>
                <c:pt idx="10">
                  <c:v>25.674611673300856</c:v>
                </c:pt>
                <c:pt idx="11">
                  <c:v>21.765556813163691</c:v>
                </c:pt>
                <c:pt idx="12">
                  <c:v>21.840636020481362</c:v>
                </c:pt>
                <c:pt idx="13">
                  <c:v>21.929022412163306</c:v>
                </c:pt>
                <c:pt idx="14">
                  <c:v>22.055669779897197</c:v>
                </c:pt>
                <c:pt idx="15">
                  <c:v>22.156159876445123</c:v>
                </c:pt>
                <c:pt idx="16">
                  <c:v>22.247168267826019</c:v>
                </c:pt>
                <c:pt idx="17">
                  <c:v>22.338226109468675</c:v>
                </c:pt>
                <c:pt idx="18">
                  <c:v>22.429297100387029</c:v>
                </c:pt>
                <c:pt idx="19">
                  <c:v>22.508047209018436</c:v>
                </c:pt>
                <c:pt idx="20">
                  <c:v>22.616208666221866</c:v>
                </c:pt>
                <c:pt idx="21">
                  <c:v>22.716721579525576</c:v>
                </c:pt>
                <c:pt idx="22">
                  <c:v>22.835889517754328</c:v>
                </c:pt>
                <c:pt idx="23">
                  <c:v>22.93971170732468</c:v>
                </c:pt>
                <c:pt idx="24">
                  <c:v>23.06263846440493</c:v>
                </c:pt>
                <c:pt idx="25">
                  <c:v>23.163165143553364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009-4252-A8BB-3F6EBC820C2C}"/>
            </c:ext>
          </c:extLst>
        </c:ser>
        <c:ser>
          <c:idx val="1"/>
          <c:order val="1"/>
          <c:tx>
            <c:strRef>
              <c:f>'Occ F2'!$L$17</c:f>
              <c:strCache>
                <c:ptCount val="1"/>
                <c:pt idx="0">
                  <c:v>32 Health and social care associate professionals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F2'!$M$17:$AL$17</c:f>
              <c:numCache>
                <c:formatCode>#,##0</c:formatCode>
                <c:ptCount val="26"/>
                <c:pt idx="0">
                  <c:v>19.105972054384026</c:v>
                </c:pt>
                <c:pt idx="1">
                  <c:v>23.322250949484332</c:v>
                </c:pt>
                <c:pt idx="2">
                  <c:v>23.860043294666518</c:v>
                </c:pt>
                <c:pt idx="3">
                  <c:v>23.702539119857889</c:v>
                </c:pt>
                <c:pt idx="4">
                  <c:v>25.786469301583764</c:v>
                </c:pt>
                <c:pt idx="5">
                  <c:v>25.961609747557699</c:v>
                </c:pt>
                <c:pt idx="6">
                  <c:v>24.901816131466731</c:v>
                </c:pt>
                <c:pt idx="7">
                  <c:v>25.251818397436011</c:v>
                </c:pt>
                <c:pt idx="8">
                  <c:v>27.337588234297673</c:v>
                </c:pt>
                <c:pt idx="9">
                  <c:v>26.234270158773597</c:v>
                </c:pt>
                <c:pt idx="10">
                  <c:v>28.696516826584283</c:v>
                </c:pt>
                <c:pt idx="11">
                  <c:v>27.761431467683497</c:v>
                </c:pt>
                <c:pt idx="12">
                  <c:v>28.120190371091841</c:v>
                </c:pt>
                <c:pt idx="13">
                  <c:v>28.475547224462293</c:v>
                </c:pt>
                <c:pt idx="14">
                  <c:v>28.854659609624761</c:v>
                </c:pt>
                <c:pt idx="15">
                  <c:v>29.170206138223762</c:v>
                </c:pt>
                <c:pt idx="16">
                  <c:v>29.444405871611757</c:v>
                </c:pt>
                <c:pt idx="17">
                  <c:v>29.708350899499184</c:v>
                </c:pt>
                <c:pt idx="18">
                  <c:v>29.97834935271306</c:v>
                </c:pt>
                <c:pt idx="19">
                  <c:v>30.230684695573444</c:v>
                </c:pt>
                <c:pt idx="20">
                  <c:v>30.496236948538893</c:v>
                </c:pt>
                <c:pt idx="21">
                  <c:v>30.743125680381262</c:v>
                </c:pt>
                <c:pt idx="22">
                  <c:v>30.992476979858388</c:v>
                </c:pt>
                <c:pt idx="23">
                  <c:v>31.281435790524611</c:v>
                </c:pt>
                <c:pt idx="24">
                  <c:v>31.575279679421786</c:v>
                </c:pt>
                <c:pt idx="25">
                  <c:v>31.883140108811844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009-4252-A8BB-3F6EBC820C2C}"/>
            </c:ext>
          </c:extLst>
        </c:ser>
        <c:ser>
          <c:idx val="2"/>
          <c:order val="2"/>
          <c:tx>
            <c:strRef>
              <c:f>'Occ F2'!$L$18</c:f>
              <c:strCache>
                <c:ptCount val="1"/>
                <c:pt idx="0">
                  <c:v>33 Protective service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F2'!$M$18:$AL$18</c:f>
              <c:numCache>
                <c:formatCode>#,##0</c:formatCode>
                <c:ptCount val="26"/>
                <c:pt idx="0">
                  <c:v>18.366367196628303</c:v>
                </c:pt>
                <c:pt idx="1">
                  <c:v>19.017096833236344</c:v>
                </c:pt>
                <c:pt idx="2">
                  <c:v>17.024876347583653</c:v>
                </c:pt>
                <c:pt idx="3">
                  <c:v>15.453694860712091</c:v>
                </c:pt>
                <c:pt idx="4">
                  <c:v>15.04908081852704</c:v>
                </c:pt>
                <c:pt idx="5">
                  <c:v>14.68743195603696</c:v>
                </c:pt>
                <c:pt idx="6">
                  <c:v>15.802485937397618</c:v>
                </c:pt>
                <c:pt idx="7">
                  <c:v>15.5467927962261</c:v>
                </c:pt>
                <c:pt idx="8">
                  <c:v>15.4476858151586</c:v>
                </c:pt>
                <c:pt idx="9">
                  <c:v>15.637461080435006</c:v>
                </c:pt>
                <c:pt idx="10">
                  <c:v>16.490904766190859</c:v>
                </c:pt>
                <c:pt idx="11">
                  <c:v>18.06477350075064</c:v>
                </c:pt>
                <c:pt idx="12">
                  <c:v>18.187210032587032</c:v>
                </c:pt>
                <c:pt idx="13">
                  <c:v>18.41682702602872</c:v>
                </c:pt>
                <c:pt idx="14">
                  <c:v>18.639894526447041</c:v>
                </c:pt>
                <c:pt idx="15">
                  <c:v>18.925385851473798</c:v>
                </c:pt>
                <c:pt idx="16">
                  <c:v>19.201947014168514</c:v>
                </c:pt>
                <c:pt idx="17">
                  <c:v>19.473431894285472</c:v>
                </c:pt>
                <c:pt idx="18">
                  <c:v>19.735397756333992</c:v>
                </c:pt>
                <c:pt idx="19">
                  <c:v>20.001657330767124</c:v>
                </c:pt>
                <c:pt idx="20">
                  <c:v>20.25019768210672</c:v>
                </c:pt>
                <c:pt idx="21">
                  <c:v>20.494675298595276</c:v>
                </c:pt>
                <c:pt idx="22">
                  <c:v>20.769313206334722</c:v>
                </c:pt>
                <c:pt idx="23">
                  <c:v>21.044530394983443</c:v>
                </c:pt>
                <c:pt idx="24">
                  <c:v>21.297104066736836</c:v>
                </c:pt>
                <c:pt idx="25">
                  <c:v>21.562302765848596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009-4252-A8BB-3F6EBC820C2C}"/>
            </c:ext>
          </c:extLst>
        </c:ser>
        <c:ser>
          <c:idx val="3"/>
          <c:order val="3"/>
          <c:tx>
            <c:strRef>
              <c:f>'Occ F2'!$L$19</c:f>
              <c:strCache>
                <c:ptCount val="1"/>
                <c:pt idx="0">
                  <c:v>34 Culture, media and sports occupations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F2'!$M$19:$AL$19</c:f>
              <c:numCache>
                <c:formatCode>#,##0</c:formatCode>
                <c:ptCount val="26"/>
                <c:pt idx="0">
                  <c:v>10.7617680665983</c:v>
                </c:pt>
                <c:pt idx="1">
                  <c:v>10.483997681828784</c:v>
                </c:pt>
                <c:pt idx="2">
                  <c:v>12.182690073008839</c:v>
                </c:pt>
                <c:pt idx="3">
                  <c:v>14.093659232645427</c:v>
                </c:pt>
                <c:pt idx="4">
                  <c:v>13.185321512275499</c:v>
                </c:pt>
                <c:pt idx="5">
                  <c:v>15.58428987447075</c:v>
                </c:pt>
                <c:pt idx="6">
                  <c:v>12.899451630960607</c:v>
                </c:pt>
                <c:pt idx="7">
                  <c:v>13.775321773005963</c:v>
                </c:pt>
                <c:pt idx="8">
                  <c:v>14.193816171762675</c:v>
                </c:pt>
                <c:pt idx="9">
                  <c:v>15.773641586757474</c:v>
                </c:pt>
                <c:pt idx="10">
                  <c:v>14.871594679764716</c:v>
                </c:pt>
                <c:pt idx="11">
                  <c:v>13.679730882164948</c:v>
                </c:pt>
                <c:pt idx="12">
                  <c:v>13.588679489146488</c:v>
                </c:pt>
                <c:pt idx="13">
                  <c:v>13.687866879742344</c:v>
                </c:pt>
                <c:pt idx="14">
                  <c:v>13.852250154659787</c:v>
                </c:pt>
                <c:pt idx="15">
                  <c:v>14.006985384223782</c:v>
                </c:pt>
                <c:pt idx="16">
                  <c:v>14.153127908939293</c:v>
                </c:pt>
                <c:pt idx="17">
                  <c:v>14.304843758093641</c:v>
                </c:pt>
                <c:pt idx="18">
                  <c:v>14.460148667883809</c:v>
                </c:pt>
                <c:pt idx="19">
                  <c:v>14.61762407355388</c:v>
                </c:pt>
                <c:pt idx="20">
                  <c:v>14.799422289613705</c:v>
                </c:pt>
                <c:pt idx="21">
                  <c:v>14.979351141107417</c:v>
                </c:pt>
                <c:pt idx="22">
                  <c:v>15.128663254300776</c:v>
                </c:pt>
                <c:pt idx="23">
                  <c:v>15.281634735675818</c:v>
                </c:pt>
                <c:pt idx="24">
                  <c:v>15.414256068139855</c:v>
                </c:pt>
                <c:pt idx="25">
                  <c:v>15.744184153452183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009-4252-A8BB-3F6EBC820C2C}"/>
            </c:ext>
          </c:extLst>
        </c:ser>
        <c:ser>
          <c:idx val="4"/>
          <c:order val="4"/>
          <c:tx>
            <c:strRef>
              <c:f>'Occ F2'!$L$20</c:f>
              <c:strCache>
                <c:ptCount val="1"/>
                <c:pt idx="0">
                  <c:v>35 Business and public service associate professionals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F2'!$M$20:$AL$20</c:f>
              <c:numCache>
                <c:formatCode>#,##0</c:formatCode>
                <c:ptCount val="26"/>
                <c:pt idx="0">
                  <c:v>55.540325165837949</c:v>
                </c:pt>
                <c:pt idx="1">
                  <c:v>48.506372240039262</c:v>
                </c:pt>
                <c:pt idx="2">
                  <c:v>48.088005441288082</c:v>
                </c:pt>
                <c:pt idx="3">
                  <c:v>48.051405008584943</c:v>
                </c:pt>
                <c:pt idx="4">
                  <c:v>50.067900302227805</c:v>
                </c:pt>
                <c:pt idx="5">
                  <c:v>50.660121656326183</c:v>
                </c:pt>
                <c:pt idx="6">
                  <c:v>48.912605598974977</c:v>
                </c:pt>
                <c:pt idx="7">
                  <c:v>49.089282907114885</c:v>
                </c:pt>
                <c:pt idx="8">
                  <c:v>51.178462612676327</c:v>
                </c:pt>
                <c:pt idx="9">
                  <c:v>51.930744233608991</c:v>
                </c:pt>
                <c:pt idx="10">
                  <c:v>54.538524390761594</c:v>
                </c:pt>
                <c:pt idx="11">
                  <c:v>50.901319236418935</c:v>
                </c:pt>
                <c:pt idx="12">
                  <c:v>50.907989878318674</c:v>
                </c:pt>
                <c:pt idx="13">
                  <c:v>51.134248626364638</c:v>
                </c:pt>
                <c:pt idx="14">
                  <c:v>51.451803029073552</c:v>
                </c:pt>
                <c:pt idx="15">
                  <c:v>51.701814796508764</c:v>
                </c:pt>
                <c:pt idx="16">
                  <c:v>51.918614448876703</c:v>
                </c:pt>
                <c:pt idx="17">
                  <c:v>52.148259014981008</c:v>
                </c:pt>
                <c:pt idx="18">
                  <c:v>52.409240208053205</c:v>
                </c:pt>
                <c:pt idx="19">
                  <c:v>52.640479944091084</c:v>
                </c:pt>
                <c:pt idx="20">
                  <c:v>52.930122952570159</c:v>
                </c:pt>
                <c:pt idx="21">
                  <c:v>53.251148900751289</c:v>
                </c:pt>
                <c:pt idx="22">
                  <c:v>53.564074100174849</c:v>
                </c:pt>
                <c:pt idx="23">
                  <c:v>53.872564836303333</c:v>
                </c:pt>
                <c:pt idx="24">
                  <c:v>54.213942114248482</c:v>
                </c:pt>
                <c:pt idx="25">
                  <c:v>54.505397506817054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009-4252-A8BB-3F6EBC820C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2920"/>
        <c:axId val="313973312"/>
      </c:areaChart>
      <c:catAx>
        <c:axId val="313972920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33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973312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157525536439822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2920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4.1148813232878253E-3"/>
          <c:y val="0.89011570559668052"/>
          <c:w val="0.98572853805885341"/>
          <c:h val="9.07226177566127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3417766896859499E-2"/>
          <c:y val="6.5573887134788983E-2"/>
          <c:w val="0.88101320276229866"/>
          <c:h val="0.74458099825073987"/>
        </c:manualLayout>
      </c:layout>
      <c:areaChart>
        <c:grouping val="stacked"/>
        <c:varyColors val="0"/>
        <c:ser>
          <c:idx val="1"/>
          <c:order val="0"/>
          <c:tx>
            <c:strRef>
              <c:f>'Occ F2'!$L$23</c:f>
              <c:strCache>
                <c:ptCount val="1"/>
                <c:pt idx="0">
                  <c:v>41 Administrative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F2'!$M$23:$AL$23</c:f>
              <c:numCache>
                <c:formatCode>#,##0</c:formatCode>
                <c:ptCount val="26"/>
                <c:pt idx="0">
                  <c:v>113.87178057285803</c:v>
                </c:pt>
                <c:pt idx="1">
                  <c:v>110.63192178688446</c:v>
                </c:pt>
                <c:pt idx="2">
                  <c:v>107.39572111750272</c:v>
                </c:pt>
                <c:pt idx="3">
                  <c:v>104.16854879477904</c:v>
                </c:pt>
                <c:pt idx="4">
                  <c:v>108.80480247496803</c:v>
                </c:pt>
                <c:pt idx="5">
                  <c:v>114.57040469271979</c:v>
                </c:pt>
                <c:pt idx="6">
                  <c:v>108.00841127107442</c:v>
                </c:pt>
                <c:pt idx="7">
                  <c:v>106.55898601829678</c:v>
                </c:pt>
                <c:pt idx="8">
                  <c:v>108.22004202152752</c:v>
                </c:pt>
                <c:pt idx="9">
                  <c:v>105.53980785630196</c:v>
                </c:pt>
                <c:pt idx="10">
                  <c:v>110.91865106364448</c:v>
                </c:pt>
                <c:pt idx="11">
                  <c:v>102.89045978064368</c:v>
                </c:pt>
                <c:pt idx="12">
                  <c:v>102.39061910621726</c:v>
                </c:pt>
                <c:pt idx="13">
                  <c:v>102.06509411997231</c:v>
                </c:pt>
                <c:pt idx="14">
                  <c:v>101.89045822690295</c:v>
                </c:pt>
                <c:pt idx="15">
                  <c:v>101.70991395703572</c:v>
                </c:pt>
                <c:pt idx="16">
                  <c:v>101.36190207195612</c:v>
                </c:pt>
                <c:pt idx="17">
                  <c:v>100.98336905461113</c:v>
                </c:pt>
                <c:pt idx="18">
                  <c:v>100.47879151211215</c:v>
                </c:pt>
                <c:pt idx="19">
                  <c:v>100.02942886491937</c:v>
                </c:pt>
                <c:pt idx="20">
                  <c:v>99.583362478902615</c:v>
                </c:pt>
                <c:pt idx="21">
                  <c:v>99.14690788026482</c:v>
                </c:pt>
                <c:pt idx="22">
                  <c:v>98.683738813048947</c:v>
                </c:pt>
                <c:pt idx="23">
                  <c:v>98.117450244644203</c:v>
                </c:pt>
                <c:pt idx="24">
                  <c:v>97.497065008321528</c:v>
                </c:pt>
                <c:pt idx="25">
                  <c:v>97.055349402964936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B2-4194-831E-E9E810E854CB}"/>
            </c:ext>
          </c:extLst>
        </c:ser>
        <c:ser>
          <c:idx val="2"/>
          <c:order val="1"/>
          <c:tx>
            <c:strRef>
              <c:f>'Occ F2'!$L$24</c:f>
              <c:strCache>
                <c:ptCount val="1"/>
                <c:pt idx="0">
                  <c:v>42 Secretarial and related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F2'!$M$24:$AL$24</c:f>
              <c:numCache>
                <c:formatCode>#,##0</c:formatCode>
                <c:ptCount val="26"/>
                <c:pt idx="0">
                  <c:v>27.668820940566619</c:v>
                </c:pt>
                <c:pt idx="1">
                  <c:v>25.324971584253646</c:v>
                </c:pt>
                <c:pt idx="2">
                  <c:v>24.417370025023548</c:v>
                </c:pt>
                <c:pt idx="3">
                  <c:v>24.742245151551163</c:v>
                </c:pt>
                <c:pt idx="4">
                  <c:v>25.829733906802065</c:v>
                </c:pt>
                <c:pt idx="5">
                  <c:v>25.1803806130523</c:v>
                </c:pt>
                <c:pt idx="6">
                  <c:v>22.887038312887462</c:v>
                </c:pt>
                <c:pt idx="7">
                  <c:v>22.680332677428183</c:v>
                </c:pt>
                <c:pt idx="8">
                  <c:v>23.856433145005756</c:v>
                </c:pt>
                <c:pt idx="9">
                  <c:v>21.474199365586301</c:v>
                </c:pt>
                <c:pt idx="10">
                  <c:v>21.772443071641227</c:v>
                </c:pt>
                <c:pt idx="11">
                  <c:v>24.502587312226339</c:v>
                </c:pt>
                <c:pt idx="12">
                  <c:v>24.312954239095252</c:v>
                </c:pt>
                <c:pt idx="13">
                  <c:v>24.093591026560251</c:v>
                </c:pt>
                <c:pt idx="14">
                  <c:v>23.906869186952562</c:v>
                </c:pt>
                <c:pt idx="15">
                  <c:v>23.693157887733729</c:v>
                </c:pt>
                <c:pt idx="16">
                  <c:v>23.404807051800695</c:v>
                </c:pt>
                <c:pt idx="17">
                  <c:v>23.072659661266172</c:v>
                </c:pt>
                <c:pt idx="18">
                  <c:v>22.747728289554189</c:v>
                </c:pt>
                <c:pt idx="19">
                  <c:v>22.466279974282106</c:v>
                </c:pt>
                <c:pt idx="20">
                  <c:v>22.12812035756367</c:v>
                </c:pt>
                <c:pt idx="21">
                  <c:v>21.395074288594913</c:v>
                </c:pt>
                <c:pt idx="22">
                  <c:v>20.557060202196883</c:v>
                </c:pt>
                <c:pt idx="23">
                  <c:v>20.16330130432253</c:v>
                </c:pt>
                <c:pt idx="24">
                  <c:v>19.928063709413951</c:v>
                </c:pt>
                <c:pt idx="25">
                  <c:v>20.167851374538614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B2-4194-831E-E9E810E854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4096"/>
        <c:axId val="315371928"/>
      </c:areaChart>
      <c:catAx>
        <c:axId val="31397409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192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1928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291178359361714E-3"/>
              <c:y val="9.107484324276406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4096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3.1846802511172591E-2"/>
          <c:y val="0.91216406466166122"/>
          <c:w val="0.9236807033411365"/>
          <c:h val="5.448274891785042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873096446700524E-2"/>
          <c:y val="6.5693430656934934E-2"/>
          <c:w val="0.89593908629441665"/>
          <c:h val="0.79379562043795615"/>
        </c:manualLayout>
      </c:layout>
      <c:areaChart>
        <c:grouping val="stacked"/>
        <c:varyColors val="0"/>
        <c:ser>
          <c:idx val="1"/>
          <c:order val="0"/>
          <c:tx>
            <c:strRef>
              <c:f>'Occ F2'!$L$27</c:f>
              <c:strCache>
                <c:ptCount val="1"/>
                <c:pt idx="0">
                  <c:v>51 Skilled agricultural and related trades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F2'!$M$27:$AL$27</c:f>
              <c:numCache>
                <c:formatCode>#,##0</c:formatCode>
                <c:ptCount val="26"/>
                <c:pt idx="0">
                  <c:v>12.099928324359336</c:v>
                </c:pt>
                <c:pt idx="1">
                  <c:v>18.310548727863573</c:v>
                </c:pt>
                <c:pt idx="2">
                  <c:v>10.600366060408065</c:v>
                </c:pt>
                <c:pt idx="3">
                  <c:v>13.150535748908815</c:v>
                </c:pt>
                <c:pt idx="4">
                  <c:v>14.871295665429544</c:v>
                </c:pt>
                <c:pt idx="5">
                  <c:v>12.543419718462415</c:v>
                </c:pt>
                <c:pt idx="6">
                  <c:v>9.3399444267723037</c:v>
                </c:pt>
                <c:pt idx="7">
                  <c:v>11.236963527064605</c:v>
                </c:pt>
                <c:pt idx="8">
                  <c:v>12.646642175261295</c:v>
                </c:pt>
                <c:pt idx="9">
                  <c:v>10.264940340113577</c:v>
                </c:pt>
                <c:pt idx="10">
                  <c:v>10.301868360565633</c:v>
                </c:pt>
                <c:pt idx="11">
                  <c:v>9.9588848995486163</c:v>
                </c:pt>
                <c:pt idx="12">
                  <c:v>10.051983762040292</c:v>
                </c:pt>
                <c:pt idx="13">
                  <c:v>10.191521370640414</c:v>
                </c:pt>
                <c:pt idx="14">
                  <c:v>10.340888910941267</c:v>
                </c:pt>
                <c:pt idx="15">
                  <c:v>10.465035897964432</c:v>
                </c:pt>
                <c:pt idx="16">
                  <c:v>10.585088249332211</c:v>
                </c:pt>
                <c:pt idx="17">
                  <c:v>10.699424734091858</c:v>
                </c:pt>
                <c:pt idx="18">
                  <c:v>10.815806423004091</c:v>
                </c:pt>
                <c:pt idx="19">
                  <c:v>10.932389781702451</c:v>
                </c:pt>
                <c:pt idx="20">
                  <c:v>11.052207680745678</c:v>
                </c:pt>
                <c:pt idx="21">
                  <c:v>11.169583021041781</c:v>
                </c:pt>
                <c:pt idx="22">
                  <c:v>11.279962396779503</c:v>
                </c:pt>
                <c:pt idx="23">
                  <c:v>11.388578483503892</c:v>
                </c:pt>
                <c:pt idx="24">
                  <c:v>11.487276060246236</c:v>
                </c:pt>
                <c:pt idx="25">
                  <c:v>11.586104938365459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9E-4BB9-B42D-40A8655AC298}"/>
            </c:ext>
          </c:extLst>
        </c:ser>
        <c:ser>
          <c:idx val="2"/>
          <c:order val="1"/>
          <c:tx>
            <c:strRef>
              <c:f>'Occ F2'!$L$28</c:f>
              <c:strCache>
                <c:ptCount val="1"/>
                <c:pt idx="0">
                  <c:v>52 Skilled metal, electrical and electronic trades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F2'!$M$28:$AL$28</c:f>
              <c:numCache>
                <c:formatCode>#,##0</c:formatCode>
                <c:ptCount val="26"/>
                <c:pt idx="0">
                  <c:v>53.611218562568958</c:v>
                </c:pt>
                <c:pt idx="1">
                  <c:v>53.581089384888244</c:v>
                </c:pt>
                <c:pt idx="2">
                  <c:v>46.924075072886119</c:v>
                </c:pt>
                <c:pt idx="3">
                  <c:v>50.562838049242025</c:v>
                </c:pt>
                <c:pt idx="4">
                  <c:v>51.910374399564787</c:v>
                </c:pt>
                <c:pt idx="5">
                  <c:v>51.747021542468346</c:v>
                </c:pt>
                <c:pt idx="6">
                  <c:v>50.416129625861629</c:v>
                </c:pt>
                <c:pt idx="7">
                  <c:v>49.514846747969223</c:v>
                </c:pt>
                <c:pt idx="8">
                  <c:v>50.297929357714672</c:v>
                </c:pt>
                <c:pt idx="9">
                  <c:v>50.143502229845936</c:v>
                </c:pt>
                <c:pt idx="10">
                  <c:v>42.60775024378303</c:v>
                </c:pt>
                <c:pt idx="11">
                  <c:v>42.103909913970135</c:v>
                </c:pt>
                <c:pt idx="12">
                  <c:v>41.574432954501361</c:v>
                </c:pt>
                <c:pt idx="13">
                  <c:v>41.112788638800183</c:v>
                </c:pt>
                <c:pt idx="14">
                  <c:v>40.750441373813182</c:v>
                </c:pt>
                <c:pt idx="15">
                  <c:v>40.397944693805357</c:v>
                </c:pt>
                <c:pt idx="16">
                  <c:v>40.011157358818991</c:v>
                </c:pt>
                <c:pt idx="17">
                  <c:v>39.602881713952655</c:v>
                </c:pt>
                <c:pt idx="18">
                  <c:v>39.184959712617527</c:v>
                </c:pt>
                <c:pt idx="19">
                  <c:v>38.767379123143449</c:v>
                </c:pt>
                <c:pt idx="20">
                  <c:v>38.382153757390974</c:v>
                </c:pt>
                <c:pt idx="21">
                  <c:v>38.008900091461705</c:v>
                </c:pt>
                <c:pt idx="22">
                  <c:v>37.629369795644585</c:v>
                </c:pt>
                <c:pt idx="23">
                  <c:v>37.236653994057761</c:v>
                </c:pt>
                <c:pt idx="24">
                  <c:v>36.860909396284327</c:v>
                </c:pt>
                <c:pt idx="25">
                  <c:v>36.473047170903065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E9E-4BB9-B42D-40A8655AC298}"/>
            </c:ext>
          </c:extLst>
        </c:ser>
        <c:ser>
          <c:idx val="0"/>
          <c:order val="2"/>
          <c:tx>
            <c:strRef>
              <c:f>'Occ F2'!$L$29</c:f>
              <c:strCache>
                <c:ptCount val="1"/>
                <c:pt idx="0">
                  <c:v>53 Skilled construction and building trades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F2'!$M$29:$AL$29</c:f>
              <c:numCache>
                <c:formatCode>#,##0</c:formatCode>
                <c:ptCount val="26"/>
                <c:pt idx="0">
                  <c:v>52.737343869410189</c:v>
                </c:pt>
                <c:pt idx="1">
                  <c:v>47.565358683984769</c:v>
                </c:pt>
                <c:pt idx="2">
                  <c:v>43.958623559985114</c:v>
                </c:pt>
                <c:pt idx="3">
                  <c:v>45.862654464157423</c:v>
                </c:pt>
                <c:pt idx="4">
                  <c:v>44.052982240080588</c:v>
                </c:pt>
                <c:pt idx="5">
                  <c:v>41.419150338928858</c:v>
                </c:pt>
                <c:pt idx="6">
                  <c:v>38.861383241071152</c:v>
                </c:pt>
                <c:pt idx="7">
                  <c:v>40.823090838395679</c:v>
                </c:pt>
                <c:pt idx="8">
                  <c:v>42.152080690277451</c:v>
                </c:pt>
                <c:pt idx="9">
                  <c:v>44.669193195030559</c:v>
                </c:pt>
                <c:pt idx="10">
                  <c:v>36.039102763857159</c:v>
                </c:pt>
                <c:pt idx="11">
                  <c:v>37.332281290379413</c:v>
                </c:pt>
                <c:pt idx="12">
                  <c:v>36.902295319740098</c:v>
                </c:pt>
                <c:pt idx="13">
                  <c:v>36.244797873961161</c:v>
                </c:pt>
                <c:pt idx="14">
                  <c:v>35.787263974723999</c:v>
                </c:pt>
                <c:pt idx="15">
                  <c:v>35.488642210875369</c:v>
                </c:pt>
                <c:pt idx="16">
                  <c:v>35.148526997679269</c:v>
                </c:pt>
                <c:pt idx="17">
                  <c:v>34.772365337641403</c:v>
                </c:pt>
                <c:pt idx="18">
                  <c:v>34.432930089542069</c:v>
                </c:pt>
                <c:pt idx="19">
                  <c:v>34.07345849207038</c:v>
                </c:pt>
                <c:pt idx="20">
                  <c:v>33.722784052599962</c:v>
                </c:pt>
                <c:pt idx="21">
                  <c:v>33.366834726006509</c:v>
                </c:pt>
                <c:pt idx="22">
                  <c:v>33.019609074362471</c:v>
                </c:pt>
                <c:pt idx="23">
                  <c:v>32.667550547457523</c:v>
                </c:pt>
                <c:pt idx="24">
                  <c:v>32.318545673937194</c:v>
                </c:pt>
                <c:pt idx="25">
                  <c:v>31.960757016792254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E9E-4BB9-B42D-40A8655AC298}"/>
            </c:ext>
          </c:extLst>
        </c:ser>
        <c:ser>
          <c:idx val="3"/>
          <c:order val="3"/>
          <c:tx>
            <c:strRef>
              <c:f>'Occ F2'!$L$30</c:f>
              <c:strCache>
                <c:ptCount val="1"/>
                <c:pt idx="0">
                  <c:v>54 Textiles, printing and other skilled trades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F2'!$M$30:$AL$30</c:f>
              <c:numCache>
                <c:formatCode>#,##0</c:formatCode>
                <c:ptCount val="26"/>
                <c:pt idx="0">
                  <c:v>20.733663570167614</c:v>
                </c:pt>
                <c:pt idx="1">
                  <c:v>21.587463153735342</c:v>
                </c:pt>
                <c:pt idx="2">
                  <c:v>21.975552831749777</c:v>
                </c:pt>
                <c:pt idx="3">
                  <c:v>22.313985467131808</c:v>
                </c:pt>
                <c:pt idx="4">
                  <c:v>22.199057105535029</c:v>
                </c:pt>
                <c:pt idx="5">
                  <c:v>25.386641391134777</c:v>
                </c:pt>
                <c:pt idx="6">
                  <c:v>22.341793534468248</c:v>
                </c:pt>
                <c:pt idx="7">
                  <c:v>23.601882780264418</c:v>
                </c:pt>
                <c:pt idx="8">
                  <c:v>21.337624747154642</c:v>
                </c:pt>
                <c:pt idx="9">
                  <c:v>22.351057253310533</c:v>
                </c:pt>
                <c:pt idx="10">
                  <c:v>21.093602961826281</c:v>
                </c:pt>
                <c:pt idx="11">
                  <c:v>20.784702761685416</c:v>
                </c:pt>
                <c:pt idx="12">
                  <c:v>20.694527983845891</c:v>
                </c:pt>
                <c:pt idx="13">
                  <c:v>20.652831359307147</c:v>
                </c:pt>
                <c:pt idx="14">
                  <c:v>20.665871719449022</c:v>
                </c:pt>
                <c:pt idx="15">
                  <c:v>20.64922949338639</c:v>
                </c:pt>
                <c:pt idx="16">
                  <c:v>20.609004479873736</c:v>
                </c:pt>
                <c:pt idx="17">
                  <c:v>20.538489103677549</c:v>
                </c:pt>
                <c:pt idx="18">
                  <c:v>20.489798446007864</c:v>
                </c:pt>
                <c:pt idx="19">
                  <c:v>20.4481439998323</c:v>
                </c:pt>
                <c:pt idx="20">
                  <c:v>20.407356929068097</c:v>
                </c:pt>
                <c:pt idx="21">
                  <c:v>20.38207927850771</c:v>
                </c:pt>
                <c:pt idx="22">
                  <c:v>20.358343089732333</c:v>
                </c:pt>
                <c:pt idx="23">
                  <c:v>20.289971800903153</c:v>
                </c:pt>
                <c:pt idx="24">
                  <c:v>20.205221904604073</c:v>
                </c:pt>
                <c:pt idx="25">
                  <c:v>20.007455074440646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E9E-4BB9-B42D-40A8655AC2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372712"/>
        <c:axId val="315373104"/>
      </c:areaChart>
      <c:catAx>
        <c:axId val="31537271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31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310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1240875912408752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271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7.8990073341974887E-2"/>
          <c:y val="0.93978106853588406"/>
          <c:w val="0.8744421378136028"/>
          <c:h val="6.0218931464115909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873096446700524E-2"/>
          <c:y val="6.6055045871559345E-2"/>
          <c:w val="0.89720812182739207"/>
          <c:h val="0.80239952009598059"/>
        </c:manualLayout>
      </c:layout>
      <c:areaChart>
        <c:grouping val="stacked"/>
        <c:varyColors val="0"/>
        <c:ser>
          <c:idx val="1"/>
          <c:order val="0"/>
          <c:tx>
            <c:strRef>
              <c:f>'Occ F2'!$L$33</c:f>
              <c:strCache>
                <c:ptCount val="1"/>
                <c:pt idx="0">
                  <c:v>61 Caring personal service occupations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F2'!$M$33:$AL$33</c:f>
              <c:numCache>
                <c:formatCode>#,##0</c:formatCode>
                <c:ptCount val="26"/>
                <c:pt idx="0">
                  <c:v>86.898629683141934</c:v>
                </c:pt>
                <c:pt idx="1">
                  <c:v>77.74701322718461</c:v>
                </c:pt>
                <c:pt idx="2">
                  <c:v>80.795778024060482</c:v>
                </c:pt>
                <c:pt idx="3">
                  <c:v>81.576585870528874</c:v>
                </c:pt>
                <c:pt idx="4">
                  <c:v>87.295690622686735</c:v>
                </c:pt>
                <c:pt idx="5">
                  <c:v>88.684911099512362</c:v>
                </c:pt>
                <c:pt idx="6">
                  <c:v>85.847278154440602</c:v>
                </c:pt>
                <c:pt idx="7">
                  <c:v>86.531579612434356</c:v>
                </c:pt>
                <c:pt idx="8">
                  <c:v>84.655397934956568</c:v>
                </c:pt>
                <c:pt idx="9">
                  <c:v>82.941204653813969</c:v>
                </c:pt>
                <c:pt idx="10">
                  <c:v>85.269437786949581</c:v>
                </c:pt>
                <c:pt idx="11">
                  <c:v>88.671805399719858</c:v>
                </c:pt>
                <c:pt idx="12">
                  <c:v>89.473025193908356</c:v>
                </c:pt>
                <c:pt idx="13">
                  <c:v>90.219123253472858</c:v>
                </c:pt>
                <c:pt idx="14">
                  <c:v>90.996393675042654</c:v>
                </c:pt>
                <c:pt idx="15">
                  <c:v>91.561079770055386</c:v>
                </c:pt>
                <c:pt idx="16">
                  <c:v>91.97309158375225</c:v>
                </c:pt>
                <c:pt idx="17">
                  <c:v>92.319471961254905</c:v>
                </c:pt>
                <c:pt idx="18">
                  <c:v>92.7066403134951</c:v>
                </c:pt>
                <c:pt idx="19">
                  <c:v>93.041560938048008</c:v>
                </c:pt>
                <c:pt idx="20">
                  <c:v>93.463555763478965</c:v>
                </c:pt>
                <c:pt idx="21">
                  <c:v>93.923314084161021</c:v>
                </c:pt>
                <c:pt idx="22">
                  <c:v>94.431818718341574</c:v>
                </c:pt>
                <c:pt idx="23">
                  <c:v>94.941099525534113</c:v>
                </c:pt>
                <c:pt idx="24">
                  <c:v>95.490711828505383</c:v>
                </c:pt>
                <c:pt idx="25">
                  <c:v>96.070574814222852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C8-4082-9485-6635190C6423}"/>
            </c:ext>
          </c:extLst>
        </c:ser>
        <c:ser>
          <c:idx val="2"/>
          <c:order val="1"/>
          <c:tx>
            <c:strRef>
              <c:f>'Occ F2'!$L$34</c:f>
              <c:strCache>
                <c:ptCount val="1"/>
                <c:pt idx="0">
                  <c:v>62 Leisure, travel and related personal service occupations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F2'!$M$34:$AL$34</c:f>
              <c:numCache>
                <c:formatCode>#,##0</c:formatCode>
                <c:ptCount val="26"/>
                <c:pt idx="0">
                  <c:v>23.514147005481931</c:v>
                </c:pt>
                <c:pt idx="1">
                  <c:v>25.282277330787981</c:v>
                </c:pt>
                <c:pt idx="2">
                  <c:v>24.016649076583118</c:v>
                </c:pt>
                <c:pt idx="3">
                  <c:v>24.390183142998566</c:v>
                </c:pt>
                <c:pt idx="4">
                  <c:v>25.76882561075346</c:v>
                </c:pt>
                <c:pt idx="5">
                  <c:v>27.405172717445431</c:v>
                </c:pt>
                <c:pt idx="6">
                  <c:v>24.132804040426247</c:v>
                </c:pt>
                <c:pt idx="7">
                  <c:v>25.586569821633436</c:v>
                </c:pt>
                <c:pt idx="8">
                  <c:v>28.084556173702705</c:v>
                </c:pt>
                <c:pt idx="9">
                  <c:v>28.56716875139217</c:v>
                </c:pt>
                <c:pt idx="10">
                  <c:v>26.609234004473503</c:v>
                </c:pt>
                <c:pt idx="11">
                  <c:v>26.099460847065018</c:v>
                </c:pt>
                <c:pt idx="12">
                  <c:v>26.02853513801826</c:v>
                </c:pt>
                <c:pt idx="13">
                  <c:v>26.161569767688913</c:v>
                </c:pt>
                <c:pt idx="14">
                  <c:v>26.351777529140218</c:v>
                </c:pt>
                <c:pt idx="15">
                  <c:v>26.493861943034343</c:v>
                </c:pt>
                <c:pt idx="16">
                  <c:v>26.615904702218504</c:v>
                </c:pt>
                <c:pt idx="17">
                  <c:v>26.727995658995578</c:v>
                </c:pt>
                <c:pt idx="18">
                  <c:v>26.823129620866172</c:v>
                </c:pt>
                <c:pt idx="19">
                  <c:v>26.906640331432016</c:v>
                </c:pt>
                <c:pt idx="20">
                  <c:v>27.00171132490329</c:v>
                </c:pt>
                <c:pt idx="21">
                  <c:v>27.090230817622828</c:v>
                </c:pt>
                <c:pt idx="22">
                  <c:v>27.169111845994873</c:v>
                </c:pt>
                <c:pt idx="23">
                  <c:v>27.268929079379593</c:v>
                </c:pt>
                <c:pt idx="24">
                  <c:v>27.336713407689789</c:v>
                </c:pt>
                <c:pt idx="25">
                  <c:v>27.345758662070583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5C8-4082-9485-6635190C6423}"/>
            </c:ext>
          </c:extLst>
        </c:ser>
        <c:ser>
          <c:idx val="0"/>
          <c:order val="2"/>
          <c:tx>
            <c:strRef>
              <c:f>'Occ F2'!$L$35</c:f>
              <c:strCache>
                <c:ptCount val="1"/>
                <c:pt idx="0">
                  <c:v>63 Community and civil enforcement occupations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</c:spPr>
          <c:val>
            <c:numRef>
              <c:f>'Occ F2'!$M$35:$AL$35</c:f>
              <c:numCache>
                <c:formatCode>#,##0</c:formatCode>
                <c:ptCount val="26"/>
                <c:pt idx="0">
                  <c:v>2.3374279914777638</c:v>
                </c:pt>
                <c:pt idx="1">
                  <c:v>1.6106526541134694</c:v>
                </c:pt>
                <c:pt idx="2">
                  <c:v>1.512847747940105</c:v>
                </c:pt>
                <c:pt idx="3">
                  <c:v>1.4081364703805401</c:v>
                </c:pt>
                <c:pt idx="4">
                  <c:v>1.5394013828592072</c:v>
                </c:pt>
                <c:pt idx="5">
                  <c:v>1.3802744895746679</c:v>
                </c:pt>
                <c:pt idx="6">
                  <c:v>1.1984979157301279</c:v>
                </c:pt>
                <c:pt idx="7">
                  <c:v>1.3410983676186716</c:v>
                </c:pt>
                <c:pt idx="8">
                  <c:v>1.3281212498282631</c:v>
                </c:pt>
                <c:pt idx="9">
                  <c:v>1.2554228391650974</c:v>
                </c:pt>
                <c:pt idx="10">
                  <c:v>1.5568242574433744</c:v>
                </c:pt>
                <c:pt idx="11">
                  <c:v>1.2521818635750983</c:v>
                </c:pt>
                <c:pt idx="12">
                  <c:v>1.2529297366825027</c:v>
                </c:pt>
                <c:pt idx="13">
                  <c:v>1.2596045780552716</c:v>
                </c:pt>
                <c:pt idx="14">
                  <c:v>1.2669641575184258</c:v>
                </c:pt>
                <c:pt idx="15">
                  <c:v>1.277250452177739</c:v>
                </c:pt>
                <c:pt idx="16">
                  <c:v>1.2866742469189578</c:v>
                </c:pt>
                <c:pt idx="17">
                  <c:v>1.2958141482112697</c:v>
                </c:pt>
                <c:pt idx="18">
                  <c:v>1.3044557434549948</c:v>
                </c:pt>
                <c:pt idx="19">
                  <c:v>1.3135723342857843</c:v>
                </c:pt>
                <c:pt idx="20">
                  <c:v>1.3214617489675724</c:v>
                </c:pt>
                <c:pt idx="21">
                  <c:v>1.3289389552561497</c:v>
                </c:pt>
                <c:pt idx="22">
                  <c:v>1.3369579270317622</c:v>
                </c:pt>
                <c:pt idx="23">
                  <c:v>1.345450394751895</c:v>
                </c:pt>
                <c:pt idx="24">
                  <c:v>1.3525746197606641</c:v>
                </c:pt>
                <c:pt idx="25">
                  <c:v>1.3602839748610343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600-47D4-806C-3012680FBE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373888"/>
        <c:axId val="315374280"/>
      </c:areaChart>
      <c:catAx>
        <c:axId val="31537388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428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4280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1.1009174311927029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388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3.3784359265713874E-2"/>
          <c:y val="0.93944952741735122"/>
          <c:w val="0.94041112825348783"/>
          <c:h val="6.0550472582648826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4683590464046934E-2"/>
          <c:y val="6.5693430656934934E-2"/>
          <c:w val="0.89367143843421171"/>
          <c:h val="0.78186251479901514"/>
        </c:manualLayout>
      </c:layout>
      <c:areaChart>
        <c:grouping val="stacked"/>
        <c:varyColors val="0"/>
        <c:ser>
          <c:idx val="1"/>
          <c:order val="0"/>
          <c:tx>
            <c:strRef>
              <c:f>'Occ F2'!$L$38</c:f>
              <c:strCache>
                <c:ptCount val="1"/>
                <c:pt idx="0">
                  <c:v>71 Sales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F2'!$M$38:$AL$38</c:f>
              <c:numCache>
                <c:formatCode>#,##0</c:formatCode>
                <c:ptCount val="26"/>
                <c:pt idx="0">
                  <c:v>99.259090372341504</c:v>
                </c:pt>
                <c:pt idx="1">
                  <c:v>102.41898771264898</c:v>
                </c:pt>
                <c:pt idx="2">
                  <c:v>105.7390775362509</c:v>
                </c:pt>
                <c:pt idx="3">
                  <c:v>98.664923619729677</c:v>
                </c:pt>
                <c:pt idx="4">
                  <c:v>112.29549144855133</c:v>
                </c:pt>
                <c:pt idx="5">
                  <c:v>115.11953582269213</c:v>
                </c:pt>
                <c:pt idx="6">
                  <c:v>113.64546416927868</c:v>
                </c:pt>
                <c:pt idx="7">
                  <c:v>106.14178956653684</c:v>
                </c:pt>
                <c:pt idx="8">
                  <c:v>100.91450905437968</c:v>
                </c:pt>
                <c:pt idx="9">
                  <c:v>103.36021529507335</c:v>
                </c:pt>
                <c:pt idx="10">
                  <c:v>103.628321303587</c:v>
                </c:pt>
                <c:pt idx="11">
                  <c:v>97.49475414106422</c:v>
                </c:pt>
                <c:pt idx="12">
                  <c:v>97.40433867450561</c:v>
                </c:pt>
                <c:pt idx="13">
                  <c:v>97.549424469682251</c:v>
                </c:pt>
                <c:pt idx="14">
                  <c:v>97.789160866558262</c:v>
                </c:pt>
                <c:pt idx="15">
                  <c:v>97.846712688119439</c:v>
                </c:pt>
                <c:pt idx="16">
                  <c:v>97.808378854062198</c:v>
                </c:pt>
                <c:pt idx="17">
                  <c:v>97.67271362586267</c:v>
                </c:pt>
                <c:pt idx="18">
                  <c:v>97.480667327705973</c:v>
                </c:pt>
                <c:pt idx="19">
                  <c:v>97.280484936590767</c:v>
                </c:pt>
                <c:pt idx="20">
                  <c:v>97.052410933036867</c:v>
                </c:pt>
                <c:pt idx="21">
                  <c:v>96.763086876972608</c:v>
                </c:pt>
                <c:pt idx="22">
                  <c:v>96.379728009904341</c:v>
                </c:pt>
                <c:pt idx="23">
                  <c:v>96.045567874034859</c:v>
                </c:pt>
                <c:pt idx="24">
                  <c:v>95.670680350168823</c:v>
                </c:pt>
                <c:pt idx="25">
                  <c:v>95.173047322350257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34F-4C1D-B059-F6A3CE93115D}"/>
            </c:ext>
          </c:extLst>
        </c:ser>
        <c:ser>
          <c:idx val="0"/>
          <c:order val="1"/>
          <c:tx>
            <c:strRef>
              <c:f>'Occ F2'!$L$39</c:f>
              <c:strCache>
                <c:ptCount val="1"/>
                <c:pt idx="0">
                  <c:v>72 Customer service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F2'!$M$39:$AL$39</c:f>
              <c:numCache>
                <c:formatCode>#,##0</c:formatCode>
                <c:ptCount val="26"/>
                <c:pt idx="0">
                  <c:v>19.225737055246899</c:v>
                </c:pt>
                <c:pt idx="1">
                  <c:v>18.752139891999153</c:v>
                </c:pt>
                <c:pt idx="2">
                  <c:v>19.189599836753711</c:v>
                </c:pt>
                <c:pt idx="3">
                  <c:v>18.702801856585431</c:v>
                </c:pt>
                <c:pt idx="4">
                  <c:v>18.548651090408953</c:v>
                </c:pt>
                <c:pt idx="5">
                  <c:v>20.669868608587418</c:v>
                </c:pt>
                <c:pt idx="6">
                  <c:v>19.62076082466681</c:v>
                </c:pt>
                <c:pt idx="7">
                  <c:v>21.640580083157658</c:v>
                </c:pt>
                <c:pt idx="8">
                  <c:v>22.437505346608653</c:v>
                </c:pt>
                <c:pt idx="9">
                  <c:v>21.434349331104272</c:v>
                </c:pt>
                <c:pt idx="10">
                  <c:v>22.33440238005921</c:v>
                </c:pt>
                <c:pt idx="11">
                  <c:v>26.871123655751333</c:v>
                </c:pt>
                <c:pt idx="12">
                  <c:v>27.260123458086746</c:v>
                </c:pt>
                <c:pt idx="13">
                  <c:v>27.699003237832411</c:v>
                </c:pt>
                <c:pt idx="14">
                  <c:v>28.198178329637877</c:v>
                </c:pt>
                <c:pt idx="15">
                  <c:v>28.680817355365821</c:v>
                </c:pt>
                <c:pt idx="16">
                  <c:v>29.13043178213977</c:v>
                </c:pt>
                <c:pt idx="17">
                  <c:v>29.567032209572663</c:v>
                </c:pt>
                <c:pt idx="18">
                  <c:v>30.021165558005439</c:v>
                </c:pt>
                <c:pt idx="19">
                  <c:v>30.506914716451746</c:v>
                </c:pt>
                <c:pt idx="20">
                  <c:v>30.998506488263686</c:v>
                </c:pt>
                <c:pt idx="21">
                  <c:v>31.508014685861468</c:v>
                </c:pt>
                <c:pt idx="22">
                  <c:v>32.009749491991961</c:v>
                </c:pt>
                <c:pt idx="23">
                  <c:v>32.516518455966107</c:v>
                </c:pt>
                <c:pt idx="24">
                  <c:v>33.010077865348457</c:v>
                </c:pt>
                <c:pt idx="25">
                  <c:v>33.517955388270146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34F-4C1D-B059-F6A3CE9311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375064"/>
        <c:axId val="315375456"/>
      </c:areaChart>
      <c:catAx>
        <c:axId val="315375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545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5456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291178359361714E-3"/>
              <c:y val="9.1240875912408752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506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6.5138726324749957E-2"/>
          <c:y val="0.93023452915640914"/>
          <c:w val="0.89873975845924681"/>
          <c:h val="5.067239208464097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3417766896859499E-2"/>
          <c:y val="5.8500966297851828E-2"/>
          <c:w val="0.89746890913572896"/>
          <c:h val="0.72956320660293172"/>
        </c:manualLayout>
      </c:layout>
      <c:areaChart>
        <c:grouping val="stacked"/>
        <c:varyColors val="0"/>
        <c:ser>
          <c:idx val="1"/>
          <c:order val="0"/>
          <c:tx>
            <c:strRef>
              <c:f>'Occ F2'!$L$42</c:f>
              <c:strCache>
                <c:ptCount val="1"/>
                <c:pt idx="0">
                  <c:v>81 Process, plant and machine operatives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F2'!$M$42:$AL$42</c:f>
              <c:numCache>
                <c:formatCode>#,##0</c:formatCode>
                <c:ptCount val="26"/>
                <c:pt idx="0">
                  <c:v>44.730882057748147</c:v>
                </c:pt>
                <c:pt idx="1">
                  <c:v>38.796554286343053</c:v>
                </c:pt>
                <c:pt idx="2">
                  <c:v>40.865138621396397</c:v>
                </c:pt>
                <c:pt idx="3">
                  <c:v>44.758772364544434</c:v>
                </c:pt>
                <c:pt idx="4">
                  <c:v>42.638060292066235</c:v>
                </c:pt>
                <c:pt idx="5">
                  <c:v>43.708317600696866</c:v>
                </c:pt>
                <c:pt idx="6">
                  <c:v>41.758905014535557</c:v>
                </c:pt>
                <c:pt idx="7">
                  <c:v>43.558239339960366</c:v>
                </c:pt>
                <c:pt idx="8">
                  <c:v>44.313530612298266</c:v>
                </c:pt>
                <c:pt idx="9">
                  <c:v>39.937105686071149</c:v>
                </c:pt>
                <c:pt idx="10">
                  <c:v>34.877203113995151</c:v>
                </c:pt>
                <c:pt idx="11">
                  <c:v>41.522650770452564</c:v>
                </c:pt>
                <c:pt idx="12">
                  <c:v>41.325827076255827</c:v>
                </c:pt>
                <c:pt idx="13">
                  <c:v>41.190979092255589</c:v>
                </c:pt>
                <c:pt idx="14">
                  <c:v>41.082054488536336</c:v>
                </c:pt>
                <c:pt idx="15">
                  <c:v>40.8444444640147</c:v>
                </c:pt>
                <c:pt idx="16">
                  <c:v>40.638697825663471</c:v>
                </c:pt>
                <c:pt idx="17">
                  <c:v>40.40503212014481</c:v>
                </c:pt>
                <c:pt idx="18">
                  <c:v>40.132159311416764</c:v>
                </c:pt>
                <c:pt idx="19">
                  <c:v>39.881949425327747</c:v>
                </c:pt>
                <c:pt idx="20">
                  <c:v>39.680373036992357</c:v>
                </c:pt>
                <c:pt idx="21">
                  <c:v>39.500257255081017</c:v>
                </c:pt>
                <c:pt idx="22">
                  <c:v>39.333436925314722</c:v>
                </c:pt>
                <c:pt idx="23">
                  <c:v>39.156983212839911</c:v>
                </c:pt>
                <c:pt idx="24">
                  <c:v>38.986980779858008</c:v>
                </c:pt>
                <c:pt idx="25">
                  <c:v>38.843978717677466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4B-4418-B5FD-BA328BECFEED}"/>
            </c:ext>
          </c:extLst>
        </c:ser>
        <c:ser>
          <c:idx val="0"/>
          <c:order val="1"/>
          <c:tx>
            <c:strRef>
              <c:f>'Occ F2'!$L$43</c:f>
              <c:strCache>
                <c:ptCount val="1"/>
                <c:pt idx="0">
                  <c:v>82 Transport and mobile machine drivers and operatives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F2'!$M$43:$AL$43</c:f>
              <c:numCache>
                <c:formatCode>#,##0</c:formatCode>
                <c:ptCount val="26"/>
                <c:pt idx="0">
                  <c:v>42.189524190424976</c:v>
                </c:pt>
                <c:pt idx="1">
                  <c:v>44.888882030766169</c:v>
                </c:pt>
                <c:pt idx="2">
                  <c:v>40.70634577555839</c:v>
                </c:pt>
                <c:pt idx="3">
                  <c:v>46.432204546173608</c:v>
                </c:pt>
                <c:pt idx="4">
                  <c:v>41.903803583756726</c:v>
                </c:pt>
                <c:pt idx="5">
                  <c:v>41.108961810145928</c:v>
                </c:pt>
                <c:pt idx="6">
                  <c:v>44.116209532541205</c:v>
                </c:pt>
                <c:pt idx="7">
                  <c:v>45.352251255693439</c:v>
                </c:pt>
                <c:pt idx="8">
                  <c:v>53.106115105932481</c:v>
                </c:pt>
                <c:pt idx="9">
                  <c:v>49.012200356859871</c:v>
                </c:pt>
                <c:pt idx="10">
                  <c:v>43.757334690000292</c:v>
                </c:pt>
                <c:pt idx="11">
                  <c:v>45.089560804266192</c:v>
                </c:pt>
                <c:pt idx="12">
                  <c:v>44.587510019043599</c:v>
                </c:pt>
                <c:pt idx="13">
                  <c:v>44.299217423483761</c:v>
                </c:pt>
                <c:pt idx="14">
                  <c:v>44.127239501476254</c:v>
                </c:pt>
                <c:pt idx="15">
                  <c:v>43.939515148959167</c:v>
                </c:pt>
                <c:pt idx="16">
                  <c:v>43.718145437948465</c:v>
                </c:pt>
                <c:pt idx="17">
                  <c:v>43.463150487654708</c:v>
                </c:pt>
                <c:pt idx="18">
                  <c:v>43.187064338087964</c:v>
                </c:pt>
                <c:pt idx="19">
                  <c:v>42.919933047560399</c:v>
                </c:pt>
                <c:pt idx="20">
                  <c:v>42.655343724225148</c:v>
                </c:pt>
                <c:pt idx="21">
                  <c:v>42.437510487937452</c:v>
                </c:pt>
                <c:pt idx="22">
                  <c:v>42.252700790411026</c:v>
                </c:pt>
                <c:pt idx="23">
                  <c:v>42.046110293262998</c:v>
                </c:pt>
                <c:pt idx="24">
                  <c:v>41.834702559698044</c:v>
                </c:pt>
                <c:pt idx="25">
                  <c:v>41.62594804306957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64B-4418-B5FD-BA328BECFE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607792"/>
        <c:axId val="315608184"/>
      </c:areaChart>
      <c:catAx>
        <c:axId val="31560779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81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0818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8.8607649703107728E-3"/>
              <c:y val="9.1407759840393486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779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egendEntry>
        <c:idx val="0"/>
        <c:txPr>
          <a:bodyPr/>
          <a:lstStyle/>
          <a:p>
            <a:pPr>
              <a:defRPr sz="97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</c:legendEntry>
      <c:layout>
        <c:manualLayout>
          <c:xMode val="edge"/>
          <c:yMode val="edge"/>
          <c:x val="0.21978293253883804"/>
          <c:y val="0.86822930790507791"/>
          <c:w val="0.63325760800170261"/>
          <c:h val="0.1242566031782032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873096446700524E-2"/>
          <c:y val="6.6176529986688937E-2"/>
          <c:w val="0.8946700507614217"/>
          <c:h val="0.77573599039955177"/>
        </c:manualLayout>
      </c:layout>
      <c:areaChart>
        <c:grouping val="stacked"/>
        <c:varyColors val="0"/>
        <c:ser>
          <c:idx val="1"/>
          <c:order val="0"/>
          <c:tx>
            <c:strRef>
              <c:f>'Occ F2'!$L$46</c:f>
              <c:strCache>
                <c:ptCount val="1"/>
                <c:pt idx="0">
                  <c:v>91 Elementary trades and related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F2'!$M$46:$AL$46</c:f>
              <c:numCache>
                <c:formatCode>#,##0</c:formatCode>
                <c:ptCount val="26"/>
                <c:pt idx="0">
                  <c:v>18.60216850308505</c:v>
                </c:pt>
                <c:pt idx="1">
                  <c:v>18.070236442891964</c:v>
                </c:pt>
                <c:pt idx="2">
                  <c:v>17.747521550914829</c:v>
                </c:pt>
                <c:pt idx="3">
                  <c:v>18.38102415178793</c:v>
                </c:pt>
                <c:pt idx="4">
                  <c:v>20.560825173727739</c:v>
                </c:pt>
                <c:pt idx="5">
                  <c:v>20.317502556909954</c:v>
                </c:pt>
                <c:pt idx="6">
                  <c:v>19.759367097362116</c:v>
                </c:pt>
                <c:pt idx="7">
                  <c:v>18.741014377578551</c:v>
                </c:pt>
                <c:pt idx="8">
                  <c:v>20.070686704632362</c:v>
                </c:pt>
                <c:pt idx="9">
                  <c:v>17.904540418703959</c:v>
                </c:pt>
                <c:pt idx="10">
                  <c:v>15.637941740926959</c:v>
                </c:pt>
                <c:pt idx="11">
                  <c:v>12.989538988584043</c:v>
                </c:pt>
                <c:pt idx="12">
                  <c:v>12.88297838263248</c:v>
                </c:pt>
                <c:pt idx="13">
                  <c:v>12.780137144786185</c:v>
                </c:pt>
                <c:pt idx="14">
                  <c:v>12.708410247076674</c:v>
                </c:pt>
                <c:pt idx="15">
                  <c:v>12.63088442456316</c:v>
                </c:pt>
                <c:pt idx="16">
                  <c:v>12.542133454281998</c:v>
                </c:pt>
                <c:pt idx="17">
                  <c:v>12.451763902679128</c:v>
                </c:pt>
                <c:pt idx="18">
                  <c:v>12.359395275012563</c:v>
                </c:pt>
                <c:pt idx="19">
                  <c:v>12.264552688211493</c:v>
                </c:pt>
                <c:pt idx="20">
                  <c:v>12.173734875866328</c:v>
                </c:pt>
                <c:pt idx="21">
                  <c:v>12.085268127655459</c:v>
                </c:pt>
                <c:pt idx="22">
                  <c:v>11.993451983906473</c:v>
                </c:pt>
                <c:pt idx="23">
                  <c:v>11.902708920126154</c:v>
                </c:pt>
                <c:pt idx="24">
                  <c:v>11.818088219433472</c:v>
                </c:pt>
                <c:pt idx="25">
                  <c:v>11.728541244332119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016-496A-AB20-744818E50B15}"/>
            </c:ext>
          </c:extLst>
        </c:ser>
        <c:ser>
          <c:idx val="0"/>
          <c:order val="1"/>
          <c:tx>
            <c:strRef>
              <c:f>'Occ F2'!$L$47</c:f>
              <c:strCache>
                <c:ptCount val="1"/>
                <c:pt idx="0">
                  <c:v>92 Elementary administration and service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F2'!$M$47:$AL$47</c:f>
              <c:numCache>
                <c:formatCode>#,##0</c:formatCode>
                <c:ptCount val="26"/>
                <c:pt idx="0">
                  <c:v>126.68015477633557</c:v>
                </c:pt>
                <c:pt idx="1">
                  <c:v>122.95074507112406</c:v>
                </c:pt>
                <c:pt idx="2">
                  <c:v>117.40347056396645</c:v>
                </c:pt>
                <c:pt idx="3">
                  <c:v>121.51621005429574</c:v>
                </c:pt>
                <c:pt idx="4">
                  <c:v>121.41457924647256</c:v>
                </c:pt>
                <c:pt idx="5">
                  <c:v>129.32696514894883</c:v>
                </c:pt>
                <c:pt idx="6">
                  <c:v>124.80861870288162</c:v>
                </c:pt>
                <c:pt idx="7">
                  <c:v>135.13504779127251</c:v>
                </c:pt>
                <c:pt idx="8">
                  <c:v>126.07436666011316</c:v>
                </c:pt>
                <c:pt idx="9">
                  <c:v>125.2713158198398</c:v>
                </c:pt>
                <c:pt idx="10">
                  <c:v>118.1807447549491</c:v>
                </c:pt>
                <c:pt idx="11">
                  <c:v>120.89587580530083</c:v>
                </c:pt>
                <c:pt idx="12">
                  <c:v>119.50081409594763</c:v>
                </c:pt>
                <c:pt idx="13">
                  <c:v>118.89064560080682</c:v>
                </c:pt>
                <c:pt idx="14">
                  <c:v>118.71374712282474</c:v>
                </c:pt>
                <c:pt idx="15">
                  <c:v>118.59893529113367</c:v>
                </c:pt>
                <c:pt idx="16">
                  <c:v>118.54188689500023</c:v>
                </c:pt>
                <c:pt idx="17">
                  <c:v>118.45137053591419</c:v>
                </c:pt>
                <c:pt idx="18">
                  <c:v>118.45111512089578</c:v>
                </c:pt>
                <c:pt idx="19">
                  <c:v>118.444594552827</c:v>
                </c:pt>
                <c:pt idx="20">
                  <c:v>118.44188656192428</c:v>
                </c:pt>
                <c:pt idx="21">
                  <c:v>118.4152271018163</c:v>
                </c:pt>
                <c:pt idx="22">
                  <c:v>118.4641146979524</c:v>
                </c:pt>
                <c:pt idx="23">
                  <c:v>118.46799406795483</c:v>
                </c:pt>
                <c:pt idx="24">
                  <c:v>118.42053773282224</c:v>
                </c:pt>
                <c:pt idx="25">
                  <c:v>118.32517025857831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016-496A-AB20-744818E50B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608968"/>
        <c:axId val="315609360"/>
      </c:areaChart>
      <c:catAx>
        <c:axId val="31560896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93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09360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191184720373463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89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9416243654822857"/>
          <c:y val="0.9080890503729"/>
          <c:w val="0.71065989847718092"/>
          <c:h val="8.63971363715105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4000718237922956E-2"/>
          <c:y val="5.3619302949061684E-2"/>
          <c:w val="0.86958661417322847"/>
          <c:h val="0.74962385222351946"/>
        </c:manualLayout>
      </c:layout>
      <c:lineChart>
        <c:grouping val="standard"/>
        <c:varyColors val="0"/>
        <c:ser>
          <c:idx val="0"/>
          <c:order val="0"/>
          <c:tx>
            <c:strRef>
              <c:f>'Occ F2'!$L$5</c:f>
              <c:strCache>
                <c:ptCount val="1"/>
                <c:pt idx="0">
                  <c:v>Managers, directors and senior officials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F2'!$M$5:$AL$5</c:f>
              <c:numCache>
                <c:formatCode>#,##0</c:formatCode>
                <c:ptCount val="26"/>
                <c:pt idx="0">
                  <c:v>76.063808742217034</c:v>
                </c:pt>
                <c:pt idx="1">
                  <c:v>81.147912317495695</c:v>
                </c:pt>
                <c:pt idx="2">
                  <c:v>81.049262114930698</c:v>
                </c:pt>
                <c:pt idx="3">
                  <c:v>85.127905604303223</c:v>
                </c:pt>
                <c:pt idx="4">
                  <c:v>83.1868837803313</c:v>
                </c:pt>
                <c:pt idx="5">
                  <c:v>88.576593074398374</c:v>
                </c:pt>
                <c:pt idx="6">
                  <c:v>81.617821919133789</c:v>
                </c:pt>
                <c:pt idx="7">
                  <c:v>85.615419561762678</c:v>
                </c:pt>
                <c:pt idx="8">
                  <c:v>90.626833448035512</c:v>
                </c:pt>
                <c:pt idx="9">
                  <c:v>99.700552647162596</c:v>
                </c:pt>
                <c:pt idx="10">
                  <c:v>99.727748084257215</c:v>
                </c:pt>
                <c:pt idx="11">
                  <c:v>97.373489370439557</c:v>
                </c:pt>
                <c:pt idx="12">
                  <c:v>98.156901146175628</c:v>
                </c:pt>
                <c:pt idx="13">
                  <c:v>99.357306501799741</c:v>
                </c:pt>
                <c:pt idx="14">
                  <c:v>100.81502447868122</c:v>
                </c:pt>
                <c:pt idx="15">
                  <c:v>102.19943541724987</c:v>
                </c:pt>
                <c:pt idx="16">
                  <c:v>103.50682786372724</c:v>
                </c:pt>
                <c:pt idx="17">
                  <c:v>104.86438480460329</c:v>
                </c:pt>
                <c:pt idx="18">
                  <c:v>106.25732569491974</c:v>
                </c:pt>
                <c:pt idx="19">
                  <c:v>107.64046312791328</c:v>
                </c:pt>
                <c:pt idx="20">
                  <c:v>109.06875597386727</c:v>
                </c:pt>
                <c:pt idx="21">
                  <c:v>110.60974969832915</c:v>
                </c:pt>
                <c:pt idx="22">
                  <c:v>112.27022571725138</c:v>
                </c:pt>
                <c:pt idx="23">
                  <c:v>113.73130375859934</c:v>
                </c:pt>
                <c:pt idx="24">
                  <c:v>115.15221411089269</c:v>
                </c:pt>
                <c:pt idx="25">
                  <c:v>116.10988402493876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EA5-4D32-A8A8-47EDF4EA3691}"/>
            </c:ext>
          </c:extLst>
        </c:ser>
        <c:ser>
          <c:idx val="1"/>
          <c:order val="1"/>
          <c:tx>
            <c:strRef>
              <c:f>'Occ F2'!$L$9</c:f>
              <c:strCache>
                <c:ptCount val="1"/>
                <c:pt idx="0">
                  <c:v>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F2'!$M$9:$AL$9</c:f>
              <c:numCache>
                <c:formatCode>#,##0</c:formatCode>
                <c:ptCount val="26"/>
                <c:pt idx="0">
                  <c:v>222.91843228601812</c:v>
                </c:pt>
                <c:pt idx="1">
                  <c:v>211.65617320016568</c:v>
                </c:pt>
                <c:pt idx="2">
                  <c:v>216.77760983749991</c:v>
                </c:pt>
                <c:pt idx="3">
                  <c:v>214.45121840718068</c:v>
                </c:pt>
                <c:pt idx="4">
                  <c:v>221.51217995164868</c:v>
                </c:pt>
                <c:pt idx="5">
                  <c:v>231.4907251877527</c:v>
                </c:pt>
                <c:pt idx="6">
                  <c:v>224.78353178584933</c:v>
                </c:pt>
                <c:pt idx="7">
                  <c:v>225.18041046112276</c:v>
                </c:pt>
                <c:pt idx="8">
                  <c:v>233.78991210992277</c:v>
                </c:pt>
                <c:pt idx="9">
                  <c:v>237.67286276931418</c:v>
                </c:pt>
                <c:pt idx="10">
                  <c:v>254.75423708172923</c:v>
                </c:pt>
                <c:pt idx="11">
                  <c:v>262.51092049381856</c:v>
                </c:pt>
                <c:pt idx="12">
                  <c:v>266.09649792242067</c:v>
                </c:pt>
                <c:pt idx="13">
                  <c:v>269.4858523732363</c:v>
                </c:pt>
                <c:pt idx="14">
                  <c:v>273.18497911192668</c:v>
                </c:pt>
                <c:pt idx="15">
                  <c:v>276.33858685808264</c:v>
                </c:pt>
                <c:pt idx="16">
                  <c:v>279.28007763359409</c:v>
                </c:pt>
                <c:pt idx="17">
                  <c:v>282.1939692644213</c:v>
                </c:pt>
                <c:pt idx="18">
                  <c:v>285.10943413874929</c:v>
                </c:pt>
                <c:pt idx="19">
                  <c:v>288.0347604132524</c:v>
                </c:pt>
                <c:pt idx="20">
                  <c:v>291.10608577373011</c:v>
                </c:pt>
                <c:pt idx="21">
                  <c:v>294.29600002407915</c:v>
                </c:pt>
                <c:pt idx="22">
                  <c:v>297.45920346253416</c:v>
                </c:pt>
                <c:pt idx="23">
                  <c:v>300.618950578669</c:v>
                </c:pt>
                <c:pt idx="24">
                  <c:v>303.76941638062738</c:v>
                </c:pt>
                <c:pt idx="25">
                  <c:v>306.78710289335356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EA5-4D32-A8A8-47EDF4EA3691}"/>
            </c:ext>
          </c:extLst>
        </c:ser>
        <c:ser>
          <c:idx val="2"/>
          <c:order val="2"/>
          <c:tx>
            <c:strRef>
              <c:f>'Occ F2'!$L$15</c:f>
              <c:strCache>
                <c:ptCount val="1"/>
                <c:pt idx="0">
                  <c:v>Associate 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F2'!$M$15:$AL$15</c:f>
              <c:numCache>
                <c:formatCode>#,##0</c:formatCode>
                <c:ptCount val="26"/>
                <c:pt idx="0">
                  <c:v>128.42424149538238</c:v>
                </c:pt>
                <c:pt idx="1">
                  <c:v>124.57607251168491</c:v>
                </c:pt>
                <c:pt idx="2">
                  <c:v>124.76199064553614</c:v>
                </c:pt>
                <c:pt idx="3">
                  <c:v>124.79122623453637</c:v>
                </c:pt>
                <c:pt idx="4">
                  <c:v>125.32336202507577</c:v>
                </c:pt>
                <c:pt idx="5">
                  <c:v>129.06715358822112</c:v>
                </c:pt>
                <c:pt idx="6">
                  <c:v>124.57504043178554</c:v>
                </c:pt>
                <c:pt idx="7">
                  <c:v>128.07989717323377</c:v>
                </c:pt>
                <c:pt idx="8">
                  <c:v>133.2557134629038</c:v>
                </c:pt>
                <c:pt idx="9">
                  <c:v>133.36836119208834</c:v>
                </c:pt>
                <c:pt idx="10">
                  <c:v>140.27215233660229</c:v>
                </c:pt>
                <c:pt idx="11">
                  <c:v>132.1728119001817</c:v>
                </c:pt>
                <c:pt idx="12">
                  <c:v>132.6447057916254</c:v>
                </c:pt>
                <c:pt idx="13">
                  <c:v>133.64351216876128</c:v>
                </c:pt>
                <c:pt idx="14">
                  <c:v>134.85427709970233</c:v>
                </c:pt>
                <c:pt idx="15">
                  <c:v>135.96055204687522</c:v>
                </c:pt>
                <c:pt idx="16">
                  <c:v>136.96526351142228</c:v>
                </c:pt>
                <c:pt idx="17">
                  <c:v>137.97311167632796</c:v>
                </c:pt>
                <c:pt idx="18">
                  <c:v>139.0124330853711</c:v>
                </c:pt>
                <c:pt idx="19">
                  <c:v>139.99849325300397</c:v>
                </c:pt>
                <c:pt idx="20">
                  <c:v>141.09218853905134</c:v>
                </c:pt>
                <c:pt idx="21">
                  <c:v>142.18502260036081</c:v>
                </c:pt>
                <c:pt idx="22">
                  <c:v>143.29041705842309</c:v>
                </c:pt>
                <c:pt idx="23">
                  <c:v>144.41987746481189</c:v>
                </c:pt>
                <c:pt idx="24">
                  <c:v>145.56322039295188</c:v>
                </c:pt>
                <c:pt idx="25">
                  <c:v>146.85818967848303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EA5-4D32-A8A8-47EDF4EA3691}"/>
            </c:ext>
          </c:extLst>
        </c:ser>
        <c:ser>
          <c:idx val="3"/>
          <c:order val="3"/>
          <c:tx>
            <c:strRef>
              <c:f>'Occ F2'!$L$22</c:f>
              <c:strCache>
                <c:ptCount val="1"/>
                <c:pt idx="0">
                  <c:v>Administrative and secretarial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F2'!$M$22:$AL$22</c:f>
              <c:numCache>
                <c:formatCode>#,##0</c:formatCode>
                <c:ptCount val="26"/>
                <c:pt idx="0">
                  <c:v>141.54060151342463</c:v>
                </c:pt>
                <c:pt idx="1">
                  <c:v>135.95689337113811</c:v>
                </c:pt>
                <c:pt idx="2">
                  <c:v>131.81309114252628</c:v>
                </c:pt>
                <c:pt idx="3">
                  <c:v>128.91079394633022</c:v>
                </c:pt>
                <c:pt idx="4">
                  <c:v>134.63453638177009</c:v>
                </c:pt>
                <c:pt idx="5">
                  <c:v>139.7507853057721</c:v>
                </c:pt>
                <c:pt idx="6">
                  <c:v>130.89544958396189</c:v>
                </c:pt>
                <c:pt idx="7">
                  <c:v>129.23931869572496</c:v>
                </c:pt>
                <c:pt idx="8">
                  <c:v>132.07647516653327</c:v>
                </c:pt>
                <c:pt idx="9">
                  <c:v>127.01400722188826</c:v>
                </c:pt>
                <c:pt idx="10">
                  <c:v>132.69109413528571</c:v>
                </c:pt>
                <c:pt idx="11">
                  <c:v>127.39304709287002</c:v>
                </c:pt>
                <c:pt idx="12">
                  <c:v>126.70357334531251</c:v>
                </c:pt>
                <c:pt idx="13">
                  <c:v>126.15868514653256</c:v>
                </c:pt>
                <c:pt idx="14">
                  <c:v>125.79732741385551</c:v>
                </c:pt>
                <c:pt idx="15">
                  <c:v>125.40307184476946</c:v>
                </c:pt>
                <c:pt idx="16">
                  <c:v>124.76670912375681</c:v>
                </c:pt>
                <c:pt idx="17">
                  <c:v>124.0560287158773</c:v>
                </c:pt>
                <c:pt idx="18">
                  <c:v>123.22651980166634</c:v>
                </c:pt>
                <c:pt idx="19">
                  <c:v>122.49570883920147</c:v>
                </c:pt>
                <c:pt idx="20">
                  <c:v>121.71148283646629</c:v>
                </c:pt>
                <c:pt idx="21">
                  <c:v>120.54198216885973</c:v>
                </c:pt>
                <c:pt idx="22">
                  <c:v>119.24079901524583</c:v>
                </c:pt>
                <c:pt idx="23">
                  <c:v>118.28075154896673</c:v>
                </c:pt>
                <c:pt idx="24">
                  <c:v>117.42512871773548</c:v>
                </c:pt>
                <c:pt idx="25">
                  <c:v>117.22320077750355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EA5-4D32-A8A8-47EDF4EA3691}"/>
            </c:ext>
          </c:extLst>
        </c:ser>
        <c:ser>
          <c:idx val="4"/>
          <c:order val="4"/>
          <c:tx>
            <c:strRef>
              <c:f>'Occ F2'!$L$26</c:f>
              <c:strCache>
                <c:ptCount val="1"/>
                <c:pt idx="0">
                  <c:v>Skilled trades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tar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F2'!$M$26:$AL$26</c:f>
              <c:numCache>
                <c:formatCode>#,##0</c:formatCode>
                <c:ptCount val="26"/>
                <c:pt idx="0">
                  <c:v>139.18215432650609</c:v>
                </c:pt>
                <c:pt idx="1">
                  <c:v>141.04445995047195</c:v>
                </c:pt>
                <c:pt idx="2">
                  <c:v>123.45861752502907</c:v>
                </c:pt>
                <c:pt idx="3">
                  <c:v>131.89001372944006</c:v>
                </c:pt>
                <c:pt idx="4">
                  <c:v>133.03370941060993</c:v>
                </c:pt>
                <c:pt idx="5">
                  <c:v>131.09623299099439</c:v>
                </c:pt>
                <c:pt idx="6">
                  <c:v>120.95925082817334</c:v>
                </c:pt>
                <c:pt idx="7">
                  <c:v>125.17678389369392</c:v>
                </c:pt>
                <c:pt idx="8">
                  <c:v>126.43427697040806</c:v>
                </c:pt>
                <c:pt idx="9">
                  <c:v>127.42869301830061</c:v>
                </c:pt>
                <c:pt idx="10">
                  <c:v>110.0423243300321</c:v>
                </c:pt>
                <c:pt idx="11">
                  <c:v>110.17977886558359</c:v>
                </c:pt>
                <c:pt idx="12">
                  <c:v>109.22324002012763</c:v>
                </c:pt>
                <c:pt idx="13">
                  <c:v>108.2019392427089</c:v>
                </c:pt>
                <c:pt idx="14">
                  <c:v>107.54446597892746</c:v>
                </c:pt>
                <c:pt idx="15">
                  <c:v>107.00085229603154</c:v>
                </c:pt>
                <c:pt idx="16">
                  <c:v>106.35377708570419</c:v>
                </c:pt>
                <c:pt idx="17">
                  <c:v>105.61316088936347</c:v>
                </c:pt>
                <c:pt idx="18">
                  <c:v>104.92349467117155</c:v>
                </c:pt>
                <c:pt idx="19">
                  <c:v>104.22137139674857</c:v>
                </c:pt>
                <c:pt idx="20">
                  <c:v>103.56450241980471</c:v>
                </c:pt>
                <c:pt idx="21">
                  <c:v>102.9273971170177</c:v>
                </c:pt>
                <c:pt idx="22">
                  <c:v>102.28728435651888</c:v>
                </c:pt>
                <c:pt idx="23">
                  <c:v>101.58275482592234</c:v>
                </c:pt>
                <c:pt idx="24">
                  <c:v>100.87195303507183</c:v>
                </c:pt>
                <c:pt idx="25">
                  <c:v>100.02736420050142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EA5-4D32-A8A8-47EDF4EA3691}"/>
            </c:ext>
          </c:extLst>
        </c:ser>
        <c:ser>
          <c:idx val="5"/>
          <c:order val="5"/>
          <c:tx>
            <c:strRef>
              <c:f>'Occ F2'!$L$32</c:f>
              <c:strCache>
                <c:ptCount val="1"/>
                <c:pt idx="0">
                  <c:v>Caring, leisure and other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F2'!$M$32:$AL$32</c:f>
              <c:numCache>
                <c:formatCode>#,##0</c:formatCode>
                <c:ptCount val="26"/>
                <c:pt idx="0">
                  <c:v>112.75020468010163</c:v>
                </c:pt>
                <c:pt idx="1">
                  <c:v>104.63994321208605</c:v>
                </c:pt>
                <c:pt idx="2">
                  <c:v>106.3252748485837</c:v>
                </c:pt>
                <c:pt idx="3">
                  <c:v>107.37490548390798</c:v>
                </c:pt>
                <c:pt idx="4">
                  <c:v>114.60391761629941</c:v>
                </c:pt>
                <c:pt idx="5">
                  <c:v>117.47035830653246</c:v>
                </c:pt>
                <c:pt idx="6">
                  <c:v>111.17858011059698</c:v>
                </c:pt>
                <c:pt idx="7">
                  <c:v>113.45924780168646</c:v>
                </c:pt>
                <c:pt idx="8">
                  <c:v>114.06807535848753</c:v>
                </c:pt>
                <c:pt idx="9">
                  <c:v>112.76379624437124</c:v>
                </c:pt>
                <c:pt idx="10">
                  <c:v>113.43549604886647</c:v>
                </c:pt>
                <c:pt idx="11">
                  <c:v>116.02344811035998</c:v>
                </c:pt>
                <c:pt idx="12">
                  <c:v>116.75449006860912</c:v>
                </c:pt>
                <c:pt idx="13">
                  <c:v>117.64029759921705</c:v>
                </c:pt>
                <c:pt idx="14">
                  <c:v>118.61513536170131</c:v>
                </c:pt>
                <c:pt idx="15">
                  <c:v>119.33219216526747</c:v>
                </c:pt>
                <c:pt idx="16">
                  <c:v>119.87567053288971</c:v>
                </c:pt>
                <c:pt idx="17">
                  <c:v>120.34328176846175</c:v>
                </c:pt>
                <c:pt idx="18">
                  <c:v>120.83422567781626</c:v>
                </c:pt>
                <c:pt idx="19">
                  <c:v>121.2617736037658</c:v>
                </c:pt>
                <c:pt idx="20">
                  <c:v>121.78672883734984</c:v>
                </c:pt>
                <c:pt idx="21">
                  <c:v>122.34248385703999</c:v>
                </c:pt>
                <c:pt idx="22">
                  <c:v>122.93788849136821</c:v>
                </c:pt>
                <c:pt idx="23">
                  <c:v>123.5554789996656</c:v>
                </c:pt>
                <c:pt idx="24">
                  <c:v>124.17999985595583</c:v>
                </c:pt>
                <c:pt idx="25">
                  <c:v>124.77661745115446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EA5-4D32-A8A8-47EDF4EA3691}"/>
            </c:ext>
          </c:extLst>
        </c:ser>
        <c:ser>
          <c:idx val="6"/>
          <c:order val="6"/>
          <c:tx>
            <c:strRef>
              <c:f>'Occ F2'!$L$37</c:f>
              <c:strCache>
                <c:ptCount val="1"/>
                <c:pt idx="0">
                  <c:v>Sales and customer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F2'!$M$37:$AL$37</c:f>
              <c:numCache>
                <c:formatCode>#,##0</c:formatCode>
                <c:ptCount val="26"/>
                <c:pt idx="0">
                  <c:v>118.4848274275884</c:v>
                </c:pt>
                <c:pt idx="1">
                  <c:v>121.17112760464813</c:v>
                </c:pt>
                <c:pt idx="2">
                  <c:v>124.92867737300462</c:v>
                </c:pt>
                <c:pt idx="3">
                  <c:v>117.36772547631512</c:v>
                </c:pt>
                <c:pt idx="4">
                  <c:v>130.84414253896028</c:v>
                </c:pt>
                <c:pt idx="5">
                  <c:v>135.78940443127954</c:v>
                </c:pt>
                <c:pt idx="6">
                  <c:v>133.26622499394549</c:v>
                </c:pt>
                <c:pt idx="7">
                  <c:v>127.7823696496945</c:v>
                </c:pt>
                <c:pt idx="8">
                  <c:v>123.35201440098834</c:v>
                </c:pt>
                <c:pt idx="9">
                  <c:v>124.79456462617762</c:v>
                </c:pt>
                <c:pt idx="10">
                  <c:v>125.9627236836462</c:v>
                </c:pt>
                <c:pt idx="11">
                  <c:v>124.36587779681555</c:v>
                </c:pt>
                <c:pt idx="12">
                  <c:v>124.66446213259235</c:v>
                </c:pt>
                <c:pt idx="13">
                  <c:v>125.24842770751467</c:v>
                </c:pt>
                <c:pt idx="14">
                  <c:v>125.98733919619613</c:v>
                </c:pt>
                <c:pt idx="15">
                  <c:v>126.52753004348526</c:v>
                </c:pt>
                <c:pt idx="16">
                  <c:v>126.93881063620196</c:v>
                </c:pt>
                <c:pt idx="17">
                  <c:v>127.23974583543533</c:v>
                </c:pt>
                <c:pt idx="18">
                  <c:v>127.50183288571141</c:v>
                </c:pt>
                <c:pt idx="19">
                  <c:v>127.78739965304251</c:v>
                </c:pt>
                <c:pt idx="20">
                  <c:v>128.05091742130054</c:v>
                </c:pt>
                <c:pt idx="21">
                  <c:v>128.27110156283408</c:v>
                </c:pt>
                <c:pt idx="22">
                  <c:v>128.38947750189629</c:v>
                </c:pt>
                <c:pt idx="23">
                  <c:v>128.56208633000097</c:v>
                </c:pt>
                <c:pt idx="24">
                  <c:v>128.68075821551727</c:v>
                </c:pt>
                <c:pt idx="25">
                  <c:v>128.69100271062041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2EA5-4D32-A8A8-47EDF4EA3691}"/>
            </c:ext>
          </c:extLst>
        </c:ser>
        <c:ser>
          <c:idx val="7"/>
          <c:order val="7"/>
          <c:tx>
            <c:strRef>
              <c:f>'Occ F2'!$L$41</c:f>
              <c:strCache>
                <c:ptCount val="1"/>
                <c:pt idx="0">
                  <c:v>Process, plant and machine operatives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F2'!$M$41:$AL$41</c:f>
              <c:numCache>
                <c:formatCode>#,##0</c:formatCode>
                <c:ptCount val="26"/>
                <c:pt idx="0">
                  <c:v>86.920406248173123</c:v>
                </c:pt>
                <c:pt idx="1">
                  <c:v>83.685436317109222</c:v>
                </c:pt>
                <c:pt idx="2">
                  <c:v>81.571484396954787</c:v>
                </c:pt>
                <c:pt idx="3">
                  <c:v>91.190976910718035</c:v>
                </c:pt>
                <c:pt idx="4">
                  <c:v>84.541863875822969</c:v>
                </c:pt>
                <c:pt idx="5">
                  <c:v>84.817279410842787</c:v>
                </c:pt>
                <c:pt idx="6">
                  <c:v>85.875114547076763</c:v>
                </c:pt>
                <c:pt idx="7">
                  <c:v>88.910490595653812</c:v>
                </c:pt>
                <c:pt idx="8">
                  <c:v>97.419645718230754</c:v>
                </c:pt>
                <c:pt idx="9">
                  <c:v>88.949306042931028</c:v>
                </c:pt>
                <c:pt idx="10">
                  <c:v>78.634537803995443</c:v>
                </c:pt>
                <c:pt idx="11">
                  <c:v>86.612211574718756</c:v>
                </c:pt>
                <c:pt idx="12">
                  <c:v>85.913337095299426</c:v>
                </c:pt>
                <c:pt idx="13">
                  <c:v>85.490196515739342</c:v>
                </c:pt>
                <c:pt idx="14">
                  <c:v>85.209293990012583</c:v>
                </c:pt>
                <c:pt idx="15">
                  <c:v>84.78395961297386</c:v>
                </c:pt>
                <c:pt idx="16">
                  <c:v>84.356843263611935</c:v>
                </c:pt>
                <c:pt idx="17">
                  <c:v>83.868182607799525</c:v>
                </c:pt>
                <c:pt idx="18">
                  <c:v>83.319223649504721</c:v>
                </c:pt>
                <c:pt idx="19">
                  <c:v>82.801882472888138</c:v>
                </c:pt>
                <c:pt idx="20">
                  <c:v>82.335716761217498</c:v>
                </c:pt>
                <c:pt idx="21">
                  <c:v>81.937767743018469</c:v>
                </c:pt>
                <c:pt idx="22">
                  <c:v>81.586137715725755</c:v>
                </c:pt>
                <c:pt idx="23">
                  <c:v>81.203093506102903</c:v>
                </c:pt>
                <c:pt idx="24">
                  <c:v>80.821683339556046</c:v>
                </c:pt>
                <c:pt idx="25">
                  <c:v>80.469926760747029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2EA5-4D32-A8A8-47EDF4EA3691}"/>
            </c:ext>
          </c:extLst>
        </c:ser>
        <c:ser>
          <c:idx val="8"/>
          <c:order val="8"/>
          <c:tx>
            <c:strRef>
              <c:f>'Occ F2'!$L$45</c:f>
              <c:strCache>
                <c:ptCount val="1"/>
                <c:pt idx="0">
                  <c:v>Elementary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F2'!$M$45:$AL$45</c:f>
              <c:numCache>
                <c:formatCode>#,##0</c:formatCode>
                <c:ptCount val="26"/>
                <c:pt idx="0">
                  <c:v>145.28232327942061</c:v>
                </c:pt>
                <c:pt idx="1">
                  <c:v>141.02098151401603</c:v>
                </c:pt>
                <c:pt idx="2">
                  <c:v>135.15099211488129</c:v>
                </c:pt>
                <c:pt idx="3">
                  <c:v>139.89723420608368</c:v>
                </c:pt>
                <c:pt idx="4">
                  <c:v>141.97540442020031</c:v>
                </c:pt>
                <c:pt idx="5">
                  <c:v>149.64446770585877</c:v>
                </c:pt>
                <c:pt idx="6">
                  <c:v>144.56798580024372</c:v>
                </c:pt>
                <c:pt idx="7">
                  <c:v>153.87606216885106</c:v>
                </c:pt>
                <c:pt idx="8">
                  <c:v>146.14505336474551</c:v>
                </c:pt>
                <c:pt idx="9">
                  <c:v>143.17585623854376</c:v>
                </c:pt>
                <c:pt idx="10">
                  <c:v>133.81868649587605</c:v>
                </c:pt>
                <c:pt idx="11">
                  <c:v>133.88541479388488</c:v>
                </c:pt>
                <c:pt idx="12">
                  <c:v>132.38379247858012</c:v>
                </c:pt>
                <c:pt idx="13">
                  <c:v>131.67078274559302</c:v>
                </c:pt>
                <c:pt idx="14">
                  <c:v>131.42215736990141</c:v>
                </c:pt>
                <c:pt idx="15">
                  <c:v>131.22981971569683</c:v>
                </c:pt>
                <c:pt idx="16">
                  <c:v>131.08402034928224</c:v>
                </c:pt>
                <c:pt idx="17">
                  <c:v>130.90313443859333</c:v>
                </c:pt>
                <c:pt idx="18">
                  <c:v>130.81051039590835</c:v>
                </c:pt>
                <c:pt idx="19">
                  <c:v>130.70914724103849</c:v>
                </c:pt>
                <c:pt idx="20">
                  <c:v>130.61562143779059</c:v>
                </c:pt>
                <c:pt idx="21">
                  <c:v>130.50049522947177</c:v>
                </c:pt>
                <c:pt idx="22">
                  <c:v>130.45756668185888</c:v>
                </c:pt>
                <c:pt idx="23">
                  <c:v>130.37070298808098</c:v>
                </c:pt>
                <c:pt idx="24">
                  <c:v>130.23862595225572</c:v>
                </c:pt>
                <c:pt idx="25">
                  <c:v>130.05371150291043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2EA5-4D32-A8A8-47EDF4EA36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5610144"/>
        <c:axId val="315610536"/>
      </c:lineChart>
      <c:catAx>
        <c:axId val="31561014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5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1053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l">
                  <a:defRPr sz="14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 sz="1400"/>
                  <a:t>thousands</a:t>
                </a:r>
              </a:p>
            </c:rich>
          </c:tx>
          <c:layout>
            <c:manualLayout>
              <c:xMode val="edge"/>
              <c:yMode val="edge"/>
              <c:x val="6.3291391785486274E-3"/>
              <c:y val="1.0908478711454443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14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1.5142849542455844E-2"/>
          <c:y val="0.86539777165078335"/>
          <c:w val="0.96587039795701224"/>
          <c:h val="0.1221685144246559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5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0886119762485017E-2"/>
          <c:y val="5.3619302949061684E-2"/>
          <c:w val="0.91012714480759949"/>
          <c:h val="0.7559222194989994"/>
        </c:manualLayout>
      </c:layout>
      <c:areaChart>
        <c:grouping val="percentStacked"/>
        <c:varyColors val="0"/>
        <c:ser>
          <c:idx val="0"/>
          <c:order val="0"/>
          <c:tx>
            <c:strRef>
              <c:f>'Occ F2'!$L$5</c:f>
              <c:strCache>
                <c:ptCount val="1"/>
                <c:pt idx="0">
                  <c:v>Managers, directors and senior officials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F2'!$M$5:$AL$5</c:f>
              <c:numCache>
                <c:formatCode>#,##0</c:formatCode>
                <c:ptCount val="26"/>
                <c:pt idx="0">
                  <c:v>76.063808742217034</c:v>
                </c:pt>
                <c:pt idx="1">
                  <c:v>81.147912317495695</c:v>
                </c:pt>
                <c:pt idx="2">
                  <c:v>81.049262114930698</c:v>
                </c:pt>
                <c:pt idx="3">
                  <c:v>85.127905604303223</c:v>
                </c:pt>
                <c:pt idx="4">
                  <c:v>83.1868837803313</c:v>
                </c:pt>
                <c:pt idx="5">
                  <c:v>88.576593074398374</c:v>
                </c:pt>
                <c:pt idx="6">
                  <c:v>81.617821919133789</c:v>
                </c:pt>
                <c:pt idx="7">
                  <c:v>85.615419561762678</c:v>
                </c:pt>
                <c:pt idx="8">
                  <c:v>90.626833448035512</c:v>
                </c:pt>
                <c:pt idx="9">
                  <c:v>99.700552647162596</c:v>
                </c:pt>
                <c:pt idx="10">
                  <c:v>99.727748084257215</c:v>
                </c:pt>
                <c:pt idx="11">
                  <c:v>97.373489370439557</c:v>
                </c:pt>
                <c:pt idx="12">
                  <c:v>98.156901146175628</c:v>
                </c:pt>
                <c:pt idx="13">
                  <c:v>99.357306501799741</c:v>
                </c:pt>
                <c:pt idx="14">
                  <c:v>100.81502447868122</c:v>
                </c:pt>
                <c:pt idx="15">
                  <c:v>102.19943541724987</c:v>
                </c:pt>
                <c:pt idx="16">
                  <c:v>103.50682786372724</c:v>
                </c:pt>
                <c:pt idx="17">
                  <c:v>104.86438480460329</c:v>
                </c:pt>
                <c:pt idx="18">
                  <c:v>106.25732569491974</c:v>
                </c:pt>
                <c:pt idx="19">
                  <c:v>107.64046312791328</c:v>
                </c:pt>
                <c:pt idx="20">
                  <c:v>109.06875597386727</c:v>
                </c:pt>
                <c:pt idx="21">
                  <c:v>110.60974969832915</c:v>
                </c:pt>
                <c:pt idx="22">
                  <c:v>112.27022571725138</c:v>
                </c:pt>
                <c:pt idx="23">
                  <c:v>113.73130375859934</c:v>
                </c:pt>
                <c:pt idx="24">
                  <c:v>115.15221411089269</c:v>
                </c:pt>
                <c:pt idx="25">
                  <c:v>116.10988402493876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C3D-4F0C-A75A-38C35ADEECD8}"/>
            </c:ext>
          </c:extLst>
        </c:ser>
        <c:ser>
          <c:idx val="1"/>
          <c:order val="1"/>
          <c:tx>
            <c:strRef>
              <c:f>'Occ F2'!$L$9</c:f>
              <c:strCache>
                <c:ptCount val="1"/>
                <c:pt idx="0">
                  <c:v>Professional occupations</c:v>
                </c:pt>
              </c:strCache>
            </c:strRef>
          </c:tx>
          <c:spPr>
            <a:solidFill>
              <a:schemeClr val="tx1">
                <a:lumMod val="85000"/>
                <a:lumOff val="1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F2'!$M$9:$AL$9</c:f>
              <c:numCache>
                <c:formatCode>#,##0</c:formatCode>
                <c:ptCount val="26"/>
                <c:pt idx="0">
                  <c:v>222.91843228601812</c:v>
                </c:pt>
                <c:pt idx="1">
                  <c:v>211.65617320016568</c:v>
                </c:pt>
                <c:pt idx="2">
                  <c:v>216.77760983749991</c:v>
                </c:pt>
                <c:pt idx="3">
                  <c:v>214.45121840718068</c:v>
                </c:pt>
                <c:pt idx="4">
                  <c:v>221.51217995164868</c:v>
                </c:pt>
                <c:pt idx="5">
                  <c:v>231.4907251877527</c:v>
                </c:pt>
                <c:pt idx="6">
                  <c:v>224.78353178584933</c:v>
                </c:pt>
                <c:pt idx="7">
                  <c:v>225.18041046112276</c:v>
                </c:pt>
                <c:pt idx="8">
                  <c:v>233.78991210992277</c:v>
                </c:pt>
                <c:pt idx="9">
                  <c:v>237.67286276931418</c:v>
                </c:pt>
                <c:pt idx="10">
                  <c:v>254.75423708172923</c:v>
                </c:pt>
                <c:pt idx="11">
                  <c:v>262.51092049381856</c:v>
                </c:pt>
                <c:pt idx="12">
                  <c:v>266.09649792242067</c:v>
                </c:pt>
                <c:pt idx="13">
                  <c:v>269.4858523732363</c:v>
                </c:pt>
                <c:pt idx="14">
                  <c:v>273.18497911192668</c:v>
                </c:pt>
                <c:pt idx="15">
                  <c:v>276.33858685808264</c:v>
                </c:pt>
                <c:pt idx="16">
                  <c:v>279.28007763359409</c:v>
                </c:pt>
                <c:pt idx="17">
                  <c:v>282.1939692644213</c:v>
                </c:pt>
                <c:pt idx="18">
                  <c:v>285.10943413874929</c:v>
                </c:pt>
                <c:pt idx="19">
                  <c:v>288.0347604132524</c:v>
                </c:pt>
                <c:pt idx="20">
                  <c:v>291.10608577373011</c:v>
                </c:pt>
                <c:pt idx="21">
                  <c:v>294.29600002407915</c:v>
                </c:pt>
                <c:pt idx="22">
                  <c:v>297.45920346253416</c:v>
                </c:pt>
                <c:pt idx="23">
                  <c:v>300.618950578669</c:v>
                </c:pt>
                <c:pt idx="24">
                  <c:v>303.76941638062738</c:v>
                </c:pt>
                <c:pt idx="25">
                  <c:v>306.78710289335356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3D-4F0C-A75A-38C35ADEECD8}"/>
            </c:ext>
          </c:extLst>
        </c:ser>
        <c:ser>
          <c:idx val="2"/>
          <c:order val="2"/>
          <c:tx>
            <c:strRef>
              <c:f>'Occ F2'!$L$15</c:f>
              <c:strCache>
                <c:ptCount val="1"/>
                <c:pt idx="0">
                  <c:v>Associate professional occupations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F2'!$M$15:$AL$15</c:f>
              <c:numCache>
                <c:formatCode>#,##0</c:formatCode>
                <c:ptCount val="26"/>
                <c:pt idx="0">
                  <c:v>128.42424149538238</c:v>
                </c:pt>
                <c:pt idx="1">
                  <c:v>124.57607251168491</c:v>
                </c:pt>
                <c:pt idx="2">
                  <c:v>124.76199064553614</c:v>
                </c:pt>
                <c:pt idx="3">
                  <c:v>124.79122623453637</c:v>
                </c:pt>
                <c:pt idx="4">
                  <c:v>125.32336202507577</c:v>
                </c:pt>
                <c:pt idx="5">
                  <c:v>129.06715358822112</c:v>
                </c:pt>
                <c:pt idx="6">
                  <c:v>124.57504043178554</c:v>
                </c:pt>
                <c:pt idx="7">
                  <c:v>128.07989717323377</c:v>
                </c:pt>
                <c:pt idx="8">
                  <c:v>133.2557134629038</c:v>
                </c:pt>
                <c:pt idx="9">
                  <c:v>133.36836119208834</c:v>
                </c:pt>
                <c:pt idx="10">
                  <c:v>140.27215233660229</c:v>
                </c:pt>
                <c:pt idx="11">
                  <c:v>132.1728119001817</c:v>
                </c:pt>
                <c:pt idx="12">
                  <c:v>132.6447057916254</c:v>
                </c:pt>
                <c:pt idx="13">
                  <c:v>133.64351216876128</c:v>
                </c:pt>
                <c:pt idx="14">
                  <c:v>134.85427709970233</c:v>
                </c:pt>
                <c:pt idx="15">
                  <c:v>135.96055204687522</c:v>
                </c:pt>
                <c:pt idx="16">
                  <c:v>136.96526351142228</c:v>
                </c:pt>
                <c:pt idx="17">
                  <c:v>137.97311167632796</c:v>
                </c:pt>
                <c:pt idx="18">
                  <c:v>139.0124330853711</c:v>
                </c:pt>
                <c:pt idx="19">
                  <c:v>139.99849325300397</c:v>
                </c:pt>
                <c:pt idx="20">
                  <c:v>141.09218853905134</c:v>
                </c:pt>
                <c:pt idx="21">
                  <c:v>142.18502260036081</c:v>
                </c:pt>
                <c:pt idx="22">
                  <c:v>143.29041705842309</c:v>
                </c:pt>
                <c:pt idx="23">
                  <c:v>144.41987746481189</c:v>
                </c:pt>
                <c:pt idx="24">
                  <c:v>145.56322039295188</c:v>
                </c:pt>
                <c:pt idx="25">
                  <c:v>146.85818967848303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C3D-4F0C-A75A-38C35ADEECD8}"/>
            </c:ext>
          </c:extLst>
        </c:ser>
        <c:ser>
          <c:idx val="3"/>
          <c:order val="3"/>
          <c:tx>
            <c:strRef>
              <c:f>'Occ F2'!$L$22</c:f>
              <c:strCache>
                <c:ptCount val="1"/>
                <c:pt idx="0">
                  <c:v>Administrative and secretarial occupations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F2'!$M$22:$AL$22</c:f>
              <c:numCache>
                <c:formatCode>#,##0</c:formatCode>
                <c:ptCount val="26"/>
                <c:pt idx="0">
                  <c:v>141.54060151342463</c:v>
                </c:pt>
                <c:pt idx="1">
                  <c:v>135.95689337113811</c:v>
                </c:pt>
                <c:pt idx="2">
                  <c:v>131.81309114252628</c:v>
                </c:pt>
                <c:pt idx="3">
                  <c:v>128.91079394633022</c:v>
                </c:pt>
                <c:pt idx="4">
                  <c:v>134.63453638177009</c:v>
                </c:pt>
                <c:pt idx="5">
                  <c:v>139.7507853057721</c:v>
                </c:pt>
                <c:pt idx="6">
                  <c:v>130.89544958396189</c:v>
                </c:pt>
                <c:pt idx="7">
                  <c:v>129.23931869572496</c:v>
                </c:pt>
                <c:pt idx="8">
                  <c:v>132.07647516653327</c:v>
                </c:pt>
                <c:pt idx="9">
                  <c:v>127.01400722188826</c:v>
                </c:pt>
                <c:pt idx="10">
                  <c:v>132.69109413528571</c:v>
                </c:pt>
                <c:pt idx="11">
                  <c:v>127.39304709287002</c:v>
                </c:pt>
                <c:pt idx="12">
                  <c:v>126.70357334531251</c:v>
                </c:pt>
                <c:pt idx="13">
                  <c:v>126.15868514653256</c:v>
                </c:pt>
                <c:pt idx="14">
                  <c:v>125.79732741385551</c:v>
                </c:pt>
                <c:pt idx="15">
                  <c:v>125.40307184476946</c:v>
                </c:pt>
                <c:pt idx="16">
                  <c:v>124.76670912375681</c:v>
                </c:pt>
                <c:pt idx="17">
                  <c:v>124.0560287158773</c:v>
                </c:pt>
                <c:pt idx="18">
                  <c:v>123.22651980166634</c:v>
                </c:pt>
                <c:pt idx="19">
                  <c:v>122.49570883920147</c:v>
                </c:pt>
                <c:pt idx="20">
                  <c:v>121.71148283646629</c:v>
                </c:pt>
                <c:pt idx="21">
                  <c:v>120.54198216885973</c:v>
                </c:pt>
                <c:pt idx="22">
                  <c:v>119.24079901524583</c:v>
                </c:pt>
                <c:pt idx="23">
                  <c:v>118.28075154896673</c:v>
                </c:pt>
                <c:pt idx="24">
                  <c:v>117.42512871773548</c:v>
                </c:pt>
                <c:pt idx="25">
                  <c:v>117.22320077750355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3D-4F0C-A75A-38C35ADEECD8}"/>
            </c:ext>
          </c:extLst>
        </c:ser>
        <c:ser>
          <c:idx val="4"/>
          <c:order val="4"/>
          <c:tx>
            <c:strRef>
              <c:f>'Occ F2'!$L$26</c:f>
              <c:strCache>
                <c:ptCount val="1"/>
                <c:pt idx="0">
                  <c:v>Skilled trades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F2'!$M$26:$AL$26</c:f>
              <c:numCache>
                <c:formatCode>#,##0</c:formatCode>
                <c:ptCount val="26"/>
                <c:pt idx="0">
                  <c:v>139.18215432650609</c:v>
                </c:pt>
                <c:pt idx="1">
                  <c:v>141.04445995047195</c:v>
                </c:pt>
                <c:pt idx="2">
                  <c:v>123.45861752502907</c:v>
                </c:pt>
                <c:pt idx="3">
                  <c:v>131.89001372944006</c:v>
                </c:pt>
                <c:pt idx="4">
                  <c:v>133.03370941060993</c:v>
                </c:pt>
                <c:pt idx="5">
                  <c:v>131.09623299099439</c:v>
                </c:pt>
                <c:pt idx="6">
                  <c:v>120.95925082817334</c:v>
                </c:pt>
                <c:pt idx="7">
                  <c:v>125.17678389369392</c:v>
                </c:pt>
                <c:pt idx="8">
                  <c:v>126.43427697040806</c:v>
                </c:pt>
                <c:pt idx="9">
                  <c:v>127.42869301830061</c:v>
                </c:pt>
                <c:pt idx="10">
                  <c:v>110.0423243300321</c:v>
                </c:pt>
                <c:pt idx="11">
                  <c:v>110.17977886558359</c:v>
                </c:pt>
                <c:pt idx="12">
                  <c:v>109.22324002012763</c:v>
                </c:pt>
                <c:pt idx="13">
                  <c:v>108.2019392427089</c:v>
                </c:pt>
                <c:pt idx="14">
                  <c:v>107.54446597892746</c:v>
                </c:pt>
                <c:pt idx="15">
                  <c:v>107.00085229603154</c:v>
                </c:pt>
                <c:pt idx="16">
                  <c:v>106.35377708570419</c:v>
                </c:pt>
                <c:pt idx="17">
                  <c:v>105.61316088936347</c:v>
                </c:pt>
                <c:pt idx="18">
                  <c:v>104.92349467117155</c:v>
                </c:pt>
                <c:pt idx="19">
                  <c:v>104.22137139674857</c:v>
                </c:pt>
                <c:pt idx="20">
                  <c:v>103.56450241980471</c:v>
                </c:pt>
                <c:pt idx="21">
                  <c:v>102.9273971170177</c:v>
                </c:pt>
                <c:pt idx="22">
                  <c:v>102.28728435651888</c:v>
                </c:pt>
                <c:pt idx="23">
                  <c:v>101.58275482592234</c:v>
                </c:pt>
                <c:pt idx="24">
                  <c:v>100.87195303507183</c:v>
                </c:pt>
                <c:pt idx="25">
                  <c:v>100.02736420050142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C3D-4F0C-A75A-38C35ADEECD8}"/>
            </c:ext>
          </c:extLst>
        </c:ser>
        <c:ser>
          <c:idx val="5"/>
          <c:order val="5"/>
          <c:tx>
            <c:strRef>
              <c:f>'Occ F2'!$L$32</c:f>
              <c:strCache>
                <c:ptCount val="1"/>
                <c:pt idx="0">
                  <c:v>Caring, leisure and other service occupations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F2'!$M$32:$AL$32</c:f>
              <c:numCache>
                <c:formatCode>#,##0</c:formatCode>
                <c:ptCount val="26"/>
                <c:pt idx="0">
                  <c:v>112.75020468010163</c:v>
                </c:pt>
                <c:pt idx="1">
                  <c:v>104.63994321208605</c:v>
                </c:pt>
                <c:pt idx="2">
                  <c:v>106.3252748485837</c:v>
                </c:pt>
                <c:pt idx="3">
                  <c:v>107.37490548390798</c:v>
                </c:pt>
                <c:pt idx="4">
                  <c:v>114.60391761629941</c:v>
                </c:pt>
                <c:pt idx="5">
                  <c:v>117.47035830653246</c:v>
                </c:pt>
                <c:pt idx="6">
                  <c:v>111.17858011059698</c:v>
                </c:pt>
                <c:pt idx="7">
                  <c:v>113.45924780168646</c:v>
                </c:pt>
                <c:pt idx="8">
                  <c:v>114.06807535848753</c:v>
                </c:pt>
                <c:pt idx="9">
                  <c:v>112.76379624437124</c:v>
                </c:pt>
                <c:pt idx="10">
                  <c:v>113.43549604886647</c:v>
                </c:pt>
                <c:pt idx="11">
                  <c:v>116.02344811035998</c:v>
                </c:pt>
                <c:pt idx="12">
                  <c:v>116.75449006860912</c:v>
                </c:pt>
                <c:pt idx="13">
                  <c:v>117.64029759921705</c:v>
                </c:pt>
                <c:pt idx="14">
                  <c:v>118.61513536170131</c:v>
                </c:pt>
                <c:pt idx="15">
                  <c:v>119.33219216526747</c:v>
                </c:pt>
                <c:pt idx="16">
                  <c:v>119.87567053288971</c:v>
                </c:pt>
                <c:pt idx="17">
                  <c:v>120.34328176846175</c:v>
                </c:pt>
                <c:pt idx="18">
                  <c:v>120.83422567781626</c:v>
                </c:pt>
                <c:pt idx="19">
                  <c:v>121.2617736037658</c:v>
                </c:pt>
                <c:pt idx="20">
                  <c:v>121.78672883734984</c:v>
                </c:pt>
                <c:pt idx="21">
                  <c:v>122.34248385703999</c:v>
                </c:pt>
                <c:pt idx="22">
                  <c:v>122.93788849136821</c:v>
                </c:pt>
                <c:pt idx="23">
                  <c:v>123.5554789996656</c:v>
                </c:pt>
                <c:pt idx="24">
                  <c:v>124.17999985595583</c:v>
                </c:pt>
                <c:pt idx="25">
                  <c:v>124.77661745115446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C3D-4F0C-A75A-38C35ADEECD8}"/>
            </c:ext>
          </c:extLst>
        </c:ser>
        <c:ser>
          <c:idx val="6"/>
          <c:order val="6"/>
          <c:tx>
            <c:strRef>
              <c:f>'Occ F2'!$L$37</c:f>
              <c:strCache>
                <c:ptCount val="1"/>
                <c:pt idx="0">
                  <c:v>Sales and customer service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F2'!$M$37:$AL$37</c:f>
              <c:numCache>
                <c:formatCode>#,##0</c:formatCode>
                <c:ptCount val="26"/>
                <c:pt idx="0">
                  <c:v>118.4848274275884</c:v>
                </c:pt>
                <c:pt idx="1">
                  <c:v>121.17112760464813</c:v>
                </c:pt>
                <c:pt idx="2">
                  <c:v>124.92867737300462</c:v>
                </c:pt>
                <c:pt idx="3">
                  <c:v>117.36772547631512</c:v>
                </c:pt>
                <c:pt idx="4">
                  <c:v>130.84414253896028</c:v>
                </c:pt>
                <c:pt idx="5">
                  <c:v>135.78940443127954</c:v>
                </c:pt>
                <c:pt idx="6">
                  <c:v>133.26622499394549</c:v>
                </c:pt>
                <c:pt idx="7">
                  <c:v>127.7823696496945</c:v>
                </c:pt>
                <c:pt idx="8">
                  <c:v>123.35201440098834</c:v>
                </c:pt>
                <c:pt idx="9">
                  <c:v>124.79456462617762</c:v>
                </c:pt>
                <c:pt idx="10">
                  <c:v>125.9627236836462</c:v>
                </c:pt>
                <c:pt idx="11">
                  <c:v>124.36587779681555</c:v>
                </c:pt>
                <c:pt idx="12">
                  <c:v>124.66446213259235</c:v>
                </c:pt>
                <c:pt idx="13">
                  <c:v>125.24842770751467</c:v>
                </c:pt>
                <c:pt idx="14">
                  <c:v>125.98733919619613</c:v>
                </c:pt>
                <c:pt idx="15">
                  <c:v>126.52753004348526</c:v>
                </c:pt>
                <c:pt idx="16">
                  <c:v>126.93881063620196</c:v>
                </c:pt>
                <c:pt idx="17">
                  <c:v>127.23974583543533</c:v>
                </c:pt>
                <c:pt idx="18">
                  <c:v>127.50183288571141</c:v>
                </c:pt>
                <c:pt idx="19">
                  <c:v>127.78739965304251</c:v>
                </c:pt>
                <c:pt idx="20">
                  <c:v>128.05091742130054</c:v>
                </c:pt>
                <c:pt idx="21">
                  <c:v>128.27110156283408</c:v>
                </c:pt>
                <c:pt idx="22">
                  <c:v>128.38947750189629</c:v>
                </c:pt>
                <c:pt idx="23">
                  <c:v>128.56208633000097</c:v>
                </c:pt>
                <c:pt idx="24">
                  <c:v>128.68075821551727</c:v>
                </c:pt>
                <c:pt idx="25">
                  <c:v>128.69100271062041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C3D-4F0C-A75A-38C35ADEECD8}"/>
            </c:ext>
          </c:extLst>
        </c:ser>
        <c:ser>
          <c:idx val="7"/>
          <c:order val="7"/>
          <c:tx>
            <c:strRef>
              <c:f>'Occ F2'!$L$41</c:f>
              <c:strCache>
                <c:ptCount val="1"/>
                <c:pt idx="0">
                  <c:v>Process, plant and machine operatives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F2'!$M$41:$AL$41</c:f>
              <c:numCache>
                <c:formatCode>#,##0</c:formatCode>
                <c:ptCount val="26"/>
                <c:pt idx="0">
                  <c:v>86.920406248173123</c:v>
                </c:pt>
                <c:pt idx="1">
                  <c:v>83.685436317109222</c:v>
                </c:pt>
                <c:pt idx="2">
                  <c:v>81.571484396954787</c:v>
                </c:pt>
                <c:pt idx="3">
                  <c:v>91.190976910718035</c:v>
                </c:pt>
                <c:pt idx="4">
                  <c:v>84.541863875822969</c:v>
                </c:pt>
                <c:pt idx="5">
                  <c:v>84.817279410842787</c:v>
                </c:pt>
                <c:pt idx="6">
                  <c:v>85.875114547076763</c:v>
                </c:pt>
                <c:pt idx="7">
                  <c:v>88.910490595653812</c:v>
                </c:pt>
                <c:pt idx="8">
                  <c:v>97.419645718230754</c:v>
                </c:pt>
                <c:pt idx="9">
                  <c:v>88.949306042931028</c:v>
                </c:pt>
                <c:pt idx="10">
                  <c:v>78.634537803995443</c:v>
                </c:pt>
                <c:pt idx="11">
                  <c:v>86.612211574718756</c:v>
                </c:pt>
                <c:pt idx="12">
                  <c:v>85.913337095299426</c:v>
                </c:pt>
                <c:pt idx="13">
                  <c:v>85.490196515739342</c:v>
                </c:pt>
                <c:pt idx="14">
                  <c:v>85.209293990012583</c:v>
                </c:pt>
                <c:pt idx="15">
                  <c:v>84.78395961297386</c:v>
                </c:pt>
                <c:pt idx="16">
                  <c:v>84.356843263611935</c:v>
                </c:pt>
                <c:pt idx="17">
                  <c:v>83.868182607799525</c:v>
                </c:pt>
                <c:pt idx="18">
                  <c:v>83.319223649504721</c:v>
                </c:pt>
                <c:pt idx="19">
                  <c:v>82.801882472888138</c:v>
                </c:pt>
                <c:pt idx="20">
                  <c:v>82.335716761217498</c:v>
                </c:pt>
                <c:pt idx="21">
                  <c:v>81.937767743018469</c:v>
                </c:pt>
                <c:pt idx="22">
                  <c:v>81.586137715725755</c:v>
                </c:pt>
                <c:pt idx="23">
                  <c:v>81.203093506102903</c:v>
                </c:pt>
                <c:pt idx="24">
                  <c:v>80.821683339556046</c:v>
                </c:pt>
                <c:pt idx="25">
                  <c:v>80.469926760747029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C3D-4F0C-A75A-38C35ADEECD8}"/>
            </c:ext>
          </c:extLst>
        </c:ser>
        <c:ser>
          <c:idx val="8"/>
          <c:order val="8"/>
          <c:tx>
            <c:strRef>
              <c:f>'Occ F2'!$L$45</c:f>
              <c:strCache>
                <c:ptCount val="1"/>
                <c:pt idx="0">
                  <c:v>Elementary occupations</c:v>
                </c:pt>
              </c:strCache>
            </c:strRef>
          </c:tx>
          <c:spPr>
            <a:solidFill>
              <a:schemeClr val="bg1"/>
            </a:solidFill>
            <a:ln w="12700" cmpd="sng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F2'!$M$45:$AL$45</c:f>
              <c:numCache>
                <c:formatCode>#,##0</c:formatCode>
                <c:ptCount val="26"/>
                <c:pt idx="0">
                  <c:v>145.28232327942061</c:v>
                </c:pt>
                <c:pt idx="1">
                  <c:v>141.02098151401603</c:v>
                </c:pt>
                <c:pt idx="2">
                  <c:v>135.15099211488129</c:v>
                </c:pt>
                <c:pt idx="3">
                  <c:v>139.89723420608368</c:v>
                </c:pt>
                <c:pt idx="4">
                  <c:v>141.97540442020031</c:v>
                </c:pt>
                <c:pt idx="5">
                  <c:v>149.64446770585877</c:v>
                </c:pt>
                <c:pt idx="6">
                  <c:v>144.56798580024372</c:v>
                </c:pt>
                <c:pt idx="7">
                  <c:v>153.87606216885106</c:v>
                </c:pt>
                <c:pt idx="8">
                  <c:v>146.14505336474551</c:v>
                </c:pt>
                <c:pt idx="9">
                  <c:v>143.17585623854376</c:v>
                </c:pt>
                <c:pt idx="10">
                  <c:v>133.81868649587605</c:v>
                </c:pt>
                <c:pt idx="11">
                  <c:v>133.88541479388488</c:v>
                </c:pt>
                <c:pt idx="12">
                  <c:v>132.38379247858012</c:v>
                </c:pt>
                <c:pt idx="13">
                  <c:v>131.67078274559302</c:v>
                </c:pt>
                <c:pt idx="14">
                  <c:v>131.42215736990141</c:v>
                </c:pt>
                <c:pt idx="15">
                  <c:v>131.22981971569683</c:v>
                </c:pt>
                <c:pt idx="16">
                  <c:v>131.08402034928224</c:v>
                </c:pt>
                <c:pt idx="17">
                  <c:v>130.90313443859333</c:v>
                </c:pt>
                <c:pt idx="18">
                  <c:v>130.81051039590835</c:v>
                </c:pt>
                <c:pt idx="19">
                  <c:v>130.70914724103849</c:v>
                </c:pt>
                <c:pt idx="20">
                  <c:v>130.61562143779059</c:v>
                </c:pt>
                <c:pt idx="21">
                  <c:v>130.50049522947177</c:v>
                </c:pt>
                <c:pt idx="22">
                  <c:v>130.45756668185888</c:v>
                </c:pt>
                <c:pt idx="23">
                  <c:v>130.37070298808098</c:v>
                </c:pt>
                <c:pt idx="24">
                  <c:v>130.23862595225572</c:v>
                </c:pt>
                <c:pt idx="25">
                  <c:v>130.05371150291043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C3D-4F0C-A75A-38C35ADEEC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342512"/>
        <c:axId val="250342904"/>
      </c:areaChart>
      <c:catAx>
        <c:axId val="25034251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03429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034290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034251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7.0886092785699087E-2"/>
          <c:y val="0.85872628043372545"/>
          <c:w val="0.9100947010002125"/>
          <c:h val="0.13435190395150617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7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radarChart>
        <c:radarStyle val="marker"/>
        <c:varyColors val="0"/>
        <c:ser>
          <c:idx val="0"/>
          <c:order val="0"/>
          <c:tx>
            <c:strRef>
              <c:f>'Occ T1'!$F$6</c:f>
              <c:strCache>
                <c:ptCount val="1"/>
                <c:pt idx="0">
                  <c:v>2035</c:v>
                </c:pt>
              </c:strCache>
            </c:strRef>
          </c:tx>
          <c:marker>
            <c:symbol val="none"/>
          </c:marker>
          <c:cat>
            <c:strRef>
              <c:f>'Occ T1'!$A$8:$A$16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T1'!$F$8:$F$16</c:f>
              <c:numCache>
                <c:formatCode>#,##0</c:formatCode>
                <c:ptCount val="9"/>
                <c:pt idx="0">
                  <c:v>116.10988402493876</c:v>
                </c:pt>
                <c:pt idx="1">
                  <c:v>306.78710289335356</c:v>
                </c:pt>
                <c:pt idx="2">
                  <c:v>146.85818967848303</c:v>
                </c:pt>
                <c:pt idx="3">
                  <c:v>117.22320077750355</c:v>
                </c:pt>
                <c:pt idx="4">
                  <c:v>100.02736420050142</c:v>
                </c:pt>
                <c:pt idx="5">
                  <c:v>124.77661745115446</c:v>
                </c:pt>
                <c:pt idx="6">
                  <c:v>128.69100271062041</c:v>
                </c:pt>
                <c:pt idx="7">
                  <c:v>80.469926760747029</c:v>
                </c:pt>
                <c:pt idx="8">
                  <c:v>130.05371150291043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CB-48C7-87FF-8D2305D66F7C}"/>
            </c:ext>
          </c:extLst>
        </c:ser>
        <c:ser>
          <c:idx val="1"/>
          <c:order val="1"/>
          <c:tx>
            <c:strRef>
              <c:f>'Occ T1'!$D$6</c:f>
              <c:strCache>
                <c:ptCount val="1"/>
                <c:pt idx="0">
                  <c:v>2020</c:v>
                </c:pt>
              </c:strCache>
            </c:strRef>
          </c:tx>
          <c:marker>
            <c:symbol val="none"/>
          </c:marker>
          <c:cat>
            <c:strRef>
              <c:f>'Occ T1'!$A$8:$A$16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T1'!$D$8:$D$16</c:f>
              <c:numCache>
                <c:formatCode>#,##0</c:formatCode>
                <c:ptCount val="9"/>
                <c:pt idx="0">
                  <c:v>99.727748084257215</c:v>
                </c:pt>
                <c:pt idx="1">
                  <c:v>254.75423708172923</c:v>
                </c:pt>
                <c:pt idx="2">
                  <c:v>140.27215233660229</c:v>
                </c:pt>
                <c:pt idx="3">
                  <c:v>132.69109413528571</c:v>
                </c:pt>
                <c:pt idx="4">
                  <c:v>110.0423243300321</c:v>
                </c:pt>
                <c:pt idx="5">
                  <c:v>113.43549604886647</c:v>
                </c:pt>
                <c:pt idx="6">
                  <c:v>125.9627236836462</c:v>
                </c:pt>
                <c:pt idx="7">
                  <c:v>78.634537803995443</c:v>
                </c:pt>
                <c:pt idx="8">
                  <c:v>133.81868649587605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BCB-48C7-87FF-8D2305D66F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343688"/>
        <c:axId val="250344080"/>
      </c:radarChart>
      <c:catAx>
        <c:axId val="25034368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4080"/>
        <c:crosses val="autoZero"/>
        <c:auto val="1"/>
        <c:lblAlgn val="ctr"/>
        <c:lblOffset val="100"/>
        <c:noMultiLvlLbl val="0"/>
      </c:catAx>
      <c:valAx>
        <c:axId val="250344080"/>
        <c:scaling>
          <c:orientation val="minMax"/>
        </c:scaling>
        <c:delete val="0"/>
        <c:axPos val="l"/>
        <c:majorGridlines/>
        <c:numFmt formatCode="#,##0" sourceLinked="1"/>
        <c:majorTickMark val="cross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3688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lang="en-US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081" l="0.70000000000000062" r="0.70000000000000062" t="0.7500000000000081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sz="900"/>
              <a:t>% of total employment</a:t>
            </a:r>
          </a:p>
        </c:rich>
      </c:tx>
      <c:layout>
        <c:manualLayout>
          <c:xMode val="edge"/>
          <c:yMode val="edge"/>
          <c:x val="0.72238188976377971"/>
          <c:y val="5.5555555555555455E-2"/>
        </c:manualLayout>
      </c:layout>
      <c:overlay val="0"/>
    </c:title>
    <c:autoTitleDeleted val="0"/>
    <c:plotArea>
      <c:layout/>
      <c:radarChart>
        <c:radarStyle val="marker"/>
        <c:varyColors val="0"/>
        <c:ser>
          <c:idx val="0"/>
          <c:order val="0"/>
          <c:tx>
            <c:strRef>
              <c:f>'Occ T1'!$F$24</c:f>
              <c:strCache>
                <c:ptCount val="1"/>
                <c:pt idx="0">
                  <c:v>2035</c:v>
                </c:pt>
              </c:strCache>
            </c:strRef>
          </c:tx>
          <c:marker>
            <c:symbol val="none"/>
          </c:marker>
          <c:cat>
            <c:strRef>
              <c:f>'Occ T1'!$A$26:$A$34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T1'!$F$26:$F$34</c:f>
              <c:numCache>
                <c:formatCode>0.0</c:formatCode>
                <c:ptCount val="9"/>
                <c:pt idx="0">
                  <c:v>9.2813878870148407</c:v>
                </c:pt>
                <c:pt idx="1">
                  <c:v>24.523408360955422</c:v>
                </c:pt>
                <c:pt idx="2">
                  <c:v>11.739291915045207</c:v>
                </c:pt>
                <c:pt idx="3">
                  <c:v>9.3703822453198242</c:v>
                </c:pt>
                <c:pt idx="4">
                  <c:v>7.995811676645463</c:v>
                </c:pt>
                <c:pt idx="5">
                  <c:v>9.97417399491232</c:v>
                </c:pt>
                <c:pt idx="6">
                  <c:v>10.287075245631968</c:v>
                </c:pt>
                <c:pt idx="7">
                  <c:v>6.432463607885019</c:v>
                </c:pt>
                <c:pt idx="8">
                  <c:v>10.396005066589955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49F-433A-BBDE-5FE09C22A8FF}"/>
            </c:ext>
          </c:extLst>
        </c:ser>
        <c:ser>
          <c:idx val="1"/>
          <c:order val="1"/>
          <c:tx>
            <c:strRef>
              <c:f>'Occ T1'!$D$24</c:f>
              <c:strCache>
                <c:ptCount val="1"/>
                <c:pt idx="0">
                  <c:v>2020</c:v>
                </c:pt>
              </c:strCache>
            </c:strRef>
          </c:tx>
          <c:marker>
            <c:symbol val="none"/>
          </c:marker>
          <c:cat>
            <c:strRef>
              <c:f>'Occ T1'!$A$26:$A$34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T1'!$D$26:$D$34</c:f>
              <c:numCache>
                <c:formatCode>0.0</c:formatCode>
                <c:ptCount val="9"/>
                <c:pt idx="0">
                  <c:v>8.3851406608404186</c:v>
                </c:pt>
                <c:pt idx="1">
                  <c:v>21.419816980832795</c:v>
                </c:pt>
                <c:pt idx="2">
                  <c:v>11.794127018164543</c:v>
                </c:pt>
                <c:pt idx="3">
                  <c:v>11.156709242297888</c:v>
                </c:pt>
                <c:pt idx="4">
                  <c:v>9.2523935000874609</c:v>
                </c:pt>
                <c:pt idx="5">
                  <c:v>9.5376924534416787</c:v>
                </c:pt>
                <c:pt idx="6">
                  <c:v>10.590985722625375</c:v>
                </c:pt>
                <c:pt idx="7">
                  <c:v>6.6116168564199285</c:v>
                </c:pt>
                <c:pt idx="8">
                  <c:v>11.251517565289907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49F-433A-BBDE-5FE09C22A8FF}"/>
            </c:ext>
          </c:extLst>
        </c:ser>
        <c:ser>
          <c:idx val="2"/>
          <c:order val="2"/>
          <c:tx>
            <c:strRef>
              <c:f>'Occ T1'!$B$24</c:f>
              <c:strCache>
                <c:ptCount val="1"/>
                <c:pt idx="0">
                  <c:v>2015</c:v>
                </c:pt>
              </c:strCache>
            </c:strRef>
          </c:tx>
          <c:marker>
            <c:symbol val="none"/>
          </c:marker>
          <c:cat>
            <c:strRef>
              <c:f>'Occ T1'!$A$26:$A$34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T1'!$B$26:$B$34</c:f>
              <c:numCache>
                <c:formatCode>0.0</c:formatCode>
                <c:ptCount val="9"/>
                <c:pt idx="0">
                  <c:v>7.3343026451269235</c:v>
                </c:pt>
                <c:pt idx="1">
                  <c:v>19.167852128166945</c:v>
                </c:pt>
                <c:pt idx="2">
                  <c:v>10.686994533262281</c:v>
                </c:pt>
                <c:pt idx="3">
                  <c:v>11.571618626895928</c:v>
                </c:pt>
                <c:pt idx="4">
                  <c:v>10.855005989950763</c:v>
                </c:pt>
                <c:pt idx="5">
                  <c:v>9.7267588394143072</c:v>
                </c:pt>
                <c:pt idx="6">
                  <c:v>11.243609101831641</c:v>
                </c:pt>
                <c:pt idx="7">
                  <c:v>7.0230246518164456</c:v>
                </c:pt>
                <c:pt idx="8">
                  <c:v>12.390833483534781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49F-433A-BBDE-5FE09C22A8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344864"/>
        <c:axId val="250345256"/>
      </c:radarChart>
      <c:catAx>
        <c:axId val="250344864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5256"/>
        <c:crosses val="autoZero"/>
        <c:auto val="1"/>
        <c:lblAlgn val="ctr"/>
        <c:lblOffset val="100"/>
        <c:noMultiLvlLbl val="0"/>
      </c:catAx>
      <c:valAx>
        <c:axId val="250345256"/>
        <c:scaling>
          <c:orientation val="minMax"/>
        </c:scaling>
        <c:delete val="0"/>
        <c:axPos val="l"/>
        <c:majorGridlines/>
        <c:numFmt formatCode="0.0" sourceLinked="1"/>
        <c:majorTickMark val="cross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4864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lang="en-US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081" l="0.70000000000000062" r="0.70000000000000062" t="0.7500000000000081" header="0.30000000000000032" footer="0.30000000000000032"/>
    <c:pageSetup orientation="portrait"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4000718237922956E-2"/>
          <c:y val="5.3619302949061684E-2"/>
          <c:w val="0.86958661417322847"/>
          <c:h val="0.74962385222351946"/>
        </c:manualLayout>
      </c:layout>
      <c:lineChart>
        <c:grouping val="standard"/>
        <c:varyColors val="0"/>
        <c:ser>
          <c:idx val="0"/>
          <c:order val="0"/>
          <c:tx>
            <c:strRef>
              <c:f>'Occ F2'!$L$52</c:f>
              <c:strCache>
                <c:ptCount val="1"/>
                <c:pt idx="0">
                  <c:v>Managers, directors and senior officials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'Occ F2'!$M$4:$AG$4</c:f>
              <c:numCache>
                <c:formatCode>0</c:formatCode>
                <c:ptCount val="21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</c:numCache>
            </c:numRef>
          </c:cat>
          <c:val>
            <c:numRef>
              <c:f>'Occ F2'!$M$52:$AL$52</c:f>
              <c:numCache>
                <c:formatCode>0%</c:formatCode>
                <c:ptCount val="26"/>
                <c:pt idx="0">
                  <c:v>6.4924847441326761E-2</c:v>
                </c:pt>
                <c:pt idx="1">
                  <c:v>7.0877791244100694E-2</c:v>
                </c:pt>
                <c:pt idx="2">
                  <c:v>7.1990227817176497E-2</c:v>
                </c:pt>
                <c:pt idx="3">
                  <c:v>7.4608024880229495E-2</c:v>
                </c:pt>
                <c:pt idx="4">
                  <c:v>7.1120811401198455E-2</c:v>
                </c:pt>
                <c:pt idx="5">
                  <c:v>7.3343026451269236E-2</c:v>
                </c:pt>
                <c:pt idx="6">
                  <c:v>7.0498818728102181E-2</c:v>
                </c:pt>
                <c:pt idx="7">
                  <c:v>7.2720602352511737E-2</c:v>
                </c:pt>
                <c:pt idx="8">
                  <c:v>7.570101560350441E-2</c:v>
                </c:pt>
                <c:pt idx="9">
                  <c:v>8.3440641683514588E-2</c:v>
                </c:pt>
                <c:pt idx="10">
                  <c:v>8.3851406608404191E-2</c:v>
                </c:pt>
                <c:pt idx="11">
                  <c:v>8.1790927278273334E-2</c:v>
                </c:pt>
                <c:pt idx="12">
                  <c:v>8.2309036876815553E-2</c:v>
                </c:pt>
                <c:pt idx="13">
                  <c:v>8.3012411679290854E-2</c:v>
                </c:pt>
                <c:pt idx="14">
                  <c:v>8.3773069043156179E-2</c:v>
                </c:pt>
                <c:pt idx="15">
                  <c:v>8.4547869429251854E-2</c:v>
                </c:pt>
                <c:pt idx="16">
                  <c:v>8.5322264314821691E-2</c:v>
                </c:pt>
                <c:pt idx="17">
                  <c:v>8.6162404167870146E-2</c:v>
                </c:pt>
                <c:pt idx="18">
                  <c:v>8.7025193137439949E-2</c:v>
                </c:pt>
                <c:pt idx="19">
                  <c:v>8.7873280749873398E-2</c:v>
                </c:pt>
                <c:pt idx="20">
                  <c:v>8.8721969308385329E-2</c:v>
                </c:pt>
                <c:pt idx="21">
                  <c:v>8.9663321772355115E-2</c:v>
                </c:pt>
                <c:pt idx="22">
                  <c:v>9.0692707452730587E-2</c:v>
                </c:pt>
                <c:pt idx="23">
                  <c:v>9.1547142461533254E-2</c:v>
                </c:pt>
                <c:pt idx="24">
                  <c:v>9.2365394252552996E-2</c:v>
                </c:pt>
                <c:pt idx="25">
                  <c:v>9.2813878870148414E-2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9AAC-4C4B-BBFD-BAF66A5040A1}"/>
            </c:ext>
          </c:extLst>
        </c:ser>
        <c:ser>
          <c:idx val="1"/>
          <c:order val="1"/>
          <c:tx>
            <c:strRef>
              <c:f>'Occ F2'!$L$56</c:f>
              <c:strCache>
                <c:ptCount val="1"/>
                <c:pt idx="0">
                  <c:v>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F2'!$M$4:$AG$4</c:f>
              <c:numCache>
                <c:formatCode>0</c:formatCode>
                <c:ptCount val="21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</c:numCache>
            </c:numRef>
          </c:cat>
          <c:val>
            <c:numRef>
              <c:f>'Occ F2'!$M$56:$AL$56</c:f>
              <c:numCache>
                <c:formatCode>0%</c:formatCode>
                <c:ptCount val="26"/>
                <c:pt idx="0">
                  <c:v>0.190273737896544</c:v>
                </c:pt>
                <c:pt idx="1">
                  <c:v>0.18486886022294072</c:v>
                </c:pt>
                <c:pt idx="2">
                  <c:v>0.19254795306754241</c:v>
                </c:pt>
                <c:pt idx="3">
                  <c:v>0.18794990579105325</c:v>
                </c:pt>
                <c:pt idx="4">
                  <c:v>0.18938233117387726</c:v>
                </c:pt>
                <c:pt idx="5">
                  <c:v>0.19167852128166946</c:v>
                </c:pt>
                <c:pt idx="6">
                  <c:v>0.19416070029575438</c:v>
                </c:pt>
                <c:pt idx="7">
                  <c:v>0.1912652553773404</c:v>
                </c:pt>
                <c:pt idx="8">
                  <c:v>0.19528580124917547</c:v>
                </c:pt>
                <c:pt idx="9">
                  <c:v>0.19891139671424754</c:v>
                </c:pt>
                <c:pt idx="10">
                  <c:v>0.21419816980832795</c:v>
                </c:pt>
                <c:pt idx="11">
                  <c:v>0.22050161441971117</c:v>
                </c:pt>
                <c:pt idx="12">
                  <c:v>0.22313404564057329</c:v>
                </c:pt>
                <c:pt idx="13">
                  <c:v>0.2251537537256656</c:v>
                </c:pt>
                <c:pt idx="14">
                  <c:v>0.22700529246547066</c:v>
                </c:pt>
                <c:pt idx="15">
                  <c:v>0.22861025273333013</c:v>
                </c:pt>
                <c:pt idx="16">
                  <c:v>0.23021484759526636</c:v>
                </c:pt>
                <c:pt idx="17">
                  <c:v>0.23186624208784035</c:v>
                </c:pt>
                <c:pt idx="18">
                  <c:v>0.23350581627161301</c:v>
                </c:pt>
                <c:pt idx="19">
                  <c:v>0.23513982225660571</c:v>
                </c:pt>
                <c:pt idx="20">
                  <c:v>0.2368002181457842</c:v>
                </c:pt>
                <c:pt idx="21">
                  <c:v>0.23856447572157052</c:v>
                </c:pt>
                <c:pt idx="22">
                  <c:v>0.24028971480552166</c:v>
                </c:pt>
                <c:pt idx="23">
                  <c:v>0.24198092333203522</c:v>
                </c:pt>
                <c:pt idx="24">
                  <c:v>0.24365820598850724</c:v>
                </c:pt>
                <c:pt idx="25">
                  <c:v>0.2452340836095542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9AAC-4C4B-BBFD-BAF66A5040A1}"/>
            </c:ext>
          </c:extLst>
        </c:ser>
        <c:ser>
          <c:idx val="2"/>
          <c:order val="2"/>
          <c:tx>
            <c:strRef>
              <c:f>'Occ F2'!$L$62</c:f>
              <c:strCache>
                <c:ptCount val="1"/>
                <c:pt idx="0">
                  <c:v>Associate 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F2'!$M$4:$AG$4</c:f>
              <c:numCache>
                <c:formatCode>0</c:formatCode>
                <c:ptCount val="21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</c:numCache>
            </c:numRef>
          </c:cat>
          <c:val>
            <c:numRef>
              <c:f>'Occ F2'!$M$62:$AL$62</c:f>
              <c:numCache>
                <c:formatCode>0%</c:formatCode>
                <c:ptCount val="26"/>
                <c:pt idx="0">
                  <c:v>0.10961749647737638</c:v>
                </c:pt>
                <c:pt idx="1">
                  <c:v>0.10880966138656228</c:v>
                </c:pt>
                <c:pt idx="2">
                  <c:v>0.11081709931868723</c:v>
                </c:pt>
                <c:pt idx="3">
                  <c:v>0.10936985757664398</c:v>
                </c:pt>
                <c:pt idx="4">
                  <c:v>0.10714548724154689</c:v>
                </c:pt>
                <c:pt idx="5">
                  <c:v>0.10686994533262281</c:v>
                </c:pt>
                <c:pt idx="6">
                  <c:v>0.10760386625053492</c:v>
                </c:pt>
                <c:pt idx="7">
                  <c:v>0.10878936667437814</c:v>
                </c:pt>
                <c:pt idx="8">
                  <c:v>0.11130911740280008</c:v>
                </c:pt>
                <c:pt idx="9">
                  <c:v>0.11161765248713795</c:v>
                </c:pt>
                <c:pt idx="10">
                  <c:v>0.11794127018164544</c:v>
                </c:pt>
                <c:pt idx="11">
                  <c:v>0.11102135618418645</c:v>
                </c:pt>
                <c:pt idx="12">
                  <c:v>0.11122863347385355</c:v>
                </c:pt>
                <c:pt idx="13">
                  <c:v>0.11165832328816776</c:v>
                </c:pt>
                <c:pt idx="14">
                  <c:v>0.11205826437732229</c:v>
                </c:pt>
                <c:pt idx="15">
                  <c:v>0.11247787186941718</c:v>
                </c:pt>
                <c:pt idx="16">
                  <c:v>0.11290256552597978</c:v>
                </c:pt>
                <c:pt idx="17">
                  <c:v>0.11336637348043255</c:v>
                </c:pt>
                <c:pt idx="18">
                  <c:v>0.11385176277157391</c:v>
                </c:pt>
                <c:pt idx="19">
                  <c:v>0.11428905585032077</c:v>
                </c:pt>
                <c:pt idx="20">
                  <c:v>0.11477142752241458</c:v>
                </c:pt>
                <c:pt idx="21">
                  <c:v>0.11525911113076424</c:v>
                </c:pt>
                <c:pt idx="22">
                  <c:v>0.11575104433999955</c:v>
                </c:pt>
                <c:pt idx="23">
                  <c:v>0.11624967497612669</c:v>
                </c:pt>
                <c:pt idx="24">
                  <c:v>0.11675853863581463</c:v>
                </c:pt>
                <c:pt idx="25">
                  <c:v>0.11739291915045207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9AAC-4C4B-BBFD-BAF66A5040A1}"/>
            </c:ext>
          </c:extLst>
        </c:ser>
        <c:ser>
          <c:idx val="3"/>
          <c:order val="3"/>
          <c:tx>
            <c:strRef>
              <c:f>'Occ F2'!$L$69</c:f>
              <c:strCache>
                <c:ptCount val="1"/>
                <c:pt idx="0">
                  <c:v>Administrative and secretarial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F2'!$M$4:$AG$4</c:f>
              <c:numCache>
                <c:formatCode>0</c:formatCode>
                <c:ptCount val="21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</c:numCache>
            </c:numRef>
          </c:cat>
          <c:val>
            <c:numRef>
              <c:f>'Occ F2'!$M$69:$AL$69</c:f>
              <c:numCache>
                <c:formatCode>0%</c:formatCode>
                <c:ptCount val="26"/>
                <c:pt idx="0">
                  <c:v>0.12081306618705183</c:v>
                </c:pt>
                <c:pt idx="1">
                  <c:v>0.11875011976713994</c:v>
                </c:pt>
                <c:pt idx="2">
                  <c:v>0.117080084543899</c:v>
                </c:pt>
                <c:pt idx="3">
                  <c:v>0.11298034004012619</c:v>
                </c:pt>
                <c:pt idx="4">
                  <c:v>0.11510609647767153</c:v>
                </c:pt>
                <c:pt idx="5">
                  <c:v>0.11571618626895928</c:v>
                </c:pt>
                <c:pt idx="6">
                  <c:v>0.11306323000993782</c:v>
                </c:pt>
                <c:pt idx="7">
                  <c:v>0.10977416394486515</c:v>
                </c:pt>
                <c:pt idx="8">
                  <c:v>0.11032409416765658</c:v>
                </c:pt>
                <c:pt idx="9">
                  <c:v>0.1062996140341909</c:v>
                </c:pt>
                <c:pt idx="10">
                  <c:v>0.11156709242297888</c:v>
                </c:pt>
                <c:pt idx="11">
                  <c:v>0.10700649137560579</c:v>
                </c:pt>
                <c:pt idx="12">
                  <c:v>0.10624672304368034</c:v>
                </c:pt>
                <c:pt idx="13">
                  <c:v>0.10540479685922541</c:v>
                </c:pt>
                <c:pt idx="14">
                  <c:v>0.10453231796927197</c:v>
                </c:pt>
                <c:pt idx="15">
                  <c:v>0.10374384653957774</c:v>
                </c:pt>
                <c:pt idx="16">
                  <c:v>0.10284711021733671</c:v>
                </c:pt>
                <c:pt idx="17">
                  <c:v>0.10193132497363494</c:v>
                </c:pt>
                <c:pt idx="18">
                  <c:v>0.10092303392035488</c:v>
                </c:pt>
                <c:pt idx="19">
                  <c:v>0.10000049703140453</c:v>
                </c:pt>
                <c:pt idx="20">
                  <c:v>9.9006194287962104E-2</c:v>
                </c:pt>
                <c:pt idx="21">
                  <c:v>9.7714664066790038E-2</c:v>
                </c:pt>
                <c:pt idx="22">
                  <c:v>9.6323587419828452E-2</c:v>
                </c:pt>
                <c:pt idx="23">
                  <c:v>9.5209185638934005E-2</c:v>
                </c:pt>
                <c:pt idx="24">
                  <c:v>9.4188534653147013E-2</c:v>
                </c:pt>
                <c:pt idx="25">
                  <c:v>9.3703822453198249E-2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9AAC-4C4B-BBFD-BAF66A5040A1}"/>
            </c:ext>
          </c:extLst>
        </c:ser>
        <c:ser>
          <c:idx val="4"/>
          <c:order val="4"/>
          <c:tx>
            <c:strRef>
              <c:f>'Occ F2'!$L$73</c:f>
              <c:strCache>
                <c:ptCount val="1"/>
                <c:pt idx="0">
                  <c:v>Skilled trades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tar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F2'!$M$4:$AG$4</c:f>
              <c:numCache>
                <c:formatCode>0</c:formatCode>
                <c:ptCount val="21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</c:numCache>
            </c:numRef>
          </c:cat>
          <c:val>
            <c:numRef>
              <c:f>'Occ F2'!$M$73:$AL$73</c:f>
              <c:numCache>
                <c:formatCode>0%</c:formatCode>
                <c:ptCount val="26"/>
                <c:pt idx="0">
                  <c:v>0.11879999549888726</c:v>
                </c:pt>
                <c:pt idx="1">
                  <c:v>0.12319380133148675</c:v>
                </c:pt>
                <c:pt idx="2">
                  <c:v>0.10965940675705683</c:v>
                </c:pt>
                <c:pt idx="3">
                  <c:v>0.11559139574652541</c:v>
                </c:pt>
                <c:pt idx="4">
                  <c:v>0.11373746589640731</c:v>
                </c:pt>
                <c:pt idx="5">
                  <c:v>0.10855005989950763</c:v>
                </c:pt>
                <c:pt idx="6">
                  <c:v>0.10448066484880461</c:v>
                </c:pt>
                <c:pt idx="7">
                  <c:v>0.10632350074197544</c:v>
                </c:pt>
                <c:pt idx="8">
                  <c:v>0.10561113976516336</c:v>
                </c:pt>
                <c:pt idx="9">
                  <c:v>0.10664666977291022</c:v>
                </c:pt>
                <c:pt idx="10">
                  <c:v>9.2523935000874608E-2</c:v>
                </c:pt>
                <c:pt idx="11">
                  <c:v>9.2547841707179695E-2</c:v>
                </c:pt>
                <c:pt idx="12">
                  <c:v>9.158866657000439E-2</c:v>
                </c:pt>
                <c:pt idx="13">
                  <c:v>9.0402047329560684E-2</c:v>
                </c:pt>
                <c:pt idx="14">
                  <c:v>8.9364953490312385E-2</c:v>
                </c:pt>
                <c:pt idx="15">
                  <c:v>8.8520000641966162E-2</c:v>
                </c:pt>
                <c:pt idx="16">
                  <c:v>8.7669048184270348E-2</c:v>
                </c:pt>
                <c:pt idx="17">
                  <c:v>8.6777640196447028E-2</c:v>
                </c:pt>
                <c:pt idx="18">
                  <c:v>8.59327799631458E-2</c:v>
                </c:pt>
                <c:pt idx="19">
                  <c:v>8.5082073810851089E-2</c:v>
                </c:pt>
                <c:pt idx="20">
                  <c:v>8.4244534771531196E-2</c:v>
                </c:pt>
                <c:pt idx="21">
                  <c:v>8.3435794331551086E-2</c:v>
                </c:pt>
                <c:pt idx="22">
                  <c:v>8.2628414586455923E-2</c:v>
                </c:pt>
                <c:pt idx="23">
                  <c:v>8.1768260983120608E-2</c:v>
                </c:pt>
                <c:pt idx="24">
                  <c:v>8.0910973210962175E-2</c:v>
                </c:pt>
                <c:pt idx="25">
                  <c:v>7.9958116766454632E-2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9AAC-4C4B-BBFD-BAF66A5040A1}"/>
            </c:ext>
          </c:extLst>
        </c:ser>
        <c:ser>
          <c:idx val="5"/>
          <c:order val="5"/>
          <c:tx>
            <c:strRef>
              <c:f>'Occ F2'!$L$79</c:f>
              <c:strCache>
                <c:ptCount val="1"/>
                <c:pt idx="0">
                  <c:v>Caring, leisure and other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F2'!$M$4:$AG$4</c:f>
              <c:numCache>
                <c:formatCode>0</c:formatCode>
                <c:ptCount val="21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</c:numCache>
            </c:numRef>
          </c:cat>
          <c:val>
            <c:numRef>
              <c:f>'Occ F2'!$M$79:$AL$79</c:f>
              <c:numCache>
                <c:formatCode>0%</c:formatCode>
                <c:ptCount val="26"/>
                <c:pt idx="0">
                  <c:v>9.6238802117347144E-2</c:v>
                </c:pt>
                <c:pt idx="1">
                  <c:v>9.139665875522146E-2</c:v>
                </c:pt>
                <c:pt idx="2">
                  <c:v>9.4441091249162348E-2</c:v>
                </c:pt>
                <c:pt idx="3">
                  <c:v>9.4105799537616469E-2</c:v>
                </c:pt>
                <c:pt idx="4">
                  <c:v>9.7980874390614842E-2</c:v>
                </c:pt>
                <c:pt idx="5">
                  <c:v>9.7267588394143067E-2</c:v>
                </c:pt>
                <c:pt idx="6">
                  <c:v>9.6032439746193465E-2</c:v>
                </c:pt>
                <c:pt idx="7">
                  <c:v>9.6370780927487201E-2</c:v>
                </c:pt>
                <c:pt idx="8">
                  <c:v>9.5281594027290403E-2</c:v>
                </c:pt>
                <c:pt idx="9">
                  <c:v>9.4373433922657443E-2</c:v>
                </c:pt>
                <c:pt idx="10">
                  <c:v>9.537692453441679E-2</c:v>
                </c:pt>
                <c:pt idx="11">
                  <c:v>9.7456355608940795E-2</c:v>
                </c:pt>
                <c:pt idx="12">
                  <c:v>9.7903963107797878E-2</c:v>
                </c:pt>
                <c:pt idx="13">
                  <c:v>9.8287737039284617E-2</c:v>
                </c:pt>
                <c:pt idx="14">
                  <c:v>9.856421674847074E-2</c:v>
                </c:pt>
                <c:pt idx="15">
                  <c:v>9.872151016005018E-2</c:v>
                </c:pt>
                <c:pt idx="16">
                  <c:v>9.8815352158115974E-2</c:v>
                </c:pt>
                <c:pt idx="17">
                  <c:v>9.8880725824530877E-2</c:v>
                </c:pt>
                <c:pt idx="18">
                  <c:v>9.8963735050295251E-2</c:v>
                </c:pt>
                <c:pt idx="19">
                  <c:v>9.8993162668287296E-2</c:v>
                </c:pt>
                <c:pt idx="20">
                  <c:v>9.9067403140317298E-2</c:v>
                </c:pt>
                <c:pt idx="21">
                  <c:v>9.9174200524103015E-2</c:v>
                </c:pt>
                <c:pt idx="22">
                  <c:v>9.9310123272432646E-2</c:v>
                </c:pt>
                <c:pt idx="23">
                  <c:v>9.9455037127630916E-2</c:v>
                </c:pt>
                <c:pt idx="24">
                  <c:v>9.9606722576186663E-2</c:v>
                </c:pt>
                <c:pt idx="25">
                  <c:v>9.9741739949123207E-2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9AAC-4C4B-BBFD-BAF66A5040A1}"/>
            </c:ext>
          </c:extLst>
        </c:ser>
        <c:ser>
          <c:idx val="6"/>
          <c:order val="6"/>
          <c:tx>
            <c:strRef>
              <c:f>'Occ F2'!$L$84</c:f>
              <c:strCache>
                <c:ptCount val="1"/>
                <c:pt idx="0">
                  <c:v>Sales and customer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F2'!$M$4:$AG$4</c:f>
              <c:numCache>
                <c:formatCode>0</c:formatCode>
                <c:ptCount val="21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</c:numCache>
            </c:numRef>
          </c:cat>
          <c:val>
            <c:numRef>
              <c:f>'Occ F2'!$M$84:$AL$84</c:f>
              <c:numCache>
                <c:formatCode>0%</c:formatCode>
                <c:ptCount val="26"/>
                <c:pt idx="0">
                  <c:v>0.1011336333540519</c:v>
                </c:pt>
                <c:pt idx="1">
                  <c:v>0.10583564803949821</c:v>
                </c:pt>
                <c:pt idx="2">
                  <c:v>0.11096515514512448</c:v>
                </c:pt>
                <c:pt idx="3">
                  <c:v>0.10286373334703793</c:v>
                </c:pt>
                <c:pt idx="4">
                  <c:v>0.11186549082711489</c:v>
                </c:pt>
                <c:pt idx="5">
                  <c:v>0.11243609101831641</c:v>
                </c:pt>
                <c:pt idx="6">
                  <c:v>0.11511102866399983</c:v>
                </c:pt>
                <c:pt idx="7">
                  <c:v>0.10853665074027448</c:v>
                </c:pt>
                <c:pt idx="8">
                  <c:v>0.10303651150127803</c:v>
                </c:pt>
                <c:pt idx="9">
                  <c:v>0.10444213471789052</c:v>
                </c:pt>
                <c:pt idx="10">
                  <c:v>0.10590985722625375</c:v>
                </c:pt>
                <c:pt idx="11">
                  <c:v>0.1044637563318745</c:v>
                </c:pt>
                <c:pt idx="12">
                  <c:v>0.10453683532265533</c:v>
                </c:pt>
                <c:pt idx="13">
                  <c:v>0.10464428242981581</c:v>
                </c:pt>
                <c:pt idx="14">
                  <c:v>0.10469020981370036</c:v>
                </c:pt>
                <c:pt idx="15">
                  <c:v>0.1046740918445105</c:v>
                </c:pt>
                <c:pt idx="16">
                  <c:v>0.10463760677865984</c:v>
                </c:pt>
                <c:pt idx="17">
                  <c:v>0.10454724382656741</c:v>
                </c:pt>
                <c:pt idx="18">
                  <c:v>0.10442453317632416</c:v>
                </c:pt>
                <c:pt idx="19">
                  <c:v>0.10432041743135305</c:v>
                </c:pt>
                <c:pt idx="20">
                  <c:v>0.10416300675589694</c:v>
                </c:pt>
                <c:pt idx="21">
                  <c:v>0.10398010197917093</c:v>
                </c:pt>
                <c:pt idx="22">
                  <c:v>0.1037139566496766</c:v>
                </c:pt>
                <c:pt idx="23">
                  <c:v>0.10348506737763156</c:v>
                </c:pt>
                <c:pt idx="24">
                  <c:v>0.10321685133946019</c:v>
                </c:pt>
                <c:pt idx="25">
                  <c:v>0.10287075245631969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9AAC-4C4B-BBFD-BAF66A5040A1}"/>
            </c:ext>
          </c:extLst>
        </c:ser>
        <c:ser>
          <c:idx val="7"/>
          <c:order val="7"/>
          <c:tx>
            <c:strRef>
              <c:f>'Occ F2'!$L$88</c:f>
              <c:strCache>
                <c:ptCount val="1"/>
                <c:pt idx="0">
                  <c:v>Process, plant and machine operatives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F2'!$M$4:$AG$4</c:f>
              <c:numCache>
                <c:formatCode>0</c:formatCode>
                <c:ptCount val="21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</c:numCache>
            </c:numRef>
          </c:cat>
          <c:val>
            <c:numRef>
              <c:f>'Occ F2'!$M$88:$AL$88</c:f>
              <c:numCache>
                <c:formatCode>0%</c:formatCode>
                <c:ptCount val="26"/>
                <c:pt idx="0">
                  <c:v>7.4191579524056056E-2</c:v>
                </c:pt>
                <c:pt idx="1">
                  <c:v>7.3094164915154775E-2</c:v>
                </c:pt>
                <c:pt idx="2">
                  <c:v>7.245408029495487E-2</c:v>
                </c:pt>
                <c:pt idx="3">
                  <c:v>7.9921837920365363E-2</c:v>
                </c:pt>
                <c:pt idx="4">
                  <c:v>7.2279254649034438E-2</c:v>
                </c:pt>
                <c:pt idx="5">
                  <c:v>7.0230246518164452E-2</c:v>
                </c:pt>
                <c:pt idx="6">
                  <c:v>7.4176129567727483E-2</c:v>
                </c:pt>
                <c:pt idx="7">
                  <c:v>7.5519392005186592E-2</c:v>
                </c:pt>
                <c:pt idx="8">
                  <c:v>8.1375083295084708E-2</c:v>
                </c:pt>
                <c:pt idx="9">
                  <c:v>7.444278869538154E-2</c:v>
                </c:pt>
                <c:pt idx="10">
                  <c:v>6.6116168564199287E-2</c:v>
                </c:pt>
                <c:pt idx="11">
                  <c:v>7.2751763792382088E-2</c:v>
                </c:pt>
                <c:pt idx="12">
                  <c:v>7.2042250199570432E-2</c:v>
                </c:pt>
                <c:pt idx="13">
                  <c:v>7.1426527525476763E-2</c:v>
                </c:pt>
                <c:pt idx="14">
                  <c:v>7.0805359671894941E-2</c:v>
                </c:pt>
                <c:pt idx="15">
                  <c:v>7.0140339990985553E-2</c:v>
                </c:pt>
                <c:pt idx="16">
                  <c:v>6.9536638560480604E-2</c:v>
                </c:pt>
                <c:pt idx="17">
                  <c:v>6.8910758024689656E-2</c:v>
                </c:pt>
                <c:pt idx="18">
                  <c:v>6.8238791845543073E-2</c:v>
                </c:pt>
                <c:pt idx="19">
                  <c:v>6.7596077290300066E-2</c:v>
                </c:pt>
                <c:pt idx="20">
                  <c:v>6.6975981070352644E-2</c:v>
                </c:pt>
                <c:pt idx="21">
                  <c:v>6.6421020339419004E-2</c:v>
                </c:pt>
                <c:pt idx="22">
                  <c:v>6.590587729542205E-2</c:v>
                </c:pt>
                <c:pt idx="23">
                  <c:v>6.5363808589579478E-2</c:v>
                </c:pt>
                <c:pt idx="24">
                  <c:v>6.4828337895649152E-2</c:v>
                </c:pt>
                <c:pt idx="25">
                  <c:v>6.4324636078850195E-2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9AAC-4C4B-BBFD-BAF66A5040A1}"/>
            </c:ext>
          </c:extLst>
        </c:ser>
        <c:ser>
          <c:idx val="8"/>
          <c:order val="8"/>
          <c:tx>
            <c:strRef>
              <c:f>'Occ F2'!$L$92</c:f>
              <c:strCache>
                <c:ptCount val="1"/>
                <c:pt idx="0">
                  <c:v>Elementary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F2'!$M$4:$AG$4</c:f>
              <c:numCache>
                <c:formatCode>0</c:formatCode>
                <c:ptCount val="21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</c:numCache>
            </c:numRef>
          </c:cat>
          <c:val>
            <c:numRef>
              <c:f>'Occ F2'!$M$92:$AL$92</c:f>
              <c:numCache>
                <c:formatCode>0%</c:formatCode>
                <c:ptCount val="26"/>
                <c:pt idx="0">
                  <c:v>0.12400684150335871</c:v>
                </c:pt>
                <c:pt idx="1">
                  <c:v>0.12317329433789521</c:v>
                </c:pt>
                <c:pt idx="2">
                  <c:v>0.12004490180639626</c:v>
                </c:pt>
                <c:pt idx="3">
                  <c:v>0.12260910516040194</c:v>
                </c:pt>
                <c:pt idx="4">
                  <c:v>0.12138218794253444</c:v>
                </c:pt>
                <c:pt idx="5">
                  <c:v>0.12390833483534781</c:v>
                </c:pt>
                <c:pt idx="6">
                  <c:v>0.12487312188894539</c:v>
                </c:pt>
                <c:pt idx="7">
                  <c:v>0.13070028723598082</c:v>
                </c:pt>
                <c:pt idx="8">
                  <c:v>0.12207564298804706</c:v>
                </c:pt>
                <c:pt idx="9">
                  <c:v>0.11982566797206937</c:v>
                </c:pt>
                <c:pt idx="10">
                  <c:v>0.11251517565289908</c:v>
                </c:pt>
                <c:pt idx="11">
                  <c:v>0.11245989330184632</c:v>
                </c:pt>
                <c:pt idx="12">
                  <c:v>0.11100984576504931</c:v>
                </c:pt>
                <c:pt idx="13">
                  <c:v>0.11001012012351245</c:v>
                </c:pt>
                <c:pt idx="14">
                  <c:v>0.10920631642040055</c:v>
                </c:pt>
                <c:pt idx="15">
                  <c:v>0.10856421679091074</c:v>
                </c:pt>
                <c:pt idx="16">
                  <c:v>0.10805456666506888</c:v>
                </c:pt>
                <c:pt idx="17">
                  <c:v>0.10755728741798713</c:v>
                </c:pt>
                <c:pt idx="18">
                  <c:v>0.10713435386371005</c:v>
                </c:pt>
                <c:pt idx="19">
                  <c:v>0.10670561291100403</c:v>
                </c:pt>
                <c:pt idx="20">
                  <c:v>0.1062492649973556</c:v>
                </c:pt>
                <c:pt idx="21">
                  <c:v>0.10578731013427631</c:v>
                </c:pt>
                <c:pt idx="22">
                  <c:v>0.10538457417793266</c:v>
                </c:pt>
                <c:pt idx="23">
                  <c:v>0.10494089951340829</c:v>
                </c:pt>
                <c:pt idx="24">
                  <c:v>0.10446644144771994</c:v>
                </c:pt>
                <c:pt idx="25">
                  <c:v>0.10396005066589956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9AAC-4C4B-BBFD-BAF66A5040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5610144"/>
        <c:axId val="315610536"/>
      </c:lineChart>
      <c:catAx>
        <c:axId val="31561014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5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1053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l">
                  <a:defRPr sz="14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sz="1400"/>
                  <a:t>%</a:t>
                </a:r>
              </a:p>
            </c:rich>
          </c:tx>
          <c:layout>
            <c:manualLayout>
              <c:xMode val="edge"/>
              <c:yMode val="edge"/>
              <c:x val="3.6734544583954032E-2"/>
              <c:y val="8.1044128159058985E-3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14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1.5142849542455844E-2"/>
          <c:y val="0.86539777165078335"/>
          <c:w val="0.96587039795701224"/>
          <c:h val="0.1221685144246559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5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F3'!$X$3</c:f>
          <c:strCache>
            <c:ptCount val="1"/>
            <c:pt idx="0">
              <c:v>2015-2019</c:v>
            </c:pt>
          </c:strCache>
        </c:strRef>
      </c:tx>
      <c:layout>
        <c:manualLayout>
          <c:xMode val="edge"/>
          <c:yMode val="edge"/>
          <c:x val="0.64754427755354116"/>
          <c:y val="3.378378378378378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52891197423851433"/>
          <c:y val="0.11438438438438442"/>
          <c:w val="0.43259004389157235"/>
          <c:h val="0.81895415100139513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F3'!$X$4:$X$12</c:f>
              <c:numCache>
                <c:formatCode>#,##0</c:formatCode>
                <c:ptCount val="9"/>
                <c:pt idx="0">
                  <c:v>11.123959572764221</c:v>
                </c:pt>
                <c:pt idx="1">
                  <c:v>6.1821375815614772</c:v>
                </c:pt>
                <c:pt idx="2">
                  <c:v>4.3012076038672262</c:v>
                </c:pt>
                <c:pt idx="3">
                  <c:v>-12.736778083883834</c:v>
                </c:pt>
                <c:pt idx="4">
                  <c:v>-3.6675399726937883</c:v>
                </c:pt>
                <c:pt idx="5">
                  <c:v>-4.7065620621612254</c:v>
                </c:pt>
                <c:pt idx="6">
                  <c:v>-10.994839805101918</c:v>
                </c:pt>
                <c:pt idx="7">
                  <c:v>4.1320266320882411</c:v>
                </c:pt>
                <c:pt idx="8">
                  <c:v>-6.4686114673150144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688-4B84-AE14-1F96EBE872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40"/>
          <c:min val="-4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F3'!$Y$3</c:f>
          <c:strCache>
            <c:ptCount val="1"/>
            <c:pt idx="0">
              <c:v>2019-2020</c:v>
            </c:pt>
          </c:strCache>
        </c:strRef>
      </c:tx>
      <c:layout>
        <c:manualLayout>
          <c:xMode val="edge"/>
          <c:yMode val="edge"/>
          <c:x val="0.3392222222222222"/>
          <c:y val="3.6786786786786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70166229221347"/>
          <c:y val="0.11438438438438442"/>
          <c:w val="0.79925678040244974"/>
          <c:h val="0.8249601570074011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F3'!$Y$4:$Y$12</c:f>
              <c:numCache>
                <c:formatCode>#,##0</c:formatCode>
                <c:ptCount val="9"/>
                <c:pt idx="0">
                  <c:v>2.7195437094619024E-2</c:v>
                </c:pt>
                <c:pt idx="1">
                  <c:v>17.081374312415051</c:v>
                </c:pt>
                <c:pt idx="2">
                  <c:v>6.9037911445139457</c:v>
                </c:pt>
                <c:pt idx="3">
                  <c:v>5.6770869133974458</c:v>
                </c:pt>
                <c:pt idx="4">
                  <c:v>-17.386368688268504</c:v>
                </c:pt>
                <c:pt idx="5">
                  <c:v>0.67169980449523337</c:v>
                </c:pt>
                <c:pt idx="6">
                  <c:v>1.1681590574685856</c:v>
                </c:pt>
                <c:pt idx="7">
                  <c:v>-10.314768238935585</c:v>
                </c:pt>
                <c:pt idx="8">
                  <c:v>-9.3571697426677076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805-4F18-AE05-2CED887AD0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40"/>
          <c:min val="-4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F3'!$Z$3</c:f>
          <c:strCache>
            <c:ptCount val="1"/>
            <c:pt idx="0">
              <c:v>2020-2025</c:v>
            </c:pt>
          </c:strCache>
        </c:strRef>
      </c:tx>
      <c:layout>
        <c:manualLayout>
          <c:xMode val="edge"/>
          <c:yMode val="edge"/>
          <c:x val="0.3392222222222222"/>
          <c:y val="3.6786786786786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70166229221347"/>
          <c:y val="0.11438438438438442"/>
          <c:w val="0.79925678040244974"/>
          <c:h val="0.8249601570074011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F3'!$Z$4:$Z$12</c:f>
              <c:numCache>
                <c:formatCode>#,##0</c:formatCode>
                <c:ptCount val="9"/>
                <c:pt idx="0">
                  <c:v>2.4716873329926585</c:v>
                </c:pt>
                <c:pt idx="1">
                  <c:v>21.584349776353406</c:v>
                </c:pt>
                <c:pt idx="2">
                  <c:v>-4.3116002897270675</c:v>
                </c:pt>
                <c:pt idx="3">
                  <c:v>-7.2880222905162526</c:v>
                </c:pt>
                <c:pt idx="4">
                  <c:v>-3.041472034000563</c:v>
                </c:pt>
                <c:pt idx="5">
                  <c:v>5.896696116401003</c:v>
                </c:pt>
                <c:pt idx="6">
                  <c:v>0.56480635983905358</c:v>
                </c:pt>
                <c:pt idx="7">
                  <c:v>6.1494218089784169</c:v>
                </c:pt>
                <c:pt idx="8">
                  <c:v>-2.5888667801792167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526-4BC6-8F56-053EC6BA91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40"/>
          <c:min val="-4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F3'!$AA$3</c:f>
          <c:strCache>
            <c:ptCount val="1"/>
            <c:pt idx="0">
              <c:v>2025-2035</c:v>
            </c:pt>
          </c:strCache>
        </c:strRef>
      </c:tx>
      <c:layout>
        <c:manualLayout>
          <c:xMode val="edge"/>
          <c:yMode val="edge"/>
          <c:x val="0.3392222222222222"/>
          <c:y val="3.6786786786786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70166229221347"/>
          <c:y val="0.11438438438438442"/>
          <c:w val="0.79925678040244974"/>
          <c:h val="0.8249601570074011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F3'!$AA$4:$AA$12</c:f>
              <c:numCache>
                <c:formatCode>#,##0</c:formatCode>
                <c:ptCount val="9"/>
                <c:pt idx="0">
                  <c:v>13.910448607688892</c:v>
                </c:pt>
                <c:pt idx="1">
                  <c:v>30.448516035270927</c:v>
                </c:pt>
                <c:pt idx="2">
                  <c:v>10.897637631607807</c:v>
                </c:pt>
                <c:pt idx="3">
                  <c:v>-8.179871067265907</c:v>
                </c:pt>
                <c:pt idx="4">
                  <c:v>-6.9734880955301151</c:v>
                </c:pt>
                <c:pt idx="5">
                  <c:v>5.444425285886993</c:v>
                </c:pt>
                <c:pt idx="6">
                  <c:v>2.163472667135153</c:v>
                </c:pt>
                <c:pt idx="7">
                  <c:v>-4.3140328522268305</c:v>
                </c:pt>
                <c:pt idx="8">
                  <c:v>-1.1761082127864029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587-435B-BBDD-CBBD5A579B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40"/>
          <c:min val="-4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F4'!$N$2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F4'!$M$3:$M$11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F4'!$N$3:$N$11</c:f>
              <c:numCache>
                <c:formatCode>#,##0</c:formatCode>
                <c:ptCount val="9"/>
                <c:pt idx="0">
                  <c:v>16.38213594068155</c:v>
                </c:pt>
                <c:pt idx="1">
                  <c:v>52.032865811624333</c:v>
                </c:pt>
                <c:pt idx="2">
                  <c:v>6.5860373418807399</c:v>
                </c:pt>
                <c:pt idx="3">
                  <c:v>-15.46789335778216</c:v>
                </c:pt>
                <c:pt idx="4">
                  <c:v>-10.014960129530678</c:v>
                </c:pt>
                <c:pt idx="5">
                  <c:v>11.341121402287996</c:v>
                </c:pt>
                <c:pt idx="6">
                  <c:v>2.7282790269742065</c:v>
                </c:pt>
                <c:pt idx="7">
                  <c:v>1.8353889567515864</c:v>
                </c:pt>
                <c:pt idx="8">
                  <c:v>-3.7649749929656195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42-418F-B6AC-18C214F21798}"/>
            </c:ext>
          </c:extLst>
        </c:ser>
        <c:ser>
          <c:idx val="1"/>
          <c:order val="1"/>
          <c:tx>
            <c:strRef>
              <c:f>'Occ F4'!$O$2</c:f>
              <c:strCache>
                <c:ptCount val="1"/>
                <c:pt idx="0">
                  <c:v>Females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F4'!$M$3:$M$11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F4'!$O$3:$O$11</c:f>
              <c:numCache>
                <c:formatCode>#,##0</c:formatCode>
                <c:ptCount val="9"/>
                <c:pt idx="0">
                  <c:v>9.1384137748647021</c:v>
                </c:pt>
                <c:pt idx="1">
                  <c:v>34.814664381153364</c:v>
                </c:pt>
                <c:pt idx="2">
                  <c:v>10.766636896626281</c:v>
                </c:pt>
                <c:pt idx="3">
                  <c:v>-18.069326131756583</c:v>
                </c:pt>
                <c:pt idx="4">
                  <c:v>1.7662740043236411</c:v>
                </c:pt>
                <c:pt idx="5">
                  <c:v>6.9227576317179569</c:v>
                </c:pt>
                <c:pt idx="6">
                  <c:v>-1.5926696859479108</c:v>
                </c:pt>
                <c:pt idx="7">
                  <c:v>1.2052448183146263</c:v>
                </c:pt>
                <c:pt idx="8">
                  <c:v>-0.97099568975553296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B42-418F-B6AC-18C214F21798}"/>
            </c:ext>
          </c:extLst>
        </c:ser>
        <c:ser>
          <c:idx val="2"/>
          <c:order val="2"/>
          <c:tx>
            <c:strRef>
              <c:f>'Occ F4'!$P$2</c:f>
              <c:strCache>
                <c:ptCount val="1"/>
                <c:pt idx="0">
                  <c:v>Males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F4'!$M$3:$M$11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F4'!$P$3:$P$11</c:f>
              <c:numCache>
                <c:formatCode>#,##0</c:formatCode>
                <c:ptCount val="9"/>
                <c:pt idx="0">
                  <c:v>7.2437221658166635</c:v>
                </c:pt>
                <c:pt idx="1">
                  <c:v>17.218201430471154</c:v>
                </c:pt>
                <c:pt idx="2">
                  <c:v>-4.1805995547456547</c:v>
                </c:pt>
                <c:pt idx="3">
                  <c:v>2.6014327739745511</c:v>
                </c:pt>
                <c:pt idx="4">
                  <c:v>-11.78123413385434</c:v>
                </c:pt>
                <c:pt idx="5">
                  <c:v>4.418363770570032</c:v>
                </c:pt>
                <c:pt idx="6">
                  <c:v>4.3209487129222097</c:v>
                </c:pt>
                <c:pt idx="7">
                  <c:v>0.63014413843706052</c:v>
                </c:pt>
                <c:pt idx="8">
                  <c:v>-2.7939793032102216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B42-418F-B6AC-18C214F217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5121867195352986"/>
          <c:y val="0.94622434214953921"/>
          <c:w val="0.34410578899983585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F5'!$N$2</c:f>
              <c:strCache>
                <c:ptCount val="1"/>
                <c:pt idx="0">
                  <c:v>Self-employment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F5'!$M$3:$M$11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F5'!$N$3:$N$11</c:f>
              <c:numCache>
                <c:formatCode>#,##0</c:formatCode>
                <c:ptCount val="9"/>
                <c:pt idx="0">
                  <c:v>1.8028096901554633</c:v>
                </c:pt>
                <c:pt idx="1">
                  <c:v>-2.1569491958572744</c:v>
                </c:pt>
                <c:pt idx="2">
                  <c:v>-0.21449828151757266</c:v>
                </c:pt>
                <c:pt idx="3">
                  <c:v>1.3936478453925023</c:v>
                </c:pt>
                <c:pt idx="4">
                  <c:v>0.95780405599935392</c:v>
                </c:pt>
                <c:pt idx="5">
                  <c:v>1.2979041818321324</c:v>
                </c:pt>
                <c:pt idx="6">
                  <c:v>-0.97508496380019594</c:v>
                </c:pt>
                <c:pt idx="7">
                  <c:v>1.6316113075630536</c:v>
                </c:pt>
                <c:pt idx="8">
                  <c:v>2.7527553605891582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F18-4405-9282-83D850E19EAA}"/>
            </c:ext>
          </c:extLst>
        </c:ser>
        <c:ser>
          <c:idx val="1"/>
          <c:order val="1"/>
          <c:tx>
            <c:strRef>
              <c:f>'Occ F5'!$O$2</c:f>
              <c:strCache>
                <c:ptCount val="1"/>
                <c:pt idx="0">
                  <c:v>Part-time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F5'!$O$3:$O$11</c:f>
              <c:numCache>
                <c:formatCode>#,##0</c:formatCode>
                <c:ptCount val="9"/>
                <c:pt idx="0">
                  <c:v>3.7147425500650737</c:v>
                </c:pt>
                <c:pt idx="1">
                  <c:v>14.54060230595438</c:v>
                </c:pt>
                <c:pt idx="2">
                  <c:v>2.7268735099991304</c:v>
                </c:pt>
                <c:pt idx="3">
                  <c:v>-7.7625992267767288</c:v>
                </c:pt>
                <c:pt idx="4">
                  <c:v>0.87771519050403235</c:v>
                </c:pt>
                <c:pt idx="5">
                  <c:v>3.5467257626960986</c:v>
                </c:pt>
                <c:pt idx="6">
                  <c:v>1.2747454497655752</c:v>
                </c:pt>
                <c:pt idx="7">
                  <c:v>2.4254208439210299</c:v>
                </c:pt>
                <c:pt idx="8">
                  <c:v>-7.4872263870195681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F18-4405-9282-83D850E19EAA}"/>
            </c:ext>
          </c:extLst>
        </c:ser>
        <c:ser>
          <c:idx val="2"/>
          <c:order val="2"/>
          <c:tx>
            <c:strRef>
              <c:f>'Occ F5'!$P$2</c:f>
              <c:strCache>
                <c:ptCount val="1"/>
                <c:pt idx="0">
                  <c:v>Full-time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F5'!$P$3:$P$11</c:f>
              <c:numCache>
                <c:formatCode>#,##0</c:formatCode>
                <c:ptCount val="9"/>
                <c:pt idx="0">
                  <c:v>10.864583700460784</c:v>
                </c:pt>
                <c:pt idx="1">
                  <c:v>39.649212701527432</c:v>
                </c:pt>
                <c:pt idx="2">
                  <c:v>4.0736621133993509</c:v>
                </c:pt>
                <c:pt idx="3">
                  <c:v>-9.0989419763975405</c:v>
                </c:pt>
                <c:pt idx="4">
                  <c:v>-11.850479376033995</c:v>
                </c:pt>
                <c:pt idx="5">
                  <c:v>6.4964914577601576</c:v>
                </c:pt>
                <c:pt idx="6">
                  <c:v>2.4286185410089729</c:v>
                </c:pt>
                <c:pt idx="7">
                  <c:v>-2.2216431947322093</c:v>
                </c:pt>
                <c:pt idx="8">
                  <c:v>0.96949603346492097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F18-4405-9282-83D850E19E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445087707431338"/>
          <c:y val="0.95049784642304325"/>
          <c:w val="0.48173062621048768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F5'!$N$2</c:f>
              <c:strCache>
                <c:ptCount val="1"/>
                <c:pt idx="0">
                  <c:v>Self-employment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F5'!$M$18:$M$26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F5'!$N$18:$N$26</c:f>
              <c:numCache>
                <c:formatCode>#,##0</c:formatCode>
                <c:ptCount val="9"/>
                <c:pt idx="0">
                  <c:v>-5.9897266422776596E-2</c:v>
                </c:pt>
                <c:pt idx="1">
                  <c:v>-1.0616164673650665</c:v>
                </c:pt>
                <c:pt idx="2">
                  <c:v>-0.16266763439617726</c:v>
                </c:pt>
                <c:pt idx="3">
                  <c:v>0.77369792845445406</c:v>
                </c:pt>
                <c:pt idx="4">
                  <c:v>1.2591017228804011</c:v>
                </c:pt>
                <c:pt idx="5">
                  <c:v>0.6611248246420125</c:v>
                </c:pt>
                <c:pt idx="6">
                  <c:v>-0.61652188403340857</c:v>
                </c:pt>
                <c:pt idx="7">
                  <c:v>0.2411405765973369</c:v>
                </c:pt>
                <c:pt idx="8">
                  <c:v>1.3276382001503757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99-4B54-AE40-5BA4742ECC44}"/>
            </c:ext>
          </c:extLst>
        </c:ser>
        <c:ser>
          <c:idx val="1"/>
          <c:order val="1"/>
          <c:tx>
            <c:strRef>
              <c:f>'Occ F5'!$O$2</c:f>
              <c:strCache>
                <c:ptCount val="1"/>
                <c:pt idx="0">
                  <c:v>Part-time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F5'!$M$18:$M$26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F5'!$O$18:$O$26</c:f>
              <c:numCache>
                <c:formatCode>#,##0</c:formatCode>
                <c:ptCount val="9"/>
                <c:pt idx="0">
                  <c:v>1.9143846475759654</c:v>
                </c:pt>
                <c:pt idx="1">
                  <c:v>11.692448015883599</c:v>
                </c:pt>
                <c:pt idx="2">
                  <c:v>3.2538862177201118</c:v>
                </c:pt>
                <c:pt idx="3">
                  <c:v>-7.774508896501203</c:v>
                </c:pt>
                <c:pt idx="4">
                  <c:v>0.18716349621488027</c:v>
                </c:pt>
                <c:pt idx="5">
                  <c:v>2.1454294931030375</c:v>
                </c:pt>
                <c:pt idx="6">
                  <c:v>-0.21138736971946059</c:v>
                </c:pt>
                <c:pt idx="7">
                  <c:v>0.8302214381259303</c:v>
                </c:pt>
                <c:pt idx="8">
                  <c:v>-7.0536370431142714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599-4B54-AE40-5BA4742ECC44}"/>
            </c:ext>
          </c:extLst>
        </c:ser>
        <c:ser>
          <c:idx val="2"/>
          <c:order val="2"/>
          <c:tx>
            <c:strRef>
              <c:f>'Occ F5'!$P$2</c:f>
              <c:strCache>
                <c:ptCount val="1"/>
                <c:pt idx="0">
                  <c:v>Full-time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F5'!$M$18:$M$26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F5'!$P$18:$P$26</c:f>
              <c:numCache>
                <c:formatCode>#,##0</c:formatCode>
                <c:ptCount val="9"/>
                <c:pt idx="0">
                  <c:v>7.2839263937116243</c:v>
                </c:pt>
                <c:pt idx="1">
                  <c:v>24.183832832634621</c:v>
                </c:pt>
                <c:pt idx="2">
                  <c:v>7.6754183133024867</c:v>
                </c:pt>
                <c:pt idx="3">
                  <c:v>-11.068515163709698</c:v>
                </c:pt>
                <c:pt idx="4">
                  <c:v>0.3200087852283664</c:v>
                </c:pt>
                <c:pt idx="5">
                  <c:v>4.1162033139732515</c:v>
                </c:pt>
                <c:pt idx="6">
                  <c:v>-0.76476043219504319</c:v>
                </c:pt>
                <c:pt idx="7">
                  <c:v>0.13388280359135596</c:v>
                </c:pt>
                <c:pt idx="8">
                  <c:v>4.7550031532083707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599-4B54-AE40-5BA4742ECC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445087707431338"/>
          <c:y val="0.95049784642304325"/>
          <c:w val="0.48173062621048768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F5'!$N$2</c:f>
              <c:strCache>
                <c:ptCount val="1"/>
                <c:pt idx="0">
                  <c:v>Self-employment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F5'!$M$33:$M$41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F5'!$N$33:$N$41</c:f>
              <c:numCache>
                <c:formatCode>#,##0</c:formatCode>
                <c:ptCount val="9"/>
                <c:pt idx="0">
                  <c:v>1.8627069565782488</c:v>
                </c:pt>
                <c:pt idx="1">
                  <c:v>-1.095332728492191</c:v>
                </c:pt>
                <c:pt idx="2">
                  <c:v>-5.1830647121391848E-2</c:v>
                </c:pt>
                <c:pt idx="3">
                  <c:v>0.6199499169380529</c:v>
                </c:pt>
                <c:pt idx="4">
                  <c:v>-0.3012976668810623</c:v>
                </c:pt>
                <c:pt idx="5">
                  <c:v>0.63677935719012235</c:v>
                </c:pt>
                <c:pt idx="6">
                  <c:v>-0.35856307976679158</c:v>
                </c:pt>
                <c:pt idx="7">
                  <c:v>1.3904707309656956</c:v>
                </c:pt>
                <c:pt idx="8">
                  <c:v>1.4251171604387789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875-42E4-8B8F-C4A03ECE09CC}"/>
            </c:ext>
          </c:extLst>
        </c:ser>
        <c:ser>
          <c:idx val="1"/>
          <c:order val="1"/>
          <c:tx>
            <c:strRef>
              <c:f>'Occ F5'!$O$2</c:f>
              <c:strCache>
                <c:ptCount val="1"/>
                <c:pt idx="0">
                  <c:v>Part-time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F5'!$M$33:$M$41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F5'!$O$33:$O$41</c:f>
              <c:numCache>
                <c:formatCode>#,##0</c:formatCode>
                <c:ptCount val="9"/>
                <c:pt idx="0">
                  <c:v>1.8003579024891119</c:v>
                </c:pt>
                <c:pt idx="1">
                  <c:v>2.8481542900707524</c:v>
                </c:pt>
                <c:pt idx="2">
                  <c:v>-0.52701270772098763</c:v>
                </c:pt>
                <c:pt idx="3">
                  <c:v>1.1909669724519567E-2</c:v>
                </c:pt>
                <c:pt idx="4">
                  <c:v>0.69055169428916052</c:v>
                </c:pt>
                <c:pt idx="5">
                  <c:v>1.4012962695930522</c:v>
                </c:pt>
                <c:pt idx="6">
                  <c:v>1.4861328194849754</c:v>
                </c:pt>
                <c:pt idx="7">
                  <c:v>1.5951994057950785</c:v>
                </c:pt>
                <c:pt idx="8">
                  <c:v>-0.43358934390531445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875-42E4-8B8F-C4A03ECE09CC}"/>
            </c:ext>
          </c:extLst>
        </c:ser>
        <c:ser>
          <c:idx val="2"/>
          <c:order val="2"/>
          <c:tx>
            <c:strRef>
              <c:f>'Occ F5'!$P$2</c:f>
              <c:strCache>
                <c:ptCount val="1"/>
                <c:pt idx="0">
                  <c:v>Full-time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F5'!$M$33:$M$41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F5'!$P$33:$P$41</c:f>
              <c:numCache>
                <c:formatCode>#,##0</c:formatCode>
                <c:ptCount val="9"/>
                <c:pt idx="0">
                  <c:v>3.5806573067492522</c:v>
                </c:pt>
                <c:pt idx="1">
                  <c:v>15.465379868892882</c:v>
                </c:pt>
                <c:pt idx="2">
                  <c:v>-3.6017561999032139</c:v>
                </c:pt>
                <c:pt idx="3">
                  <c:v>1.9695731873120828</c:v>
                </c:pt>
                <c:pt idx="4">
                  <c:v>-12.170488161262377</c:v>
                </c:pt>
                <c:pt idx="5">
                  <c:v>2.3802881437869114</c:v>
                </c:pt>
                <c:pt idx="6">
                  <c:v>3.193378973203945</c:v>
                </c:pt>
                <c:pt idx="7">
                  <c:v>-2.3555259983236496</c:v>
                </c:pt>
                <c:pt idx="8">
                  <c:v>-3.7855071197435493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875-42E4-8B8F-C4A03ECE09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445087707431338"/>
          <c:y val="0.95049784642304325"/>
          <c:w val="0.48173062621048768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756345177673941E-2"/>
          <c:y val="5.3177758665893755E-2"/>
          <c:w val="0.8857868020304569"/>
          <c:h val="0.81532300828808613"/>
        </c:manualLayout>
      </c:layout>
      <c:areaChart>
        <c:grouping val="stacked"/>
        <c:varyColors val="0"/>
        <c:ser>
          <c:idx val="1"/>
          <c:order val="0"/>
          <c:tx>
            <c:strRef>
              <c:f>'Qual F1'!$L$6</c:f>
              <c:strCache>
                <c:ptCount val="1"/>
                <c:pt idx="0">
                  <c:v>No Qualification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F1'!$M$6:$AL$6</c:f>
              <c:numCache>
                <c:formatCode>#,##0</c:formatCode>
                <c:ptCount val="26"/>
                <c:pt idx="0">
                  <c:v>82.143308373044206</c:v>
                </c:pt>
                <c:pt idx="1">
                  <c:v>71.318421471818169</c:v>
                </c:pt>
                <c:pt idx="2">
                  <c:v>72.374163450909677</c:v>
                </c:pt>
                <c:pt idx="3">
                  <c:v>72.670722394612483</c:v>
                </c:pt>
                <c:pt idx="4">
                  <c:v>68.775942207674248</c:v>
                </c:pt>
                <c:pt idx="5">
                  <c:v>75.077963238946651</c:v>
                </c:pt>
                <c:pt idx="6">
                  <c:v>58.934907527805045</c:v>
                </c:pt>
                <c:pt idx="7">
                  <c:v>67.287504124931701</c:v>
                </c:pt>
                <c:pt idx="8">
                  <c:v>64.432508182647339</c:v>
                </c:pt>
                <c:pt idx="9">
                  <c:v>61.942797524342076</c:v>
                </c:pt>
                <c:pt idx="10">
                  <c:v>46.883921183741947</c:v>
                </c:pt>
                <c:pt idx="11">
                  <c:v>47.601458676402174</c:v>
                </c:pt>
                <c:pt idx="12">
                  <c:v>46.894517383822901</c:v>
                </c:pt>
                <c:pt idx="13">
                  <c:v>43.988333789856355</c:v>
                </c:pt>
                <c:pt idx="14">
                  <c:v>41.167794336795936</c:v>
                </c:pt>
                <c:pt idx="15">
                  <c:v>39.691534836167484</c:v>
                </c:pt>
                <c:pt idx="16">
                  <c:v>38.383982247881335</c:v>
                </c:pt>
                <c:pt idx="17">
                  <c:v>37.090547876468683</c:v>
                </c:pt>
                <c:pt idx="18">
                  <c:v>35.826447447975077</c:v>
                </c:pt>
                <c:pt idx="19">
                  <c:v>34.591833718167813</c:v>
                </c:pt>
                <c:pt idx="20">
                  <c:v>33.397961049566355</c:v>
                </c:pt>
                <c:pt idx="21">
                  <c:v>32.229898919302691</c:v>
                </c:pt>
                <c:pt idx="22">
                  <c:v>31.091520328914417</c:v>
                </c:pt>
                <c:pt idx="23">
                  <c:v>29.984812907745795</c:v>
                </c:pt>
                <c:pt idx="24">
                  <c:v>28.962793017807247</c:v>
                </c:pt>
                <c:pt idx="25">
                  <c:v>28.765588993435909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D3B-4AF5-BA54-0B96776899DB}"/>
            </c:ext>
          </c:extLst>
        </c:ser>
        <c:ser>
          <c:idx val="2"/>
          <c:order val="1"/>
          <c:tx>
            <c:strRef>
              <c:f>'Qual F1'!$L$7</c:f>
              <c:strCache>
                <c:ptCount val="1"/>
                <c:pt idx="0">
                  <c:v>RQF1 GCSE(below grade C) &amp; equivalent</c:v>
                </c:pt>
              </c:strCache>
            </c:strRef>
          </c:tx>
          <c:spPr>
            <a:solidFill>
              <a:schemeClr val="tx1">
                <a:lumMod val="85000"/>
                <a:lumOff val="1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F1'!$M$7:$AL$7</c:f>
              <c:numCache>
                <c:formatCode>#,##0</c:formatCode>
                <c:ptCount val="26"/>
                <c:pt idx="0">
                  <c:v>186.50030707603176</c:v>
                </c:pt>
                <c:pt idx="1">
                  <c:v>170.13865979123216</c:v>
                </c:pt>
                <c:pt idx="2">
                  <c:v>179.06806224662142</c:v>
                </c:pt>
                <c:pt idx="3">
                  <c:v>177.33856878622831</c:v>
                </c:pt>
                <c:pt idx="4">
                  <c:v>180.60103488025388</c:v>
                </c:pt>
                <c:pt idx="5">
                  <c:v>152.67228098628755</c:v>
                </c:pt>
                <c:pt idx="6">
                  <c:v>143.9396471889105</c:v>
                </c:pt>
                <c:pt idx="7">
                  <c:v>171.45098513004888</c:v>
                </c:pt>
                <c:pt idx="8">
                  <c:v>161.25603011416604</c:v>
                </c:pt>
                <c:pt idx="9">
                  <c:v>162.87965285309826</c:v>
                </c:pt>
                <c:pt idx="10">
                  <c:v>127.62991797346693</c:v>
                </c:pt>
                <c:pt idx="11">
                  <c:v>142.87793204507085</c:v>
                </c:pt>
                <c:pt idx="12">
                  <c:v>133.62534102488982</c:v>
                </c:pt>
                <c:pt idx="13">
                  <c:v>129.03473252873616</c:v>
                </c:pt>
                <c:pt idx="14">
                  <c:v>124.68559908515178</c:v>
                </c:pt>
                <c:pt idx="15">
                  <c:v>120.10889772921981</c:v>
                </c:pt>
                <c:pt idx="16">
                  <c:v>115.45300035286945</c:v>
                </c:pt>
                <c:pt idx="17">
                  <c:v>110.79185231488309</c:v>
                </c:pt>
                <c:pt idx="18">
                  <c:v>106.17400069157412</c:v>
                </c:pt>
                <c:pt idx="19">
                  <c:v>101.60092550908119</c:v>
                </c:pt>
                <c:pt idx="20">
                  <c:v>97.108740131267936</c:v>
                </c:pt>
                <c:pt idx="21">
                  <c:v>92.651913786347691</c:v>
                </c:pt>
                <c:pt idx="22">
                  <c:v>88.24312272256995</c:v>
                </c:pt>
                <c:pt idx="23">
                  <c:v>83.888922947533928</c:v>
                </c:pt>
                <c:pt idx="24">
                  <c:v>79.574563090080119</c:v>
                </c:pt>
                <c:pt idx="25">
                  <c:v>75.233033924037997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D3B-4AF5-BA54-0B96776899DB}"/>
            </c:ext>
          </c:extLst>
        </c:ser>
        <c:ser>
          <c:idx val="3"/>
          <c:order val="2"/>
          <c:tx>
            <c:strRef>
              <c:f>'Qual F1'!$L$8</c:f>
              <c:strCache>
                <c:ptCount val="1"/>
                <c:pt idx="0">
                  <c:v>RQF2 GCSE(A-C) &amp; equivalent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F1'!$M$8:$AL$8</c:f>
              <c:numCache>
                <c:formatCode>#,##0</c:formatCode>
                <c:ptCount val="26"/>
                <c:pt idx="0">
                  <c:v>290.32291808832548</c:v>
                </c:pt>
                <c:pt idx="1">
                  <c:v>286.99458304156673</c:v>
                </c:pt>
                <c:pt idx="2">
                  <c:v>277.45362360088785</c:v>
                </c:pt>
                <c:pt idx="3">
                  <c:v>279.25216880065841</c:v>
                </c:pt>
                <c:pt idx="4">
                  <c:v>276.8910519815438</c:v>
                </c:pt>
                <c:pt idx="5">
                  <c:v>281.87826629551103</c:v>
                </c:pt>
                <c:pt idx="6">
                  <c:v>259.94366619299961</c:v>
                </c:pt>
                <c:pt idx="7">
                  <c:v>259.75298483609021</c:v>
                </c:pt>
                <c:pt idx="8">
                  <c:v>290.37255323311234</c:v>
                </c:pt>
                <c:pt idx="9">
                  <c:v>268.05270595126547</c:v>
                </c:pt>
                <c:pt idx="10">
                  <c:v>266.18535482350961</c:v>
                </c:pt>
                <c:pt idx="11">
                  <c:v>267.90173769592604</c:v>
                </c:pt>
                <c:pt idx="12">
                  <c:v>261.76126639072572</c:v>
                </c:pt>
                <c:pt idx="13">
                  <c:v>259.82592955411735</c:v>
                </c:pt>
                <c:pt idx="14">
                  <c:v>258.31850450095999</c:v>
                </c:pt>
                <c:pt idx="15">
                  <c:v>256.26093408743191</c:v>
                </c:pt>
                <c:pt idx="16">
                  <c:v>253.94043284051253</c:v>
                </c:pt>
                <c:pt idx="17">
                  <c:v>251.50416577673494</c:v>
                </c:pt>
                <c:pt idx="18">
                  <c:v>249.05116074156317</c:v>
                </c:pt>
                <c:pt idx="19">
                  <c:v>246.58185896957264</c:v>
                </c:pt>
                <c:pt idx="20">
                  <c:v>244.18219915182959</c:v>
                </c:pt>
                <c:pt idx="21">
                  <c:v>241.74100521268454</c:v>
                </c:pt>
                <c:pt idx="22">
                  <c:v>239.28535947616078</c:v>
                </c:pt>
                <c:pt idx="23">
                  <c:v>236.82962999651028</c:v>
                </c:pt>
                <c:pt idx="24">
                  <c:v>234.33105741393416</c:v>
                </c:pt>
                <c:pt idx="25">
                  <c:v>231.5945941862183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D3B-4AF5-BA54-0B96776899DB}"/>
            </c:ext>
          </c:extLst>
        </c:ser>
        <c:ser>
          <c:idx val="0"/>
          <c:order val="3"/>
          <c:tx>
            <c:strRef>
              <c:f>'Qual F1'!$L$9</c:f>
              <c:strCache>
                <c:ptCount val="1"/>
                <c:pt idx="0">
                  <c:v>RQF3 A level &amp; equivalent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F1'!$M$9:$AL$9</c:f>
              <c:numCache>
                <c:formatCode>#,##0</c:formatCode>
                <c:ptCount val="26"/>
                <c:pt idx="0">
                  <c:v>254.4417762232161</c:v>
                </c:pt>
                <c:pt idx="1">
                  <c:v>265.9032539684618</c:v>
                </c:pt>
                <c:pt idx="2">
                  <c:v>253.91346312285447</c:v>
                </c:pt>
                <c:pt idx="3">
                  <c:v>265.16558228404261</c:v>
                </c:pt>
                <c:pt idx="4">
                  <c:v>275.99864405224935</c:v>
                </c:pt>
                <c:pt idx="5">
                  <c:v>272.73140733839097</c:v>
                </c:pt>
                <c:pt idx="6">
                  <c:v>281.81464270705413</c:v>
                </c:pt>
                <c:pt idx="7">
                  <c:v>261.33722596846326</c:v>
                </c:pt>
                <c:pt idx="8">
                  <c:v>278.65343633166384</c:v>
                </c:pt>
                <c:pt idx="9">
                  <c:v>263.55000163439666</c:v>
                </c:pt>
                <c:pt idx="10">
                  <c:v>294.47764990672675</c:v>
                </c:pt>
                <c:pt idx="11">
                  <c:v>275.84859808900734</c:v>
                </c:pt>
                <c:pt idx="12">
                  <c:v>279.69524801558174</c:v>
                </c:pt>
                <c:pt idx="13">
                  <c:v>281.50144800498799</c:v>
                </c:pt>
                <c:pt idx="14">
                  <c:v>283.84377373010881</c:v>
                </c:pt>
                <c:pt idx="15">
                  <c:v>285.59868526465709</c:v>
                </c:pt>
                <c:pt idx="16">
                  <c:v>287.08950659921453</c:v>
                </c:pt>
                <c:pt idx="17">
                  <c:v>288.49084261057425</c:v>
                </c:pt>
                <c:pt idx="18">
                  <c:v>289.90676105450927</c:v>
                </c:pt>
                <c:pt idx="19">
                  <c:v>291.33821853278528</c:v>
                </c:pt>
                <c:pt idx="20">
                  <c:v>292.88261312633398</c:v>
                </c:pt>
                <c:pt idx="21">
                  <c:v>294.41553007772239</c:v>
                </c:pt>
                <c:pt idx="22">
                  <c:v>295.96775631127758</c:v>
                </c:pt>
                <c:pt idx="23">
                  <c:v>297.55691222012956</c:v>
                </c:pt>
                <c:pt idx="24">
                  <c:v>299.14065138778568</c:v>
                </c:pt>
                <c:pt idx="25">
                  <c:v>300.53256546660759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0A-4241-BDC7-CAD877B6E564}"/>
            </c:ext>
          </c:extLst>
        </c:ser>
        <c:ser>
          <c:idx val="4"/>
          <c:order val="4"/>
          <c:tx>
            <c:strRef>
              <c:f>'Qual F1'!$L$10</c:f>
              <c:strCache>
                <c:ptCount val="1"/>
                <c:pt idx="0">
                  <c:v>RQF4 HE below degree level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F1'!$M$10:$AL$10</c:f>
              <c:numCache>
                <c:formatCode>#,##0</c:formatCode>
                <c:ptCount val="26"/>
                <c:pt idx="0">
                  <c:v>49.663917113263906</c:v>
                </c:pt>
                <c:pt idx="1">
                  <c:v>50.996082529110218</c:v>
                </c:pt>
                <c:pt idx="2">
                  <c:v>47.548611325393935</c:v>
                </c:pt>
                <c:pt idx="3">
                  <c:v>45.47651229879876</c:v>
                </c:pt>
                <c:pt idx="4">
                  <c:v>47.840831719122065</c:v>
                </c:pt>
                <c:pt idx="5">
                  <c:v>55.53036217836766</c:v>
                </c:pt>
                <c:pt idx="6">
                  <c:v>55.234393120982553</c:v>
                </c:pt>
                <c:pt idx="7">
                  <c:v>52.698254698506105</c:v>
                </c:pt>
                <c:pt idx="8">
                  <c:v>52.99371440815456</c:v>
                </c:pt>
                <c:pt idx="9">
                  <c:v>51.638506550088401</c:v>
                </c:pt>
                <c:pt idx="10">
                  <c:v>55.339524648922172</c:v>
                </c:pt>
                <c:pt idx="11">
                  <c:v>56.814704602004049</c:v>
                </c:pt>
                <c:pt idx="12">
                  <c:v>56.106565456970969</c:v>
                </c:pt>
                <c:pt idx="13">
                  <c:v>57.016929965729695</c:v>
                </c:pt>
                <c:pt idx="14">
                  <c:v>58.068068832108558</c:v>
                </c:pt>
                <c:pt idx="15">
                  <c:v>59.005279782501681</c:v>
                </c:pt>
                <c:pt idx="16">
                  <c:v>59.919584822039376</c:v>
                </c:pt>
                <c:pt idx="17">
                  <c:v>60.862534808809151</c:v>
                </c:pt>
                <c:pt idx="18">
                  <c:v>61.800995296044469</c:v>
                </c:pt>
                <c:pt idx="19">
                  <c:v>62.741710346786327</c:v>
                </c:pt>
                <c:pt idx="20">
                  <c:v>63.735064415494229</c:v>
                </c:pt>
                <c:pt idx="21" formatCode="General">
                  <c:v>64.736491859519973</c:v>
                </c:pt>
                <c:pt idx="22" formatCode="General">
                  <c:v>65.754102754918193</c:v>
                </c:pt>
                <c:pt idx="23" formatCode="General">
                  <c:v>66.792532820659446</c:v>
                </c:pt>
                <c:pt idx="24" formatCode="General">
                  <c:v>67.829055945780482</c:v>
                </c:pt>
                <c:pt idx="25">
                  <c:v>68.860847045772445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50A-4241-BDC7-CAD877B6E564}"/>
            </c:ext>
          </c:extLst>
        </c:ser>
        <c:ser>
          <c:idx val="5"/>
          <c:order val="5"/>
          <c:tx>
            <c:strRef>
              <c:f>'Qual F1'!$L$11</c:f>
              <c:strCache>
                <c:ptCount val="1"/>
                <c:pt idx="0">
                  <c:v>RQF5 Foundation degree;Nursing;Teaching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F1'!$M$11:$AL$11</c:f>
              <c:numCache>
                <c:formatCode>#,##0</c:formatCode>
                <c:ptCount val="26"/>
                <c:pt idx="0">
                  <c:v>64.275919021757559</c:v>
                </c:pt>
                <c:pt idx="1">
                  <c:v>64.110721088521672</c:v>
                </c:pt>
                <c:pt idx="2">
                  <c:v>62.828628167197081</c:v>
                </c:pt>
                <c:pt idx="3">
                  <c:v>58.61992968292563</c:v>
                </c:pt>
                <c:pt idx="4">
                  <c:v>61.471131214949835</c:v>
                </c:pt>
                <c:pt idx="5">
                  <c:v>69.125685102589387</c:v>
                </c:pt>
                <c:pt idx="6">
                  <c:v>65.93054716827038</c:v>
                </c:pt>
                <c:pt idx="7">
                  <c:v>61.118819471078176</c:v>
                </c:pt>
                <c:pt idx="8">
                  <c:v>59.283246937026853</c:v>
                </c:pt>
                <c:pt idx="9">
                  <c:v>59.690037229754893</c:v>
                </c:pt>
                <c:pt idx="10">
                  <c:v>65.89816032744173</c:v>
                </c:pt>
                <c:pt idx="11">
                  <c:v>64.447864339181095</c:v>
                </c:pt>
                <c:pt idx="12">
                  <c:v>63.09172720772991</c:v>
                </c:pt>
                <c:pt idx="13">
                  <c:v>63.390672221282244</c:v>
                </c:pt>
                <c:pt idx="14">
                  <c:v>63.863975528575374</c:v>
                </c:pt>
                <c:pt idx="15">
                  <c:v>64.189140787253606</c:v>
                </c:pt>
                <c:pt idx="16">
                  <c:v>64.453490943304089</c:v>
                </c:pt>
                <c:pt idx="17">
                  <c:v>64.736998490379747</c:v>
                </c:pt>
                <c:pt idx="18">
                  <c:v>65.207711513706315</c:v>
                </c:pt>
                <c:pt idx="19">
                  <c:v>65.863776940511869</c:v>
                </c:pt>
                <c:pt idx="20">
                  <c:v>66.56351431178193</c:v>
                </c:pt>
                <c:pt idx="21" formatCode="General">
                  <c:v>67.281908310578729</c:v>
                </c:pt>
                <c:pt idx="22" formatCode="General">
                  <c:v>68.058442126988069</c:v>
                </c:pt>
                <c:pt idx="23" formatCode="General">
                  <c:v>68.887150634931473</c:v>
                </c:pt>
                <c:pt idx="24" formatCode="General">
                  <c:v>69.758063675722582</c:v>
                </c:pt>
                <c:pt idx="25">
                  <c:v>70.588657027486377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50A-4241-BDC7-CAD877B6E564}"/>
            </c:ext>
          </c:extLst>
        </c:ser>
        <c:ser>
          <c:idx val="6"/>
          <c:order val="6"/>
          <c:tx>
            <c:strRef>
              <c:f>'Qual F1'!$L$12</c:f>
              <c:strCache>
                <c:ptCount val="1"/>
                <c:pt idx="0">
                  <c:v>RQF6 First degree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ysClr val="windowText" lastClr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F1'!$M$12:$AL$12</c:f>
              <c:numCache>
                <c:formatCode>#,##0</c:formatCode>
                <c:ptCount val="26"/>
                <c:pt idx="0">
                  <c:v>155.08023802893101</c:v>
                </c:pt>
                <c:pt idx="1">
                  <c:v>163.66135371718812</c:v>
                </c:pt>
                <c:pt idx="2">
                  <c:v>165.02989135577539</c:v>
                </c:pt>
                <c:pt idx="3">
                  <c:v>158.28708840050993</c:v>
                </c:pt>
                <c:pt idx="4">
                  <c:v>169.98428294984853</c:v>
                </c:pt>
                <c:pt idx="5">
                  <c:v>199.31135081178232</c:v>
                </c:pt>
                <c:pt idx="6">
                  <c:v>196.18695280731515</c:v>
                </c:pt>
                <c:pt idx="7">
                  <c:v>187.01226312997767</c:v>
                </c:pt>
                <c:pt idx="8">
                  <c:v>193.24565506556536</c:v>
                </c:pt>
                <c:pt idx="9">
                  <c:v>193.38439549764706</c:v>
                </c:pt>
                <c:pt idx="10">
                  <c:v>214.38336635414242</c:v>
                </c:pt>
                <c:pt idx="11">
                  <c:v>222.41640998234584</c:v>
                </c:pt>
                <c:pt idx="12">
                  <c:v>222.3254595093471</c:v>
                </c:pt>
                <c:pt idx="13">
                  <c:v>228.46622816427993</c:v>
                </c:pt>
                <c:pt idx="14">
                  <c:v>235.05698643664118</c:v>
                </c:pt>
                <c:pt idx="15">
                  <c:v>241.18300428264601</c:v>
                </c:pt>
                <c:pt idx="16">
                  <c:v>247.12100166165615</c:v>
                </c:pt>
                <c:pt idx="17">
                  <c:v>252.98514638396887</c:v>
                </c:pt>
                <c:pt idx="18">
                  <c:v>258.76481828678516</c:v>
                </c:pt>
                <c:pt idx="19">
                  <c:v>264.45842485813046</c:v>
                </c:pt>
                <c:pt idx="20">
                  <c:v>270.28591393729278</c:v>
                </c:pt>
                <c:pt idx="21" formatCode="General">
                  <c:v>276.15791466337879</c:v>
                </c:pt>
                <c:pt idx="22" formatCode="General">
                  <c:v>282.06803112799838</c:v>
                </c:pt>
                <c:pt idx="23" formatCode="General">
                  <c:v>288.04327480614108</c:v>
                </c:pt>
                <c:pt idx="24" formatCode="General">
                  <c:v>294.06610427143522</c:v>
                </c:pt>
                <c:pt idx="25" formatCode="General">
                  <c:v>299.99815240348295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50A-4241-BDC7-CAD877B6E564}"/>
            </c:ext>
          </c:extLst>
        </c:ser>
        <c:ser>
          <c:idx val="7"/>
          <c:order val="7"/>
          <c:tx>
            <c:strRef>
              <c:f>'Qual F1'!$L$13</c:f>
              <c:strCache>
                <c:ptCount val="1"/>
                <c:pt idx="0">
                  <c:v>RQF7 Other higher degree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ysClr val="windowText" lastClr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F1'!$M$13:$AL$13</c:f>
              <c:numCache>
                <c:formatCode>#,##0</c:formatCode>
                <c:ptCount val="26"/>
                <c:pt idx="0">
                  <c:v>76.790820316700376</c:v>
                </c:pt>
                <c:pt idx="1">
                  <c:v>61.793561159200394</c:v>
                </c:pt>
                <c:pt idx="2">
                  <c:v>58.504940186283775</c:v>
                </c:pt>
                <c:pt idx="3">
                  <c:v>72.445670007452705</c:v>
                </c:pt>
                <c:pt idx="4">
                  <c:v>76.188326323168255</c:v>
                </c:pt>
                <c:pt idx="5">
                  <c:v>87.509531338397863</c:v>
                </c:pt>
                <c:pt idx="6">
                  <c:v>82.435285429634661</c:v>
                </c:pt>
                <c:pt idx="7">
                  <c:v>100.46378318951639</c:v>
                </c:pt>
                <c:pt idx="8">
                  <c:v>82.893201598784728</c:v>
                </c:pt>
                <c:pt idx="9">
                  <c:v>115.88175185043464</c:v>
                </c:pt>
                <c:pt idx="10">
                  <c:v>102.55492005222335</c:v>
                </c:pt>
                <c:pt idx="11">
                  <c:v>97.384131978114425</c:v>
                </c:pt>
                <c:pt idx="12">
                  <c:v>111.29117347881021</c:v>
                </c:pt>
                <c:pt idx="13">
                  <c:v>115.23679225988661</c:v>
                </c:pt>
                <c:pt idx="14">
                  <c:v>119.28648440961365</c:v>
                </c:pt>
                <c:pt idx="15">
                  <c:v>122.95921358435329</c:v>
                </c:pt>
                <c:pt idx="16">
                  <c:v>126.38216374959018</c:v>
                </c:pt>
                <c:pt idx="17">
                  <c:v>129.62821812567958</c:v>
                </c:pt>
                <c:pt idx="18">
                  <c:v>132.73580353071372</c:v>
                </c:pt>
                <c:pt idx="19">
                  <c:v>135.70991973156575</c:v>
                </c:pt>
                <c:pt idx="20">
                  <c:v>138.58519606147266</c:v>
                </c:pt>
                <c:pt idx="21" formatCode="General">
                  <c:v>141.30681188848288</c:v>
                </c:pt>
                <c:pt idx="22" formatCode="General">
                  <c:v>143.88066537489365</c:v>
                </c:pt>
                <c:pt idx="23" formatCode="General">
                  <c:v>146.31787717880007</c:v>
                </c:pt>
                <c:pt idx="24" formatCode="General">
                  <c:v>148.58064330930401</c:v>
                </c:pt>
                <c:pt idx="25" formatCode="General">
                  <c:v>150.57249059029547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50A-4241-BDC7-CAD877B6E564}"/>
            </c:ext>
          </c:extLst>
        </c:ser>
        <c:ser>
          <c:idx val="8"/>
          <c:order val="8"/>
          <c:tx>
            <c:strRef>
              <c:f>'Qual F1'!$L$14</c:f>
              <c:strCache>
                <c:ptCount val="1"/>
                <c:pt idx="0">
                  <c:v>RQF8 Doctorate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ysClr val="windowText" lastClr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F1'!$M$14:$AL$14</c:f>
              <c:numCache>
                <c:formatCode>#,##0</c:formatCode>
                <c:ptCount val="26"/>
                <c:pt idx="0">
                  <c:v>12.347795757563052</c:v>
                </c:pt>
                <c:pt idx="1">
                  <c:v>9.9823632317160005</c:v>
                </c:pt>
                <c:pt idx="2">
                  <c:v>9.1156165430220017</c:v>
                </c:pt>
                <c:pt idx="3">
                  <c:v>11.745757343587551</c:v>
                </c:pt>
                <c:pt idx="4">
                  <c:v>11.904754671909552</c:v>
                </c:pt>
                <c:pt idx="5">
                  <c:v>13.866152711380108</c:v>
                </c:pt>
                <c:pt idx="6">
                  <c:v>13.298957857794788</c:v>
                </c:pt>
                <c:pt idx="7">
                  <c:v>16.198179452812344</c:v>
                </c:pt>
                <c:pt idx="8">
                  <c:v>14.037654129134623</c:v>
                </c:pt>
                <c:pt idx="9">
                  <c:v>17.848150909748469</c:v>
                </c:pt>
                <c:pt idx="10">
                  <c:v>15.986184730114939</c:v>
                </c:pt>
                <c:pt idx="11">
                  <c:v>15.224162590622708</c:v>
                </c:pt>
                <c:pt idx="12">
                  <c:v>17.749701532865704</c:v>
                </c:pt>
                <c:pt idx="13">
                  <c:v>18.435933512227045</c:v>
                </c:pt>
                <c:pt idx="14">
                  <c:v>19.138813140948034</c:v>
                </c:pt>
                <c:pt idx="15">
                  <c:v>19.77930964620203</c:v>
                </c:pt>
                <c:pt idx="16">
                  <c:v>20.384836783124474</c:v>
                </c:pt>
                <c:pt idx="17">
                  <c:v>20.964693613385844</c:v>
                </c:pt>
                <c:pt idx="18">
                  <c:v>21.527301437947287</c:v>
                </c:pt>
                <c:pt idx="19">
                  <c:v>22.064331394253944</c:v>
                </c:pt>
                <c:pt idx="20">
                  <c:v>22.590797815536135</c:v>
                </c:pt>
                <c:pt idx="21" formatCode="General">
                  <c:v>23.090525282991603</c:v>
                </c:pt>
                <c:pt idx="22" formatCode="General">
                  <c:v>23.569999777103845</c:v>
                </c:pt>
                <c:pt idx="23" formatCode="General">
                  <c:v>24.023886488368419</c:v>
                </c:pt>
                <c:pt idx="24" formatCode="General">
                  <c:v>24.46006788871324</c:v>
                </c:pt>
                <c:pt idx="25" formatCode="General">
                  <c:v>24.851070362877337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50A-4241-BDC7-CAD877B6E5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684752"/>
        <c:axId val="313685144"/>
      </c:areaChart>
      <c:catAx>
        <c:axId val="31368475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514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514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1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079129528323556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475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0611294197620134"/>
          <c:y val="0.91619015180354346"/>
          <c:w val="0.87603013652070461"/>
          <c:h val="7.783401120661444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2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75634517767408E-2"/>
          <c:y val="5.3177758665893755E-2"/>
          <c:w val="0.8857868020304569"/>
          <c:h val="0.7763068929360929"/>
        </c:manualLayout>
      </c:layout>
      <c:areaChart>
        <c:grouping val="percentStacked"/>
        <c:varyColors val="0"/>
        <c:ser>
          <c:idx val="1"/>
          <c:order val="0"/>
          <c:tx>
            <c:strRef>
              <c:f>'Qual F1'!$L$6</c:f>
              <c:strCache>
                <c:ptCount val="1"/>
                <c:pt idx="0">
                  <c:v>No Qualification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F1'!$M$6:$AL$6</c:f>
              <c:numCache>
                <c:formatCode>#,##0</c:formatCode>
                <c:ptCount val="26"/>
                <c:pt idx="0">
                  <c:v>82.143308373044206</c:v>
                </c:pt>
                <c:pt idx="1">
                  <c:v>71.318421471818169</c:v>
                </c:pt>
                <c:pt idx="2">
                  <c:v>72.374163450909677</c:v>
                </c:pt>
                <c:pt idx="3">
                  <c:v>72.670722394612483</c:v>
                </c:pt>
                <c:pt idx="4">
                  <c:v>68.775942207674248</c:v>
                </c:pt>
                <c:pt idx="5">
                  <c:v>75.077963238946651</c:v>
                </c:pt>
                <c:pt idx="6">
                  <c:v>58.934907527805045</c:v>
                </c:pt>
                <c:pt idx="7">
                  <c:v>67.287504124931701</c:v>
                </c:pt>
                <c:pt idx="8">
                  <c:v>64.432508182647339</c:v>
                </c:pt>
                <c:pt idx="9">
                  <c:v>61.942797524342076</c:v>
                </c:pt>
                <c:pt idx="10">
                  <c:v>46.883921183741947</c:v>
                </c:pt>
                <c:pt idx="11">
                  <c:v>47.601458676402174</c:v>
                </c:pt>
                <c:pt idx="12">
                  <c:v>46.894517383822901</c:v>
                </c:pt>
                <c:pt idx="13">
                  <c:v>43.988333789856355</c:v>
                </c:pt>
                <c:pt idx="14">
                  <c:v>41.167794336795936</c:v>
                </c:pt>
                <c:pt idx="15">
                  <c:v>39.691534836167484</c:v>
                </c:pt>
                <c:pt idx="16">
                  <c:v>38.383982247881335</c:v>
                </c:pt>
                <c:pt idx="17">
                  <c:v>37.090547876468683</c:v>
                </c:pt>
                <c:pt idx="18">
                  <c:v>35.826447447975077</c:v>
                </c:pt>
                <c:pt idx="19">
                  <c:v>34.591833718167813</c:v>
                </c:pt>
                <c:pt idx="20">
                  <c:v>33.397961049566355</c:v>
                </c:pt>
                <c:pt idx="21">
                  <c:v>32.229898919302691</c:v>
                </c:pt>
                <c:pt idx="22">
                  <c:v>31.091520328914417</c:v>
                </c:pt>
                <c:pt idx="23">
                  <c:v>29.984812907745795</c:v>
                </c:pt>
                <c:pt idx="24">
                  <c:v>28.962793017807247</c:v>
                </c:pt>
                <c:pt idx="25">
                  <c:v>28.765588993435909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D8E-4884-8657-BD0E95BA20A8}"/>
            </c:ext>
          </c:extLst>
        </c:ser>
        <c:ser>
          <c:idx val="2"/>
          <c:order val="1"/>
          <c:tx>
            <c:strRef>
              <c:f>'Qual F1'!$L$7</c:f>
              <c:strCache>
                <c:ptCount val="1"/>
                <c:pt idx="0">
                  <c:v>RQF1 GCSE(below grade C) &amp; equivalent</c:v>
                </c:pt>
              </c:strCache>
            </c:strRef>
          </c:tx>
          <c:spPr>
            <a:solidFill>
              <a:schemeClr val="tx1">
                <a:lumMod val="85000"/>
                <a:lumOff val="1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F1'!$M$7:$AL$7</c:f>
              <c:numCache>
                <c:formatCode>#,##0</c:formatCode>
                <c:ptCount val="26"/>
                <c:pt idx="0">
                  <c:v>186.50030707603176</c:v>
                </c:pt>
                <c:pt idx="1">
                  <c:v>170.13865979123216</c:v>
                </c:pt>
                <c:pt idx="2">
                  <c:v>179.06806224662142</c:v>
                </c:pt>
                <c:pt idx="3">
                  <c:v>177.33856878622831</c:v>
                </c:pt>
                <c:pt idx="4">
                  <c:v>180.60103488025388</c:v>
                </c:pt>
                <c:pt idx="5">
                  <c:v>152.67228098628755</c:v>
                </c:pt>
                <c:pt idx="6">
                  <c:v>143.9396471889105</c:v>
                </c:pt>
                <c:pt idx="7">
                  <c:v>171.45098513004888</c:v>
                </c:pt>
                <c:pt idx="8">
                  <c:v>161.25603011416604</c:v>
                </c:pt>
                <c:pt idx="9">
                  <c:v>162.87965285309826</c:v>
                </c:pt>
                <c:pt idx="10">
                  <c:v>127.62991797346693</c:v>
                </c:pt>
                <c:pt idx="11">
                  <c:v>142.87793204507085</c:v>
                </c:pt>
                <c:pt idx="12">
                  <c:v>133.62534102488982</c:v>
                </c:pt>
                <c:pt idx="13">
                  <c:v>129.03473252873616</c:v>
                </c:pt>
                <c:pt idx="14">
                  <c:v>124.68559908515178</c:v>
                </c:pt>
                <c:pt idx="15">
                  <c:v>120.10889772921981</c:v>
                </c:pt>
                <c:pt idx="16">
                  <c:v>115.45300035286945</c:v>
                </c:pt>
                <c:pt idx="17">
                  <c:v>110.79185231488309</c:v>
                </c:pt>
                <c:pt idx="18">
                  <c:v>106.17400069157412</c:v>
                </c:pt>
                <c:pt idx="19">
                  <c:v>101.60092550908119</c:v>
                </c:pt>
                <c:pt idx="20">
                  <c:v>97.108740131267936</c:v>
                </c:pt>
                <c:pt idx="21">
                  <c:v>92.651913786347691</c:v>
                </c:pt>
                <c:pt idx="22">
                  <c:v>88.24312272256995</c:v>
                </c:pt>
                <c:pt idx="23">
                  <c:v>83.888922947533928</c:v>
                </c:pt>
                <c:pt idx="24">
                  <c:v>79.574563090080119</c:v>
                </c:pt>
                <c:pt idx="25">
                  <c:v>75.233033924037997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D8E-4884-8657-BD0E95BA20A8}"/>
            </c:ext>
          </c:extLst>
        </c:ser>
        <c:ser>
          <c:idx val="3"/>
          <c:order val="2"/>
          <c:tx>
            <c:strRef>
              <c:f>'Qual F1'!$L$8</c:f>
              <c:strCache>
                <c:ptCount val="1"/>
                <c:pt idx="0">
                  <c:v>RQF2 GCSE(A-C) &amp; equivalent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F1'!$M$8:$AL$8</c:f>
              <c:numCache>
                <c:formatCode>#,##0</c:formatCode>
                <c:ptCount val="26"/>
                <c:pt idx="0">
                  <c:v>290.32291808832548</c:v>
                </c:pt>
                <c:pt idx="1">
                  <c:v>286.99458304156673</c:v>
                </c:pt>
                <c:pt idx="2">
                  <c:v>277.45362360088785</c:v>
                </c:pt>
                <c:pt idx="3">
                  <c:v>279.25216880065841</c:v>
                </c:pt>
                <c:pt idx="4">
                  <c:v>276.8910519815438</c:v>
                </c:pt>
                <c:pt idx="5">
                  <c:v>281.87826629551103</c:v>
                </c:pt>
                <c:pt idx="6">
                  <c:v>259.94366619299961</c:v>
                </c:pt>
                <c:pt idx="7">
                  <c:v>259.75298483609021</c:v>
                </c:pt>
                <c:pt idx="8">
                  <c:v>290.37255323311234</c:v>
                </c:pt>
                <c:pt idx="9">
                  <c:v>268.05270595126547</c:v>
                </c:pt>
                <c:pt idx="10">
                  <c:v>266.18535482350961</c:v>
                </c:pt>
                <c:pt idx="11">
                  <c:v>267.90173769592604</c:v>
                </c:pt>
                <c:pt idx="12">
                  <c:v>261.76126639072572</c:v>
                </c:pt>
                <c:pt idx="13">
                  <c:v>259.82592955411735</c:v>
                </c:pt>
                <c:pt idx="14">
                  <c:v>258.31850450095999</c:v>
                </c:pt>
                <c:pt idx="15">
                  <c:v>256.26093408743191</c:v>
                </c:pt>
                <c:pt idx="16">
                  <c:v>253.94043284051253</c:v>
                </c:pt>
                <c:pt idx="17">
                  <c:v>251.50416577673494</c:v>
                </c:pt>
                <c:pt idx="18">
                  <c:v>249.05116074156317</c:v>
                </c:pt>
                <c:pt idx="19">
                  <c:v>246.58185896957264</c:v>
                </c:pt>
                <c:pt idx="20">
                  <c:v>244.18219915182959</c:v>
                </c:pt>
                <c:pt idx="21">
                  <c:v>241.74100521268454</c:v>
                </c:pt>
                <c:pt idx="22">
                  <c:v>239.28535947616078</c:v>
                </c:pt>
                <c:pt idx="23">
                  <c:v>236.82962999651028</c:v>
                </c:pt>
                <c:pt idx="24">
                  <c:v>234.33105741393416</c:v>
                </c:pt>
                <c:pt idx="25">
                  <c:v>231.5945941862183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D8E-4884-8657-BD0E95BA20A8}"/>
            </c:ext>
          </c:extLst>
        </c:ser>
        <c:ser>
          <c:idx val="0"/>
          <c:order val="3"/>
          <c:tx>
            <c:strRef>
              <c:f>'Qual F1'!$L$9</c:f>
              <c:strCache>
                <c:ptCount val="1"/>
                <c:pt idx="0">
                  <c:v>RQF3 A level &amp; equivalent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F1'!$M$9:$AL$9</c:f>
              <c:numCache>
                <c:formatCode>#,##0</c:formatCode>
                <c:ptCount val="26"/>
                <c:pt idx="0">
                  <c:v>254.4417762232161</c:v>
                </c:pt>
                <c:pt idx="1">
                  <c:v>265.9032539684618</c:v>
                </c:pt>
                <c:pt idx="2">
                  <c:v>253.91346312285447</c:v>
                </c:pt>
                <c:pt idx="3">
                  <c:v>265.16558228404261</c:v>
                </c:pt>
                <c:pt idx="4">
                  <c:v>275.99864405224935</c:v>
                </c:pt>
                <c:pt idx="5">
                  <c:v>272.73140733839097</c:v>
                </c:pt>
                <c:pt idx="6">
                  <c:v>281.81464270705413</c:v>
                </c:pt>
                <c:pt idx="7">
                  <c:v>261.33722596846326</c:v>
                </c:pt>
                <c:pt idx="8">
                  <c:v>278.65343633166384</c:v>
                </c:pt>
                <c:pt idx="9">
                  <c:v>263.55000163439666</c:v>
                </c:pt>
                <c:pt idx="10">
                  <c:v>294.47764990672675</c:v>
                </c:pt>
                <c:pt idx="11">
                  <c:v>275.84859808900734</c:v>
                </c:pt>
                <c:pt idx="12">
                  <c:v>279.69524801558174</c:v>
                </c:pt>
                <c:pt idx="13">
                  <c:v>281.50144800498799</c:v>
                </c:pt>
                <c:pt idx="14">
                  <c:v>283.84377373010881</c:v>
                </c:pt>
                <c:pt idx="15">
                  <c:v>285.59868526465709</c:v>
                </c:pt>
                <c:pt idx="16">
                  <c:v>287.08950659921453</c:v>
                </c:pt>
                <c:pt idx="17">
                  <c:v>288.49084261057425</c:v>
                </c:pt>
                <c:pt idx="18">
                  <c:v>289.90676105450927</c:v>
                </c:pt>
                <c:pt idx="19">
                  <c:v>291.33821853278528</c:v>
                </c:pt>
                <c:pt idx="20">
                  <c:v>292.88261312633398</c:v>
                </c:pt>
                <c:pt idx="21">
                  <c:v>294.41553007772239</c:v>
                </c:pt>
                <c:pt idx="22">
                  <c:v>295.96775631127758</c:v>
                </c:pt>
                <c:pt idx="23">
                  <c:v>297.55691222012956</c:v>
                </c:pt>
                <c:pt idx="24">
                  <c:v>299.14065138778568</c:v>
                </c:pt>
                <c:pt idx="25">
                  <c:v>300.53256546660759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13-4AC5-AC3B-DF816665A51E}"/>
            </c:ext>
          </c:extLst>
        </c:ser>
        <c:ser>
          <c:idx val="4"/>
          <c:order val="4"/>
          <c:tx>
            <c:strRef>
              <c:f>'Qual F1'!$L$10</c:f>
              <c:strCache>
                <c:ptCount val="1"/>
                <c:pt idx="0">
                  <c:v>RQF4 HE below degree level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F1'!$M$10:$AL$10</c:f>
              <c:numCache>
                <c:formatCode>#,##0</c:formatCode>
                <c:ptCount val="26"/>
                <c:pt idx="0">
                  <c:v>49.663917113263906</c:v>
                </c:pt>
                <c:pt idx="1">
                  <c:v>50.996082529110218</c:v>
                </c:pt>
                <c:pt idx="2">
                  <c:v>47.548611325393935</c:v>
                </c:pt>
                <c:pt idx="3">
                  <c:v>45.47651229879876</c:v>
                </c:pt>
                <c:pt idx="4">
                  <c:v>47.840831719122065</c:v>
                </c:pt>
                <c:pt idx="5">
                  <c:v>55.53036217836766</c:v>
                </c:pt>
                <c:pt idx="6">
                  <c:v>55.234393120982553</c:v>
                </c:pt>
                <c:pt idx="7">
                  <c:v>52.698254698506105</c:v>
                </c:pt>
                <c:pt idx="8">
                  <c:v>52.99371440815456</c:v>
                </c:pt>
                <c:pt idx="9">
                  <c:v>51.638506550088401</c:v>
                </c:pt>
                <c:pt idx="10">
                  <c:v>55.339524648922172</c:v>
                </c:pt>
                <c:pt idx="11">
                  <c:v>56.814704602004049</c:v>
                </c:pt>
                <c:pt idx="12">
                  <c:v>56.106565456970969</c:v>
                </c:pt>
                <c:pt idx="13">
                  <c:v>57.016929965729695</c:v>
                </c:pt>
                <c:pt idx="14">
                  <c:v>58.068068832108558</c:v>
                </c:pt>
                <c:pt idx="15">
                  <c:v>59.005279782501681</c:v>
                </c:pt>
                <c:pt idx="16">
                  <c:v>59.919584822039376</c:v>
                </c:pt>
                <c:pt idx="17">
                  <c:v>60.862534808809151</c:v>
                </c:pt>
                <c:pt idx="18">
                  <c:v>61.800995296044469</c:v>
                </c:pt>
                <c:pt idx="19">
                  <c:v>62.741710346786327</c:v>
                </c:pt>
                <c:pt idx="20">
                  <c:v>63.735064415494229</c:v>
                </c:pt>
                <c:pt idx="21" formatCode="General">
                  <c:v>64.736491859519973</c:v>
                </c:pt>
                <c:pt idx="22" formatCode="General">
                  <c:v>65.754102754918193</c:v>
                </c:pt>
                <c:pt idx="23" formatCode="General">
                  <c:v>66.792532820659446</c:v>
                </c:pt>
                <c:pt idx="24" formatCode="General">
                  <c:v>67.829055945780482</c:v>
                </c:pt>
                <c:pt idx="25">
                  <c:v>68.860847045772445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F13-4AC5-AC3B-DF816665A51E}"/>
            </c:ext>
          </c:extLst>
        </c:ser>
        <c:ser>
          <c:idx val="5"/>
          <c:order val="5"/>
          <c:tx>
            <c:strRef>
              <c:f>'Qual F1'!$L$11</c:f>
              <c:strCache>
                <c:ptCount val="1"/>
                <c:pt idx="0">
                  <c:v>RQF5 Foundation degree;Nursing;Teaching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F1'!$M$11:$AL$11</c:f>
              <c:numCache>
                <c:formatCode>#,##0</c:formatCode>
                <c:ptCount val="26"/>
                <c:pt idx="0">
                  <c:v>64.275919021757559</c:v>
                </c:pt>
                <c:pt idx="1">
                  <c:v>64.110721088521672</c:v>
                </c:pt>
                <c:pt idx="2">
                  <c:v>62.828628167197081</c:v>
                </c:pt>
                <c:pt idx="3">
                  <c:v>58.61992968292563</c:v>
                </c:pt>
                <c:pt idx="4">
                  <c:v>61.471131214949835</c:v>
                </c:pt>
                <c:pt idx="5">
                  <c:v>69.125685102589387</c:v>
                </c:pt>
                <c:pt idx="6">
                  <c:v>65.93054716827038</c:v>
                </c:pt>
                <c:pt idx="7">
                  <c:v>61.118819471078176</c:v>
                </c:pt>
                <c:pt idx="8">
                  <c:v>59.283246937026853</c:v>
                </c:pt>
                <c:pt idx="9">
                  <c:v>59.690037229754893</c:v>
                </c:pt>
                <c:pt idx="10">
                  <c:v>65.89816032744173</c:v>
                </c:pt>
                <c:pt idx="11">
                  <c:v>64.447864339181095</c:v>
                </c:pt>
                <c:pt idx="12">
                  <c:v>63.09172720772991</c:v>
                </c:pt>
                <c:pt idx="13">
                  <c:v>63.390672221282244</c:v>
                </c:pt>
                <c:pt idx="14">
                  <c:v>63.863975528575374</c:v>
                </c:pt>
                <c:pt idx="15">
                  <c:v>64.189140787253606</c:v>
                </c:pt>
                <c:pt idx="16">
                  <c:v>64.453490943304089</c:v>
                </c:pt>
                <c:pt idx="17">
                  <c:v>64.736998490379747</c:v>
                </c:pt>
                <c:pt idx="18">
                  <c:v>65.207711513706315</c:v>
                </c:pt>
                <c:pt idx="19">
                  <c:v>65.863776940511869</c:v>
                </c:pt>
                <c:pt idx="20">
                  <c:v>66.56351431178193</c:v>
                </c:pt>
                <c:pt idx="21" formatCode="General">
                  <c:v>67.281908310578729</c:v>
                </c:pt>
                <c:pt idx="22" formatCode="General">
                  <c:v>68.058442126988069</c:v>
                </c:pt>
                <c:pt idx="23" formatCode="General">
                  <c:v>68.887150634931473</c:v>
                </c:pt>
                <c:pt idx="24" formatCode="General">
                  <c:v>69.758063675722582</c:v>
                </c:pt>
                <c:pt idx="25">
                  <c:v>70.588657027486377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F13-4AC5-AC3B-DF816665A51E}"/>
            </c:ext>
          </c:extLst>
        </c:ser>
        <c:ser>
          <c:idx val="6"/>
          <c:order val="6"/>
          <c:tx>
            <c:strRef>
              <c:f>'Qual F1'!$L$12</c:f>
              <c:strCache>
                <c:ptCount val="1"/>
                <c:pt idx="0">
                  <c:v>RQF6 First degree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F1'!$M$12:$AL$12</c:f>
              <c:numCache>
                <c:formatCode>#,##0</c:formatCode>
                <c:ptCount val="26"/>
                <c:pt idx="0">
                  <c:v>155.08023802893101</c:v>
                </c:pt>
                <c:pt idx="1">
                  <c:v>163.66135371718812</c:v>
                </c:pt>
                <c:pt idx="2">
                  <c:v>165.02989135577539</c:v>
                </c:pt>
                <c:pt idx="3">
                  <c:v>158.28708840050993</c:v>
                </c:pt>
                <c:pt idx="4">
                  <c:v>169.98428294984853</c:v>
                </c:pt>
                <c:pt idx="5">
                  <c:v>199.31135081178232</c:v>
                </c:pt>
                <c:pt idx="6">
                  <c:v>196.18695280731515</c:v>
                </c:pt>
                <c:pt idx="7">
                  <c:v>187.01226312997767</c:v>
                </c:pt>
                <c:pt idx="8">
                  <c:v>193.24565506556536</c:v>
                </c:pt>
                <c:pt idx="9">
                  <c:v>193.38439549764706</c:v>
                </c:pt>
                <c:pt idx="10">
                  <c:v>214.38336635414242</c:v>
                </c:pt>
                <c:pt idx="11">
                  <c:v>222.41640998234584</c:v>
                </c:pt>
                <c:pt idx="12">
                  <c:v>222.3254595093471</c:v>
                </c:pt>
                <c:pt idx="13">
                  <c:v>228.46622816427993</c:v>
                </c:pt>
                <c:pt idx="14">
                  <c:v>235.05698643664118</c:v>
                </c:pt>
                <c:pt idx="15">
                  <c:v>241.18300428264601</c:v>
                </c:pt>
                <c:pt idx="16">
                  <c:v>247.12100166165615</c:v>
                </c:pt>
                <c:pt idx="17">
                  <c:v>252.98514638396887</c:v>
                </c:pt>
                <c:pt idx="18">
                  <c:v>258.76481828678516</c:v>
                </c:pt>
                <c:pt idx="19">
                  <c:v>264.45842485813046</c:v>
                </c:pt>
                <c:pt idx="20">
                  <c:v>270.28591393729278</c:v>
                </c:pt>
                <c:pt idx="21" formatCode="General">
                  <c:v>276.15791466337879</c:v>
                </c:pt>
                <c:pt idx="22" formatCode="General">
                  <c:v>282.06803112799838</c:v>
                </c:pt>
                <c:pt idx="23" formatCode="General">
                  <c:v>288.04327480614108</c:v>
                </c:pt>
                <c:pt idx="24" formatCode="General">
                  <c:v>294.06610427143522</c:v>
                </c:pt>
                <c:pt idx="25" formatCode="General">
                  <c:v>299.99815240348295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F13-4AC5-AC3B-DF816665A51E}"/>
            </c:ext>
          </c:extLst>
        </c:ser>
        <c:ser>
          <c:idx val="7"/>
          <c:order val="7"/>
          <c:tx>
            <c:strRef>
              <c:f>'Qual F1'!$L$13</c:f>
              <c:strCache>
                <c:ptCount val="1"/>
                <c:pt idx="0">
                  <c:v>RQF7 Other higher degree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F1'!$M$13:$AL$13</c:f>
              <c:numCache>
                <c:formatCode>#,##0</c:formatCode>
                <c:ptCount val="26"/>
                <c:pt idx="0">
                  <c:v>76.790820316700376</c:v>
                </c:pt>
                <c:pt idx="1">
                  <c:v>61.793561159200394</c:v>
                </c:pt>
                <c:pt idx="2">
                  <c:v>58.504940186283775</c:v>
                </c:pt>
                <c:pt idx="3">
                  <c:v>72.445670007452705</c:v>
                </c:pt>
                <c:pt idx="4">
                  <c:v>76.188326323168255</c:v>
                </c:pt>
                <c:pt idx="5">
                  <c:v>87.509531338397863</c:v>
                </c:pt>
                <c:pt idx="6">
                  <c:v>82.435285429634661</c:v>
                </c:pt>
                <c:pt idx="7">
                  <c:v>100.46378318951639</c:v>
                </c:pt>
                <c:pt idx="8">
                  <c:v>82.893201598784728</c:v>
                </c:pt>
                <c:pt idx="9">
                  <c:v>115.88175185043464</c:v>
                </c:pt>
                <c:pt idx="10">
                  <c:v>102.55492005222335</c:v>
                </c:pt>
                <c:pt idx="11">
                  <c:v>97.384131978114425</c:v>
                </c:pt>
                <c:pt idx="12">
                  <c:v>111.29117347881021</c:v>
                </c:pt>
                <c:pt idx="13">
                  <c:v>115.23679225988661</c:v>
                </c:pt>
                <c:pt idx="14">
                  <c:v>119.28648440961365</c:v>
                </c:pt>
                <c:pt idx="15">
                  <c:v>122.95921358435329</c:v>
                </c:pt>
                <c:pt idx="16">
                  <c:v>126.38216374959018</c:v>
                </c:pt>
                <c:pt idx="17">
                  <c:v>129.62821812567958</c:v>
                </c:pt>
                <c:pt idx="18">
                  <c:v>132.73580353071372</c:v>
                </c:pt>
                <c:pt idx="19">
                  <c:v>135.70991973156575</c:v>
                </c:pt>
                <c:pt idx="20">
                  <c:v>138.58519606147266</c:v>
                </c:pt>
                <c:pt idx="21" formatCode="General">
                  <c:v>141.30681188848288</c:v>
                </c:pt>
                <c:pt idx="22" formatCode="General">
                  <c:v>143.88066537489365</c:v>
                </c:pt>
                <c:pt idx="23" formatCode="General">
                  <c:v>146.31787717880007</c:v>
                </c:pt>
                <c:pt idx="24" formatCode="General">
                  <c:v>148.58064330930401</c:v>
                </c:pt>
                <c:pt idx="25" formatCode="General">
                  <c:v>150.57249059029547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F13-4AC5-AC3B-DF816665A51E}"/>
            </c:ext>
          </c:extLst>
        </c:ser>
        <c:ser>
          <c:idx val="8"/>
          <c:order val="8"/>
          <c:tx>
            <c:strRef>
              <c:f>'Qual F1'!$L$14</c:f>
              <c:strCache>
                <c:ptCount val="1"/>
                <c:pt idx="0">
                  <c:v>RQF8 Doctorate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F1'!$M$14:$AL$14</c:f>
              <c:numCache>
                <c:formatCode>#,##0</c:formatCode>
                <c:ptCount val="26"/>
                <c:pt idx="0">
                  <c:v>12.347795757563052</c:v>
                </c:pt>
                <c:pt idx="1">
                  <c:v>9.9823632317160005</c:v>
                </c:pt>
                <c:pt idx="2">
                  <c:v>9.1156165430220017</c:v>
                </c:pt>
                <c:pt idx="3">
                  <c:v>11.745757343587551</c:v>
                </c:pt>
                <c:pt idx="4">
                  <c:v>11.904754671909552</c:v>
                </c:pt>
                <c:pt idx="5">
                  <c:v>13.866152711380108</c:v>
                </c:pt>
                <c:pt idx="6">
                  <c:v>13.298957857794788</c:v>
                </c:pt>
                <c:pt idx="7">
                  <c:v>16.198179452812344</c:v>
                </c:pt>
                <c:pt idx="8">
                  <c:v>14.037654129134623</c:v>
                </c:pt>
                <c:pt idx="9">
                  <c:v>17.848150909748469</c:v>
                </c:pt>
                <c:pt idx="10">
                  <c:v>15.986184730114939</c:v>
                </c:pt>
                <c:pt idx="11">
                  <c:v>15.224162590622708</c:v>
                </c:pt>
                <c:pt idx="12">
                  <c:v>17.749701532865704</c:v>
                </c:pt>
                <c:pt idx="13">
                  <c:v>18.435933512227045</c:v>
                </c:pt>
                <c:pt idx="14">
                  <c:v>19.138813140948034</c:v>
                </c:pt>
                <c:pt idx="15">
                  <c:v>19.77930964620203</c:v>
                </c:pt>
                <c:pt idx="16">
                  <c:v>20.384836783124474</c:v>
                </c:pt>
                <c:pt idx="17">
                  <c:v>20.964693613385844</c:v>
                </c:pt>
                <c:pt idx="18">
                  <c:v>21.527301437947287</c:v>
                </c:pt>
                <c:pt idx="19">
                  <c:v>22.064331394253944</c:v>
                </c:pt>
                <c:pt idx="20">
                  <c:v>22.590797815536135</c:v>
                </c:pt>
                <c:pt idx="21" formatCode="General">
                  <c:v>23.090525282991603</c:v>
                </c:pt>
                <c:pt idx="22" formatCode="General">
                  <c:v>23.569999777103845</c:v>
                </c:pt>
                <c:pt idx="23" formatCode="General">
                  <c:v>24.023886488368419</c:v>
                </c:pt>
                <c:pt idx="24" formatCode="General">
                  <c:v>24.46006788871324</c:v>
                </c:pt>
                <c:pt idx="25" formatCode="General">
                  <c:v>24.851070362877337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F13-4AC5-AC3B-DF816665A5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685928"/>
        <c:axId val="313686320"/>
      </c:areaChart>
      <c:catAx>
        <c:axId val="3136859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632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632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592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5.194451201428852E-2"/>
          <c:y val="0.88735215349989649"/>
          <c:w val="0.91665645899213932"/>
          <c:h val="9.3101186779133524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2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38787893154494418"/>
          <c:y val="4.3626565131883739E-2"/>
          <c:w val="0.58235719863626845"/>
          <c:h val="0.88058877054170548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'ShiftShare T1'!$C$4</c:f>
              <c:strCache>
                <c:ptCount val="1"/>
                <c:pt idx="0">
                  <c:v>2015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T1'!$B$8:$B$33</c:f>
              <c:numCache>
                <c:formatCode>#,##0</c:formatCode>
                <c:ptCount val="26"/>
                <c:pt idx="0">
                  <c:v>52.789581565562479</c:v>
                </c:pt>
                <c:pt idx="1">
                  <c:v>35.787011508835903</c:v>
                </c:pt>
                <c:pt idx="2">
                  <c:v>53.08494534255329</c:v>
                </c:pt>
                <c:pt idx="3">
                  <c:v>74.445418040172925</c:v>
                </c:pt>
                <c:pt idx="4">
                  <c:v>51.740039318389456</c:v>
                </c:pt>
                <c:pt idx="5">
                  <c:v>52.220322486637031</c:v>
                </c:pt>
                <c:pt idx="6">
                  <c:v>22.173700353829513</c:v>
                </c:pt>
                <c:pt idx="7">
                  <c:v>25.961609747557699</c:v>
                </c:pt>
                <c:pt idx="8">
                  <c:v>14.68743195603696</c:v>
                </c:pt>
                <c:pt idx="9">
                  <c:v>15.58428987447075</c:v>
                </c:pt>
                <c:pt idx="10">
                  <c:v>50.660121656326183</c:v>
                </c:pt>
                <c:pt idx="11">
                  <c:v>114.57040469271979</c:v>
                </c:pt>
                <c:pt idx="12">
                  <c:v>25.1803806130523</c:v>
                </c:pt>
                <c:pt idx="13">
                  <c:v>12.543419718462415</c:v>
                </c:pt>
                <c:pt idx="14">
                  <c:v>51.747021542468346</c:v>
                </c:pt>
                <c:pt idx="15">
                  <c:v>41.419150338928858</c:v>
                </c:pt>
                <c:pt idx="16">
                  <c:v>25.386641391134777</c:v>
                </c:pt>
                <c:pt idx="17">
                  <c:v>88.684911099512362</c:v>
                </c:pt>
                <c:pt idx="18">
                  <c:v>27.405172717445431</c:v>
                </c:pt>
                <c:pt idx="19">
                  <c:v>1.3802744895746679</c:v>
                </c:pt>
                <c:pt idx="20">
                  <c:v>115.11953582269213</c:v>
                </c:pt>
                <c:pt idx="21">
                  <c:v>20.669868608587418</c:v>
                </c:pt>
                <c:pt idx="22">
                  <c:v>43.708317600696866</c:v>
                </c:pt>
                <c:pt idx="23">
                  <c:v>41.108961810145928</c:v>
                </c:pt>
                <c:pt idx="24">
                  <c:v>20.317502556909954</c:v>
                </c:pt>
                <c:pt idx="25">
                  <c:v>129.32696514894883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22E-4752-A244-893F04CFF91E}"/>
            </c:ext>
          </c:extLst>
        </c:ser>
        <c:ser>
          <c:idx val="1"/>
          <c:order val="1"/>
          <c:tx>
            <c:strRef>
              <c:f>'ShiftShare T1'!$F$4</c:f>
              <c:strCache>
                <c:ptCount val="1"/>
                <c:pt idx="0">
                  <c:v>2020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T1'!$E$8:$E$33</c:f>
              <c:numCache>
                <c:formatCode>#,##0</c:formatCode>
                <c:ptCount val="26"/>
                <c:pt idx="0">
                  <c:v>61.768389193758232</c:v>
                </c:pt>
                <c:pt idx="1">
                  <c:v>37.959358890498983</c:v>
                </c:pt>
                <c:pt idx="2">
                  <c:v>57.693711549572342</c:v>
                </c:pt>
                <c:pt idx="3">
                  <c:v>80.600575984282628</c:v>
                </c:pt>
                <c:pt idx="4">
                  <c:v>53.708575195788306</c:v>
                </c:pt>
                <c:pt idx="5">
                  <c:v>62.751374352085939</c:v>
                </c:pt>
                <c:pt idx="6">
                  <c:v>25.674611673300856</c:v>
                </c:pt>
                <c:pt idx="7">
                  <c:v>28.696516826584283</c:v>
                </c:pt>
                <c:pt idx="8">
                  <c:v>16.490904766190859</c:v>
                </c:pt>
                <c:pt idx="9">
                  <c:v>14.871594679764716</c:v>
                </c:pt>
                <c:pt idx="10">
                  <c:v>54.538524390761594</c:v>
                </c:pt>
                <c:pt idx="11">
                  <c:v>110.91865106364448</c:v>
                </c:pt>
                <c:pt idx="12">
                  <c:v>21.772443071641227</c:v>
                </c:pt>
                <c:pt idx="13">
                  <c:v>10.301868360565633</c:v>
                </c:pt>
                <c:pt idx="14">
                  <c:v>42.60775024378303</c:v>
                </c:pt>
                <c:pt idx="15">
                  <c:v>36.039102763857159</c:v>
                </c:pt>
                <c:pt idx="16">
                  <c:v>21.093602961826281</c:v>
                </c:pt>
                <c:pt idx="17">
                  <c:v>85.269437786949581</c:v>
                </c:pt>
                <c:pt idx="18">
                  <c:v>26.609234004473503</c:v>
                </c:pt>
                <c:pt idx="19">
                  <c:v>1.5568242574433744</c:v>
                </c:pt>
                <c:pt idx="20">
                  <c:v>103.628321303587</c:v>
                </c:pt>
                <c:pt idx="21">
                  <c:v>22.33440238005921</c:v>
                </c:pt>
                <c:pt idx="22">
                  <c:v>34.877203113995151</c:v>
                </c:pt>
                <c:pt idx="23">
                  <c:v>43.757334690000292</c:v>
                </c:pt>
                <c:pt idx="24">
                  <c:v>15.637941740926959</c:v>
                </c:pt>
                <c:pt idx="25">
                  <c:v>118.1807447549491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22E-4752-A244-893F04CFF91E}"/>
            </c:ext>
          </c:extLst>
        </c:ser>
        <c:ser>
          <c:idx val="2"/>
          <c:order val="2"/>
          <c:tx>
            <c:strRef>
              <c:f>'ShiftShare T1'!$F$40</c:f>
              <c:strCache>
                <c:ptCount val="1"/>
                <c:pt idx="0">
                  <c:v>2035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T1'!$E$44:$E$69</c:f>
              <c:numCache>
                <c:formatCode>#,##0</c:formatCode>
                <c:ptCount val="26"/>
                <c:pt idx="0">
                  <c:v>62.544495989530091</c:v>
                </c:pt>
                <c:pt idx="1">
                  <c:v>53.565388035408674</c:v>
                </c:pt>
                <c:pt idx="2">
                  <c:v>66.33260773023207</c:v>
                </c:pt>
                <c:pt idx="3">
                  <c:v>98.888062303322812</c:v>
                </c:pt>
                <c:pt idx="4">
                  <c:v>63.137330106243262</c:v>
                </c:pt>
                <c:pt idx="5">
                  <c:v>78.429102753555412</c:v>
                </c:pt>
                <c:pt idx="6">
                  <c:v>23.163165143553364</c:v>
                </c:pt>
                <c:pt idx="7">
                  <c:v>31.883140108811844</c:v>
                </c:pt>
                <c:pt idx="8">
                  <c:v>21.562302765848596</c:v>
                </c:pt>
                <c:pt idx="9">
                  <c:v>15.744184153452183</c:v>
                </c:pt>
                <c:pt idx="10">
                  <c:v>54.505397506817054</c:v>
                </c:pt>
                <c:pt idx="11">
                  <c:v>97.055349402964936</c:v>
                </c:pt>
                <c:pt idx="12">
                  <c:v>20.167851374538614</c:v>
                </c:pt>
                <c:pt idx="13">
                  <c:v>11.586104938365459</c:v>
                </c:pt>
                <c:pt idx="14">
                  <c:v>36.473047170903065</c:v>
                </c:pt>
                <c:pt idx="15">
                  <c:v>31.960757016792254</c:v>
                </c:pt>
                <c:pt idx="16">
                  <c:v>20.007455074440646</c:v>
                </c:pt>
                <c:pt idx="17">
                  <c:v>96.070574814222852</c:v>
                </c:pt>
                <c:pt idx="18">
                  <c:v>27.345758662070583</c:v>
                </c:pt>
                <c:pt idx="19">
                  <c:v>1.3602839748610343</c:v>
                </c:pt>
                <c:pt idx="20">
                  <c:v>95.173047322350257</c:v>
                </c:pt>
                <c:pt idx="21">
                  <c:v>33.517955388270146</c:v>
                </c:pt>
                <c:pt idx="22">
                  <c:v>38.843978717677466</c:v>
                </c:pt>
                <c:pt idx="23">
                  <c:v>41.62594804306957</c:v>
                </c:pt>
                <c:pt idx="24">
                  <c:v>11.728541244332119</c:v>
                </c:pt>
                <c:pt idx="25">
                  <c:v>118.32517025857831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22E-4752-A244-893F04CFF9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0200496"/>
        <c:axId val="320200888"/>
      </c:barChart>
      <c:catAx>
        <c:axId val="320200496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nextTo"/>
        <c:crossAx val="320200888"/>
        <c:crosses val="autoZero"/>
        <c:auto val="1"/>
        <c:lblAlgn val="ctr"/>
        <c:lblOffset val="100"/>
        <c:noMultiLvlLbl val="0"/>
      </c:catAx>
      <c:valAx>
        <c:axId val="320200888"/>
        <c:scaling>
          <c:orientation val="minMax"/>
        </c:scaling>
        <c:delete val="0"/>
        <c:axPos val="t"/>
        <c:majorGridlines/>
        <c:numFmt formatCode="#,##0" sourceLinked="1"/>
        <c:majorTickMark val="out"/>
        <c:minorTickMark val="none"/>
        <c:tickLblPos val="nextTo"/>
        <c:crossAx val="320200496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54132763162669373"/>
          <c:y val="0.95527891662688502"/>
          <c:w val="0.17405791669497794"/>
          <c:h val="3.1004491913691319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9718540339964518"/>
          <c:y val="3.4908754382882691E-2"/>
          <c:w val="0.46370250563807996"/>
          <c:h val="0.88947796371950538"/>
        </c:manualLayout>
      </c:layout>
      <c:barChart>
        <c:barDir val="bar"/>
        <c:grouping val="clustered"/>
        <c:varyColors val="0"/>
        <c:ser>
          <c:idx val="4"/>
          <c:order val="0"/>
          <c:tx>
            <c:strRef>
              <c:f>'ShiftShare T1'!$I$4</c:f>
              <c:strCache>
                <c:ptCount val="1"/>
                <c:pt idx="0">
                  <c:v>2015-2020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T1'!$H$8:$H$33</c:f>
              <c:numCache>
                <c:formatCode>#,##0</c:formatCode>
                <c:ptCount val="26"/>
                <c:pt idx="0">
                  <c:v>8.978807628195753</c:v>
                </c:pt>
                <c:pt idx="1">
                  <c:v>2.1723473816630801</c:v>
                </c:pt>
                <c:pt idx="2">
                  <c:v>4.6087662070190518</c:v>
                </c:pt>
                <c:pt idx="3">
                  <c:v>6.1551579441097033</c:v>
                </c:pt>
                <c:pt idx="4">
                  <c:v>1.9685358773988497</c:v>
                </c:pt>
                <c:pt idx="5">
                  <c:v>10.531051865448909</c:v>
                </c:pt>
                <c:pt idx="6">
                  <c:v>3.5009113194713422</c:v>
                </c:pt>
                <c:pt idx="7">
                  <c:v>2.7349070790265841</c:v>
                </c:pt>
                <c:pt idx="8">
                  <c:v>1.8034728101538988</c:v>
                </c:pt>
                <c:pt idx="9">
                  <c:v>-0.71269519470603448</c:v>
                </c:pt>
                <c:pt idx="10">
                  <c:v>3.8784027344354115</c:v>
                </c:pt>
                <c:pt idx="11">
                  <c:v>-3.6517536290753156</c:v>
                </c:pt>
                <c:pt idx="12">
                  <c:v>-3.4079375414110729</c:v>
                </c:pt>
                <c:pt idx="13">
                  <c:v>-2.2415513578967818</c:v>
                </c:pt>
                <c:pt idx="14">
                  <c:v>-9.1392712986853155</c:v>
                </c:pt>
                <c:pt idx="15">
                  <c:v>-5.3800475750716998</c:v>
                </c:pt>
                <c:pt idx="16">
                  <c:v>-4.2930384293084956</c:v>
                </c:pt>
                <c:pt idx="17">
                  <c:v>-3.4154733125627814</c:v>
                </c:pt>
                <c:pt idx="18">
                  <c:v>-0.7959387129719282</c:v>
                </c:pt>
                <c:pt idx="19">
                  <c:v>0.17654976786870646</c:v>
                </c:pt>
                <c:pt idx="20">
                  <c:v>-11.491214519105128</c:v>
                </c:pt>
                <c:pt idx="21">
                  <c:v>1.6645337714717918</c:v>
                </c:pt>
                <c:pt idx="22">
                  <c:v>-8.8311144867017148</c:v>
                </c:pt>
                <c:pt idx="23">
                  <c:v>2.6483728798543638</c:v>
                </c:pt>
                <c:pt idx="24">
                  <c:v>-4.6795608159829953</c:v>
                </c:pt>
                <c:pt idx="25">
                  <c:v>-11.146220393999727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130-4246-8424-BFF62A2BAC31}"/>
            </c:ext>
          </c:extLst>
        </c:ser>
        <c:ser>
          <c:idx val="5"/>
          <c:order val="1"/>
          <c:tx>
            <c:strRef>
              <c:f>'ShiftShare T1'!$I$40</c:f>
              <c:strCache>
                <c:ptCount val="1"/>
                <c:pt idx="0">
                  <c:v>2020-2035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T1'!$H$44:$H$69</c:f>
              <c:numCache>
                <c:formatCode>#,##0</c:formatCode>
                <c:ptCount val="26"/>
                <c:pt idx="0">
                  <c:v>0.77610679577185948</c:v>
                </c:pt>
                <c:pt idx="1">
                  <c:v>15.606029144909691</c:v>
                </c:pt>
                <c:pt idx="2">
                  <c:v>8.638896180659728</c:v>
                </c:pt>
                <c:pt idx="3">
                  <c:v>18.287486319040184</c:v>
                </c:pt>
                <c:pt idx="4">
                  <c:v>9.4287549104549555</c:v>
                </c:pt>
                <c:pt idx="5">
                  <c:v>15.677728401469473</c:v>
                </c:pt>
                <c:pt idx="6">
                  <c:v>-2.5114465297474915</c:v>
                </c:pt>
                <c:pt idx="7">
                  <c:v>3.1866232822275613</c:v>
                </c:pt>
                <c:pt idx="8">
                  <c:v>5.0713979996577372</c:v>
                </c:pt>
                <c:pt idx="9">
                  <c:v>0.87258947368746753</c:v>
                </c:pt>
                <c:pt idx="10">
                  <c:v>-3.3126883944539998E-2</c:v>
                </c:pt>
                <c:pt idx="11">
                  <c:v>-13.863301660679539</c:v>
                </c:pt>
                <c:pt idx="12">
                  <c:v>-1.6045916971026131</c:v>
                </c:pt>
                <c:pt idx="13">
                  <c:v>1.2842365777998257</c:v>
                </c:pt>
                <c:pt idx="14">
                  <c:v>-6.1347030728799652</c:v>
                </c:pt>
                <c:pt idx="15">
                  <c:v>-4.0783457470649047</c:v>
                </c:pt>
                <c:pt idx="16">
                  <c:v>-1.0861478873856356</c:v>
                </c:pt>
                <c:pt idx="17">
                  <c:v>10.801137027273271</c:v>
                </c:pt>
                <c:pt idx="18">
                  <c:v>0.73652465759708008</c:v>
                </c:pt>
                <c:pt idx="19">
                  <c:v>-0.19654028258234013</c:v>
                </c:pt>
                <c:pt idx="20">
                  <c:v>-8.4552739812367435</c:v>
                </c:pt>
                <c:pt idx="21">
                  <c:v>11.183553008210936</c:v>
                </c:pt>
                <c:pt idx="22">
                  <c:v>3.966775603682315</c:v>
                </c:pt>
                <c:pt idx="23">
                  <c:v>-2.1313866469307214</c:v>
                </c:pt>
                <c:pt idx="24">
                  <c:v>-3.9094004965948397</c:v>
                </c:pt>
                <c:pt idx="25">
                  <c:v>0.1444255036292077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130-4246-8424-BFF62A2BAC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0201672"/>
        <c:axId val="320202064"/>
      </c:barChart>
      <c:catAx>
        <c:axId val="320201672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low"/>
        <c:crossAx val="320202064"/>
        <c:crosses val="autoZero"/>
        <c:auto val="1"/>
        <c:lblAlgn val="ctr"/>
        <c:lblOffset val="1000"/>
        <c:noMultiLvlLbl val="0"/>
      </c:catAx>
      <c:valAx>
        <c:axId val="320202064"/>
        <c:scaling>
          <c:orientation val="minMax"/>
        </c:scaling>
        <c:delete val="0"/>
        <c:axPos val="t"/>
        <c:majorGridlines/>
        <c:numFmt formatCode="#,##0" sourceLinked="1"/>
        <c:majorTickMark val="out"/>
        <c:minorTickMark val="none"/>
        <c:tickLblPos val="nextTo"/>
        <c:crossAx val="32020167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6164780852212991"/>
          <c:y val="0.94823266163463993"/>
          <c:w val="0.2106189753783651"/>
          <c:h val="3.1117474689689728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 orientation="portrait"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9295888892981675E-2"/>
          <c:y val="3.5947604941935246E-2"/>
          <c:w val="0.90390271996709393"/>
          <c:h val="0.80496508415316914"/>
        </c:manualLayout>
      </c:layout>
      <c:lineChart>
        <c:grouping val="standard"/>
        <c:varyColors val="0"/>
        <c:ser>
          <c:idx val="1"/>
          <c:order val="0"/>
          <c:tx>
            <c:strRef>
              <c:f>'ShiftShare T1'!$A$8</c:f>
              <c:strCache>
                <c:ptCount val="1"/>
                <c:pt idx="0">
                  <c:v>11 Corporate managers and directors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 formatCode="General">
                  <c:v>2035</c:v>
                </c:pt>
              </c:numCache>
            </c:numRef>
          </c:cat>
          <c:val>
            <c:numRef>
              <c:f>('ShiftShare T1'!$C$8,'ShiftShare T1'!$F$8,'ShiftShare T1'!$F$44)</c:f>
              <c:numCache>
                <c:formatCode>0.0</c:formatCode>
                <c:ptCount val="3"/>
                <c:pt idx="0">
                  <c:v>4.3710731500617515</c:v>
                </c:pt>
                <c:pt idx="1">
                  <c:v>5.1935057366943438</c:v>
                </c:pt>
                <c:pt idx="2">
                  <c:v>4.9995720205179923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B6E-4072-ACC3-8D57D4851C1D}"/>
            </c:ext>
          </c:extLst>
        </c:ser>
        <c:ser>
          <c:idx val="2"/>
          <c:order val="1"/>
          <c:tx>
            <c:strRef>
              <c:f>'ShiftShare T1'!$A$9</c:f>
              <c:strCache>
                <c:ptCount val="1"/>
                <c:pt idx="0">
                  <c:v>12 Other managers and proprietors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 formatCode="General">
                  <c:v>2035</c:v>
                </c:pt>
              </c:numCache>
            </c:numRef>
          </c:cat>
          <c:val>
            <c:numRef>
              <c:f>('ShiftShare T1'!$C$9,'ShiftShare T1'!$F$9,'ShiftShare T1'!$F$45)</c:f>
              <c:numCache>
                <c:formatCode>0.0</c:formatCode>
                <c:ptCount val="3"/>
                <c:pt idx="0">
                  <c:v>2.9632294950651739</c:v>
                </c:pt>
                <c:pt idx="1">
                  <c:v>3.1916349241460771</c:v>
                </c:pt>
                <c:pt idx="2">
                  <c:v>4.2818158664968484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B6E-4072-ACC3-8D57D4851C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02848"/>
        <c:axId val="320203240"/>
      </c:lineChart>
      <c:catAx>
        <c:axId val="3202028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03240"/>
        <c:crosses val="autoZero"/>
        <c:auto val="1"/>
        <c:lblAlgn val="ctr"/>
        <c:lblOffset val="100"/>
        <c:noMultiLvlLbl val="0"/>
      </c:catAx>
      <c:valAx>
        <c:axId val="320203240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0284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2.367846311576052E-2"/>
          <c:y val="0.91788153826032881"/>
          <c:w val="0.95853017103776827"/>
          <c:h val="6.4621404430058801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0056854007996878E-2"/>
          <c:y val="3.1694845457226499E-2"/>
          <c:w val="0.89366434465146449"/>
          <c:h val="0.69172816728167286"/>
        </c:manualLayout>
      </c:layout>
      <c:lineChart>
        <c:grouping val="standard"/>
        <c:varyColors val="0"/>
        <c:ser>
          <c:idx val="3"/>
          <c:order val="0"/>
          <c:tx>
            <c:strRef>
              <c:f>'ShiftShare T1'!$A$14</c:f>
              <c:strCache>
                <c:ptCount val="1"/>
                <c:pt idx="0">
                  <c:v>31 Science, engineering and technology associate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 formatCode="General">
                  <c:v>2035</c:v>
                </c:pt>
              </c:numCache>
            </c:numRef>
          </c:cat>
          <c:val>
            <c:numRef>
              <c:f>('ShiftShare T1'!$C$14,'ShiftShare T1'!$F$14,'ShiftShare T1'!$F$50)</c:f>
              <c:numCache>
                <c:formatCode>0.0</c:formatCode>
                <c:ptCount val="3"/>
                <c:pt idx="0">
                  <c:v>1.8360226275664784</c:v>
                </c:pt>
                <c:pt idx="1">
                  <c:v>2.158729485310293</c:v>
                </c:pt>
                <c:pt idx="2">
                  <c:v>1.8515763941519787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A1D-49CD-BB27-98A48CC6E552}"/>
            </c:ext>
          </c:extLst>
        </c:ser>
        <c:ser>
          <c:idx val="0"/>
          <c:order val="1"/>
          <c:tx>
            <c:strRef>
              <c:f>'ShiftShare T1'!$A$15</c:f>
              <c:strCache>
                <c:ptCount val="1"/>
                <c:pt idx="0">
                  <c:v>32 Health and social care associate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 formatCode="General">
                  <c:v>2035</c:v>
                </c:pt>
              </c:numCache>
            </c:numRef>
          </c:cat>
          <c:val>
            <c:numRef>
              <c:f>('ShiftShare T1'!$C$15,'ShiftShare T1'!$F$15,'ShiftShare T1'!$F$51)</c:f>
              <c:numCache>
                <c:formatCode>0.0</c:formatCode>
                <c:ptCount val="3"/>
                <c:pt idx="0">
                  <c:v>2.1496683992274748</c:v>
                </c:pt>
                <c:pt idx="1">
                  <c:v>2.4128122281853428</c:v>
                </c:pt>
                <c:pt idx="2">
                  <c:v>2.5486184306442325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A1D-49CD-BB27-98A48CC6E552}"/>
            </c:ext>
          </c:extLst>
        </c:ser>
        <c:ser>
          <c:idx val="1"/>
          <c:order val="2"/>
          <c:tx>
            <c:strRef>
              <c:f>'ShiftShare T1'!$A$16</c:f>
              <c:strCache>
                <c:ptCount val="1"/>
                <c:pt idx="0">
                  <c:v>33 Protective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 formatCode="General">
                  <c:v>2035</c:v>
                </c:pt>
              </c:numCache>
            </c:numRef>
          </c:cat>
          <c:val>
            <c:numRef>
              <c:f>('ShiftShare T1'!$C$16,'ShiftShare T1'!$F$16,'ShiftShare T1'!$F$52)</c:f>
              <c:numCache>
                <c:formatCode>0.0</c:formatCode>
                <c:ptCount val="3"/>
                <c:pt idx="0">
                  <c:v>1.2161460190143498</c:v>
                </c:pt>
                <c:pt idx="1">
                  <c:v>1.3865604984101951</c:v>
                </c:pt>
                <c:pt idx="2">
                  <c:v>1.7236094703540403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A1D-49CD-BB27-98A48CC6E552}"/>
            </c:ext>
          </c:extLst>
        </c:ser>
        <c:ser>
          <c:idx val="4"/>
          <c:order val="3"/>
          <c:tx>
            <c:strRef>
              <c:f>'ShiftShare T1'!$A$17</c:f>
              <c:strCache>
                <c:ptCount val="1"/>
                <c:pt idx="0">
                  <c:v>34 Culture, media and sports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 formatCode="General">
                  <c:v>2035</c:v>
                </c:pt>
              </c:numCache>
            </c:numRef>
          </c:cat>
          <c:val>
            <c:numRef>
              <c:f>('ShiftShare T1'!$C$17,'ShiftShare T1'!$F$17,'ShiftShare T1'!$F$53)</c:f>
              <c:numCache>
                <c:formatCode>0.0</c:formatCode>
                <c:ptCount val="3"/>
                <c:pt idx="0">
                  <c:v>1.2904074821747924</c:v>
                </c:pt>
                <c:pt idx="1">
                  <c:v>1.2504083932134642</c:v>
                </c:pt>
                <c:pt idx="2">
                  <c:v>1.2585309280077819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A1D-49CD-BB27-98A48CC6E552}"/>
            </c:ext>
          </c:extLst>
        </c:ser>
        <c:ser>
          <c:idx val="5"/>
          <c:order val="4"/>
          <c:tx>
            <c:strRef>
              <c:f>'ShiftShare T1'!$A$18</c:f>
              <c:strCache>
                <c:ptCount val="1"/>
                <c:pt idx="0">
                  <c:v>35 Business and public service associate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 formatCode="General">
                  <c:v>2035</c:v>
                </c:pt>
              </c:numCache>
            </c:numRef>
          </c:cat>
          <c:val>
            <c:numRef>
              <c:f>('ShiftShare T1'!$C$18,'ShiftShare T1'!$F$18,'ShiftShare T1'!$F$54)</c:f>
              <c:numCache>
                <c:formatCode>0.0</c:formatCode>
                <c:ptCount val="3"/>
                <c:pt idx="0">
                  <c:v>4.1947500052791868</c:v>
                </c:pt>
                <c:pt idx="1">
                  <c:v>4.5856164130452521</c:v>
                </c:pt>
                <c:pt idx="2">
                  <c:v>4.3569566918871745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CA1D-49CD-BB27-98A48CC6E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04024"/>
        <c:axId val="320269064"/>
      </c:lineChart>
      <c:catAx>
        <c:axId val="3202040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69064"/>
        <c:crosses val="autoZero"/>
        <c:auto val="1"/>
        <c:lblAlgn val="ctr"/>
        <c:lblOffset val="100"/>
        <c:noMultiLvlLbl val="0"/>
      </c:catAx>
      <c:valAx>
        <c:axId val="320269064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0402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8.4124142788133807E-2"/>
          <c:y val="0.78352008300784759"/>
          <c:w val="0.84908255569149549"/>
          <c:h val="0.20791568661300647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2847506889025924E-2"/>
          <c:y val="2.5974457843128223E-2"/>
          <c:w val="0.89314628400895379"/>
          <c:h val="0.78565359775118182"/>
        </c:manualLayout>
      </c:layout>
      <c:lineChart>
        <c:grouping val="standard"/>
        <c:varyColors val="0"/>
        <c:ser>
          <c:idx val="4"/>
          <c:order val="0"/>
          <c:tx>
            <c:strRef>
              <c:f>'ShiftShare T1'!$A$19</c:f>
              <c:strCache>
                <c:ptCount val="1"/>
                <c:pt idx="0">
                  <c:v>41 Administrative occupations</c:v>
                </c:pt>
              </c:strCache>
            </c:strRef>
          </c:tx>
          <c:val>
            <c:numRef>
              <c:f>('ShiftShare T1'!$C$19,'ShiftShare T1'!$F$19,'ShiftShare T1'!$F$55)</c:f>
              <c:numCache>
                <c:formatCode>0.0</c:formatCode>
                <c:ptCount val="3"/>
                <c:pt idx="0">
                  <c:v>9.4866374176898702</c:v>
                </c:pt>
                <c:pt idx="1">
                  <c:v>9.3260753295416521</c:v>
                </c:pt>
                <c:pt idx="2">
                  <c:v>7.7582399800278061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4E-489B-AA3C-D474FCE6D67C}"/>
            </c:ext>
          </c:extLst>
        </c:ser>
        <c:ser>
          <c:idx val="1"/>
          <c:order val="1"/>
          <c:tx>
            <c:strRef>
              <c:f>'ShiftShare T1'!$A$20</c:f>
              <c:strCache>
                <c:ptCount val="1"/>
                <c:pt idx="0">
                  <c:v>42 Secretarial and related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 formatCode="General">
                  <c:v>2035</c:v>
                </c:pt>
              </c:numCache>
            </c:numRef>
          </c:cat>
          <c:val>
            <c:numRef>
              <c:f>('ShiftShare T1'!$C$20,'ShiftShare T1'!$F$20,'ShiftShare T1'!$F$56)</c:f>
              <c:numCache>
                <c:formatCode>0.0</c:formatCode>
                <c:ptCount val="3"/>
                <c:pt idx="0">
                  <c:v>2.0849812092060596</c:v>
                </c:pt>
                <c:pt idx="1">
                  <c:v>1.8306339127562374</c:v>
                </c:pt>
                <c:pt idx="2">
                  <c:v>1.6121422652920183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4E-489B-AA3C-D474FCE6D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69848"/>
        <c:axId val="320270240"/>
      </c:lineChart>
      <c:catAx>
        <c:axId val="3202698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70240"/>
        <c:crosses val="autoZero"/>
        <c:auto val="1"/>
        <c:lblAlgn val="ctr"/>
        <c:lblOffset val="100"/>
        <c:noMultiLvlLbl val="0"/>
      </c:catAx>
      <c:valAx>
        <c:axId val="320270240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6984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4.4974248467898471E-2"/>
          <c:y val="0.89428044341365409"/>
          <c:w val="0.88541212612219578"/>
          <c:h val="9.6042139689575881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098805656060376E-2"/>
          <c:y val="3.1694838332767254E-2"/>
          <c:w val="0.89724219155004581"/>
          <c:h val="0.7489724514245768"/>
        </c:manualLayout>
      </c:layout>
      <c:lineChart>
        <c:grouping val="standard"/>
        <c:varyColors val="0"/>
        <c:ser>
          <c:idx val="2"/>
          <c:order val="0"/>
          <c:tx>
            <c:strRef>
              <c:f>'ShiftShare T1'!$A$25</c:f>
              <c:strCache>
                <c:ptCount val="1"/>
                <c:pt idx="0">
                  <c:v>61 Caring personal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 formatCode="General">
                  <c:v>2035</c:v>
                </c:pt>
              </c:numCache>
            </c:numRef>
          </c:cat>
          <c:val>
            <c:numRef>
              <c:f>('ShiftShare T1'!$C$25,'ShiftShare T1'!$F$25,'ShiftShare T1'!$F$61)</c:f>
              <c:numCache>
                <c:formatCode>0.0</c:formatCode>
                <c:ptCount val="3"/>
                <c:pt idx="0">
                  <c:v>7.3432715741693997</c:v>
                </c:pt>
                <c:pt idx="1">
                  <c:v>7.1694813494662792</c:v>
                </c:pt>
                <c:pt idx="2">
                  <c:v>7.6795207993469647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3C8-4F4F-9A85-289A2A78C237}"/>
            </c:ext>
          </c:extLst>
        </c:ser>
        <c:ser>
          <c:idx val="3"/>
          <c:order val="1"/>
          <c:tx>
            <c:strRef>
              <c:f>'ShiftShare T1'!$A$26</c:f>
              <c:strCache>
                <c:ptCount val="1"/>
                <c:pt idx="0">
                  <c:v>62 Leisure, travel and related personal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 formatCode="General">
                  <c:v>2035</c:v>
                </c:pt>
              </c:numCache>
            </c:numRef>
          </c:cat>
          <c:val>
            <c:numRef>
              <c:f>('ShiftShare T1'!$C$26,'ShiftShare T1'!$F$26,'ShiftShare T1'!$F$62)</c:f>
              <c:numCache>
                <c:formatCode>0.0</c:formatCode>
                <c:ptCount val="3"/>
                <c:pt idx="0">
                  <c:v>2.2691980327454635</c:v>
                </c:pt>
                <c:pt idx="1">
                  <c:v>2.2373128270801681</c:v>
                </c:pt>
                <c:pt idx="2">
                  <c:v>2.1859172054022462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3C8-4F4F-9A85-289A2A78C237}"/>
            </c:ext>
          </c:extLst>
        </c:ser>
        <c:ser>
          <c:idx val="0"/>
          <c:order val="2"/>
          <c:tx>
            <c:strRef>
              <c:f>'ShiftShare T1'!$A$27</c:f>
              <c:strCache>
                <c:ptCount val="1"/>
                <c:pt idx="0">
                  <c:v>63 Community and civil enforcement occupations</c:v>
                </c:pt>
              </c:strCache>
            </c:strRef>
          </c:tx>
          <c:val>
            <c:numRef>
              <c:f>('ShiftShare T1'!$C$27,'ShiftShare T1'!$F$27,'ShiftShare T1'!$F$63)</c:f>
              <c:numCache>
                <c:formatCode>0.0</c:formatCode>
                <c:ptCount val="3"/>
                <c:pt idx="0">
                  <c:v>0.11428923249944564</c:v>
                </c:pt>
                <c:pt idx="1">
                  <c:v>0.13089827689523292</c:v>
                </c:pt>
                <c:pt idx="2">
                  <c:v>0.10873599016311015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724-4258-ADBA-A2E7018821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71024"/>
        <c:axId val="320271416"/>
      </c:lineChart>
      <c:catAx>
        <c:axId val="3202710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71416"/>
        <c:crosses val="autoZero"/>
        <c:auto val="1"/>
        <c:lblAlgn val="ctr"/>
        <c:lblOffset val="100"/>
        <c:noMultiLvlLbl val="0"/>
      </c:catAx>
      <c:valAx>
        <c:axId val="320271416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7102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3.3354350200792061E-2"/>
          <c:y val="0.84966379700769423"/>
          <c:w val="0.95092389486513718"/>
          <c:h val="0.1503362029923058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098876564146626E-2"/>
          <c:y val="3.7432015198227891E-2"/>
          <c:w val="0.89724219155004581"/>
          <c:h val="0.82011132728884228"/>
        </c:manualLayout>
      </c:layout>
      <c:lineChart>
        <c:grouping val="standard"/>
        <c:varyColors val="0"/>
        <c:ser>
          <c:idx val="1"/>
          <c:order val="0"/>
          <c:tx>
            <c:strRef>
              <c:f>'ShiftShare T1'!$A$28</c:f>
              <c:strCache>
                <c:ptCount val="1"/>
                <c:pt idx="0">
                  <c:v>71 Sales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 formatCode="General">
                  <c:v>2035</c:v>
                </c:pt>
              </c:numCache>
            </c:numRef>
          </c:cat>
          <c:val>
            <c:numRef>
              <c:f>('ShiftShare T1'!$C$28,'ShiftShare T1'!$F$28,'ShiftShare T1'!$F$64)</c:f>
              <c:numCache>
                <c:formatCode>0.0</c:formatCode>
                <c:ptCount val="3"/>
                <c:pt idx="0">
                  <c:v>9.5321064717513053</c:v>
                </c:pt>
                <c:pt idx="1">
                  <c:v>8.713102093142636</c:v>
                </c:pt>
                <c:pt idx="2">
                  <c:v>7.6077758237896722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D00-4934-A6E0-AD279657781B}"/>
            </c:ext>
          </c:extLst>
        </c:ser>
        <c:ser>
          <c:idx val="0"/>
          <c:order val="1"/>
          <c:tx>
            <c:strRef>
              <c:f>'ShiftShare T1'!$A$29</c:f>
              <c:strCache>
                <c:ptCount val="1"/>
                <c:pt idx="0">
                  <c:v>72 Customer service occupations</c:v>
                </c:pt>
              </c:strCache>
            </c:strRef>
          </c:tx>
          <c:val>
            <c:numRef>
              <c:f>('ShiftShare T1'!$C$29,'ShiftShare T1'!$F$29,'ShiftShare T1'!$F$65)</c:f>
              <c:numCache>
                <c:formatCode>0.0</c:formatCode>
                <c:ptCount val="3"/>
                <c:pt idx="0">
                  <c:v>1.711502630080338</c:v>
                </c:pt>
                <c:pt idx="1">
                  <c:v>1.8778836294827423</c:v>
                </c:pt>
                <c:pt idx="2">
                  <c:v>2.6792994218422952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D00-4934-A6E0-AD27965778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72200"/>
        <c:axId val="320272592"/>
      </c:lineChart>
      <c:catAx>
        <c:axId val="320272200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72592"/>
        <c:crosses val="autoZero"/>
        <c:auto val="1"/>
        <c:lblAlgn val="ctr"/>
        <c:lblOffset val="100"/>
        <c:noMultiLvlLbl val="0"/>
      </c:catAx>
      <c:valAx>
        <c:axId val="320272592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72200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2934200636663143"/>
          <c:y val="0.91484329410538578"/>
          <c:w val="0.71469576168901416"/>
          <c:h val="5.8912449815794708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'ShiftShare T1'!$A$30</c:f>
              <c:strCache>
                <c:ptCount val="1"/>
                <c:pt idx="0">
                  <c:v>81 Process, plant and machine operatives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ymbol val="square"/>
            <c:size val="7"/>
            <c:spPr>
              <a:solidFill>
                <a:schemeClr val="accent2"/>
              </a:solidFill>
              <a:ln>
                <a:noFill/>
              </a:ln>
            </c:spPr>
          </c:marker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 formatCode="General">
                  <c:v>2035</c:v>
                </c:pt>
              </c:numCache>
            </c:numRef>
          </c:cat>
          <c:val>
            <c:numRef>
              <c:f>('ShiftShare T1'!$C$30,'ShiftShare T1'!$F$30,'ShiftShare T1'!$F$66)</c:f>
              <c:numCache>
                <c:formatCode>0.0</c:formatCode>
                <c:ptCount val="3"/>
                <c:pt idx="0">
                  <c:v>3.6191280141423086</c:v>
                </c:pt>
                <c:pt idx="1">
                  <c:v>2.9324862897783248</c:v>
                </c:pt>
                <c:pt idx="2">
                  <c:v>3.1050417161408754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043-4921-A6ED-19CFEF663EF3}"/>
            </c:ext>
          </c:extLst>
        </c:ser>
        <c:ser>
          <c:idx val="0"/>
          <c:order val="1"/>
          <c:tx>
            <c:strRef>
              <c:f>'ShiftShare T1'!$A$31</c:f>
              <c:strCache>
                <c:ptCount val="1"/>
                <c:pt idx="0">
                  <c:v>82 Transport and mobile machine drivers and operatives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 formatCode="General">
                  <c:v>2035</c:v>
                </c:pt>
              </c:numCache>
            </c:numRef>
          </c:cat>
          <c:val>
            <c:numRef>
              <c:f>('ShiftShare T1'!$C$31,'ShiftShare T1'!$F$31,'ShiftShare T1'!$F$67)</c:f>
              <c:numCache>
                <c:formatCode>0.0</c:formatCode>
                <c:ptCount val="3"/>
                <c:pt idx="0">
                  <c:v>3.4038966376741384</c:v>
                </c:pt>
                <c:pt idx="1">
                  <c:v>3.679130566641605</c:v>
                </c:pt>
                <c:pt idx="2">
                  <c:v>3.3274218917441449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43-4921-A6ED-19CFEF663E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366712"/>
        <c:axId val="320367104"/>
      </c:lineChart>
      <c:catAx>
        <c:axId val="32036671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367104"/>
        <c:crosses val="autoZero"/>
        <c:auto val="1"/>
        <c:lblAlgn val="ctr"/>
        <c:lblOffset val="100"/>
        <c:noMultiLvlLbl val="0"/>
      </c:catAx>
      <c:valAx>
        <c:axId val="320367104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36671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2948318894961647"/>
          <c:y val="0.88079660216829048"/>
          <c:w val="0.78098456447296272"/>
          <c:h val="0.11919508435149125"/>
        </c:manualLayout>
      </c:layout>
      <c:overlay val="0"/>
    </c:legend>
    <c:plotVisOnly val="1"/>
    <c:dispBlanksAs val="gap"/>
    <c:showDLblsOverMax val="0"/>
  </c:chart>
  <c:txPr>
    <a:bodyPr/>
    <a:lstStyle/>
    <a:p>
      <a:pPr>
        <a:defRPr lang="en-US" sz="1000" b="0" i="0" u="none" strike="noStrike" kern="1200" baseline="0">
          <a:solidFill>
            <a:schemeClr val="tx1"/>
          </a:solidFill>
          <a:latin typeface="+mn-lt"/>
          <a:ea typeface="+mn-ea"/>
          <a:cs typeface="+mn-cs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0056854007996878E-2"/>
          <c:y val="3.1694845457226499E-2"/>
          <c:w val="0.89366434465146449"/>
          <c:h val="0.69172816728167286"/>
        </c:manualLayout>
      </c:layout>
      <c:lineChart>
        <c:grouping val="standard"/>
        <c:varyColors val="0"/>
        <c:ser>
          <c:idx val="2"/>
          <c:order val="0"/>
          <c:tx>
            <c:strRef>
              <c:f>'ShiftShare T1'!$A$10</c:f>
              <c:strCache>
                <c:ptCount val="1"/>
                <c:pt idx="0">
                  <c:v>21 Science, research, engineering and technology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 formatCode="General">
                  <c:v>2035</c:v>
                </c:pt>
              </c:numCache>
            </c:numRef>
          </c:cat>
          <c:val>
            <c:numRef>
              <c:f>('ShiftShare T1'!$C$10,'ShiftShare T1'!$F$10,'ShiftShare T1'!$F$46)</c:f>
              <c:numCache>
                <c:formatCode>0.0</c:formatCode>
                <c:ptCount val="3"/>
                <c:pt idx="0">
                  <c:v>4.3955298067886464</c:v>
                </c:pt>
                <c:pt idx="1">
                  <c:v>4.8509055491796911</c:v>
                </c:pt>
                <c:pt idx="2">
                  <c:v>5.3023794405758613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A1D-49CD-BB27-98A48CC6E552}"/>
            </c:ext>
          </c:extLst>
        </c:ser>
        <c:ser>
          <c:idx val="3"/>
          <c:order val="1"/>
          <c:tx>
            <c:strRef>
              <c:f>'ShiftShare T1'!$A$11</c:f>
              <c:strCache>
                <c:ptCount val="1"/>
                <c:pt idx="0">
                  <c:v>22 Health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 formatCode="General">
                  <c:v>2035</c:v>
                </c:pt>
              </c:numCache>
            </c:numRef>
          </c:cat>
          <c:val>
            <c:numRef>
              <c:f>('ShiftShare T1'!$C$11,'ShiftShare T1'!$F$11,'ShiftShare T1'!$F$47)</c:f>
              <c:numCache>
                <c:formatCode>0.0</c:formatCode>
                <c:ptCount val="3"/>
                <c:pt idx="0">
                  <c:v>6.1642157086693583</c:v>
                </c:pt>
                <c:pt idx="1">
                  <c:v>6.7769219696203473</c:v>
                </c:pt>
                <c:pt idx="2">
                  <c:v>7.9047401635100654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A1D-49CD-BB27-98A48CC6E552}"/>
            </c:ext>
          </c:extLst>
        </c:ser>
        <c:ser>
          <c:idx val="0"/>
          <c:order val="2"/>
          <c:tx>
            <c:strRef>
              <c:f>'ShiftShare T1'!$A$12</c:f>
              <c:strCache>
                <c:ptCount val="1"/>
                <c:pt idx="0">
                  <c:v>23 Teaching and other educational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 formatCode="General">
                  <c:v>2035</c:v>
                </c:pt>
              </c:numCache>
            </c:numRef>
          </c:cat>
          <c:val>
            <c:numRef>
              <c:f>('ShiftShare T1'!$C$12,'ShiftShare T1'!$F$12,'ShiftShare T1'!$F$48)</c:f>
              <c:numCache>
                <c:formatCode>0.0</c:formatCode>
                <c:ptCount val="3"/>
                <c:pt idx="0">
                  <c:v>4.2841691474078223</c:v>
                </c:pt>
                <c:pt idx="1">
                  <c:v>4.5158340217360387</c:v>
                </c:pt>
                <c:pt idx="2">
                  <c:v>5.0469609524429346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A1D-49CD-BB27-98A48CC6E552}"/>
            </c:ext>
          </c:extLst>
        </c:ser>
        <c:ser>
          <c:idx val="1"/>
          <c:order val="3"/>
          <c:tx>
            <c:strRef>
              <c:f>'ShiftShare T1'!$A$13</c:f>
              <c:strCache>
                <c:ptCount val="1"/>
                <c:pt idx="0">
                  <c:v>24 Business, media and public service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 formatCode="General">
                  <c:v>2035</c:v>
                </c:pt>
              </c:numCache>
            </c:numRef>
          </c:cat>
          <c:val>
            <c:numRef>
              <c:f>('ShiftShare T1'!$C$13,'ShiftShare T1'!$F$13,'ShiftShare T1'!$F$49)</c:f>
              <c:numCache>
                <c:formatCode>0.0</c:formatCode>
                <c:ptCount val="3"/>
                <c:pt idx="0">
                  <c:v>4.323937465301122</c:v>
                </c:pt>
                <c:pt idx="1">
                  <c:v>5.2761554402967201</c:v>
                </c:pt>
                <c:pt idx="2">
                  <c:v>6.269327804426557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588-46B4-8BF5-03AE894803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367888"/>
        <c:axId val="320368280"/>
      </c:lineChart>
      <c:catAx>
        <c:axId val="32036788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368280"/>
        <c:crosses val="autoZero"/>
        <c:auto val="1"/>
        <c:lblAlgn val="ctr"/>
        <c:lblOffset val="100"/>
        <c:noMultiLvlLbl val="0"/>
      </c:catAx>
      <c:valAx>
        <c:axId val="320368280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36788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8.4124142788133807E-2"/>
          <c:y val="0.78352008300784759"/>
          <c:w val="0.67585879198024412"/>
          <c:h val="0.216479820742559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2847506889025924E-2"/>
          <c:y val="2.5974457843128223E-2"/>
          <c:w val="0.89314628400895379"/>
          <c:h val="0.68242781751896942"/>
        </c:manualLayout>
      </c:layout>
      <c:lineChart>
        <c:grouping val="standard"/>
        <c:varyColors val="0"/>
        <c:ser>
          <c:idx val="2"/>
          <c:order val="0"/>
          <c:tx>
            <c:strRef>
              <c:f>'ShiftShare T1'!$A$21</c:f>
              <c:strCache>
                <c:ptCount val="1"/>
                <c:pt idx="0">
                  <c:v>51 Skilled agricultural and related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 formatCode="General">
                  <c:v>2035</c:v>
                </c:pt>
              </c:numCache>
            </c:numRef>
          </c:cat>
          <c:val>
            <c:numRef>
              <c:f>('ShiftShare T1'!$C$21,'ShiftShare T1'!$F$21,'ShiftShare T1'!$F$57)</c:f>
              <c:numCache>
                <c:formatCode>0.0</c:formatCode>
                <c:ptCount val="3"/>
                <c:pt idx="0">
                  <c:v>1.0386179150374935</c:v>
                </c:pt>
                <c:pt idx="1">
                  <c:v>0.86618435623174861</c:v>
                </c:pt>
                <c:pt idx="2">
                  <c:v>0.92614969806989889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E4E-489B-AA3C-D474FCE6D67C}"/>
            </c:ext>
          </c:extLst>
        </c:ser>
        <c:ser>
          <c:idx val="3"/>
          <c:order val="1"/>
          <c:tx>
            <c:strRef>
              <c:f>'ShiftShare T1'!$A$22</c:f>
              <c:strCache>
                <c:ptCount val="1"/>
                <c:pt idx="0">
                  <c:v>52 Skilled metal, electrical and electronic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 formatCode="General">
                  <c:v>2035</c:v>
                </c:pt>
              </c:numCache>
            </c:numRef>
          </c:cat>
          <c:val>
            <c:numRef>
              <c:f>('ShiftShare T1'!$C$22,'ShiftShare T1'!$F$22,'ShiftShare T1'!$F$58)</c:f>
              <c:numCache>
                <c:formatCode>0.0</c:formatCode>
                <c:ptCount val="3"/>
                <c:pt idx="0">
                  <c:v>4.2847472882320874</c:v>
                </c:pt>
                <c:pt idx="1">
                  <c:v>3.58247314212118</c:v>
                </c:pt>
                <c:pt idx="2">
                  <c:v>2.91551835623082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E4E-489B-AA3C-D474FCE6D67C}"/>
            </c:ext>
          </c:extLst>
        </c:ser>
        <c:ser>
          <c:idx val="0"/>
          <c:order val="2"/>
          <c:tx>
            <c:strRef>
              <c:f>'ShiftShare T1'!$A$23</c:f>
              <c:strCache>
                <c:ptCount val="1"/>
                <c:pt idx="0">
                  <c:v>53 Skilled construction and building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 formatCode="General">
                  <c:v>2035</c:v>
                </c:pt>
              </c:numCache>
            </c:numRef>
          </c:cat>
          <c:val>
            <c:numRef>
              <c:f>('ShiftShare T1'!$C$23,'ShiftShare T1'!$F$23,'ShiftShare T1'!$F$59)</c:f>
              <c:numCache>
                <c:formatCode>0.0</c:formatCode>
                <c:ptCount val="3"/>
                <c:pt idx="0">
                  <c:v>3.4295808107516672</c:v>
                </c:pt>
                <c:pt idx="1">
                  <c:v>3.0301791805236653</c:v>
                </c:pt>
                <c:pt idx="2">
                  <c:v>2.5548228346500292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E4E-489B-AA3C-D474FCE6D67C}"/>
            </c:ext>
          </c:extLst>
        </c:ser>
        <c:ser>
          <c:idx val="1"/>
          <c:order val="3"/>
          <c:tx>
            <c:strRef>
              <c:f>'ShiftShare T1'!$A$24</c:f>
              <c:strCache>
                <c:ptCount val="1"/>
                <c:pt idx="0">
                  <c:v>54 Textiles, printing and other skilled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 formatCode="General">
                  <c:v>2035</c:v>
                </c:pt>
              </c:numCache>
            </c:numRef>
          </c:cat>
          <c:val>
            <c:numRef>
              <c:f>('ShiftShare T1'!$C$24,'ShiftShare T1'!$F$24,'ShiftShare T1'!$F$60)</c:f>
              <c:numCache>
                <c:formatCode>0.0</c:formatCode>
                <c:ptCount val="3"/>
                <c:pt idx="0">
                  <c:v>2.1020599759295169</c:v>
                </c:pt>
                <c:pt idx="1">
                  <c:v>1.7735568212108681</c:v>
                </c:pt>
                <c:pt idx="2">
                  <c:v>1.5993207876947146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A1E-4A90-85D0-2B206F5901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369064"/>
        <c:axId val="320369456"/>
      </c:lineChart>
      <c:catAx>
        <c:axId val="320369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369456"/>
        <c:crosses val="autoZero"/>
        <c:auto val="1"/>
        <c:lblAlgn val="ctr"/>
        <c:lblOffset val="100"/>
        <c:noMultiLvlLbl val="0"/>
      </c:catAx>
      <c:valAx>
        <c:axId val="320369456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36906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9.1071051195981773E-2"/>
          <c:y val="0.80073229115401567"/>
          <c:w val="0.53487078385524123"/>
          <c:h val="0.19926791992178819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'ShiftShare T1'!$A$32</c:f>
              <c:strCache>
                <c:ptCount val="1"/>
                <c:pt idx="0">
                  <c:v>91 Elementary trades and related occupations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ymbol val="square"/>
            <c:size val="7"/>
            <c:spPr>
              <a:solidFill>
                <a:schemeClr val="accent2"/>
              </a:solidFill>
              <a:ln>
                <a:noFill/>
              </a:ln>
            </c:spPr>
          </c:marker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 formatCode="General">
                  <c:v>2035</c:v>
                </c:pt>
              </c:numCache>
            </c:numRef>
          </c:cat>
          <c:val>
            <c:numRef>
              <c:f>('ShiftShare T1'!$C$32,'ShiftShare T1'!$F$32,'ShiftShare T1'!$F$68)</c:f>
              <c:numCache>
                <c:formatCode>0.0</c:formatCode>
                <c:ptCount val="3"/>
                <c:pt idx="0">
                  <c:v>1.6823260815682468</c:v>
                </c:pt>
                <c:pt idx="1">
                  <c:v>1.3148430969574814</c:v>
                </c:pt>
                <c:pt idx="2">
                  <c:v>0.93753552121468942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043-4921-A6ED-19CFEF663EF3}"/>
            </c:ext>
          </c:extLst>
        </c:ser>
        <c:ser>
          <c:idx val="0"/>
          <c:order val="1"/>
          <c:tx>
            <c:strRef>
              <c:f>'ShiftShare T1'!$A$33</c:f>
              <c:strCache>
                <c:ptCount val="1"/>
                <c:pt idx="0">
                  <c:v>92 Elementary administration and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 formatCode="General">
                  <c:v>2035</c:v>
                </c:pt>
              </c:numCache>
            </c:numRef>
          </c:cat>
          <c:val>
            <c:numRef>
              <c:f>('ShiftShare T1'!$C$33,'ShiftShare T1'!$F$33,'ShiftShare T1'!$F$69)</c:f>
              <c:numCache>
                <c:formatCode>0.0</c:formatCode>
                <c:ptCount val="3"/>
                <c:pt idx="0">
                  <c:v>10.708507401966539</c:v>
                </c:pt>
                <c:pt idx="1">
                  <c:v>9.9366744683324288</c:v>
                </c:pt>
                <c:pt idx="2">
                  <c:v>9.4584695453752659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43-4921-A6ED-19CFEF663E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597792"/>
        <c:axId val="320598184"/>
      </c:lineChart>
      <c:catAx>
        <c:axId val="32059779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598184"/>
        <c:crosses val="autoZero"/>
        <c:auto val="1"/>
        <c:lblAlgn val="ctr"/>
        <c:lblOffset val="100"/>
        <c:noMultiLvlLbl val="0"/>
      </c:catAx>
      <c:valAx>
        <c:axId val="320598184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59779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2948318894961647"/>
          <c:y val="0.88079660216829048"/>
          <c:w val="0.78098456447296272"/>
          <c:h val="0.1191950843514912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195838515216912"/>
          <c:y val="3.420523138833001E-2"/>
          <c:w val="0.71932160735152795"/>
          <c:h val="0.8370221327967807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'RD F1'!$P$5</c:f>
              <c:strCache>
                <c:ptCount val="1"/>
                <c:pt idx="0">
                  <c:v>Net Change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F1'!$O$7:$O$15</c:f>
              <c:strCache>
                <c:ptCount val="9"/>
                <c:pt idx="0">
                  <c:v>Elementary occupations</c:v>
                </c:pt>
                <c:pt idx="1">
                  <c:v>Process, plant and machine operatives</c:v>
                </c:pt>
                <c:pt idx="2">
                  <c:v>Sales and customer service occupations</c:v>
                </c:pt>
                <c:pt idx="3">
                  <c:v>Caring, leisure and other service occupations</c:v>
                </c:pt>
                <c:pt idx="4">
                  <c:v>Skilled trades occupations</c:v>
                </c:pt>
                <c:pt idx="5">
                  <c:v>Administrative and secretarial occupations</c:v>
                </c:pt>
                <c:pt idx="6">
                  <c:v>Associate professional occupations</c:v>
                </c:pt>
                <c:pt idx="7">
                  <c:v>Professional occupations</c:v>
                </c:pt>
                <c:pt idx="8">
                  <c:v>Managers, directors and senior officials</c:v>
                </c:pt>
              </c:strCache>
            </c:strRef>
          </c:cat>
          <c:val>
            <c:numRef>
              <c:f>'RD F1'!$P$7:$P$15</c:f>
              <c:numCache>
                <c:formatCode>#,##0</c:formatCode>
                <c:ptCount val="9"/>
                <c:pt idx="0">
                  <c:v>-3.7649749929656195</c:v>
                </c:pt>
                <c:pt idx="1">
                  <c:v>1.8353889567515864</c:v>
                </c:pt>
                <c:pt idx="2">
                  <c:v>2.7282790269742065</c:v>
                </c:pt>
                <c:pt idx="3">
                  <c:v>11.341121402287996</c:v>
                </c:pt>
                <c:pt idx="4">
                  <c:v>-10.014960129530678</c:v>
                </c:pt>
                <c:pt idx="5">
                  <c:v>-15.46789335778216</c:v>
                </c:pt>
                <c:pt idx="6">
                  <c:v>6.5860373418807399</c:v>
                </c:pt>
                <c:pt idx="7">
                  <c:v>52.032865811624333</c:v>
                </c:pt>
                <c:pt idx="8">
                  <c:v>16.38213594068155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91C-463B-A3CC-2301F74E2AFA}"/>
            </c:ext>
          </c:extLst>
        </c:ser>
        <c:ser>
          <c:idx val="1"/>
          <c:order val="1"/>
          <c:tx>
            <c:strRef>
              <c:f>'RD F1'!$Q$5</c:f>
              <c:strCache>
                <c:ptCount val="1"/>
                <c:pt idx="0">
                  <c:v>Total Requirement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F1'!$O$7:$O$15</c:f>
              <c:strCache>
                <c:ptCount val="9"/>
                <c:pt idx="0">
                  <c:v>Elementary occupations</c:v>
                </c:pt>
                <c:pt idx="1">
                  <c:v>Process, plant and machine operatives</c:v>
                </c:pt>
                <c:pt idx="2">
                  <c:v>Sales and customer service occupations</c:v>
                </c:pt>
                <c:pt idx="3">
                  <c:v>Caring, leisure and other service occupations</c:v>
                </c:pt>
                <c:pt idx="4">
                  <c:v>Skilled trades occupations</c:v>
                </c:pt>
                <c:pt idx="5">
                  <c:v>Administrative and secretarial occupations</c:v>
                </c:pt>
                <c:pt idx="6">
                  <c:v>Associate professional occupations</c:v>
                </c:pt>
                <c:pt idx="7">
                  <c:v>Professional occupations</c:v>
                </c:pt>
                <c:pt idx="8">
                  <c:v>Managers, directors and senior officials</c:v>
                </c:pt>
              </c:strCache>
            </c:strRef>
          </c:cat>
          <c:val>
            <c:numRef>
              <c:f>'RD F1'!$Q$7:$Q$15</c:f>
              <c:numCache>
                <c:formatCode>#,##0</c:formatCode>
                <c:ptCount val="9"/>
                <c:pt idx="0">
                  <c:v>58.181914771557743</c:v>
                </c:pt>
                <c:pt idx="1">
                  <c:v>39.085283017094419</c:v>
                </c:pt>
                <c:pt idx="2">
                  <c:v>65.684885324210725</c:v>
                </c:pt>
                <c:pt idx="3">
                  <c:v>78.048755173902904</c:v>
                </c:pt>
                <c:pt idx="4">
                  <c:v>34.255622152576549</c:v>
                </c:pt>
                <c:pt idx="5">
                  <c:v>47.505921888140847</c:v>
                </c:pt>
                <c:pt idx="6">
                  <c:v>72.207945345060324</c:v>
                </c:pt>
                <c:pt idx="7">
                  <c:v>189.78949695897424</c:v>
                </c:pt>
                <c:pt idx="8">
                  <c:v>73.958202670225603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91C-463B-A3CC-2301F74E2AFA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313683184"/>
        <c:axId val="313683576"/>
      </c:barChart>
      <c:catAx>
        <c:axId val="313683184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5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3576"/>
        <c:scaling>
          <c:orientation val="minMax"/>
        </c:scaling>
        <c:delete val="0"/>
        <c:axPos val="b"/>
        <c:numFmt formatCode="#,##0" sourceLinked="1"/>
        <c:majorTickMark val="out"/>
        <c:minorTickMark val="none"/>
        <c:tickLblPos val="low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184"/>
        <c:crosses val="autoZero"/>
        <c:crossBetween val="between"/>
      </c:valAx>
      <c:spPr>
        <a:solidFill>
          <a:srgbClr val="FFFFFF"/>
        </a:solidFill>
        <a:ln w="25400">
          <a:noFill/>
        </a:ln>
      </c:spPr>
    </c:plotArea>
    <c:legend>
      <c:legendPos val="b"/>
      <c:layout>
        <c:manualLayout>
          <c:xMode val="edge"/>
          <c:yMode val="edge"/>
          <c:x val="0.3387492920127439"/>
          <c:y val="0.94214950973126332"/>
          <c:w val="0.55287045856034256"/>
          <c:h val="4.02414486921504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  <c:userShapes r:id="rId1"/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195838515216912"/>
          <c:y val="3.420523138833001E-2"/>
          <c:w val="0.71932160735152795"/>
          <c:h val="0.8816012331187075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'RD F1'!$P$5</c:f>
              <c:strCache>
                <c:ptCount val="1"/>
                <c:pt idx="0">
                  <c:v>Net Change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F1'!$O$37:$O$62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'RD F1'!$P$37:$P$62</c:f>
              <c:numCache>
                <c:formatCode>#,##0</c:formatCode>
                <c:ptCount val="26"/>
                <c:pt idx="0">
                  <c:v>0.77610679577185948</c:v>
                </c:pt>
                <c:pt idx="1">
                  <c:v>15.606029144909691</c:v>
                </c:pt>
                <c:pt idx="2">
                  <c:v>8.638896180659728</c:v>
                </c:pt>
                <c:pt idx="3">
                  <c:v>18.287486319040184</c:v>
                </c:pt>
                <c:pt idx="4">
                  <c:v>9.4287549104549555</c:v>
                </c:pt>
                <c:pt idx="5">
                  <c:v>15.677728401469473</c:v>
                </c:pt>
                <c:pt idx="6">
                  <c:v>-2.5114465297474915</c:v>
                </c:pt>
                <c:pt idx="7">
                  <c:v>3.1866232822275613</c:v>
                </c:pt>
                <c:pt idx="8">
                  <c:v>5.0713979996577372</c:v>
                </c:pt>
                <c:pt idx="9">
                  <c:v>0.87258947368746753</c:v>
                </c:pt>
                <c:pt idx="10">
                  <c:v>-3.3126883944539998E-2</c:v>
                </c:pt>
                <c:pt idx="11">
                  <c:v>-13.863301660679539</c:v>
                </c:pt>
                <c:pt idx="12">
                  <c:v>-1.6045916971026131</c:v>
                </c:pt>
                <c:pt idx="13">
                  <c:v>1.2842365777998257</c:v>
                </c:pt>
                <c:pt idx="14">
                  <c:v>-6.1347030728799652</c:v>
                </c:pt>
                <c:pt idx="15">
                  <c:v>-4.0783457470649047</c:v>
                </c:pt>
                <c:pt idx="16">
                  <c:v>-1.0861478873856356</c:v>
                </c:pt>
                <c:pt idx="17">
                  <c:v>10.801137027273271</c:v>
                </c:pt>
                <c:pt idx="18">
                  <c:v>0.73652465759708008</c:v>
                </c:pt>
                <c:pt idx="19">
                  <c:v>-0.19654028258234013</c:v>
                </c:pt>
                <c:pt idx="20">
                  <c:v>-8.4552739812367435</c:v>
                </c:pt>
                <c:pt idx="21">
                  <c:v>11.183553008210936</c:v>
                </c:pt>
                <c:pt idx="22">
                  <c:v>3.966775603682315</c:v>
                </c:pt>
                <c:pt idx="23">
                  <c:v>-2.1313866469307214</c:v>
                </c:pt>
                <c:pt idx="24">
                  <c:v>-3.9094004965948397</c:v>
                </c:pt>
                <c:pt idx="25">
                  <c:v>0.1444255036292077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C9-4190-A82C-A7B3F7C4586D}"/>
            </c:ext>
          </c:extLst>
        </c:ser>
        <c:ser>
          <c:idx val="1"/>
          <c:order val="1"/>
          <c:tx>
            <c:strRef>
              <c:f>'RD F1'!$Q$5</c:f>
              <c:strCache>
                <c:ptCount val="1"/>
                <c:pt idx="0">
                  <c:v>Total Requirement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F1'!$O$37:$O$62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'RD F1'!$Q$37:$Q$62</c:f>
              <c:numCache>
                <c:formatCode>#,##0</c:formatCode>
                <c:ptCount val="26"/>
                <c:pt idx="0">
                  <c:v>31.319589946925305</c:v>
                </c:pt>
                <c:pt idx="1">
                  <c:v>42.638612723300305</c:v>
                </c:pt>
                <c:pt idx="2">
                  <c:v>31.450861612267897</c:v>
                </c:pt>
                <c:pt idx="3">
                  <c:v>68.369821717889778</c:v>
                </c:pt>
                <c:pt idx="4">
                  <c:v>39.222292166008913</c:v>
                </c:pt>
                <c:pt idx="5">
                  <c:v>50.746521462807664</c:v>
                </c:pt>
                <c:pt idx="6">
                  <c:v>6.5551616199156992</c:v>
                </c:pt>
                <c:pt idx="7">
                  <c:v>20.77901316184132</c:v>
                </c:pt>
                <c:pt idx="8">
                  <c:v>12.018319957971666</c:v>
                </c:pt>
                <c:pt idx="9">
                  <c:v>8.1088779436502367</c:v>
                </c:pt>
                <c:pt idx="10">
                  <c:v>24.746572661681391</c:v>
                </c:pt>
                <c:pt idx="11">
                  <c:v>37.061954413903607</c:v>
                </c:pt>
                <c:pt idx="12">
                  <c:v>10.443967474237244</c:v>
                </c:pt>
                <c:pt idx="13">
                  <c:v>7.3409423459011061</c:v>
                </c:pt>
                <c:pt idx="14">
                  <c:v>8.5218303765120318</c:v>
                </c:pt>
                <c:pt idx="15">
                  <c:v>10.23236094566081</c:v>
                </c:pt>
                <c:pt idx="16">
                  <c:v>8.1604884845025971</c:v>
                </c:pt>
                <c:pt idx="17">
                  <c:v>63.185237305567291</c:v>
                </c:pt>
                <c:pt idx="18">
                  <c:v>14.412671820859751</c:v>
                </c:pt>
                <c:pt idx="19">
                  <c:v>0.45084604747587342</c:v>
                </c:pt>
                <c:pt idx="20">
                  <c:v>40.781797224064917</c:v>
                </c:pt>
                <c:pt idx="21">
                  <c:v>24.903088100145794</c:v>
                </c:pt>
                <c:pt idx="22">
                  <c:v>18.941692427619209</c:v>
                </c:pt>
                <c:pt idx="23">
                  <c:v>20.14359058947522</c:v>
                </c:pt>
                <c:pt idx="24">
                  <c:v>0.89860930052977839</c:v>
                </c:pt>
                <c:pt idx="25">
                  <c:v>57.283305471027951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C9-4190-A82C-A7B3F7C4586D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313683184"/>
        <c:axId val="313683576"/>
      </c:barChart>
      <c:catAx>
        <c:axId val="313683184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5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3576"/>
        <c:scaling>
          <c:orientation val="minMax"/>
        </c:scaling>
        <c:delete val="0"/>
        <c:axPos val="b"/>
        <c:numFmt formatCode="#,##0" sourceLinked="1"/>
        <c:majorTickMark val="out"/>
        <c:minorTickMark val="none"/>
        <c:tickLblPos val="nextTo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184"/>
        <c:crosses val="max"/>
        <c:crossBetween val="between"/>
      </c:valAx>
      <c:spPr>
        <a:solidFill>
          <a:srgbClr val="FFFFFF"/>
        </a:solidFill>
        <a:ln w="25400">
          <a:noFill/>
        </a:ln>
      </c:spPr>
    </c:plotArea>
    <c:legend>
      <c:legendPos val="b"/>
      <c:layout>
        <c:manualLayout>
          <c:xMode val="edge"/>
          <c:yMode val="edge"/>
          <c:x val="0.21775285466260869"/>
          <c:y val="0.9476861167002012"/>
          <c:w val="0.55287045856034256"/>
          <c:h val="4.02414486921504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  <c:userShapes r:id="rId1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1.xml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chart" Target="../charts/chart9.xml"/><Relationship Id="rId3" Type="http://schemas.openxmlformats.org/officeDocument/2006/relationships/chart" Target="../charts/chart4.xml"/><Relationship Id="rId7" Type="http://schemas.openxmlformats.org/officeDocument/2006/relationships/chart" Target="../charts/chart8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6" Type="http://schemas.openxmlformats.org/officeDocument/2006/relationships/chart" Target="../charts/chart7.xml"/><Relationship Id="rId11" Type="http://schemas.openxmlformats.org/officeDocument/2006/relationships/image" Target="../media/image3.png"/><Relationship Id="rId5" Type="http://schemas.openxmlformats.org/officeDocument/2006/relationships/chart" Target="../charts/chart6.xml"/><Relationship Id="rId10" Type="http://schemas.openxmlformats.org/officeDocument/2006/relationships/hyperlink" Target="#Contents!A1"/><Relationship Id="rId4" Type="http://schemas.openxmlformats.org/officeDocument/2006/relationships/chart" Target="../charts/chart5.xml"/><Relationship Id="rId9" Type="http://schemas.openxmlformats.org/officeDocument/2006/relationships/chart" Target="../charts/chart10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11.xml"/><Relationship Id="rId5" Type="http://schemas.openxmlformats.org/officeDocument/2006/relationships/chart" Target="../charts/chart13.xml"/><Relationship Id="rId4" Type="http://schemas.openxmlformats.org/officeDocument/2006/relationships/chart" Target="../charts/chart12.xml"/></Relationships>
</file>

<file path=xl/drawings/_rels/drawing19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13" Type="http://schemas.openxmlformats.org/officeDocument/2006/relationships/chart" Target="../charts/chart26.xml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chart" Target="../charts/chart25.xml"/><Relationship Id="rId2" Type="http://schemas.openxmlformats.org/officeDocument/2006/relationships/chart" Target="../charts/chart15.xml"/><Relationship Id="rId16" Type="http://schemas.openxmlformats.org/officeDocument/2006/relationships/chart" Target="../charts/chart27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chart" Target="../charts/chart24.xml"/><Relationship Id="rId5" Type="http://schemas.openxmlformats.org/officeDocument/2006/relationships/chart" Target="../charts/chart18.xml"/><Relationship Id="rId15" Type="http://schemas.openxmlformats.org/officeDocument/2006/relationships/image" Target="../media/image3.png"/><Relationship Id="rId10" Type="http://schemas.openxmlformats.org/officeDocument/2006/relationships/chart" Target="../charts/chart23.xml"/><Relationship Id="rId4" Type="http://schemas.openxmlformats.org/officeDocument/2006/relationships/chart" Target="../charts/chart17.xml"/><Relationship Id="rId9" Type="http://schemas.openxmlformats.org/officeDocument/2006/relationships/chart" Target="../charts/chart22.xml"/><Relationship Id="rId14" Type="http://schemas.openxmlformats.org/officeDocument/2006/relationships/hyperlink" Target="#Contents!A1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Relationship Id="rId6" Type="http://schemas.openxmlformats.org/officeDocument/2006/relationships/image" Target="../media/image3.png"/><Relationship Id="rId5" Type="http://schemas.openxmlformats.org/officeDocument/2006/relationships/hyperlink" Target="#Contents!A1"/><Relationship Id="rId4" Type="http://schemas.openxmlformats.org/officeDocument/2006/relationships/chart" Target="../charts/chart31.xml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32.xml"/></Relationships>
</file>

<file path=xl/drawings/_rels/drawing2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33.xml"/><Relationship Id="rId5" Type="http://schemas.openxmlformats.org/officeDocument/2006/relationships/chart" Target="../charts/chart35.xml"/><Relationship Id="rId4" Type="http://schemas.openxmlformats.org/officeDocument/2006/relationships/chart" Target="../charts/chart34.xml"/></Relationships>
</file>

<file path=xl/drawings/_rels/drawing2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24.xml.rels><?xml version="1.0" encoding="UTF-8" standalone="yes"?>
<Relationships xmlns="http://schemas.openxmlformats.org/package/2006/relationships"><Relationship Id="rId3" Type="http://schemas.openxmlformats.org/officeDocument/2006/relationships/hyperlink" Target="#Contents!A1"/><Relationship Id="rId2" Type="http://schemas.openxmlformats.org/officeDocument/2006/relationships/chart" Target="../charts/chart37.xml"/><Relationship Id="rId1" Type="http://schemas.openxmlformats.org/officeDocument/2006/relationships/chart" Target="../charts/chart36.xml"/><Relationship Id="rId4" Type="http://schemas.openxmlformats.org/officeDocument/2006/relationships/image" Target="../media/image3.png"/></Relationships>
</file>

<file path=xl/drawings/_rels/drawing2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5.xml"/><Relationship Id="rId13" Type="http://schemas.openxmlformats.org/officeDocument/2006/relationships/chart" Target="../charts/chart48.xml"/><Relationship Id="rId3" Type="http://schemas.openxmlformats.org/officeDocument/2006/relationships/chart" Target="../charts/chart40.xml"/><Relationship Id="rId7" Type="http://schemas.openxmlformats.org/officeDocument/2006/relationships/chart" Target="../charts/chart44.xml"/><Relationship Id="rId12" Type="http://schemas.openxmlformats.org/officeDocument/2006/relationships/chart" Target="../charts/chart47.xml"/><Relationship Id="rId2" Type="http://schemas.openxmlformats.org/officeDocument/2006/relationships/chart" Target="../charts/chart39.xml"/><Relationship Id="rId1" Type="http://schemas.openxmlformats.org/officeDocument/2006/relationships/chart" Target="../charts/chart38.xml"/><Relationship Id="rId6" Type="http://schemas.openxmlformats.org/officeDocument/2006/relationships/chart" Target="../charts/chart43.xml"/><Relationship Id="rId11" Type="http://schemas.openxmlformats.org/officeDocument/2006/relationships/chart" Target="../charts/chart46.xml"/><Relationship Id="rId5" Type="http://schemas.openxmlformats.org/officeDocument/2006/relationships/chart" Target="../charts/chart42.xml"/><Relationship Id="rId10" Type="http://schemas.openxmlformats.org/officeDocument/2006/relationships/image" Target="../media/image3.png"/><Relationship Id="rId4" Type="http://schemas.openxmlformats.org/officeDocument/2006/relationships/chart" Target="../charts/chart41.xml"/><Relationship Id="rId9" Type="http://schemas.openxmlformats.org/officeDocument/2006/relationships/hyperlink" Target="#Contents!A1"/></Relationships>
</file>

<file path=xl/drawings/_rels/drawing26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27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49.xml"/><Relationship Id="rId4" Type="http://schemas.openxmlformats.org/officeDocument/2006/relationships/chart" Target="../charts/chart50.xml"/></Relationships>
</file>

<file path=xl/drawings/_rels/drawing30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3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3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10</xdr:row>
          <xdr:rowOff>95250</xdr:rowOff>
        </xdr:from>
        <xdr:to>
          <xdr:col>7</xdr:col>
          <xdr:colOff>609600</xdr:colOff>
          <xdr:row>12</xdr:row>
          <xdr:rowOff>76200</xdr:rowOff>
        </xdr:to>
        <xdr:sp macro="" textlink="">
          <xdr:nvSpPr>
            <xdr:cNvPr id="1025" name="SummaryTablesA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85725</xdr:colOff>
          <xdr:row>6</xdr:row>
          <xdr:rowOff>85725</xdr:rowOff>
        </xdr:from>
        <xdr:to>
          <xdr:col>1</xdr:col>
          <xdr:colOff>657225</xdr:colOff>
          <xdr:row>7</xdr:row>
          <xdr:rowOff>190500</xdr:rowOff>
        </xdr:to>
        <xdr:sp macro="" textlink="">
          <xdr:nvSpPr>
            <xdr:cNvPr id="1029" name="installDataButton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3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2609850</xdr:colOff>
      <xdr:row>1</xdr:row>
      <xdr:rowOff>9525</xdr:rowOff>
    </xdr:from>
    <xdr:to>
      <xdr:col>1</xdr:col>
      <xdr:colOff>2771775</xdr:colOff>
      <xdr:row>2</xdr:row>
      <xdr:rowOff>9525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52825" y="200025"/>
          <a:ext cx="161925" cy="16192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67236</xdr:colOff>
      <xdr:row>0</xdr:row>
      <xdr:rowOff>33618</xdr:rowOff>
    </xdr:from>
    <xdr:to>
      <xdr:col>19</xdr:col>
      <xdr:colOff>437030</xdr:colOff>
      <xdr:row>2</xdr:row>
      <xdr:rowOff>44824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909177" y="33618"/>
          <a:ext cx="369794" cy="369794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44825</xdr:colOff>
      <xdr:row>0</xdr:row>
      <xdr:rowOff>22412</xdr:rowOff>
    </xdr:from>
    <xdr:to>
      <xdr:col>7</xdr:col>
      <xdr:colOff>414619</xdr:colOff>
      <xdr:row>2</xdr:row>
      <xdr:rowOff>33618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53737" y="22412"/>
          <a:ext cx="369794" cy="369794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224118</xdr:colOff>
      <xdr:row>0</xdr:row>
      <xdr:rowOff>0</xdr:rowOff>
    </xdr:from>
    <xdr:to>
      <xdr:col>6</xdr:col>
      <xdr:colOff>593912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27912" y="0"/>
          <a:ext cx="369794" cy="369794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235323</xdr:colOff>
      <xdr:row>0</xdr:row>
      <xdr:rowOff>0</xdr:rowOff>
    </xdr:from>
    <xdr:to>
      <xdr:col>12</xdr:col>
      <xdr:colOff>603249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242176" y="0"/>
          <a:ext cx="369794" cy="369794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112060</xdr:colOff>
      <xdr:row>0</xdr:row>
      <xdr:rowOff>33618</xdr:rowOff>
    </xdr:from>
    <xdr:to>
      <xdr:col>14</xdr:col>
      <xdr:colOff>479986</xdr:colOff>
      <xdr:row>2</xdr:row>
      <xdr:rowOff>44824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2089" y="33618"/>
          <a:ext cx="367926" cy="369794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25</xdr:col>
      <xdr:colOff>89647</xdr:colOff>
      <xdr:row>0</xdr:row>
      <xdr:rowOff>56029</xdr:rowOff>
    </xdr:from>
    <xdr:to>
      <xdr:col>25</xdr:col>
      <xdr:colOff>457573</xdr:colOff>
      <xdr:row>2</xdr:row>
      <xdr:rowOff>67235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52294" y="56029"/>
          <a:ext cx="367926" cy="369794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25400</xdr:rowOff>
    </xdr:from>
    <xdr:to>
      <xdr:col>9</xdr:col>
      <xdr:colOff>990600</xdr:colOff>
      <xdr:row>62</xdr:row>
      <xdr:rowOff>63500</xdr:rowOff>
    </xdr:to>
    <xdr:graphicFrame macro="">
      <xdr:nvGraphicFramePr>
        <xdr:cNvPr id="2051" name="Chart 3">
          <a:extLst>
            <a:ext uri="{FF2B5EF4-FFF2-40B4-BE49-F238E27FC236}">
              <a16:creationId xmlns:a16="http://schemas.microsoft.com/office/drawing/2014/main" id="{00000000-0008-0000-0B00-0000030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13</xdr:col>
      <xdr:colOff>317500</xdr:colOff>
      <xdr:row>0</xdr:row>
      <xdr:rowOff>0</xdr:rowOff>
    </xdr:from>
    <xdr:to>
      <xdr:col>14</xdr:col>
      <xdr:colOff>14194</xdr:colOff>
      <xdr:row>2</xdr:row>
      <xdr:rowOff>1494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210800" y="0"/>
          <a:ext cx="369794" cy="369794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47</xdr:row>
      <xdr:rowOff>28575</xdr:rowOff>
    </xdr:from>
    <xdr:to>
      <xdr:col>9</xdr:col>
      <xdr:colOff>38100</xdr:colOff>
      <xdr:row>75</xdr:row>
      <xdr:rowOff>38100</xdr:rowOff>
    </xdr:to>
    <xdr:graphicFrame macro="">
      <xdr:nvGraphicFramePr>
        <xdr:cNvPr id="3082" name="Sector 1">
          <a:extLst>
            <a:ext uri="{FF2B5EF4-FFF2-40B4-BE49-F238E27FC236}">
              <a16:creationId xmlns:a16="http://schemas.microsoft.com/office/drawing/2014/main" id="{00000000-0008-0000-0C00-00000A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9525</xdr:colOff>
      <xdr:row>77</xdr:row>
      <xdr:rowOff>28575</xdr:rowOff>
    </xdr:from>
    <xdr:to>
      <xdr:col>9</xdr:col>
      <xdr:colOff>38100</xdr:colOff>
      <xdr:row>105</xdr:row>
      <xdr:rowOff>47625</xdr:rowOff>
    </xdr:to>
    <xdr:graphicFrame macro="">
      <xdr:nvGraphicFramePr>
        <xdr:cNvPr id="3083" name="Sector 2">
          <a:extLst>
            <a:ext uri="{FF2B5EF4-FFF2-40B4-BE49-F238E27FC236}">
              <a16:creationId xmlns:a16="http://schemas.microsoft.com/office/drawing/2014/main" id="{00000000-0008-0000-0C00-00000B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28575</xdr:colOff>
      <xdr:row>107</xdr:row>
      <xdr:rowOff>9525</xdr:rowOff>
    </xdr:from>
    <xdr:to>
      <xdr:col>9</xdr:col>
      <xdr:colOff>57150</xdr:colOff>
      <xdr:row>135</xdr:row>
      <xdr:rowOff>28575</xdr:rowOff>
    </xdr:to>
    <xdr:graphicFrame macro="">
      <xdr:nvGraphicFramePr>
        <xdr:cNvPr id="3084" name="Sector 3">
          <a:extLst>
            <a:ext uri="{FF2B5EF4-FFF2-40B4-BE49-F238E27FC236}">
              <a16:creationId xmlns:a16="http://schemas.microsoft.com/office/drawing/2014/main" id="{00000000-0008-0000-0C00-00000C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28575</xdr:colOff>
      <xdr:row>137</xdr:row>
      <xdr:rowOff>28575</xdr:rowOff>
    </xdr:from>
    <xdr:to>
      <xdr:col>9</xdr:col>
      <xdr:colOff>28575</xdr:colOff>
      <xdr:row>165</xdr:row>
      <xdr:rowOff>47625</xdr:rowOff>
    </xdr:to>
    <xdr:graphicFrame macro="">
      <xdr:nvGraphicFramePr>
        <xdr:cNvPr id="3085" name="Sector 4">
          <a:extLst>
            <a:ext uri="{FF2B5EF4-FFF2-40B4-BE49-F238E27FC236}">
              <a16:creationId xmlns:a16="http://schemas.microsoft.com/office/drawing/2014/main" id="{00000000-0008-0000-0C00-00000D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167</xdr:row>
      <xdr:rowOff>9525</xdr:rowOff>
    </xdr:from>
    <xdr:to>
      <xdr:col>9</xdr:col>
      <xdr:colOff>28575</xdr:colOff>
      <xdr:row>195</xdr:row>
      <xdr:rowOff>19050</xdr:rowOff>
    </xdr:to>
    <xdr:graphicFrame macro="">
      <xdr:nvGraphicFramePr>
        <xdr:cNvPr id="3086" name="Sector 5">
          <a:extLst>
            <a:ext uri="{FF2B5EF4-FFF2-40B4-BE49-F238E27FC236}">
              <a16:creationId xmlns:a16="http://schemas.microsoft.com/office/drawing/2014/main" id="{00000000-0008-0000-0C00-00000E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0</xdr:colOff>
      <xdr:row>197</xdr:row>
      <xdr:rowOff>0</xdr:rowOff>
    </xdr:from>
    <xdr:to>
      <xdr:col>9</xdr:col>
      <xdr:colOff>28575</xdr:colOff>
      <xdr:row>225</xdr:row>
      <xdr:rowOff>28575</xdr:rowOff>
    </xdr:to>
    <xdr:graphicFrame macro="">
      <xdr:nvGraphicFramePr>
        <xdr:cNvPr id="3087" name="Sector 6">
          <a:extLst>
            <a:ext uri="{FF2B5EF4-FFF2-40B4-BE49-F238E27FC236}">
              <a16:creationId xmlns:a16="http://schemas.microsoft.com/office/drawing/2014/main" id="{00000000-0008-0000-0C00-00000F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0</xdr:colOff>
      <xdr:row>2</xdr:row>
      <xdr:rowOff>38099</xdr:rowOff>
    </xdr:from>
    <xdr:to>
      <xdr:col>9</xdr:col>
      <xdr:colOff>28575</xdr:colOff>
      <xdr:row>45</xdr:row>
      <xdr:rowOff>34924</xdr:rowOff>
    </xdr:to>
    <xdr:graphicFrame macro="">
      <xdr:nvGraphicFramePr>
        <xdr:cNvPr id="3088" name="Sector 7">
          <a:extLst>
            <a:ext uri="{FF2B5EF4-FFF2-40B4-BE49-F238E27FC236}">
              <a16:creationId xmlns:a16="http://schemas.microsoft.com/office/drawing/2014/main" id="{00000000-0008-0000-0C00-000010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38100</xdr:colOff>
      <xdr:row>226</xdr:row>
      <xdr:rowOff>177800</xdr:rowOff>
    </xdr:from>
    <xdr:to>
      <xdr:col>9</xdr:col>
      <xdr:colOff>28575</xdr:colOff>
      <xdr:row>255</xdr:row>
      <xdr:rowOff>22225</xdr:rowOff>
    </xdr:to>
    <xdr:graphicFrame macro="">
      <xdr:nvGraphicFramePr>
        <xdr:cNvPr id="3089" name="Chart 17">
          <a:extLst>
            <a:ext uri="{FF2B5EF4-FFF2-40B4-BE49-F238E27FC236}">
              <a16:creationId xmlns:a16="http://schemas.microsoft.com/office/drawing/2014/main" id="{00000000-0008-0000-0C00-000011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0</xdr:colOff>
      <xdr:row>257</xdr:row>
      <xdr:rowOff>0</xdr:rowOff>
    </xdr:from>
    <xdr:to>
      <xdr:col>8</xdr:col>
      <xdr:colOff>600075</xdr:colOff>
      <xdr:row>285</xdr:row>
      <xdr:rowOff>28575</xdr:rowOff>
    </xdr:to>
    <xdr:graphicFrame macro="">
      <xdr:nvGraphicFramePr>
        <xdr:cNvPr id="3090" name="Chart 18">
          <a:extLst>
            <a:ext uri="{FF2B5EF4-FFF2-40B4-BE49-F238E27FC236}">
              <a16:creationId xmlns:a16="http://schemas.microsoft.com/office/drawing/2014/main" id="{00000000-0008-0000-0C00-000012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10</xdr:col>
      <xdr:colOff>1193800</xdr:colOff>
      <xdr:row>0</xdr:row>
      <xdr:rowOff>12700</xdr:rowOff>
    </xdr:from>
    <xdr:to>
      <xdr:col>11</xdr:col>
      <xdr:colOff>28164</xdr:colOff>
      <xdr:row>2</xdr:row>
      <xdr:rowOff>14194</xdr:rowOff>
    </xdr:to>
    <xdr:pic>
      <xdr:nvPicPr>
        <xdr:cNvPr id="11" name="Picture 10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C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10500" y="12700"/>
          <a:ext cx="383764" cy="369794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280147</xdr:colOff>
      <xdr:row>0</xdr:row>
      <xdr:rowOff>0</xdr:rowOff>
    </xdr:from>
    <xdr:to>
      <xdr:col>14</xdr:col>
      <xdr:colOff>42955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51794" y="0"/>
          <a:ext cx="367926" cy="369794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156882</xdr:colOff>
      <xdr:row>0</xdr:row>
      <xdr:rowOff>33618</xdr:rowOff>
    </xdr:from>
    <xdr:to>
      <xdr:col>19</xdr:col>
      <xdr:colOff>524808</xdr:colOff>
      <xdr:row>2</xdr:row>
      <xdr:rowOff>44824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05147" y="33618"/>
          <a:ext cx="367926" cy="369794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33</xdr:col>
      <xdr:colOff>257736</xdr:colOff>
      <xdr:row>0</xdr:row>
      <xdr:rowOff>0</xdr:rowOff>
    </xdr:from>
    <xdr:to>
      <xdr:col>34</xdr:col>
      <xdr:colOff>22412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054177" y="0"/>
          <a:ext cx="369794" cy="369794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32</xdr:col>
      <xdr:colOff>112058</xdr:colOff>
      <xdr:row>0</xdr:row>
      <xdr:rowOff>11206</xdr:rowOff>
    </xdr:from>
    <xdr:to>
      <xdr:col>32</xdr:col>
      <xdr:colOff>481852</xdr:colOff>
      <xdr:row>2</xdr:row>
      <xdr:rowOff>22412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679029" y="11206"/>
          <a:ext cx="369794" cy="369794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235323</xdr:colOff>
      <xdr:row>0</xdr:row>
      <xdr:rowOff>0</xdr:rowOff>
    </xdr:from>
    <xdr:to>
      <xdr:col>13</xdr:col>
      <xdr:colOff>1867</xdr:colOff>
      <xdr:row>2</xdr:row>
      <xdr:rowOff>3586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13558" y="0"/>
          <a:ext cx="369794" cy="369794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89647</xdr:colOff>
      <xdr:row>0</xdr:row>
      <xdr:rowOff>56029</xdr:rowOff>
    </xdr:from>
    <xdr:to>
      <xdr:col>21</xdr:col>
      <xdr:colOff>457573</xdr:colOff>
      <xdr:row>2</xdr:row>
      <xdr:rowOff>69140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30853" y="56029"/>
          <a:ext cx="367926" cy="369794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47</xdr:col>
      <xdr:colOff>145677</xdr:colOff>
      <xdr:row>0</xdr:row>
      <xdr:rowOff>22413</xdr:rowOff>
    </xdr:from>
    <xdr:to>
      <xdr:col>47</xdr:col>
      <xdr:colOff>515471</xdr:colOff>
      <xdr:row>2</xdr:row>
      <xdr:rowOff>33619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261736" y="22413"/>
          <a:ext cx="369794" cy="369794"/>
        </a:xfrm>
        <a:prstGeom prst="rect">
          <a:avLst/>
        </a:prstGeom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63500</xdr:rowOff>
    </xdr:from>
    <xdr:to>
      <xdr:col>9</xdr:col>
      <xdr:colOff>1057275</xdr:colOff>
      <xdr:row>78</xdr:row>
      <xdr:rowOff>130175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13</xdr:col>
      <xdr:colOff>139700</xdr:colOff>
      <xdr:row>0</xdr:row>
      <xdr:rowOff>0</xdr:rowOff>
    </xdr:from>
    <xdr:to>
      <xdr:col>13</xdr:col>
      <xdr:colOff>517077</xdr:colOff>
      <xdr:row>2</xdr:row>
      <xdr:rowOff>1494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823700" y="0"/>
          <a:ext cx="377377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80</xdr:row>
      <xdr:rowOff>25401</xdr:rowOff>
    </xdr:from>
    <xdr:to>
      <xdr:col>9</xdr:col>
      <xdr:colOff>1057275</xdr:colOff>
      <xdr:row>147</xdr:row>
      <xdr:rowOff>139701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1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31750</xdr:colOff>
      <xdr:row>150</xdr:row>
      <xdr:rowOff>15875</xdr:rowOff>
    </xdr:from>
    <xdr:to>
      <xdr:col>9</xdr:col>
      <xdr:colOff>1089025</xdr:colOff>
      <xdr:row>184</xdr:row>
      <xdr:rowOff>117475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14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164</xdr:row>
      <xdr:rowOff>9525</xdr:rowOff>
    </xdr:from>
    <xdr:to>
      <xdr:col>9</xdr:col>
      <xdr:colOff>9525</xdr:colOff>
      <xdr:row>196</xdr:row>
      <xdr:rowOff>57150</xdr:rowOff>
    </xdr:to>
    <xdr:graphicFrame macro="">
      <xdr:nvGraphicFramePr>
        <xdr:cNvPr id="2" name="OccGroup 1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28575</xdr:colOff>
      <xdr:row>198</xdr:row>
      <xdr:rowOff>190500</xdr:rowOff>
    </xdr:from>
    <xdr:to>
      <xdr:col>9</xdr:col>
      <xdr:colOff>9525</xdr:colOff>
      <xdr:row>231</xdr:row>
      <xdr:rowOff>28575</xdr:rowOff>
    </xdr:to>
    <xdr:graphicFrame macro="">
      <xdr:nvGraphicFramePr>
        <xdr:cNvPr id="3" name="OccGroup 2">
          <a:extLst>
            <a:ext uri="{FF2B5EF4-FFF2-40B4-BE49-F238E27FC236}">
              <a16:creationId xmlns:a16="http://schemas.microsoft.com/office/drawing/2014/main" id="{00000000-0008-0000-1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9525</xdr:colOff>
      <xdr:row>234</xdr:row>
      <xdr:rowOff>63500</xdr:rowOff>
    </xdr:from>
    <xdr:to>
      <xdr:col>8</xdr:col>
      <xdr:colOff>2114550</xdr:colOff>
      <xdr:row>266</xdr:row>
      <xdr:rowOff>82550</xdr:rowOff>
    </xdr:to>
    <xdr:graphicFrame macro="">
      <xdr:nvGraphicFramePr>
        <xdr:cNvPr id="4" name="OccGroup 3">
          <a:extLst>
            <a:ext uri="{FF2B5EF4-FFF2-40B4-BE49-F238E27FC236}">
              <a16:creationId xmlns:a16="http://schemas.microsoft.com/office/drawing/2014/main" id="{00000000-0008-0000-1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9525</xdr:colOff>
      <xdr:row>269</xdr:row>
      <xdr:rowOff>0</xdr:rowOff>
    </xdr:from>
    <xdr:to>
      <xdr:col>9</xdr:col>
      <xdr:colOff>9525</xdr:colOff>
      <xdr:row>301</xdr:row>
      <xdr:rowOff>47625</xdr:rowOff>
    </xdr:to>
    <xdr:graphicFrame macro="">
      <xdr:nvGraphicFramePr>
        <xdr:cNvPr id="5" name="OccGroup 4">
          <a:extLst>
            <a:ext uri="{FF2B5EF4-FFF2-40B4-BE49-F238E27FC236}">
              <a16:creationId xmlns:a16="http://schemas.microsoft.com/office/drawing/2014/main" id="{00000000-0008-0000-15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12700</xdr:colOff>
      <xdr:row>303</xdr:row>
      <xdr:rowOff>190500</xdr:rowOff>
    </xdr:from>
    <xdr:to>
      <xdr:col>8</xdr:col>
      <xdr:colOff>2117725</xdr:colOff>
      <xdr:row>336</xdr:row>
      <xdr:rowOff>25400</xdr:rowOff>
    </xdr:to>
    <xdr:graphicFrame macro="">
      <xdr:nvGraphicFramePr>
        <xdr:cNvPr id="6" name="OccGroup 5">
          <a:extLst>
            <a:ext uri="{FF2B5EF4-FFF2-40B4-BE49-F238E27FC236}">
              <a16:creationId xmlns:a16="http://schemas.microsoft.com/office/drawing/2014/main" id="{00000000-0008-0000-15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9525</xdr:colOff>
      <xdr:row>339</xdr:row>
      <xdr:rowOff>0</xdr:rowOff>
    </xdr:from>
    <xdr:to>
      <xdr:col>8</xdr:col>
      <xdr:colOff>2114550</xdr:colOff>
      <xdr:row>371</xdr:row>
      <xdr:rowOff>9525</xdr:rowOff>
    </xdr:to>
    <xdr:graphicFrame macro="">
      <xdr:nvGraphicFramePr>
        <xdr:cNvPr id="7" name="OccGroup 6">
          <a:extLst>
            <a:ext uri="{FF2B5EF4-FFF2-40B4-BE49-F238E27FC236}">
              <a16:creationId xmlns:a16="http://schemas.microsoft.com/office/drawing/2014/main" id="{00000000-0008-0000-15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9525</xdr:colOff>
      <xdr:row>374</xdr:row>
      <xdr:rowOff>0</xdr:rowOff>
    </xdr:from>
    <xdr:to>
      <xdr:col>9</xdr:col>
      <xdr:colOff>9525</xdr:colOff>
      <xdr:row>406</xdr:row>
      <xdr:rowOff>38100</xdr:rowOff>
    </xdr:to>
    <xdr:graphicFrame macro="">
      <xdr:nvGraphicFramePr>
        <xdr:cNvPr id="8" name="OccGroup 7">
          <a:extLst>
            <a:ext uri="{FF2B5EF4-FFF2-40B4-BE49-F238E27FC236}">
              <a16:creationId xmlns:a16="http://schemas.microsoft.com/office/drawing/2014/main" id="{00000000-0008-0000-15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12700</xdr:colOff>
      <xdr:row>409</xdr:row>
      <xdr:rowOff>22225</xdr:rowOff>
    </xdr:from>
    <xdr:to>
      <xdr:col>9</xdr:col>
      <xdr:colOff>12700</xdr:colOff>
      <xdr:row>439</xdr:row>
      <xdr:rowOff>139700</xdr:rowOff>
    </xdr:to>
    <xdr:graphicFrame macro="">
      <xdr:nvGraphicFramePr>
        <xdr:cNvPr id="9" name="OccGroup 8">
          <a:extLst>
            <a:ext uri="{FF2B5EF4-FFF2-40B4-BE49-F238E27FC236}">
              <a16:creationId xmlns:a16="http://schemas.microsoft.com/office/drawing/2014/main" id="{00000000-0008-0000-15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28575</xdr:colOff>
      <xdr:row>444</xdr:row>
      <xdr:rowOff>0</xdr:rowOff>
    </xdr:from>
    <xdr:to>
      <xdr:col>9</xdr:col>
      <xdr:colOff>9525</xdr:colOff>
      <xdr:row>476</xdr:row>
      <xdr:rowOff>0</xdr:rowOff>
    </xdr:to>
    <xdr:graphicFrame macro="">
      <xdr:nvGraphicFramePr>
        <xdr:cNvPr id="10" name="OccGroup 9">
          <a:extLst>
            <a:ext uri="{FF2B5EF4-FFF2-40B4-BE49-F238E27FC236}">
              <a16:creationId xmlns:a16="http://schemas.microsoft.com/office/drawing/2014/main" id="{00000000-0008-0000-15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0</xdr:col>
      <xdr:colOff>0</xdr:colOff>
      <xdr:row>2</xdr:row>
      <xdr:rowOff>38100</xdr:rowOff>
    </xdr:from>
    <xdr:to>
      <xdr:col>9</xdr:col>
      <xdr:colOff>0</xdr:colOff>
      <xdr:row>58</xdr:row>
      <xdr:rowOff>15875</xdr:rowOff>
    </xdr:to>
    <xdr:graphicFrame macro="">
      <xdr:nvGraphicFramePr>
        <xdr:cNvPr id="12" name="OccGroup 11">
          <a:extLst>
            <a:ext uri="{FF2B5EF4-FFF2-40B4-BE49-F238E27FC236}">
              <a16:creationId xmlns:a16="http://schemas.microsoft.com/office/drawing/2014/main" id="{00000000-0008-0000-15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0</xdr:col>
      <xdr:colOff>12700</xdr:colOff>
      <xdr:row>118</xdr:row>
      <xdr:rowOff>0</xdr:rowOff>
    </xdr:from>
    <xdr:to>
      <xdr:col>9</xdr:col>
      <xdr:colOff>12700</xdr:colOff>
      <xdr:row>161</xdr:row>
      <xdr:rowOff>142875</xdr:rowOff>
    </xdr:to>
    <xdr:graphicFrame macro="">
      <xdr:nvGraphicFramePr>
        <xdr:cNvPr id="13" name="OccGroup 11">
          <a:extLst>
            <a:ext uri="{FF2B5EF4-FFF2-40B4-BE49-F238E27FC236}">
              <a16:creationId xmlns:a16="http://schemas.microsoft.com/office/drawing/2014/main" id="{00000000-0008-0000-15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0</xdr:col>
      <xdr:colOff>12700</xdr:colOff>
      <xdr:row>479</xdr:row>
      <xdr:rowOff>12700</xdr:rowOff>
    </xdr:from>
    <xdr:to>
      <xdr:col>9</xdr:col>
      <xdr:colOff>0</xdr:colOff>
      <xdr:row>503</xdr:row>
      <xdr:rowOff>127000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15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0</xdr:col>
      <xdr:colOff>12700</xdr:colOff>
      <xdr:row>506</xdr:row>
      <xdr:rowOff>190500</xdr:rowOff>
    </xdr:from>
    <xdr:to>
      <xdr:col>8</xdr:col>
      <xdr:colOff>2095500</xdr:colOff>
      <xdr:row>532</xdr:row>
      <xdr:rowOff>0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15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377377</xdr:colOff>
      <xdr:row>2</xdr:row>
      <xdr:rowOff>1494</xdr:rowOff>
    </xdr:to>
    <xdr:pic>
      <xdr:nvPicPr>
        <xdr:cNvPr id="16" name="Picture 15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15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74100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12700</xdr:colOff>
      <xdr:row>59</xdr:row>
      <xdr:rowOff>63500</xdr:rowOff>
    </xdr:from>
    <xdr:to>
      <xdr:col>9</xdr:col>
      <xdr:colOff>12700</xdr:colOff>
      <xdr:row>115</xdr:row>
      <xdr:rowOff>41275</xdr:rowOff>
    </xdr:to>
    <xdr:graphicFrame macro="">
      <xdr:nvGraphicFramePr>
        <xdr:cNvPr id="17" name="OccGroup 11">
          <a:extLst>
            <a:ext uri="{FF2B5EF4-FFF2-40B4-BE49-F238E27FC236}">
              <a16:creationId xmlns:a16="http://schemas.microsoft.com/office/drawing/2014/main" id="{00000000-0008-0000-15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38100</xdr:rowOff>
    </xdr:from>
    <xdr:to>
      <xdr:col>18</xdr:col>
      <xdr:colOff>622300</xdr:colOff>
      <xdr:row>29</xdr:row>
      <xdr:rowOff>12700</xdr:rowOff>
    </xdr:to>
    <xdr:grpSp>
      <xdr:nvGrpSpPr>
        <xdr:cNvPr id="17" name="Group 16">
          <a:extLst>
            <a:ext uri="{FF2B5EF4-FFF2-40B4-BE49-F238E27FC236}">
              <a16:creationId xmlns:a16="http://schemas.microsoft.com/office/drawing/2014/main" id="{00000000-0008-0000-1600-000011000000}"/>
            </a:ext>
          </a:extLst>
        </xdr:cNvPr>
        <xdr:cNvGrpSpPr/>
      </xdr:nvGrpSpPr>
      <xdr:grpSpPr>
        <a:xfrm>
          <a:off x="0" y="406400"/>
          <a:ext cx="11582400" cy="4432300"/>
          <a:chOff x="0" y="279400"/>
          <a:chExt cx="11582400" cy="4432300"/>
        </a:xfrm>
      </xdr:grpSpPr>
      <xdr:grpSp>
        <xdr:nvGrpSpPr>
          <xdr:cNvPr id="15" name="Group 14">
            <a:extLst>
              <a:ext uri="{FF2B5EF4-FFF2-40B4-BE49-F238E27FC236}">
                <a16:creationId xmlns:a16="http://schemas.microsoft.com/office/drawing/2014/main" id="{00000000-0008-0000-1600-00000F000000}"/>
              </a:ext>
            </a:extLst>
          </xdr:cNvPr>
          <xdr:cNvGrpSpPr/>
        </xdr:nvGrpSpPr>
        <xdr:grpSpPr>
          <a:xfrm>
            <a:off x="0" y="279400"/>
            <a:ext cx="11582400" cy="4432300"/>
            <a:chOff x="38100" y="292100"/>
            <a:chExt cx="11582400" cy="4432300"/>
          </a:xfrm>
        </xdr:grpSpPr>
        <xdr:grpSp>
          <xdr:nvGrpSpPr>
            <xdr:cNvPr id="11" name="Group 10">
              <a:extLst>
                <a:ext uri="{FF2B5EF4-FFF2-40B4-BE49-F238E27FC236}">
                  <a16:creationId xmlns:a16="http://schemas.microsoft.com/office/drawing/2014/main" id="{00000000-0008-0000-1600-00000B000000}"/>
                </a:ext>
              </a:extLst>
            </xdr:cNvPr>
            <xdr:cNvGrpSpPr/>
          </xdr:nvGrpSpPr>
          <xdr:grpSpPr>
            <a:xfrm>
              <a:off x="76200" y="368300"/>
              <a:ext cx="11366500" cy="4229100"/>
              <a:chOff x="76200" y="368300"/>
              <a:chExt cx="11366500" cy="4229100"/>
            </a:xfrm>
            <a:noFill/>
          </xdr:grpSpPr>
          <xdr:graphicFrame macro="">
            <xdr:nvGraphicFramePr>
              <xdr:cNvPr id="7" name="Chart 6">
                <a:extLst>
                  <a:ext uri="{FF2B5EF4-FFF2-40B4-BE49-F238E27FC236}">
                    <a16:creationId xmlns:a16="http://schemas.microsoft.com/office/drawing/2014/main" id="{00000000-0008-0000-1600-000007000000}"/>
                  </a:ext>
                </a:extLst>
              </xdr:cNvPr>
              <xdr:cNvGraphicFramePr/>
            </xdr:nvGraphicFramePr>
            <xdr:xfrm>
              <a:off x="76200" y="368300"/>
              <a:ext cx="45339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1"/>
              </a:graphicData>
            </a:graphic>
          </xdr:graphicFrame>
          <xdr:graphicFrame macro="">
            <xdr:nvGraphicFramePr>
              <xdr:cNvPr id="8" name="Chart 7">
                <a:extLst>
                  <a:ext uri="{FF2B5EF4-FFF2-40B4-BE49-F238E27FC236}">
                    <a16:creationId xmlns:a16="http://schemas.microsoft.com/office/drawing/2014/main" id="{00000000-0008-0000-1600-000008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4597400" y="368300"/>
              <a:ext cx="22860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2"/>
              </a:graphicData>
            </a:graphic>
          </xdr:graphicFrame>
          <xdr:graphicFrame macro="">
            <xdr:nvGraphicFramePr>
              <xdr:cNvPr id="9" name="Chart 8">
                <a:extLst>
                  <a:ext uri="{FF2B5EF4-FFF2-40B4-BE49-F238E27FC236}">
                    <a16:creationId xmlns:a16="http://schemas.microsoft.com/office/drawing/2014/main" id="{00000000-0008-0000-1600-000009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6870700" y="368300"/>
              <a:ext cx="22860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3"/>
              </a:graphicData>
            </a:graphic>
          </xdr:graphicFrame>
          <xdr:graphicFrame macro="">
            <xdr:nvGraphicFramePr>
              <xdr:cNvPr id="10" name="Chart 9">
                <a:extLst>
                  <a:ext uri="{FF2B5EF4-FFF2-40B4-BE49-F238E27FC236}">
                    <a16:creationId xmlns:a16="http://schemas.microsoft.com/office/drawing/2014/main" id="{00000000-0008-0000-1600-00000A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9156700" y="368300"/>
              <a:ext cx="22860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4"/>
              </a:graphicData>
            </a:graphic>
          </xdr:graphicFrame>
        </xdr:grpSp>
        <xdr:sp macro="" textlink="">
          <xdr:nvSpPr>
            <xdr:cNvPr id="14" name="Rectangle 13">
              <a:extLst>
                <a:ext uri="{FF2B5EF4-FFF2-40B4-BE49-F238E27FC236}">
                  <a16:creationId xmlns:a16="http://schemas.microsoft.com/office/drawing/2014/main" id="{00000000-0008-0000-1600-00000E000000}"/>
                </a:ext>
              </a:extLst>
            </xdr:cNvPr>
            <xdr:cNvSpPr/>
          </xdr:nvSpPr>
          <xdr:spPr>
            <a:xfrm>
              <a:off x="38100" y="292100"/>
              <a:ext cx="11582400" cy="4432300"/>
            </a:xfrm>
            <a:prstGeom prst="rect">
              <a:avLst/>
            </a:prstGeom>
            <a:noFill/>
            <a:ln w="3175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</xdr:grpSp>
      <xdr:sp macro="" textlink="">
        <xdr:nvSpPr>
          <xdr:cNvPr id="16" name="TextBox 15">
            <a:extLst>
              <a:ext uri="{FF2B5EF4-FFF2-40B4-BE49-F238E27FC236}">
                <a16:creationId xmlns:a16="http://schemas.microsoft.com/office/drawing/2014/main" id="{00000000-0008-0000-1600-000010000000}"/>
              </a:ext>
            </a:extLst>
          </xdr:cNvPr>
          <xdr:cNvSpPr txBox="1"/>
        </xdr:nvSpPr>
        <xdr:spPr>
          <a:xfrm>
            <a:off x="10744200" y="279400"/>
            <a:ext cx="835806" cy="25455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GB" sz="1100">
                <a:latin typeface="Arial" panose="020B0604020202020204" pitchFamily="34" charset="0"/>
                <a:cs typeface="Arial" panose="020B0604020202020204" pitchFamily="34" charset="0"/>
              </a:rPr>
              <a:t>thousands</a:t>
            </a:r>
          </a:p>
        </xdr:txBody>
      </xdr:sp>
    </xdr:grpSp>
    <xdr:clientData/>
  </xdr:twoCellAnchor>
  <xdr:twoCellAnchor editAs="oneCell">
    <xdr:from>
      <xdr:col>21</xdr:col>
      <xdr:colOff>0</xdr:colOff>
      <xdr:row>0</xdr:row>
      <xdr:rowOff>0</xdr:rowOff>
    </xdr:from>
    <xdr:to>
      <xdr:col>21</xdr:col>
      <xdr:colOff>371662</xdr:colOff>
      <xdr:row>2</xdr:row>
      <xdr:rowOff>1494</xdr:rowOff>
    </xdr:to>
    <xdr:pic>
      <xdr:nvPicPr>
        <xdr:cNvPr id="21" name="Picture 20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16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160500" y="0"/>
          <a:ext cx="371662" cy="369794"/>
        </a:xfrm>
        <a:prstGeom prst="rect">
          <a:avLst/>
        </a:prstGeom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</xdr:colOff>
      <xdr:row>2</xdr:row>
      <xdr:rowOff>50800</xdr:rowOff>
    </xdr:from>
    <xdr:to>
      <xdr:col>9</xdr:col>
      <xdr:colOff>260351</xdr:colOff>
      <xdr:row>38</xdr:row>
      <xdr:rowOff>50800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371662</xdr:colOff>
      <xdr:row>2</xdr:row>
      <xdr:rowOff>1494</xdr:rowOff>
    </xdr:to>
    <xdr:pic>
      <xdr:nvPicPr>
        <xdr:cNvPr id="5" name="Picture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7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44300" y="0"/>
          <a:ext cx="371662" cy="369794"/>
        </a:xfrm>
        <a:prstGeom prst="rect">
          <a:avLst/>
        </a:prstGeom>
      </xdr:spPr>
    </xdr:pic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38100</xdr:rowOff>
    </xdr:from>
    <xdr:to>
      <xdr:col>9</xdr:col>
      <xdr:colOff>234951</xdr:colOff>
      <xdr:row>38</xdr:row>
      <xdr:rowOff>38100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375472</xdr:colOff>
      <xdr:row>2</xdr:row>
      <xdr:rowOff>1494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42800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12700</xdr:colOff>
      <xdr:row>40</xdr:row>
      <xdr:rowOff>0</xdr:rowOff>
    </xdr:from>
    <xdr:to>
      <xdr:col>9</xdr:col>
      <xdr:colOff>247651</xdr:colOff>
      <xdr:row>76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1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12700</xdr:colOff>
      <xdr:row>79</xdr:row>
      <xdr:rowOff>0</xdr:rowOff>
    </xdr:from>
    <xdr:to>
      <xdr:col>9</xdr:col>
      <xdr:colOff>247651</xdr:colOff>
      <xdr:row>115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18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0</xdr:colOff>
      <xdr:row>0</xdr:row>
      <xdr:rowOff>0</xdr:rowOff>
    </xdr:from>
    <xdr:to>
      <xdr:col>7</xdr:col>
      <xdr:colOff>371662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39971" y="0"/>
          <a:ext cx="371662" cy="369794"/>
        </a:xfrm>
        <a:prstGeom prst="rect">
          <a:avLst/>
        </a:prstGeom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2</xdr:row>
      <xdr:rowOff>28575</xdr:rowOff>
    </xdr:from>
    <xdr:to>
      <xdr:col>8</xdr:col>
      <xdr:colOff>2114550</xdr:colOff>
      <xdr:row>47</xdr:row>
      <xdr:rowOff>85725</xdr:rowOff>
    </xdr:to>
    <xdr:graphicFrame macro="">
      <xdr:nvGraphicFramePr>
        <xdr:cNvPr id="29708" name="Qual 1">
          <a:extLst>
            <a:ext uri="{FF2B5EF4-FFF2-40B4-BE49-F238E27FC236}">
              <a16:creationId xmlns:a16="http://schemas.microsoft.com/office/drawing/2014/main" id="{00000000-0008-0000-1A00-00000C7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12700</xdr:colOff>
      <xdr:row>52</xdr:row>
      <xdr:rowOff>0</xdr:rowOff>
    </xdr:from>
    <xdr:to>
      <xdr:col>8</xdr:col>
      <xdr:colOff>2117725</xdr:colOff>
      <xdr:row>97</xdr:row>
      <xdr:rowOff>57150</xdr:rowOff>
    </xdr:to>
    <xdr:graphicFrame macro="">
      <xdr:nvGraphicFramePr>
        <xdr:cNvPr id="3" name="Qual 2">
          <a:extLst>
            <a:ext uri="{FF2B5EF4-FFF2-40B4-BE49-F238E27FC236}">
              <a16:creationId xmlns:a16="http://schemas.microsoft.com/office/drawing/2014/main" id="{00000000-0008-0000-1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377377</xdr:colOff>
      <xdr:row>2</xdr:row>
      <xdr:rowOff>1494</xdr:rowOff>
    </xdr:to>
    <xdr:pic>
      <xdr:nvPicPr>
        <xdr:cNvPr id="4" name="Picture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1A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67700" y="0"/>
          <a:ext cx="371662" cy="369794"/>
        </a:xfrm>
        <a:prstGeom prst="rect">
          <a:avLst/>
        </a:prstGeom>
      </xdr:spPr>
    </xdr:pic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35252</xdr:colOff>
      <xdr:row>2</xdr:row>
      <xdr:rowOff>11206</xdr:rowOff>
    </xdr:from>
    <xdr:to>
      <xdr:col>35</xdr:col>
      <xdr:colOff>381000</xdr:colOff>
      <xdr:row>54</xdr:row>
      <xdr:rowOff>44824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35</xdr:col>
      <xdr:colOff>547079</xdr:colOff>
      <xdr:row>2</xdr:row>
      <xdr:rowOff>38099</xdr:rowOff>
    </xdr:from>
    <xdr:to>
      <xdr:col>48</xdr:col>
      <xdr:colOff>582706</xdr:colOff>
      <xdr:row>54</xdr:row>
      <xdr:rowOff>44823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134471</xdr:colOff>
      <xdr:row>56</xdr:row>
      <xdr:rowOff>122892</xdr:rowOff>
    </xdr:from>
    <xdr:to>
      <xdr:col>30</xdr:col>
      <xdr:colOff>505946</xdr:colOff>
      <xdr:row>83</xdr:row>
      <xdr:rowOff>123264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1C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41</xdr:col>
      <xdr:colOff>5041</xdr:colOff>
      <xdr:row>57</xdr:row>
      <xdr:rowOff>14382</xdr:rowOff>
    </xdr:from>
    <xdr:to>
      <xdr:col>49</xdr:col>
      <xdr:colOff>480172</xdr:colOff>
      <xdr:row>83</xdr:row>
      <xdr:rowOff>156881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1C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22</xdr:col>
      <xdr:colOff>99359</xdr:colOff>
      <xdr:row>84</xdr:row>
      <xdr:rowOff>85910</xdr:rowOff>
    </xdr:from>
    <xdr:to>
      <xdr:col>30</xdr:col>
      <xdr:colOff>493058</xdr:colOff>
      <xdr:row>109</xdr:row>
      <xdr:rowOff>100852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1C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41</xdr:col>
      <xdr:colOff>0</xdr:colOff>
      <xdr:row>84</xdr:row>
      <xdr:rowOff>142688</xdr:rowOff>
    </xdr:from>
    <xdr:to>
      <xdr:col>49</xdr:col>
      <xdr:colOff>489698</xdr:colOff>
      <xdr:row>110</xdr:row>
      <xdr:rowOff>44824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1C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22</xdr:col>
      <xdr:colOff>38659</xdr:colOff>
      <xdr:row>111</xdr:row>
      <xdr:rowOff>53041</xdr:rowOff>
    </xdr:from>
    <xdr:to>
      <xdr:col>30</xdr:col>
      <xdr:colOff>518271</xdr:colOff>
      <xdr:row>139</xdr:row>
      <xdr:rowOff>112434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1C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31</xdr:col>
      <xdr:colOff>267449</xdr:colOff>
      <xdr:row>111</xdr:row>
      <xdr:rowOff>53041</xdr:rowOff>
    </xdr:from>
    <xdr:to>
      <xdr:col>40</xdr:col>
      <xdr:colOff>120464</xdr:colOff>
      <xdr:row>139</xdr:row>
      <xdr:rowOff>110939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1C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18</xdr:col>
      <xdr:colOff>33618</xdr:colOff>
      <xdr:row>0</xdr:row>
      <xdr:rowOff>56029</xdr:rowOff>
    </xdr:from>
    <xdr:to>
      <xdr:col>18</xdr:col>
      <xdr:colOff>407185</xdr:colOff>
      <xdr:row>1</xdr:row>
      <xdr:rowOff>190499</xdr:rowOff>
    </xdr:to>
    <xdr:pic>
      <xdr:nvPicPr>
        <xdr:cNvPr id="28" name="Picture 27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1C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909177" y="56029"/>
          <a:ext cx="371662" cy="369794"/>
        </a:xfrm>
        <a:prstGeom prst="rect">
          <a:avLst/>
        </a:prstGeom>
      </xdr:spPr>
    </xdr:pic>
    <xdr:clientData/>
  </xdr:twoCellAnchor>
  <xdr:twoCellAnchor>
    <xdr:from>
      <xdr:col>31</xdr:col>
      <xdr:colOff>336177</xdr:colOff>
      <xdr:row>56</xdr:row>
      <xdr:rowOff>134470</xdr:rowOff>
    </xdr:from>
    <xdr:to>
      <xdr:col>40</xdr:col>
      <xdr:colOff>206190</xdr:colOff>
      <xdr:row>83</xdr:row>
      <xdr:rowOff>120087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1C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31</xdr:col>
      <xdr:colOff>313765</xdr:colOff>
      <xdr:row>84</xdr:row>
      <xdr:rowOff>134470</xdr:rowOff>
    </xdr:from>
    <xdr:to>
      <xdr:col>40</xdr:col>
      <xdr:colOff>102346</xdr:colOff>
      <xdr:row>109</xdr:row>
      <xdr:rowOff>149412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1C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41</xdr:col>
      <xdr:colOff>0</xdr:colOff>
      <xdr:row>111</xdr:row>
      <xdr:rowOff>56029</xdr:rowOff>
    </xdr:from>
    <xdr:to>
      <xdr:col>49</xdr:col>
      <xdr:colOff>458133</xdr:colOff>
      <xdr:row>139</xdr:row>
      <xdr:rowOff>113927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00000000-0008-0000-1C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 editAs="oneCell">
    <xdr:from>
      <xdr:col>30</xdr:col>
      <xdr:colOff>291353</xdr:colOff>
      <xdr:row>0</xdr:row>
      <xdr:rowOff>89648</xdr:rowOff>
    </xdr:from>
    <xdr:to>
      <xdr:col>31</xdr:col>
      <xdr:colOff>73137</xdr:colOff>
      <xdr:row>2</xdr:row>
      <xdr:rowOff>20732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062706" y="89648"/>
          <a:ext cx="371662" cy="369794"/>
        </a:xfrm>
        <a:prstGeom prst="rect">
          <a:avLst/>
        </a:prstGeom>
      </xdr:spPr>
    </xdr:pic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118223</xdr:rowOff>
    </xdr:from>
    <xdr:to>
      <xdr:col>11</xdr:col>
      <xdr:colOff>586068</xdr:colOff>
      <xdr:row>31</xdr:row>
      <xdr:rowOff>156323</xdr:rowOff>
    </xdr:to>
    <xdr:graphicFrame macro="">
      <xdr:nvGraphicFramePr>
        <xdr:cNvPr id="19457" name="Chart 1">
          <a:extLst>
            <a:ext uri="{FF2B5EF4-FFF2-40B4-BE49-F238E27FC236}">
              <a16:creationId xmlns:a16="http://schemas.microsoft.com/office/drawing/2014/main" id="{00000000-0008-0000-1E00-0000014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22411</xdr:colOff>
      <xdr:row>0</xdr:row>
      <xdr:rowOff>0</xdr:rowOff>
    </xdr:from>
    <xdr:to>
      <xdr:col>14</xdr:col>
      <xdr:colOff>392168</xdr:colOff>
      <xdr:row>2</xdr:row>
      <xdr:rowOff>9301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E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94058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34</xdr:row>
      <xdr:rowOff>22412</xdr:rowOff>
    </xdr:from>
    <xdr:to>
      <xdr:col>11</xdr:col>
      <xdr:colOff>586068</xdr:colOff>
      <xdr:row>77</xdr:row>
      <xdr:rowOff>112059</xdr:rowOff>
    </xdr:to>
    <xdr:graphicFrame macro="">
      <xdr:nvGraphicFramePr>
        <xdr:cNvPr id="4" name="Chart 1">
          <a:extLst>
            <a:ext uri="{FF2B5EF4-FFF2-40B4-BE49-F238E27FC236}">
              <a16:creationId xmlns:a16="http://schemas.microsoft.com/office/drawing/2014/main" id="{00000000-0008-0000-1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8.xml><?xml version="1.0" encoding="utf-8"?>
<c:userShapes xmlns:c="http://schemas.openxmlformats.org/drawingml/2006/chart">
  <cdr:relSizeAnchor xmlns:cdr="http://schemas.openxmlformats.org/drawingml/2006/chartDrawing">
    <cdr:from>
      <cdr:x>0.00652</cdr:x>
      <cdr:y>0.02964</cdr:y>
    </cdr:from>
    <cdr:to>
      <cdr:x>0.00652</cdr:x>
      <cdr:y>0.05659</cdr:y>
    </cdr:to>
    <cdr:sp macro="" textlink="">
      <cdr:nvSpPr>
        <cdr:cNvPr id="2048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143764"/>
          <a:ext cx="0" cy="1278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27432" tIns="22860" rIns="27432" bIns="0" anchor="t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GB" sz="1000" b="1" i="0" u="none" strike="noStrike" baseline="0">
              <a:solidFill>
                <a:srgbClr val="000080"/>
              </a:solidFill>
              <a:latin typeface="Arial"/>
              <a:cs typeface="Arial"/>
            </a:rPr>
            <a:t>by SOC 2000 Sub-Major Group</a:t>
          </a:r>
        </a:p>
      </cdr:txBody>
    </cdr:sp>
  </cdr:relSizeAnchor>
  <cdr:relSizeAnchor xmlns:cdr="http://schemas.openxmlformats.org/drawingml/2006/chartDrawing">
    <cdr:from>
      <cdr:x>0.00652</cdr:x>
      <cdr:y>0.05659</cdr:y>
    </cdr:from>
    <cdr:to>
      <cdr:x>0.00652</cdr:x>
      <cdr:y>0.08329</cdr:y>
    </cdr:to>
    <cdr:sp macro="" textlink="">
      <cdr:nvSpPr>
        <cdr:cNvPr id="2048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271590"/>
          <a:ext cx="0" cy="12666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</cdr:sp>
  </cdr:relSizeAnchor>
</c:userShapes>
</file>

<file path=xl/drawings/drawing29.xml><?xml version="1.0" encoding="utf-8"?>
<c:userShapes xmlns:c="http://schemas.openxmlformats.org/drawingml/2006/chart">
  <cdr:relSizeAnchor xmlns:cdr="http://schemas.openxmlformats.org/drawingml/2006/chartDrawing">
    <cdr:from>
      <cdr:x>0.00652</cdr:x>
      <cdr:y>0.02964</cdr:y>
    </cdr:from>
    <cdr:to>
      <cdr:x>0.00652</cdr:x>
      <cdr:y>0.05659</cdr:y>
    </cdr:to>
    <cdr:sp macro="" textlink="">
      <cdr:nvSpPr>
        <cdr:cNvPr id="2048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143764"/>
          <a:ext cx="0" cy="1278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27432" tIns="22860" rIns="27432" bIns="0" anchor="t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GB" sz="1000" b="1" i="0" u="none" strike="noStrike" baseline="0">
              <a:solidFill>
                <a:srgbClr val="000080"/>
              </a:solidFill>
              <a:latin typeface="Arial"/>
              <a:cs typeface="Arial"/>
            </a:rPr>
            <a:t>by SOC 2000 Sub-Major Group</a:t>
          </a:r>
        </a:p>
      </cdr:txBody>
    </cdr:sp>
  </cdr:relSizeAnchor>
  <cdr:relSizeAnchor xmlns:cdr="http://schemas.openxmlformats.org/drawingml/2006/chartDrawing">
    <cdr:from>
      <cdr:x>0.00652</cdr:x>
      <cdr:y>0.05659</cdr:y>
    </cdr:from>
    <cdr:to>
      <cdr:x>0.00652</cdr:x>
      <cdr:y>0.08329</cdr:y>
    </cdr:to>
    <cdr:sp macro="" textlink="">
      <cdr:nvSpPr>
        <cdr:cNvPr id="2048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271590"/>
          <a:ext cx="0" cy="12666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</cdr:sp>
  </cdr:relSizeAnchor>
</c:userShapes>
</file>

<file path=xl/drawings/drawing30.xml><?xml version="1.0" encoding="utf-8"?>
<xdr:wsDr xmlns:xdr="http://schemas.openxmlformats.org/drawingml/2006/spreadsheetDrawing" xmlns:a="http://schemas.openxmlformats.org/drawingml/2006/main">
  <xdr:twoCellAnchor editAs="oneCell">
    <xdr:from>
      <xdr:col>40</xdr:col>
      <xdr:colOff>105522</xdr:colOff>
      <xdr:row>0</xdr:row>
      <xdr:rowOff>0</xdr:rowOff>
    </xdr:from>
    <xdr:to>
      <xdr:col>40</xdr:col>
      <xdr:colOff>477184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298397" y="0"/>
          <a:ext cx="371662" cy="376331"/>
        </a:xfrm>
        <a:prstGeom prst="rect">
          <a:avLst/>
        </a:prstGeom>
      </xdr:spPr>
    </xdr:pic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 editAs="oneCell">
    <xdr:from>
      <xdr:col>98</xdr:col>
      <xdr:colOff>93381</xdr:colOff>
      <xdr:row>0</xdr:row>
      <xdr:rowOff>331508</xdr:rowOff>
    </xdr:from>
    <xdr:to>
      <xdr:col>98</xdr:col>
      <xdr:colOff>460337</xdr:colOff>
      <xdr:row>1</xdr:row>
      <xdr:rowOff>73773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911006" y="331508"/>
          <a:ext cx="368861" cy="377265"/>
        </a:xfrm>
        <a:prstGeom prst="rect">
          <a:avLst/>
        </a:prstGeom>
      </xdr:spPr>
    </xdr:pic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 editAs="oneCell">
    <xdr:from>
      <xdr:col>33</xdr:col>
      <xdr:colOff>92449</xdr:colOff>
      <xdr:row>0</xdr:row>
      <xdr:rowOff>15875</xdr:rowOff>
    </xdr:from>
    <xdr:to>
      <xdr:col>33</xdr:col>
      <xdr:colOff>460301</xdr:colOff>
      <xdr:row>2</xdr:row>
      <xdr:rowOff>28986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111824" y="15875"/>
          <a:ext cx="371662" cy="374463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feesudb/stfdir/output/roee_c01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roee_c01"/>
      <sheetName val="Contents"/>
      <sheetName val="Chapter 7 - Charts"/>
      <sheetName val="Chapter 5 - Charts"/>
      <sheetName val="Chapter 3 - Charts"/>
      <sheetName val="Chapter 4 - Charts"/>
      <sheetName val="Chapter 2 - Charts"/>
    </sheetNames>
    <sheetDataSet>
      <sheetData sheetId="0" refreshError="1"/>
      <sheetData sheetId="1" refreshError="1"/>
      <sheetData sheetId="2" refreshError="1">
        <row r="25">
          <cell r="D25" t="str">
            <v>Chart 7.1.   Regional economic activity rates, 1971-2010</v>
          </cell>
        </row>
        <row r="26">
          <cell r="D26" t="str">
            <v>All Regions</v>
          </cell>
        </row>
        <row r="27">
          <cell r="D27" t="str">
            <v>Total Employment</v>
          </cell>
        </row>
        <row r="67">
          <cell r="D67" t="str">
            <v>Chart 7.2.   Regional unemployment rates, 1971-2010</v>
          </cell>
        </row>
        <row r="68">
          <cell r="D68" t="str">
            <v>All Regions</v>
          </cell>
        </row>
        <row r="69">
          <cell r="D69" t="str">
            <v>Total Employment</v>
          </cell>
        </row>
        <row r="366">
          <cell r="D366" t="str">
            <v>Chart 7.6.b. (a)   Employment Levels by Broad Industrial Sector</v>
          </cell>
        </row>
        <row r="367">
          <cell r="D367" t="str">
            <v>East</v>
          </cell>
        </row>
        <row r="368">
          <cell r="D368" t="str">
            <v>Total Employment</v>
          </cell>
        </row>
        <row r="410">
          <cell r="D410" t="str">
            <v>Chart 7.7.b. (a)   Employment Levels by Broad Industrial Sector</v>
          </cell>
        </row>
        <row r="411">
          <cell r="D411" t="str">
            <v>North West</v>
          </cell>
        </row>
        <row r="412">
          <cell r="D412" t="str">
            <v>Total Employment</v>
          </cell>
        </row>
        <row r="454">
          <cell r="D454" t="str">
            <v>Chart 7.5.b. (b)   Employment Growth by Broad Industrial Sector</v>
          </cell>
        </row>
        <row r="455">
          <cell r="D455" t="str">
            <v>London</v>
          </cell>
        </row>
        <row r="456">
          <cell r="D456" t="str">
            <v>Total Employment</v>
          </cell>
        </row>
        <row r="499">
          <cell r="D499" t="str">
            <v>Chart 7.6.b. (b)   Employment Growth by Broad Industrial Sector</v>
          </cell>
        </row>
        <row r="500">
          <cell r="D500" t="str">
            <v>East</v>
          </cell>
        </row>
        <row r="501">
          <cell r="D501" t="str">
            <v>Total Employment</v>
          </cell>
        </row>
        <row r="543">
          <cell r="D543" t="str">
            <v>Chart 7.7.b. (b)   Employment Growth by Broad Industrial Sector</v>
          </cell>
        </row>
        <row r="544">
          <cell r="D544" t="str">
            <v>North West</v>
          </cell>
        </row>
        <row r="545">
          <cell r="D545" t="str">
            <v>Total Employment</v>
          </cell>
        </row>
        <row r="843">
          <cell r="D843" t="str">
            <v xml:space="preserve">Chart 7.10.a  Employment profiles by gender in the 'Distribution &amp; Transport, etc.' sector. </v>
          </cell>
        </row>
        <row r="844">
          <cell r="D844" t="str">
            <v>South West</v>
          </cell>
        </row>
        <row r="845">
          <cell r="D845" t="str">
            <v>Males</v>
          </cell>
        </row>
        <row r="886">
          <cell r="D886" t="str">
            <v xml:space="preserve">Chart 7.10.b  Employment profiles by gender in the 'Distribution &amp; Transport, etc.' sector. </v>
          </cell>
        </row>
        <row r="887">
          <cell r="D887" t="str">
            <v>South West</v>
          </cell>
        </row>
        <row r="888">
          <cell r="D888" t="str">
            <v>Females</v>
          </cell>
        </row>
        <row r="931">
          <cell r="D931" t="str">
            <v>Chart 7.11.a  Changing Occupational Profile of employment in Banking &amp; Business Services</v>
          </cell>
        </row>
        <row r="932">
          <cell r="D932" t="str">
            <v>London</v>
          </cell>
        </row>
        <row r="976">
          <cell r="D976" t="str">
            <v>Chart 7.11.b  Changing Occupational Profile of employment in Banking &amp; Business Services</v>
          </cell>
        </row>
        <row r="977">
          <cell r="D977" t="str">
            <v>Yorkshire &amp; the Humber</v>
          </cell>
        </row>
        <row r="1021">
          <cell r="D1021" t="str">
            <v>Chart 7.12.a.  Changing occupational profile of employment in Engineering</v>
          </cell>
        </row>
        <row r="1022">
          <cell r="D1022" t="str">
            <v>South East</v>
          </cell>
        </row>
        <row r="1065">
          <cell r="D1065" t="str">
            <v>Chart 7.12.b.  Changing occupational profile of employment in Engineering</v>
          </cell>
        </row>
        <row r="1066">
          <cell r="D1066" t="str">
            <v>West Midlands</v>
          </cell>
        </row>
        <row r="1110">
          <cell r="D1110" t="str">
            <v>Chart 7.12.c.  Changing occupational profile of employment in Engineering</v>
          </cell>
        </row>
        <row r="1111">
          <cell r="D1111" t="str">
            <v>Wales</v>
          </cell>
        </row>
      </sheetData>
      <sheetData sheetId="3" refreshError="1">
        <row r="25">
          <cell r="D25" t="str">
            <v>Chart 5.1.  Qualification Structure, 1979-1998 [% of total employment]</v>
          </cell>
        </row>
        <row r="26">
          <cell r="D26" t="str">
            <v>United Kingdom</v>
          </cell>
        </row>
        <row r="27">
          <cell r="D27" t="str">
            <v>Total Employment</v>
          </cell>
        </row>
        <row r="62">
          <cell r="D62" t="str">
            <v>Source: Labour Force Survey</v>
          </cell>
        </row>
        <row r="71">
          <cell r="D71" t="str">
            <v>Chart 5.2. (a)  Change in Employment Shares, 1979 - 1998 [% of total employment]</v>
          </cell>
        </row>
        <row r="72">
          <cell r="D72" t="str">
            <v>United Kingdom</v>
          </cell>
        </row>
        <row r="73">
          <cell r="D73" t="str">
            <v>Total Employment</v>
          </cell>
        </row>
        <row r="75">
          <cell r="AJ75">
            <v>2531.5990000000002</v>
          </cell>
          <cell r="AK75">
            <v>4287.2929999999997</v>
          </cell>
        </row>
        <row r="76">
          <cell r="AJ76">
            <v>1804.5730000000001</v>
          </cell>
          <cell r="AK76">
            <v>2817.6059999999998</v>
          </cell>
        </row>
        <row r="77">
          <cell r="AJ77">
            <v>1520.395</v>
          </cell>
          <cell r="AK77">
            <v>2662.07</v>
          </cell>
        </row>
        <row r="78">
          <cell r="AJ78">
            <v>4189.2690000000002</v>
          </cell>
          <cell r="AK78">
            <v>3973.6420000000007</v>
          </cell>
        </row>
        <row r="79">
          <cell r="AJ79">
            <v>4706.652</v>
          </cell>
          <cell r="AK79">
            <v>3247.0230000000001</v>
          </cell>
        </row>
        <row r="80">
          <cell r="AJ80">
            <v>1555.508</v>
          </cell>
          <cell r="AK80">
            <v>2827.058</v>
          </cell>
        </row>
        <row r="81">
          <cell r="AJ81">
            <v>999.12599999999998</v>
          </cell>
          <cell r="AK81">
            <v>1782.453</v>
          </cell>
        </row>
        <row r="82">
          <cell r="AJ82">
            <v>3585.4629999999997</v>
          </cell>
          <cell r="AK82">
            <v>2524.634</v>
          </cell>
        </row>
        <row r="83">
          <cell r="AJ83">
            <v>2810.288</v>
          </cell>
          <cell r="AK83">
            <v>2123.3029999999999</v>
          </cell>
        </row>
        <row r="84">
          <cell r="AJ84">
            <v>0</v>
          </cell>
          <cell r="AK84">
            <v>115.41700000000002</v>
          </cell>
        </row>
        <row r="85">
          <cell r="AJ85">
            <v>23702.873</v>
          </cell>
          <cell r="AK85">
            <v>26360.499000000003</v>
          </cell>
        </row>
        <row r="108">
          <cell r="D108" t="str">
            <v>Source: Labour Force Survey</v>
          </cell>
        </row>
        <row r="118">
          <cell r="D118" t="str">
            <v>Chart 5.2. (b)  Change in Employment Shares, 1983 - 1998 [% of total employment]</v>
          </cell>
        </row>
        <row r="119">
          <cell r="D119" t="str">
            <v>United Kingdom</v>
          </cell>
        </row>
        <row r="120">
          <cell r="D120" t="str">
            <v>Total Employment</v>
          </cell>
        </row>
        <row r="530">
          <cell r="D530" t="str">
            <v>Chart 5.3.  Change in Employment by Qualification, 1983 - 1998</v>
          </cell>
        </row>
        <row r="531">
          <cell r="D531" t="str">
            <v>United Kingdom</v>
          </cell>
        </row>
        <row r="532">
          <cell r="D532" t="str">
            <v>Total Employment</v>
          </cell>
        </row>
        <row r="567">
          <cell r="D567" t="str">
            <v>Source: Labour Force Survey</v>
          </cell>
        </row>
      </sheetData>
      <sheetData sheetId="4" refreshError="1">
        <row r="118">
          <cell r="D118" t="str">
            <v>Chart 3.4.  Change in Employment Structure, 1981-2010</v>
          </cell>
        </row>
        <row r="119">
          <cell r="D119" t="str">
            <v>United Kingdom</v>
          </cell>
        </row>
        <row r="120">
          <cell r="D120" t="str">
            <v>Total Employment</v>
          </cell>
        </row>
        <row r="599">
          <cell r="D599" t="str">
            <v>Chart 3.4.  Change in Employmend Broad by sector, 1981 - 2010</v>
          </cell>
        </row>
      </sheetData>
      <sheetData sheetId="5" refreshError="1">
        <row r="25">
          <cell r="D25" t="str">
            <v>Chart 4.2.(a)  Occupational Change, 1999-2010</v>
          </cell>
        </row>
        <row r="26">
          <cell r="D26" t="str">
            <v>United Kingdom</v>
          </cell>
        </row>
        <row r="27">
          <cell r="D27" t="str">
            <v>Total Employment</v>
          </cell>
        </row>
        <row r="62">
          <cell r="D62" t="str">
            <v>Source: CE/IER estimates, F92F9 Forecast</v>
          </cell>
        </row>
        <row r="71">
          <cell r="D71" t="str">
            <v>Chart 4.3.(a)  Occupational Change, 1999-2010</v>
          </cell>
        </row>
        <row r="72">
          <cell r="D72" t="str">
            <v>United Kingdom</v>
          </cell>
        </row>
        <row r="73">
          <cell r="D73" t="str">
            <v>Male Employment</v>
          </cell>
        </row>
        <row r="108">
          <cell r="D108" t="str">
            <v>Source: CE/IER estimates, F92F9 Forecast</v>
          </cell>
        </row>
        <row r="118">
          <cell r="D118" t="str">
            <v>Chart 4.4.(a)  Occupational Change, 1999-2010</v>
          </cell>
        </row>
        <row r="119">
          <cell r="D119" t="str">
            <v>United Kingdom</v>
          </cell>
        </row>
        <row r="120">
          <cell r="D120" t="str">
            <v>Female Employment</v>
          </cell>
        </row>
        <row r="155">
          <cell r="D155" t="str">
            <v>Source: CE/IER estimates, F92F9 Forecast</v>
          </cell>
        </row>
        <row r="165">
          <cell r="D165" t="str">
            <v>Chart 4.2.(b)  Occupational Change by Status, 1999-2010</v>
          </cell>
        </row>
        <row r="166">
          <cell r="D166" t="str">
            <v>United Kingdom</v>
          </cell>
        </row>
        <row r="167">
          <cell r="D167" t="str">
            <v>Total Employment</v>
          </cell>
        </row>
        <row r="209">
          <cell r="D209" t="str">
            <v>Source: CE/IER estimates, F92F9 Forecast</v>
          </cell>
        </row>
        <row r="216">
          <cell r="D216" t="str">
            <v>Chart 4.3.(b)  Occupational Change by Status, 1999-2010</v>
          </cell>
        </row>
        <row r="217">
          <cell r="D217" t="str">
            <v>United Kingdom</v>
          </cell>
        </row>
        <row r="218">
          <cell r="D218" t="str">
            <v>Male Employment</v>
          </cell>
        </row>
        <row r="260">
          <cell r="D260" t="str">
            <v>Source: CE/IER estimates, F92F9 Forecast</v>
          </cell>
        </row>
        <row r="267">
          <cell r="D267" t="str">
            <v>Chart 4.4.(b)  Occupational Change by Status, 1999-2010</v>
          </cell>
        </row>
        <row r="268">
          <cell r="D268" t="str">
            <v>United Kingdom</v>
          </cell>
        </row>
        <row r="269">
          <cell r="D269" t="str">
            <v>Female Employment</v>
          </cell>
        </row>
        <row r="311">
          <cell r="D311" t="str">
            <v>Source: CE/IER estimates, F92F9 Forecast</v>
          </cell>
        </row>
      </sheetData>
      <sheetData sheetId="6" refreshError="1">
        <row r="71">
          <cell r="D71" t="str">
            <v>Chart 2.2.  Growth in  Unemployment, Employment &amp; Labour Force, 1999-2010</v>
          </cell>
        </row>
        <row r="72">
          <cell r="D72" t="str">
            <v>United Kingdom</v>
          </cell>
        </row>
        <row r="73">
          <cell r="D73" t="str">
            <v>Total Employment</v>
          </cell>
        </row>
        <row r="108">
          <cell r="D108" t="str">
            <v>Source: CE/IER estimates, F02F9 Forecast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r.a.wilson@warwick.ac.uk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8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9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0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1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2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3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4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5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6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8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9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30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1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2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3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J12"/>
  <sheetViews>
    <sheetView workbookViewId="0">
      <selection activeCell="B6" sqref="B6"/>
    </sheetView>
  </sheetViews>
  <sheetFormatPr defaultRowHeight="12.75" x14ac:dyDescent="0.2"/>
  <cols>
    <col min="1" max="1" width="16.42578125" customWidth="1"/>
  </cols>
  <sheetData>
    <row r="1" spans="1:10" x14ac:dyDescent="0.2"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</row>
    <row r="2" spans="1:10" x14ac:dyDescent="0.2">
      <c r="A2" t="s">
        <v>140</v>
      </c>
      <c r="B2" s="82" t="s">
        <v>543</v>
      </c>
      <c r="C2" t="s">
        <v>526</v>
      </c>
      <c r="D2" t="s">
        <v>525</v>
      </c>
    </row>
    <row r="3" spans="1:10" x14ac:dyDescent="0.2">
      <c r="B3" s="82"/>
    </row>
    <row r="11" spans="1:10" x14ac:dyDescent="0.2">
      <c r="A11" t="s">
        <v>141</v>
      </c>
      <c r="B11" s="82" t="s">
        <v>543</v>
      </c>
    </row>
    <row r="12" spans="1:10" x14ac:dyDescent="0.2">
      <c r="B12" s="82"/>
    </row>
  </sheetData>
  <phoneticPr fontId="4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9"/>
  <dimension ref="A1:N93"/>
  <sheetViews>
    <sheetView showGridLines="0" tabSelected="1" zoomScale="75" zoomScaleNormal="75" workbookViewId="0"/>
  </sheetViews>
  <sheetFormatPr defaultColWidth="10.42578125" defaultRowHeight="12.75" x14ac:dyDescent="0.2"/>
  <cols>
    <col min="1" max="13" width="11.5703125" style="214" customWidth="1"/>
    <col min="14" max="256" width="10.42578125" style="214"/>
    <col min="257" max="269" width="11.5703125" style="214" customWidth="1"/>
    <col min="270" max="512" width="10.42578125" style="214"/>
    <col min="513" max="525" width="11.5703125" style="214" customWidth="1"/>
    <col min="526" max="768" width="10.42578125" style="214"/>
    <col min="769" max="781" width="11.5703125" style="214" customWidth="1"/>
    <col min="782" max="1024" width="10.42578125" style="214"/>
    <col min="1025" max="1037" width="11.5703125" style="214" customWidth="1"/>
    <col min="1038" max="1280" width="10.42578125" style="214"/>
    <col min="1281" max="1293" width="11.5703125" style="214" customWidth="1"/>
    <col min="1294" max="1536" width="10.42578125" style="214"/>
    <col min="1537" max="1549" width="11.5703125" style="214" customWidth="1"/>
    <col min="1550" max="1792" width="10.42578125" style="214"/>
    <col min="1793" max="1805" width="11.5703125" style="214" customWidth="1"/>
    <col min="1806" max="2048" width="10.42578125" style="214"/>
    <col min="2049" max="2061" width="11.5703125" style="214" customWidth="1"/>
    <col min="2062" max="2304" width="10.42578125" style="214"/>
    <col min="2305" max="2317" width="11.5703125" style="214" customWidth="1"/>
    <col min="2318" max="2560" width="10.42578125" style="214"/>
    <col min="2561" max="2573" width="11.5703125" style="214" customWidth="1"/>
    <col min="2574" max="2816" width="10.42578125" style="214"/>
    <col min="2817" max="2829" width="11.5703125" style="214" customWidth="1"/>
    <col min="2830" max="3072" width="10.42578125" style="214"/>
    <col min="3073" max="3085" width="11.5703125" style="214" customWidth="1"/>
    <col min="3086" max="3328" width="10.42578125" style="214"/>
    <col min="3329" max="3341" width="11.5703125" style="214" customWidth="1"/>
    <col min="3342" max="3584" width="10.42578125" style="214"/>
    <col min="3585" max="3597" width="11.5703125" style="214" customWidth="1"/>
    <col min="3598" max="3840" width="10.42578125" style="214"/>
    <col min="3841" max="3853" width="11.5703125" style="214" customWidth="1"/>
    <col min="3854" max="4096" width="10.42578125" style="214"/>
    <col min="4097" max="4109" width="11.5703125" style="214" customWidth="1"/>
    <col min="4110" max="4352" width="10.42578125" style="214"/>
    <col min="4353" max="4365" width="11.5703125" style="214" customWidth="1"/>
    <col min="4366" max="4608" width="10.42578125" style="214"/>
    <col min="4609" max="4621" width="11.5703125" style="214" customWidth="1"/>
    <col min="4622" max="4864" width="10.42578125" style="214"/>
    <col min="4865" max="4877" width="11.5703125" style="214" customWidth="1"/>
    <col min="4878" max="5120" width="10.42578125" style="214"/>
    <col min="5121" max="5133" width="11.5703125" style="214" customWidth="1"/>
    <col min="5134" max="5376" width="10.42578125" style="214"/>
    <col min="5377" max="5389" width="11.5703125" style="214" customWidth="1"/>
    <col min="5390" max="5632" width="10.42578125" style="214"/>
    <col min="5633" max="5645" width="11.5703125" style="214" customWidth="1"/>
    <col min="5646" max="5888" width="10.42578125" style="214"/>
    <col min="5889" max="5901" width="11.5703125" style="214" customWidth="1"/>
    <col min="5902" max="6144" width="10.42578125" style="214"/>
    <col min="6145" max="6157" width="11.5703125" style="214" customWidth="1"/>
    <col min="6158" max="6400" width="10.42578125" style="214"/>
    <col min="6401" max="6413" width="11.5703125" style="214" customWidth="1"/>
    <col min="6414" max="6656" width="10.42578125" style="214"/>
    <col min="6657" max="6669" width="11.5703125" style="214" customWidth="1"/>
    <col min="6670" max="6912" width="10.42578125" style="214"/>
    <col min="6913" max="6925" width="11.5703125" style="214" customWidth="1"/>
    <col min="6926" max="7168" width="10.42578125" style="214"/>
    <col min="7169" max="7181" width="11.5703125" style="214" customWidth="1"/>
    <col min="7182" max="7424" width="10.42578125" style="214"/>
    <col min="7425" max="7437" width="11.5703125" style="214" customWidth="1"/>
    <col min="7438" max="7680" width="10.42578125" style="214"/>
    <col min="7681" max="7693" width="11.5703125" style="214" customWidth="1"/>
    <col min="7694" max="7936" width="10.42578125" style="214"/>
    <col min="7937" max="7949" width="11.5703125" style="214" customWidth="1"/>
    <col min="7950" max="8192" width="10.42578125" style="214"/>
    <col min="8193" max="8205" width="11.5703125" style="214" customWidth="1"/>
    <col min="8206" max="8448" width="10.42578125" style="214"/>
    <col min="8449" max="8461" width="11.5703125" style="214" customWidth="1"/>
    <col min="8462" max="8704" width="10.42578125" style="214"/>
    <col min="8705" max="8717" width="11.5703125" style="214" customWidth="1"/>
    <col min="8718" max="8960" width="10.42578125" style="214"/>
    <col min="8961" max="8973" width="11.5703125" style="214" customWidth="1"/>
    <col min="8974" max="9216" width="10.42578125" style="214"/>
    <col min="9217" max="9229" width="11.5703125" style="214" customWidth="1"/>
    <col min="9230" max="9472" width="10.42578125" style="214"/>
    <col min="9473" max="9485" width="11.5703125" style="214" customWidth="1"/>
    <col min="9486" max="9728" width="10.42578125" style="214"/>
    <col min="9729" max="9741" width="11.5703125" style="214" customWidth="1"/>
    <col min="9742" max="9984" width="10.42578125" style="214"/>
    <col min="9985" max="9997" width="11.5703125" style="214" customWidth="1"/>
    <col min="9998" max="10240" width="10.42578125" style="214"/>
    <col min="10241" max="10253" width="11.5703125" style="214" customWidth="1"/>
    <col min="10254" max="10496" width="10.42578125" style="214"/>
    <col min="10497" max="10509" width="11.5703125" style="214" customWidth="1"/>
    <col min="10510" max="10752" width="10.42578125" style="214"/>
    <col min="10753" max="10765" width="11.5703125" style="214" customWidth="1"/>
    <col min="10766" max="11008" width="10.42578125" style="214"/>
    <col min="11009" max="11021" width="11.5703125" style="214" customWidth="1"/>
    <col min="11022" max="11264" width="10.42578125" style="214"/>
    <col min="11265" max="11277" width="11.5703125" style="214" customWidth="1"/>
    <col min="11278" max="11520" width="10.42578125" style="214"/>
    <col min="11521" max="11533" width="11.5703125" style="214" customWidth="1"/>
    <col min="11534" max="11776" width="10.42578125" style="214"/>
    <col min="11777" max="11789" width="11.5703125" style="214" customWidth="1"/>
    <col min="11790" max="12032" width="10.42578125" style="214"/>
    <col min="12033" max="12045" width="11.5703125" style="214" customWidth="1"/>
    <col min="12046" max="12288" width="10.42578125" style="214"/>
    <col min="12289" max="12301" width="11.5703125" style="214" customWidth="1"/>
    <col min="12302" max="12544" width="10.42578125" style="214"/>
    <col min="12545" max="12557" width="11.5703125" style="214" customWidth="1"/>
    <col min="12558" max="12800" width="10.42578125" style="214"/>
    <col min="12801" max="12813" width="11.5703125" style="214" customWidth="1"/>
    <col min="12814" max="13056" width="10.42578125" style="214"/>
    <col min="13057" max="13069" width="11.5703125" style="214" customWidth="1"/>
    <col min="13070" max="13312" width="10.42578125" style="214"/>
    <col min="13313" max="13325" width="11.5703125" style="214" customWidth="1"/>
    <col min="13326" max="13568" width="10.42578125" style="214"/>
    <col min="13569" max="13581" width="11.5703125" style="214" customWidth="1"/>
    <col min="13582" max="13824" width="10.42578125" style="214"/>
    <col min="13825" max="13837" width="11.5703125" style="214" customWidth="1"/>
    <col min="13838" max="14080" width="10.42578125" style="214"/>
    <col min="14081" max="14093" width="11.5703125" style="214" customWidth="1"/>
    <col min="14094" max="14336" width="10.42578125" style="214"/>
    <col min="14337" max="14349" width="11.5703125" style="214" customWidth="1"/>
    <col min="14350" max="14592" width="10.42578125" style="214"/>
    <col min="14593" max="14605" width="11.5703125" style="214" customWidth="1"/>
    <col min="14606" max="14848" width="10.42578125" style="214"/>
    <col min="14849" max="14861" width="11.5703125" style="214" customWidth="1"/>
    <col min="14862" max="15104" width="10.42578125" style="214"/>
    <col min="15105" max="15117" width="11.5703125" style="214" customWidth="1"/>
    <col min="15118" max="15360" width="10.42578125" style="214"/>
    <col min="15361" max="15373" width="11.5703125" style="214" customWidth="1"/>
    <col min="15374" max="15616" width="10.42578125" style="214"/>
    <col min="15617" max="15629" width="11.5703125" style="214" customWidth="1"/>
    <col min="15630" max="15872" width="10.42578125" style="214"/>
    <col min="15873" max="15885" width="11.5703125" style="214" customWidth="1"/>
    <col min="15886" max="16128" width="10.42578125" style="214"/>
    <col min="16129" max="16141" width="11.5703125" style="214" customWidth="1"/>
    <col min="16142" max="16384" width="10.42578125" style="214"/>
  </cols>
  <sheetData>
    <row r="1" spans="1:14" x14ac:dyDescent="0.2">
      <c r="A1" s="348"/>
      <c r="B1" s="348"/>
      <c r="C1" s="348"/>
      <c r="D1" s="348"/>
      <c r="E1" s="348"/>
      <c r="F1" s="348"/>
      <c r="G1" s="348"/>
      <c r="H1" s="348"/>
      <c r="I1" s="348"/>
      <c r="J1" s="348"/>
      <c r="K1" s="348"/>
      <c r="L1" s="348"/>
      <c r="M1" s="348"/>
      <c r="N1" s="348"/>
    </row>
    <row r="2" spans="1:14" ht="18.75" customHeight="1" x14ac:dyDescent="0.2">
      <c r="A2" s="348"/>
      <c r="B2" s="348"/>
      <c r="C2" s="348"/>
      <c r="D2" s="348"/>
      <c r="E2" s="348"/>
      <c r="F2" s="364" t="s">
        <v>145</v>
      </c>
      <c r="G2" s="364"/>
      <c r="H2" s="364"/>
      <c r="I2" s="348"/>
      <c r="J2" s="348"/>
      <c r="K2" s="348"/>
      <c r="L2" s="348"/>
      <c r="M2" s="348"/>
      <c r="N2" s="348"/>
    </row>
    <row r="3" spans="1:14" ht="18.75" customHeight="1" x14ac:dyDescent="0.2">
      <c r="A3" s="348"/>
      <c r="B3" s="348"/>
      <c r="C3" s="365" t="s">
        <v>467</v>
      </c>
      <c r="D3" s="365"/>
      <c r="E3" s="365"/>
      <c r="F3" s="365"/>
      <c r="G3" s="365"/>
      <c r="H3" s="365"/>
      <c r="I3" s="365"/>
      <c r="J3" s="365"/>
      <c r="K3" s="365"/>
      <c r="L3" s="348"/>
      <c r="M3" s="348"/>
      <c r="N3" s="348"/>
    </row>
    <row r="4" spans="1:14" ht="18.75" customHeight="1" x14ac:dyDescent="0.2">
      <c r="A4" s="348"/>
      <c r="B4" s="348"/>
      <c r="C4" s="365" t="s">
        <v>468</v>
      </c>
      <c r="D4" s="365"/>
      <c r="E4" s="365"/>
      <c r="F4" s="365"/>
      <c r="G4" s="365"/>
      <c r="H4" s="365"/>
      <c r="I4" s="365"/>
      <c r="J4" s="365"/>
      <c r="K4" s="365"/>
      <c r="L4" s="348"/>
      <c r="M4" s="348"/>
      <c r="N4" s="348"/>
    </row>
    <row r="5" spans="1:14" ht="18.75" customHeight="1" x14ac:dyDescent="0.2">
      <c r="A5" s="348"/>
      <c r="B5" s="348"/>
      <c r="C5" s="348"/>
      <c r="D5" s="348"/>
      <c r="E5" s="348"/>
      <c r="F5" s="348"/>
      <c r="G5" s="350" t="s">
        <v>146</v>
      </c>
      <c r="H5" s="348"/>
      <c r="I5" s="348"/>
      <c r="J5" s="348"/>
      <c r="K5" s="348"/>
      <c r="L5" s="348"/>
      <c r="M5" s="348"/>
      <c r="N5" s="348"/>
    </row>
    <row r="6" spans="1:14" ht="12.75" customHeight="1" x14ac:dyDescent="0.2">
      <c r="A6" s="348"/>
      <c r="B6" s="348"/>
      <c r="C6" s="348"/>
      <c r="D6" s="348"/>
      <c r="E6" s="348"/>
      <c r="F6" s="348"/>
      <c r="G6" s="348"/>
      <c r="H6" s="348"/>
      <c r="I6" s="348"/>
      <c r="J6" s="348"/>
      <c r="K6" s="348"/>
      <c r="L6" s="348"/>
      <c r="M6" s="348"/>
      <c r="N6" s="348"/>
    </row>
    <row r="7" spans="1:14" ht="19.5" customHeight="1" x14ac:dyDescent="0.2">
      <c r="A7" s="348"/>
      <c r="B7" s="348"/>
      <c r="C7" s="366" t="s">
        <v>147</v>
      </c>
      <c r="D7" s="366"/>
      <c r="E7" s="366"/>
      <c r="F7" s="366"/>
      <c r="G7" s="366"/>
      <c r="H7" s="366"/>
      <c r="I7" s="366"/>
      <c r="J7" s="366"/>
      <c r="K7" s="366"/>
      <c r="L7" s="348"/>
      <c r="M7" s="348"/>
      <c r="N7" s="348"/>
    </row>
    <row r="8" spans="1:14" ht="18.75" customHeight="1" x14ac:dyDescent="0.2">
      <c r="A8" s="348"/>
      <c r="B8" s="348"/>
      <c r="C8" s="367" t="s">
        <v>148</v>
      </c>
      <c r="D8" s="367"/>
      <c r="E8" s="367"/>
      <c r="F8" s="367"/>
      <c r="G8" s="367"/>
      <c r="H8" s="367"/>
      <c r="I8" s="367"/>
      <c r="J8" s="367"/>
      <c r="K8" s="367"/>
      <c r="L8" s="348"/>
      <c r="M8" s="348"/>
      <c r="N8" s="348"/>
    </row>
    <row r="9" spans="1:14" ht="18.75" customHeight="1" x14ac:dyDescent="0.2">
      <c r="A9" s="348"/>
      <c r="B9" s="367" t="s">
        <v>149</v>
      </c>
      <c r="C9" s="367"/>
      <c r="D9" s="367"/>
      <c r="E9" s="367"/>
      <c r="F9" s="367"/>
      <c r="G9" s="367"/>
      <c r="H9" s="367"/>
      <c r="I9" s="367"/>
      <c r="J9" s="367"/>
      <c r="K9" s="367"/>
      <c r="L9" s="367"/>
      <c r="M9" s="349"/>
      <c r="N9" s="348"/>
    </row>
    <row r="10" spans="1:14" ht="18.75" customHeight="1" x14ac:dyDescent="0.2">
      <c r="A10" s="348"/>
      <c r="B10" s="349"/>
      <c r="C10" s="349"/>
      <c r="D10" s="349"/>
      <c r="E10" s="349"/>
      <c r="F10" s="349"/>
      <c r="G10" s="349"/>
      <c r="H10" s="349"/>
      <c r="I10" s="349"/>
      <c r="J10" s="349"/>
      <c r="K10" s="349"/>
      <c r="L10" s="349"/>
      <c r="M10" s="349"/>
      <c r="N10" s="348"/>
    </row>
    <row r="11" spans="1:14" x14ac:dyDescent="0.2">
      <c r="A11" s="348"/>
      <c r="B11" s="348"/>
      <c r="C11" s="348"/>
      <c r="D11" s="348"/>
      <c r="E11" s="348"/>
      <c r="F11" s="348"/>
      <c r="G11" s="348"/>
      <c r="H11" s="348"/>
      <c r="I11" s="348"/>
      <c r="J11" s="348"/>
      <c r="K11" s="348"/>
      <c r="L11" s="348"/>
      <c r="M11" s="348"/>
      <c r="N11" s="348"/>
    </row>
    <row r="12" spans="1:14" ht="15.75" x14ac:dyDescent="0.2">
      <c r="A12" s="348"/>
      <c r="B12" s="348"/>
      <c r="C12" s="348"/>
      <c r="D12" s="348"/>
      <c r="E12" s="348"/>
      <c r="F12" s="348"/>
      <c r="G12" s="215" t="s">
        <v>524</v>
      </c>
      <c r="H12" s="348"/>
      <c r="I12" s="348"/>
      <c r="J12" s="348"/>
      <c r="K12" s="348"/>
      <c r="L12" s="348"/>
      <c r="M12" s="348"/>
      <c r="N12" s="348"/>
    </row>
    <row r="13" spans="1:14" x14ac:dyDescent="0.2">
      <c r="A13" s="348"/>
      <c r="B13" s="348"/>
      <c r="C13" s="348"/>
      <c r="D13" s="348"/>
      <c r="E13" s="348"/>
      <c r="F13" s="348"/>
      <c r="G13" s="348"/>
      <c r="H13" s="348"/>
      <c r="I13" s="348"/>
      <c r="J13" s="348"/>
      <c r="K13" s="348"/>
      <c r="L13" s="348"/>
      <c r="M13" s="348"/>
      <c r="N13" s="348"/>
    </row>
    <row r="14" spans="1:14" ht="13.5" thickBot="1" x14ac:dyDescent="0.25">
      <c r="A14" s="348"/>
      <c r="B14" s="348"/>
      <c r="C14" s="348"/>
      <c r="D14" s="348"/>
      <c r="E14" s="348"/>
      <c r="F14" s="348"/>
      <c r="G14" s="348"/>
      <c r="H14" s="348"/>
      <c r="I14" s="348"/>
      <c r="J14" s="348"/>
      <c r="K14" s="348"/>
      <c r="L14" s="348"/>
      <c r="M14" s="348"/>
      <c r="N14" s="348"/>
    </row>
    <row r="15" spans="1:14" ht="15.75" x14ac:dyDescent="0.2">
      <c r="A15" s="216"/>
      <c r="B15" s="217"/>
      <c r="C15" s="218"/>
      <c r="D15" s="218"/>
      <c r="E15" s="218"/>
      <c r="F15" s="218"/>
      <c r="G15" s="219" t="s">
        <v>150</v>
      </c>
      <c r="H15" s="218"/>
      <c r="I15" s="218"/>
      <c r="J15" s="218"/>
      <c r="K15" s="218"/>
      <c r="L15" s="220"/>
      <c r="M15" s="348"/>
      <c r="N15" s="348"/>
    </row>
    <row r="16" spans="1:14" ht="15" x14ac:dyDescent="0.2">
      <c r="A16" s="216"/>
      <c r="B16" s="221"/>
      <c r="C16" s="348"/>
      <c r="D16" s="348"/>
      <c r="E16" s="348"/>
      <c r="F16" s="348"/>
      <c r="G16" s="222" t="s">
        <v>151</v>
      </c>
      <c r="H16" s="348"/>
      <c r="I16" s="348"/>
      <c r="J16" s="348"/>
      <c r="K16" s="348"/>
      <c r="L16" s="223"/>
      <c r="M16" s="348"/>
      <c r="N16" s="348"/>
    </row>
    <row r="17" spans="1:14" ht="15" x14ac:dyDescent="0.2">
      <c r="A17" s="216"/>
      <c r="B17" s="221"/>
      <c r="C17" s="348"/>
      <c r="D17" s="348"/>
      <c r="E17" s="348"/>
      <c r="F17" s="348"/>
      <c r="G17" s="222" t="s">
        <v>152</v>
      </c>
      <c r="H17" s="348"/>
      <c r="I17" s="348"/>
      <c r="J17" s="348"/>
      <c r="K17" s="348"/>
      <c r="L17" s="223"/>
      <c r="M17" s="348"/>
      <c r="N17" s="348"/>
    </row>
    <row r="18" spans="1:14" ht="15" x14ac:dyDescent="0.2">
      <c r="A18" s="216"/>
      <c r="B18" s="221"/>
      <c r="C18" s="348"/>
      <c r="D18" s="348"/>
      <c r="E18" s="348"/>
      <c r="F18" s="348"/>
      <c r="G18" s="222" t="s">
        <v>527</v>
      </c>
      <c r="H18" s="348"/>
      <c r="I18" s="348"/>
      <c r="J18" s="348"/>
      <c r="K18" s="348"/>
      <c r="L18" s="223"/>
      <c r="M18" s="348"/>
      <c r="N18" s="348"/>
    </row>
    <row r="19" spans="1:14" ht="15" x14ac:dyDescent="0.2">
      <c r="A19" s="216"/>
      <c r="B19" s="221"/>
      <c r="C19" s="348"/>
      <c r="D19" s="348"/>
      <c r="E19" s="348"/>
      <c r="F19" s="348"/>
      <c r="G19" s="222"/>
      <c r="H19" s="348"/>
      <c r="I19" s="348"/>
      <c r="J19" s="348"/>
      <c r="K19" s="348"/>
      <c r="L19" s="223"/>
      <c r="M19" s="348"/>
      <c r="N19" s="348"/>
    </row>
    <row r="20" spans="1:14" ht="15" x14ac:dyDescent="0.2">
      <c r="A20" s="216"/>
      <c r="B20" s="221"/>
      <c r="C20" s="348"/>
      <c r="D20" s="348"/>
      <c r="E20" s="348"/>
      <c r="F20" s="348"/>
      <c r="G20" s="222" t="s">
        <v>528</v>
      </c>
      <c r="H20" s="348"/>
      <c r="I20" s="348"/>
      <c r="J20" s="348"/>
      <c r="K20" s="348"/>
      <c r="L20" s="223"/>
      <c r="M20" s="348"/>
      <c r="N20" s="348"/>
    </row>
    <row r="21" spans="1:14" ht="15" x14ac:dyDescent="0.2">
      <c r="A21" s="216"/>
      <c r="B21" s="221"/>
      <c r="C21" s="348"/>
      <c r="D21" s="348"/>
      <c r="E21" s="348"/>
      <c r="F21" s="348"/>
      <c r="G21" s="348"/>
      <c r="H21" s="348"/>
      <c r="I21" s="348"/>
      <c r="J21" s="348"/>
      <c r="K21" s="348"/>
      <c r="L21" s="223"/>
      <c r="M21" s="348"/>
      <c r="N21" s="348"/>
    </row>
    <row r="22" spans="1:14" ht="15" x14ac:dyDescent="0.2">
      <c r="A22" s="216"/>
      <c r="B22" s="221"/>
      <c r="C22" s="348"/>
      <c r="D22" s="348"/>
      <c r="E22" s="348"/>
      <c r="F22" s="348"/>
      <c r="G22" s="351" t="s">
        <v>529</v>
      </c>
      <c r="H22" s="348"/>
      <c r="I22" s="348"/>
      <c r="J22" s="348"/>
      <c r="K22" s="348"/>
      <c r="L22" s="223"/>
      <c r="M22" s="348"/>
      <c r="N22" s="348"/>
    </row>
    <row r="23" spans="1:14" ht="15" x14ac:dyDescent="0.2">
      <c r="A23" s="216"/>
      <c r="B23" s="221"/>
      <c r="C23" s="348"/>
      <c r="D23" s="348"/>
      <c r="E23" s="348"/>
      <c r="F23" s="348"/>
      <c r="G23" s="351" t="s">
        <v>469</v>
      </c>
      <c r="H23" s="348"/>
      <c r="I23" s="348"/>
      <c r="J23" s="348"/>
      <c r="K23" s="348"/>
      <c r="L23" s="223"/>
      <c r="M23" s="348"/>
      <c r="N23" s="348"/>
    </row>
    <row r="24" spans="1:14" ht="15" x14ac:dyDescent="0.2">
      <c r="A24" s="216"/>
      <c r="B24" s="221"/>
      <c r="C24" s="348"/>
      <c r="D24" s="348"/>
      <c r="E24" s="348"/>
      <c r="F24" s="348"/>
      <c r="G24" s="351" t="s">
        <v>470</v>
      </c>
      <c r="H24" s="348"/>
      <c r="I24" s="348"/>
      <c r="J24" s="348"/>
      <c r="K24" s="348"/>
      <c r="L24" s="223"/>
      <c r="M24" s="348"/>
      <c r="N24" s="348"/>
    </row>
    <row r="25" spans="1:14" ht="15" x14ac:dyDescent="0.2">
      <c r="A25" s="216"/>
      <c r="B25" s="221"/>
      <c r="C25" s="348"/>
      <c r="D25" s="348"/>
      <c r="E25" s="348"/>
      <c r="F25" s="348"/>
      <c r="G25" s="225"/>
      <c r="H25" s="348"/>
      <c r="I25" s="348"/>
      <c r="J25" s="348"/>
      <c r="K25" s="348"/>
      <c r="L25" s="223"/>
      <c r="M25" s="348"/>
      <c r="N25" s="348"/>
    </row>
    <row r="26" spans="1:14" ht="15" x14ac:dyDescent="0.2">
      <c r="A26" s="216"/>
      <c r="B26" s="221"/>
      <c r="C26" s="348"/>
      <c r="D26" s="348"/>
      <c r="E26" s="348"/>
      <c r="F26" s="348"/>
      <c r="G26" s="222" t="s">
        <v>155</v>
      </c>
      <c r="H26" s="348"/>
      <c r="I26" s="348"/>
      <c r="J26" s="348"/>
      <c r="K26" s="348"/>
      <c r="L26" s="223"/>
      <c r="M26" s="348"/>
      <c r="N26" s="348"/>
    </row>
    <row r="27" spans="1:14" ht="15" x14ac:dyDescent="0.2">
      <c r="A27" s="216"/>
      <c r="B27" s="221"/>
      <c r="C27" s="348"/>
      <c r="D27" s="348"/>
      <c r="E27" s="348"/>
      <c r="F27" s="348"/>
      <c r="G27" s="222" t="s">
        <v>471</v>
      </c>
      <c r="H27" s="348"/>
      <c r="I27" s="348"/>
      <c r="J27" s="348"/>
      <c r="K27" s="348"/>
      <c r="L27" s="223"/>
      <c r="M27" s="348"/>
      <c r="N27" s="348"/>
    </row>
    <row r="28" spans="1:14" ht="15" x14ac:dyDescent="0.2">
      <c r="A28" s="216"/>
      <c r="B28" s="221"/>
      <c r="C28" s="348"/>
      <c r="D28" s="348"/>
      <c r="E28" s="348"/>
      <c r="F28" s="348"/>
      <c r="G28" s="351" t="s">
        <v>472</v>
      </c>
      <c r="H28" s="348"/>
      <c r="I28" s="348"/>
      <c r="J28" s="348"/>
      <c r="K28" s="348"/>
      <c r="L28" s="223"/>
      <c r="M28" s="348"/>
      <c r="N28" s="348"/>
    </row>
    <row r="29" spans="1:14" ht="15" x14ac:dyDescent="0.2">
      <c r="A29" s="216"/>
      <c r="B29" s="221"/>
      <c r="C29" s="348"/>
      <c r="D29" s="348"/>
      <c r="E29" s="348"/>
      <c r="F29" s="348"/>
      <c r="G29" s="222" t="s">
        <v>156</v>
      </c>
      <c r="H29" s="348"/>
      <c r="I29" s="348"/>
      <c r="J29" s="348"/>
      <c r="K29" s="348"/>
      <c r="L29" s="223"/>
      <c r="M29" s="348"/>
      <c r="N29" s="348"/>
    </row>
    <row r="30" spans="1:14" ht="15" x14ac:dyDescent="0.2">
      <c r="A30" s="216"/>
      <c r="B30" s="221"/>
      <c r="C30" s="348"/>
      <c r="D30" s="348"/>
      <c r="E30" s="348"/>
      <c r="F30" s="348"/>
      <c r="G30" s="222" t="s">
        <v>157</v>
      </c>
      <c r="H30" s="348"/>
      <c r="I30" s="348"/>
      <c r="J30" s="348"/>
      <c r="K30" s="348"/>
      <c r="L30" s="223"/>
      <c r="M30" s="348"/>
      <c r="N30" s="348"/>
    </row>
    <row r="31" spans="1:14" ht="15" x14ac:dyDescent="0.2">
      <c r="A31" s="216"/>
      <c r="B31" s="221"/>
      <c r="C31" s="348"/>
      <c r="D31" s="348"/>
      <c r="E31" s="348"/>
      <c r="F31" s="348"/>
      <c r="G31" s="348"/>
      <c r="H31" s="348"/>
      <c r="I31" s="348"/>
      <c r="J31" s="348"/>
      <c r="K31" s="348"/>
      <c r="L31" s="223"/>
      <c r="M31" s="348"/>
      <c r="N31" s="348"/>
    </row>
    <row r="32" spans="1:14" ht="15" x14ac:dyDescent="0.2">
      <c r="A32" s="216"/>
      <c r="B32" s="221"/>
      <c r="C32" s="348"/>
      <c r="D32" s="348"/>
      <c r="E32" s="348"/>
      <c r="F32" s="348"/>
      <c r="G32" s="222" t="s">
        <v>153</v>
      </c>
      <c r="H32" s="348"/>
      <c r="I32" s="348"/>
      <c r="J32" s="348"/>
      <c r="K32" s="348"/>
      <c r="L32" s="223"/>
      <c r="M32" s="348"/>
      <c r="N32" s="348"/>
    </row>
    <row r="33" spans="1:14" ht="15" x14ac:dyDescent="0.2">
      <c r="A33" s="216"/>
      <c r="B33" s="221"/>
      <c r="C33" s="348"/>
      <c r="D33" s="348"/>
      <c r="E33" s="348"/>
      <c r="F33" s="348"/>
      <c r="G33" s="351" t="s">
        <v>473</v>
      </c>
      <c r="H33" s="348"/>
      <c r="I33" s="348"/>
      <c r="J33" s="348"/>
      <c r="K33" s="348"/>
      <c r="L33" s="223"/>
      <c r="M33" s="348"/>
      <c r="N33" s="348"/>
    </row>
    <row r="34" spans="1:14" ht="15" x14ac:dyDescent="0.2">
      <c r="A34" s="216"/>
      <c r="B34" s="221"/>
      <c r="C34" s="348"/>
      <c r="D34" s="348"/>
      <c r="E34" s="348"/>
      <c r="F34" s="348"/>
      <c r="G34" s="222" t="s">
        <v>154</v>
      </c>
      <c r="H34" s="348"/>
      <c r="I34" s="348"/>
      <c r="J34" s="348"/>
      <c r="K34" s="348"/>
      <c r="L34" s="223"/>
      <c r="M34" s="348"/>
      <c r="N34" s="348"/>
    </row>
    <row r="35" spans="1:14" ht="15" x14ac:dyDescent="0.2">
      <c r="A35" s="216"/>
      <c r="B35" s="221"/>
      <c r="C35" s="348"/>
      <c r="D35" s="348"/>
      <c r="E35" s="348"/>
      <c r="F35" s="348"/>
      <c r="G35" s="348"/>
      <c r="H35" s="348"/>
      <c r="I35" s="348"/>
      <c r="J35" s="348"/>
      <c r="K35" s="348"/>
      <c r="L35" s="223"/>
      <c r="M35" s="348"/>
      <c r="N35" s="348"/>
    </row>
    <row r="36" spans="1:14" ht="15.75" x14ac:dyDescent="0.2">
      <c r="A36" s="216"/>
      <c r="B36" s="224"/>
      <c r="C36" s="348"/>
      <c r="D36" s="348"/>
      <c r="E36" s="348"/>
      <c r="F36" s="348"/>
      <c r="G36" s="222" t="s">
        <v>530</v>
      </c>
      <c r="H36" s="348"/>
      <c r="I36" s="348"/>
      <c r="J36" s="348"/>
      <c r="K36" s="348"/>
      <c r="L36" s="223"/>
      <c r="M36" s="348"/>
      <c r="N36" s="348"/>
    </row>
    <row r="37" spans="1:14" ht="15.75" x14ac:dyDescent="0.2">
      <c r="A37" s="216"/>
      <c r="B37" s="224"/>
      <c r="C37" s="348"/>
      <c r="D37" s="348"/>
      <c r="E37" s="348"/>
      <c r="F37" s="348"/>
      <c r="G37" s="348"/>
      <c r="H37" s="348"/>
      <c r="I37" s="348"/>
      <c r="J37" s="348"/>
      <c r="K37" s="348"/>
      <c r="L37" s="223"/>
      <c r="M37" s="348"/>
      <c r="N37" s="348"/>
    </row>
    <row r="38" spans="1:14" ht="15" x14ac:dyDescent="0.2">
      <c r="A38" s="348"/>
      <c r="B38" s="357"/>
      <c r="C38" s="356"/>
      <c r="D38" s="356"/>
      <c r="E38" s="356"/>
      <c r="F38" s="356"/>
      <c r="G38" s="222" t="s">
        <v>158</v>
      </c>
      <c r="H38" s="356"/>
      <c r="I38" s="356"/>
      <c r="J38" s="356"/>
      <c r="K38" s="356"/>
      <c r="L38" s="223"/>
      <c r="M38" s="348"/>
      <c r="N38" s="348"/>
    </row>
    <row r="39" spans="1:14" ht="15" x14ac:dyDescent="0.2">
      <c r="A39" s="348"/>
      <c r="B39" s="358"/>
      <c r="C39" s="348"/>
      <c r="D39" s="348"/>
      <c r="E39" s="348"/>
      <c r="F39" s="348"/>
      <c r="G39" s="222" t="s">
        <v>159</v>
      </c>
      <c r="H39" s="348"/>
      <c r="I39" s="348"/>
      <c r="J39" s="348"/>
      <c r="K39" s="348"/>
      <c r="L39" s="216"/>
      <c r="M39" s="348"/>
      <c r="N39" s="348"/>
    </row>
    <row r="40" spans="1:14" ht="13.5" thickBot="1" x14ac:dyDescent="0.25">
      <c r="A40" s="348"/>
      <c r="B40" s="359"/>
      <c r="C40" s="360"/>
      <c r="D40" s="360"/>
      <c r="E40" s="360"/>
      <c r="F40" s="360"/>
      <c r="G40" s="360"/>
      <c r="H40" s="360"/>
      <c r="I40" s="360"/>
      <c r="J40" s="360"/>
      <c r="K40" s="360"/>
      <c r="L40" s="361"/>
      <c r="M40" s="348"/>
      <c r="N40" s="348"/>
    </row>
    <row r="41" spans="1:14" x14ac:dyDescent="0.2">
      <c r="A41" s="368"/>
      <c r="B41" s="368"/>
      <c r="C41" s="368"/>
      <c r="D41" s="368"/>
      <c r="E41" s="368"/>
      <c r="F41" s="368"/>
      <c r="G41" s="368"/>
      <c r="H41" s="363"/>
      <c r="I41" s="363"/>
      <c r="J41" s="363"/>
      <c r="K41" s="363"/>
      <c r="L41" s="363"/>
      <c r="M41" s="363"/>
      <c r="N41" s="363"/>
    </row>
    <row r="42" spans="1:14" x14ac:dyDescent="0.2">
      <c r="A42" s="368"/>
      <c r="B42" s="368"/>
      <c r="C42" s="368"/>
      <c r="D42" s="368"/>
      <c r="E42" s="368"/>
      <c r="F42" s="368"/>
      <c r="G42" s="368"/>
      <c r="H42" s="363"/>
      <c r="I42" s="363"/>
      <c r="J42" s="363"/>
      <c r="K42" s="363"/>
      <c r="L42" s="363"/>
      <c r="M42" s="363"/>
      <c r="N42" s="363"/>
    </row>
    <row r="43" spans="1:14" x14ac:dyDescent="0.2">
      <c r="A43" s="225"/>
      <c r="B43" s="225"/>
      <c r="C43" s="225"/>
      <c r="D43" s="225"/>
      <c r="E43" s="225"/>
      <c r="F43" s="225"/>
      <c r="G43" s="225"/>
      <c r="H43" s="363"/>
      <c r="I43" s="363"/>
      <c r="J43" s="363"/>
      <c r="K43" s="363"/>
      <c r="L43" s="363"/>
      <c r="M43" s="363"/>
      <c r="N43" s="363"/>
    </row>
    <row r="44" spans="1:14" x14ac:dyDescent="0.2">
      <c r="A44" s="225"/>
      <c r="B44" s="225"/>
      <c r="C44" s="225"/>
      <c r="D44" s="225"/>
      <c r="E44" s="225"/>
      <c r="F44" s="225"/>
      <c r="G44" s="225"/>
      <c r="H44" s="363"/>
      <c r="I44" s="363"/>
      <c r="J44" s="363"/>
      <c r="K44" s="363"/>
      <c r="L44" s="363"/>
      <c r="M44" s="363"/>
      <c r="N44" s="363"/>
    </row>
    <row r="45" spans="1:14" x14ac:dyDescent="0.2">
      <c r="A45" s="225"/>
      <c r="B45" s="225"/>
      <c r="C45" s="225"/>
      <c r="D45" s="225"/>
      <c r="E45" s="225"/>
      <c r="F45" s="225"/>
      <c r="G45" s="225"/>
      <c r="H45" s="363"/>
      <c r="I45" s="363"/>
      <c r="J45" s="363"/>
      <c r="K45" s="363"/>
      <c r="L45" s="363"/>
      <c r="M45" s="363"/>
      <c r="N45" s="363"/>
    </row>
    <row r="46" spans="1:14" x14ac:dyDescent="0.2">
      <c r="A46" s="225"/>
      <c r="B46" s="225"/>
      <c r="C46" s="225"/>
      <c r="D46" s="225"/>
      <c r="E46" s="225"/>
      <c r="F46" s="225"/>
      <c r="G46" s="225"/>
      <c r="H46" s="363"/>
      <c r="I46" s="363"/>
      <c r="J46" s="363"/>
      <c r="K46" s="363"/>
      <c r="L46" s="363"/>
      <c r="M46" s="363"/>
      <c r="N46" s="363"/>
    </row>
    <row r="47" spans="1:14" x14ac:dyDescent="0.2">
      <c r="A47" s="225"/>
      <c r="B47" s="225"/>
      <c r="C47" s="225"/>
      <c r="D47" s="225"/>
      <c r="E47" s="225"/>
      <c r="F47" s="225"/>
      <c r="G47" s="225"/>
      <c r="H47" s="363"/>
      <c r="I47" s="363"/>
      <c r="J47" s="363"/>
      <c r="K47" s="363"/>
      <c r="L47" s="363"/>
      <c r="M47" s="363"/>
      <c r="N47" s="363"/>
    </row>
    <row r="48" spans="1:14" x14ac:dyDescent="0.2">
      <c r="A48" s="225"/>
      <c r="B48" s="225"/>
      <c r="C48" s="225"/>
      <c r="D48" s="225"/>
      <c r="E48" s="225"/>
      <c r="F48" s="225"/>
      <c r="G48" s="225"/>
      <c r="H48" s="363"/>
      <c r="I48" s="363"/>
      <c r="J48" s="363"/>
      <c r="K48" s="363"/>
      <c r="L48" s="363"/>
      <c r="M48" s="363"/>
      <c r="N48" s="363"/>
    </row>
    <row r="49" spans="1:14" x14ac:dyDescent="0.2">
      <c r="A49" s="225"/>
      <c r="B49" s="225"/>
      <c r="C49" s="225"/>
      <c r="D49" s="225"/>
      <c r="E49" s="225"/>
      <c r="F49" s="225"/>
      <c r="G49" s="225"/>
      <c r="H49" s="363"/>
      <c r="I49" s="363"/>
      <c r="J49" s="363"/>
      <c r="K49" s="363"/>
      <c r="L49" s="363"/>
      <c r="M49" s="363"/>
      <c r="N49" s="363"/>
    </row>
    <row r="50" spans="1:14" x14ac:dyDescent="0.2">
      <c r="A50" s="225"/>
      <c r="B50" s="225"/>
      <c r="C50" s="225"/>
      <c r="D50" s="225"/>
      <c r="E50" s="225"/>
      <c r="F50" s="225"/>
      <c r="G50" s="225"/>
      <c r="H50" s="363"/>
      <c r="I50" s="363"/>
      <c r="J50" s="363"/>
      <c r="K50" s="363"/>
      <c r="L50" s="363"/>
      <c r="M50" s="363"/>
      <c r="N50" s="363"/>
    </row>
    <row r="51" spans="1:14" x14ac:dyDescent="0.2">
      <c r="A51" s="225"/>
      <c r="B51" s="225"/>
      <c r="C51" s="225"/>
      <c r="D51" s="225"/>
      <c r="E51" s="225"/>
      <c r="F51" s="225"/>
      <c r="G51" s="225"/>
      <c r="H51" s="363"/>
      <c r="I51" s="363"/>
      <c r="J51" s="363"/>
      <c r="K51" s="363"/>
      <c r="L51" s="363"/>
      <c r="M51" s="363"/>
      <c r="N51" s="363"/>
    </row>
    <row r="52" spans="1:14" x14ac:dyDescent="0.2">
      <c r="A52" s="225"/>
      <c r="B52" s="225"/>
      <c r="C52" s="225"/>
      <c r="D52" s="225"/>
      <c r="E52" s="225"/>
      <c r="F52" s="225"/>
      <c r="G52" s="225"/>
      <c r="H52" s="363"/>
      <c r="I52" s="363"/>
      <c r="J52" s="363"/>
      <c r="K52" s="363"/>
      <c r="L52" s="363"/>
      <c r="M52" s="363"/>
      <c r="N52" s="363"/>
    </row>
    <row r="53" spans="1:14" x14ac:dyDescent="0.2">
      <c r="A53" s="225"/>
      <c r="B53" s="225"/>
      <c r="C53" s="225"/>
      <c r="D53" s="225"/>
      <c r="E53" s="225"/>
      <c r="F53" s="225"/>
      <c r="G53" s="225"/>
      <c r="H53" s="363"/>
      <c r="I53" s="363"/>
      <c r="J53" s="363"/>
      <c r="K53" s="363"/>
      <c r="L53" s="363"/>
      <c r="M53" s="363"/>
      <c r="N53" s="363"/>
    </row>
    <row r="54" spans="1:14" x14ac:dyDescent="0.2">
      <c r="A54" s="225"/>
      <c r="B54" s="225"/>
      <c r="C54" s="225"/>
      <c r="D54" s="225"/>
      <c r="E54" s="225"/>
      <c r="F54" s="225"/>
      <c r="G54" s="225"/>
      <c r="H54" s="363"/>
      <c r="I54" s="363"/>
      <c r="J54" s="363"/>
      <c r="K54" s="363"/>
      <c r="L54" s="363"/>
      <c r="M54" s="363"/>
      <c r="N54" s="363"/>
    </row>
    <row r="55" spans="1:14" x14ac:dyDescent="0.2">
      <c r="A55" s="225"/>
      <c r="B55" s="225"/>
      <c r="C55" s="225"/>
      <c r="D55" s="225"/>
      <c r="E55" s="225"/>
      <c r="F55" s="225"/>
      <c r="G55" s="225"/>
      <c r="H55" s="363"/>
      <c r="I55" s="363"/>
      <c r="J55" s="363"/>
      <c r="K55" s="363"/>
      <c r="L55" s="363"/>
      <c r="M55" s="363"/>
      <c r="N55" s="363"/>
    </row>
    <row r="56" spans="1:14" x14ac:dyDescent="0.2">
      <c r="A56" s="225"/>
      <c r="B56" s="225"/>
      <c r="C56" s="225"/>
      <c r="D56" s="225"/>
      <c r="E56" s="225"/>
      <c r="F56" s="225"/>
      <c r="G56" s="225"/>
      <c r="H56" s="363"/>
      <c r="I56" s="363"/>
      <c r="J56" s="363"/>
      <c r="K56" s="363"/>
      <c r="L56" s="363"/>
      <c r="M56" s="363"/>
      <c r="N56" s="363"/>
    </row>
    <row r="57" spans="1:14" x14ac:dyDescent="0.2">
      <c r="A57" s="225"/>
      <c r="B57" s="225"/>
      <c r="C57" s="225"/>
      <c r="D57" s="225"/>
      <c r="E57" s="225"/>
      <c r="F57" s="225"/>
      <c r="G57" s="225"/>
      <c r="H57" s="363"/>
      <c r="I57" s="363"/>
      <c r="J57" s="363"/>
      <c r="K57" s="363"/>
      <c r="L57" s="363"/>
      <c r="M57" s="363"/>
      <c r="N57" s="363"/>
    </row>
    <row r="58" spans="1:14" x14ac:dyDescent="0.2">
      <c r="A58" s="225"/>
      <c r="B58" s="225"/>
      <c r="C58" s="225"/>
      <c r="D58" s="225"/>
      <c r="E58" s="225"/>
      <c r="F58" s="225"/>
      <c r="G58" s="225"/>
      <c r="H58" s="363"/>
      <c r="I58" s="363"/>
      <c r="J58" s="363"/>
      <c r="K58" s="363"/>
      <c r="L58" s="363"/>
      <c r="M58" s="363"/>
      <c r="N58" s="363"/>
    </row>
    <row r="59" spans="1:14" x14ac:dyDescent="0.2">
      <c r="A59" s="225"/>
      <c r="B59" s="225"/>
      <c r="C59" s="225"/>
      <c r="D59" s="225"/>
      <c r="E59" s="225"/>
      <c r="F59" s="225"/>
      <c r="G59" s="225"/>
      <c r="H59" s="363"/>
      <c r="I59" s="363"/>
      <c r="J59" s="363"/>
      <c r="K59" s="363"/>
      <c r="L59" s="363"/>
      <c r="M59" s="363"/>
      <c r="N59" s="363"/>
    </row>
    <row r="60" spans="1:14" x14ac:dyDescent="0.2">
      <c r="A60" s="225"/>
      <c r="B60" s="225"/>
      <c r="C60" s="225"/>
      <c r="D60" s="225"/>
      <c r="E60" s="225"/>
      <c r="F60" s="225"/>
      <c r="G60" s="225"/>
      <c r="H60" s="363"/>
      <c r="I60" s="363"/>
      <c r="J60" s="363"/>
      <c r="K60" s="363"/>
      <c r="L60" s="363"/>
      <c r="M60" s="363"/>
      <c r="N60" s="363"/>
    </row>
    <row r="61" spans="1:14" x14ac:dyDescent="0.2">
      <c r="A61" s="225"/>
      <c r="B61" s="225"/>
      <c r="C61" s="225"/>
      <c r="D61" s="225"/>
      <c r="E61" s="225"/>
      <c r="F61" s="225"/>
      <c r="G61" s="225"/>
      <c r="H61" s="363"/>
      <c r="I61" s="363"/>
      <c r="J61" s="363"/>
      <c r="K61" s="363"/>
      <c r="L61" s="363"/>
      <c r="M61" s="363"/>
      <c r="N61" s="363"/>
    </row>
    <row r="62" spans="1:14" x14ac:dyDescent="0.2">
      <c r="A62" s="225"/>
      <c r="B62" s="225"/>
      <c r="C62" s="225"/>
      <c r="D62" s="225"/>
      <c r="E62" s="225"/>
      <c r="F62" s="225"/>
      <c r="G62" s="225"/>
      <c r="H62" s="363"/>
      <c r="I62" s="363"/>
      <c r="J62" s="363"/>
      <c r="K62" s="363"/>
      <c r="L62" s="363"/>
      <c r="M62" s="363"/>
      <c r="N62" s="363"/>
    </row>
    <row r="63" spans="1:14" x14ac:dyDescent="0.2">
      <c r="A63" s="225"/>
      <c r="B63" s="225"/>
      <c r="C63" s="225"/>
      <c r="D63" s="225"/>
      <c r="E63" s="225"/>
      <c r="F63" s="225"/>
      <c r="G63" s="225"/>
      <c r="H63" s="363"/>
      <c r="I63" s="363"/>
      <c r="J63" s="363"/>
      <c r="K63" s="363"/>
      <c r="L63" s="363"/>
      <c r="M63" s="363"/>
      <c r="N63" s="363"/>
    </row>
    <row r="64" spans="1:14" x14ac:dyDescent="0.2">
      <c r="A64" s="225"/>
      <c r="B64" s="225"/>
      <c r="C64" s="225"/>
      <c r="D64" s="225"/>
      <c r="E64" s="225"/>
      <c r="F64" s="225"/>
      <c r="G64" s="225"/>
      <c r="H64" s="363"/>
      <c r="I64" s="363"/>
      <c r="J64" s="363"/>
      <c r="K64" s="363"/>
      <c r="L64" s="363"/>
      <c r="M64" s="363"/>
      <c r="N64" s="363"/>
    </row>
    <row r="65" spans="1:14" x14ac:dyDescent="0.2">
      <c r="A65" s="225"/>
      <c r="B65" s="225"/>
      <c r="C65" s="225"/>
      <c r="D65" s="225"/>
      <c r="E65" s="225"/>
      <c r="F65" s="225"/>
      <c r="G65" s="225"/>
      <c r="H65" s="363"/>
      <c r="I65" s="363"/>
      <c r="J65" s="363"/>
      <c r="K65" s="363"/>
      <c r="L65" s="363"/>
      <c r="M65" s="363"/>
      <c r="N65" s="363"/>
    </row>
    <row r="66" spans="1:14" x14ac:dyDescent="0.2">
      <c r="A66" s="225"/>
      <c r="B66" s="225"/>
      <c r="C66" s="225"/>
      <c r="D66" s="225"/>
      <c r="E66" s="225"/>
      <c r="F66" s="225"/>
      <c r="G66" s="225"/>
      <c r="H66" s="363"/>
      <c r="I66" s="363"/>
      <c r="J66" s="363"/>
      <c r="K66" s="363"/>
      <c r="L66" s="363"/>
      <c r="M66" s="363"/>
      <c r="N66" s="363"/>
    </row>
    <row r="67" spans="1:14" x14ac:dyDescent="0.2">
      <c r="A67" s="225"/>
      <c r="B67" s="225"/>
      <c r="C67" s="225"/>
      <c r="D67" s="225"/>
      <c r="E67" s="225"/>
      <c r="F67" s="225"/>
      <c r="G67" s="225"/>
      <c r="H67" s="363"/>
      <c r="I67" s="363"/>
      <c r="J67" s="363"/>
      <c r="K67" s="363"/>
      <c r="L67" s="363"/>
      <c r="M67" s="363"/>
      <c r="N67" s="363"/>
    </row>
    <row r="68" spans="1:14" x14ac:dyDescent="0.2">
      <c r="A68" s="225"/>
      <c r="B68" s="225"/>
      <c r="C68" s="225"/>
      <c r="D68" s="225"/>
      <c r="E68" s="225"/>
      <c r="F68" s="225"/>
      <c r="G68" s="225"/>
      <c r="H68" s="363"/>
      <c r="I68" s="363"/>
      <c r="J68" s="363"/>
      <c r="K68" s="363"/>
      <c r="L68" s="363"/>
      <c r="M68" s="363"/>
      <c r="N68" s="363"/>
    </row>
    <row r="69" spans="1:14" x14ac:dyDescent="0.2">
      <c r="A69" s="225"/>
      <c r="B69" s="225"/>
      <c r="C69" s="225"/>
      <c r="D69" s="225"/>
      <c r="E69" s="225"/>
      <c r="F69" s="225"/>
      <c r="G69" s="225"/>
      <c r="H69" s="363"/>
      <c r="I69" s="363"/>
      <c r="J69" s="363"/>
      <c r="K69" s="363"/>
      <c r="L69" s="363"/>
      <c r="M69" s="363"/>
      <c r="N69" s="363"/>
    </row>
    <row r="70" spans="1:14" x14ac:dyDescent="0.2">
      <c r="A70" s="225"/>
      <c r="B70" s="225"/>
      <c r="C70" s="225"/>
      <c r="D70" s="225"/>
      <c r="E70" s="225"/>
      <c r="F70" s="225"/>
      <c r="G70" s="225"/>
      <c r="H70" s="363"/>
      <c r="I70" s="363"/>
      <c r="J70" s="363"/>
      <c r="K70" s="363"/>
      <c r="L70" s="363"/>
      <c r="M70" s="363"/>
      <c r="N70" s="363"/>
    </row>
    <row r="71" spans="1:14" x14ac:dyDescent="0.2">
      <c r="A71" s="225"/>
      <c r="B71" s="225"/>
      <c r="C71" s="225"/>
      <c r="D71" s="225"/>
      <c r="E71" s="225"/>
      <c r="F71" s="225"/>
      <c r="G71" s="225"/>
      <c r="H71" s="363"/>
      <c r="I71" s="363"/>
      <c r="J71" s="363"/>
      <c r="K71" s="363"/>
      <c r="L71" s="363"/>
      <c r="M71" s="363"/>
      <c r="N71" s="363"/>
    </row>
    <row r="72" spans="1:14" x14ac:dyDescent="0.2">
      <c r="A72" s="225"/>
      <c r="B72" s="225"/>
      <c r="C72" s="225"/>
      <c r="D72" s="225"/>
      <c r="E72" s="225"/>
      <c r="F72" s="225"/>
      <c r="G72" s="225"/>
      <c r="H72" s="363"/>
      <c r="I72" s="363"/>
      <c r="J72" s="363"/>
      <c r="K72" s="363"/>
      <c r="L72" s="363"/>
      <c r="M72" s="363"/>
      <c r="N72" s="363"/>
    </row>
    <row r="73" spans="1:14" x14ac:dyDescent="0.2">
      <c r="A73" s="225"/>
      <c r="B73" s="225"/>
      <c r="C73" s="225"/>
      <c r="D73" s="225"/>
      <c r="E73" s="225"/>
      <c r="F73" s="225"/>
      <c r="G73" s="225"/>
      <c r="H73" s="363"/>
      <c r="I73" s="363"/>
      <c r="J73" s="363"/>
      <c r="K73" s="363"/>
      <c r="L73" s="363"/>
      <c r="M73" s="363"/>
      <c r="N73" s="363"/>
    </row>
    <row r="74" spans="1:14" x14ac:dyDescent="0.2">
      <c r="A74" s="225"/>
      <c r="B74" s="225"/>
      <c r="C74" s="225"/>
      <c r="D74" s="225"/>
      <c r="E74" s="225"/>
      <c r="F74" s="225"/>
      <c r="G74" s="225"/>
      <c r="H74" s="363"/>
      <c r="I74" s="363"/>
      <c r="J74" s="363"/>
      <c r="K74" s="363"/>
      <c r="L74" s="363"/>
      <c r="M74" s="363"/>
      <c r="N74" s="363"/>
    </row>
    <row r="75" spans="1:14" x14ac:dyDescent="0.2">
      <c r="A75" s="225"/>
      <c r="B75" s="225"/>
      <c r="C75" s="225"/>
      <c r="D75" s="225"/>
      <c r="E75" s="225"/>
      <c r="F75" s="225"/>
      <c r="G75" s="225"/>
      <c r="H75" s="363"/>
      <c r="I75" s="363"/>
      <c r="J75" s="363"/>
      <c r="K75" s="363"/>
      <c r="L75" s="363"/>
      <c r="M75" s="363"/>
      <c r="N75" s="363"/>
    </row>
    <row r="76" spans="1:14" x14ac:dyDescent="0.2">
      <c r="A76" s="225"/>
      <c r="B76" s="225"/>
      <c r="C76" s="225"/>
      <c r="D76" s="225"/>
      <c r="E76" s="225"/>
      <c r="F76" s="225"/>
      <c r="G76" s="225"/>
      <c r="H76" s="363"/>
      <c r="I76" s="363"/>
      <c r="J76" s="363"/>
      <c r="K76" s="363"/>
      <c r="L76" s="363"/>
      <c r="M76" s="363"/>
      <c r="N76" s="363"/>
    </row>
    <row r="77" spans="1:14" x14ac:dyDescent="0.2">
      <c r="A77" s="225"/>
      <c r="B77" s="225"/>
      <c r="C77" s="225"/>
      <c r="D77" s="225"/>
      <c r="E77" s="225"/>
      <c r="F77" s="225"/>
      <c r="G77" s="225"/>
      <c r="H77" s="363"/>
      <c r="I77" s="363"/>
      <c r="J77" s="363"/>
      <c r="K77" s="363"/>
      <c r="L77" s="363"/>
      <c r="M77" s="363"/>
      <c r="N77" s="363"/>
    </row>
    <row r="78" spans="1:14" x14ac:dyDescent="0.2">
      <c r="A78" s="225"/>
      <c r="B78" s="225"/>
      <c r="C78" s="225"/>
      <c r="D78" s="225"/>
      <c r="E78" s="225"/>
      <c r="F78" s="225"/>
      <c r="G78" s="225"/>
      <c r="H78" s="363"/>
      <c r="I78" s="363"/>
      <c r="J78" s="363"/>
      <c r="K78" s="363"/>
      <c r="L78" s="363"/>
      <c r="M78" s="363"/>
      <c r="N78" s="363"/>
    </row>
    <row r="79" spans="1:14" x14ac:dyDescent="0.2">
      <c r="A79" s="225"/>
      <c r="B79" s="225"/>
      <c r="C79" s="225"/>
      <c r="D79" s="225"/>
      <c r="E79" s="225"/>
      <c r="F79" s="225"/>
      <c r="G79" s="225"/>
      <c r="H79" s="363"/>
      <c r="I79" s="363"/>
      <c r="J79" s="363"/>
      <c r="K79" s="363"/>
      <c r="L79" s="363"/>
      <c r="M79" s="363"/>
      <c r="N79" s="363"/>
    </row>
    <row r="80" spans="1:14" x14ac:dyDescent="0.2">
      <c r="A80" s="225"/>
      <c r="B80" s="225"/>
      <c r="C80" s="225"/>
      <c r="D80" s="225"/>
      <c r="E80" s="225"/>
      <c r="F80" s="225"/>
      <c r="G80" s="225"/>
      <c r="H80" s="363"/>
      <c r="I80" s="363"/>
      <c r="J80" s="363"/>
      <c r="K80" s="363"/>
      <c r="L80" s="363"/>
      <c r="M80" s="363"/>
      <c r="N80" s="363"/>
    </row>
    <row r="81" spans="1:14" x14ac:dyDescent="0.2">
      <c r="A81" s="225"/>
      <c r="B81" s="225"/>
      <c r="C81" s="225"/>
      <c r="D81" s="225"/>
      <c r="E81" s="225"/>
      <c r="F81" s="225"/>
      <c r="G81" s="225"/>
      <c r="H81" s="363"/>
      <c r="I81" s="363"/>
      <c r="J81" s="363"/>
      <c r="K81" s="363"/>
      <c r="L81" s="363"/>
      <c r="M81" s="363"/>
      <c r="N81" s="363"/>
    </row>
    <row r="82" spans="1:14" x14ac:dyDescent="0.2">
      <c r="A82" s="225"/>
      <c r="B82" s="225"/>
      <c r="C82" s="225"/>
      <c r="D82" s="225"/>
      <c r="E82" s="225"/>
      <c r="F82" s="225"/>
      <c r="G82" s="225"/>
      <c r="H82" s="363"/>
      <c r="I82" s="363"/>
      <c r="J82" s="363"/>
      <c r="K82" s="363"/>
      <c r="L82" s="363"/>
      <c r="M82" s="363"/>
      <c r="N82" s="363"/>
    </row>
    <row r="83" spans="1:14" x14ac:dyDescent="0.2">
      <c r="A83" s="225"/>
      <c r="B83" s="225"/>
      <c r="C83" s="225"/>
      <c r="D83" s="225"/>
      <c r="E83" s="225"/>
      <c r="F83" s="225"/>
      <c r="G83" s="225"/>
      <c r="H83" s="363"/>
      <c r="I83" s="363"/>
      <c r="J83" s="363"/>
      <c r="K83" s="363"/>
      <c r="L83" s="363"/>
      <c r="M83" s="363"/>
      <c r="N83" s="363"/>
    </row>
    <row r="84" spans="1:14" x14ac:dyDescent="0.2">
      <c r="A84" s="225"/>
      <c r="B84" s="225"/>
      <c r="C84" s="225"/>
      <c r="D84" s="225"/>
      <c r="E84" s="225"/>
      <c r="F84" s="225"/>
      <c r="G84" s="225"/>
      <c r="H84" s="363"/>
      <c r="I84" s="363"/>
      <c r="J84" s="363"/>
      <c r="K84" s="363"/>
      <c r="L84" s="363"/>
      <c r="M84" s="363"/>
      <c r="N84" s="363"/>
    </row>
    <row r="85" spans="1:14" x14ac:dyDescent="0.2">
      <c r="A85" s="225"/>
      <c r="B85" s="225"/>
      <c r="C85" s="225"/>
      <c r="D85" s="225"/>
      <c r="E85" s="225"/>
      <c r="F85" s="225"/>
      <c r="G85" s="225"/>
      <c r="H85" s="363"/>
      <c r="I85" s="363"/>
      <c r="J85" s="363"/>
      <c r="K85" s="363"/>
      <c r="L85" s="363"/>
      <c r="M85" s="363"/>
      <c r="N85" s="363"/>
    </row>
    <row r="86" spans="1:14" x14ac:dyDescent="0.2">
      <c r="A86" s="225"/>
      <c r="B86" s="225"/>
      <c r="C86" s="225"/>
      <c r="D86" s="225"/>
      <c r="E86" s="225"/>
      <c r="F86" s="225"/>
      <c r="G86" s="225"/>
      <c r="H86" s="363"/>
      <c r="I86" s="363"/>
      <c r="J86" s="363"/>
      <c r="K86" s="363"/>
      <c r="L86" s="363"/>
      <c r="M86" s="363"/>
      <c r="N86" s="363"/>
    </row>
    <row r="87" spans="1:14" x14ac:dyDescent="0.2">
      <c r="A87" s="225"/>
      <c r="B87" s="225"/>
      <c r="C87" s="225"/>
      <c r="D87" s="225"/>
      <c r="E87" s="225"/>
      <c r="F87" s="225"/>
      <c r="G87" s="225"/>
      <c r="H87" s="363"/>
      <c r="I87" s="363"/>
      <c r="J87" s="363"/>
      <c r="K87" s="363"/>
      <c r="L87" s="363"/>
      <c r="M87" s="363"/>
      <c r="N87" s="363"/>
    </row>
    <row r="88" spans="1:14" x14ac:dyDescent="0.2">
      <c r="A88" s="225"/>
      <c r="B88" s="225"/>
      <c r="C88" s="225"/>
      <c r="D88" s="225"/>
      <c r="E88" s="225"/>
      <c r="F88" s="225"/>
      <c r="G88" s="225"/>
      <c r="H88" s="363"/>
      <c r="I88" s="363"/>
      <c r="J88" s="363"/>
      <c r="K88" s="363"/>
      <c r="L88" s="363"/>
      <c r="M88" s="363"/>
      <c r="N88" s="363"/>
    </row>
    <row r="89" spans="1:14" x14ac:dyDescent="0.2">
      <c r="A89" s="225"/>
      <c r="B89" s="225"/>
      <c r="C89" s="225"/>
      <c r="D89" s="225"/>
      <c r="E89" s="225"/>
      <c r="F89" s="225"/>
      <c r="G89" s="225"/>
      <c r="H89" s="363"/>
      <c r="I89" s="363"/>
      <c r="J89" s="363"/>
      <c r="K89" s="363"/>
      <c r="L89" s="363"/>
      <c r="M89" s="363"/>
      <c r="N89" s="363"/>
    </row>
    <row r="90" spans="1:14" x14ac:dyDescent="0.2">
      <c r="A90" s="225"/>
      <c r="B90" s="225"/>
      <c r="C90" s="225"/>
      <c r="D90" s="225"/>
      <c r="E90" s="225"/>
      <c r="F90" s="225"/>
      <c r="G90" s="225"/>
      <c r="H90" s="363"/>
      <c r="I90" s="363"/>
      <c r="J90" s="363"/>
      <c r="K90" s="363"/>
      <c r="L90" s="363"/>
      <c r="M90" s="363"/>
      <c r="N90" s="363"/>
    </row>
    <row r="91" spans="1:14" x14ac:dyDescent="0.2">
      <c r="A91" s="225"/>
      <c r="B91" s="225"/>
      <c r="C91" s="225"/>
      <c r="D91" s="225"/>
      <c r="E91" s="225"/>
      <c r="F91" s="225"/>
      <c r="G91" s="225"/>
      <c r="H91" s="363"/>
      <c r="I91" s="363"/>
      <c r="J91" s="363"/>
      <c r="K91" s="363"/>
      <c r="L91" s="363"/>
      <c r="M91" s="363"/>
      <c r="N91" s="363"/>
    </row>
    <row r="92" spans="1:14" x14ac:dyDescent="0.2">
      <c r="A92" s="225"/>
      <c r="B92" s="225"/>
      <c r="C92" s="225"/>
      <c r="D92" s="225"/>
      <c r="E92" s="225"/>
      <c r="F92" s="225"/>
      <c r="G92" s="225"/>
      <c r="H92" s="363"/>
      <c r="I92" s="363"/>
      <c r="J92" s="363"/>
      <c r="K92" s="363"/>
      <c r="L92" s="363"/>
      <c r="M92" s="363"/>
      <c r="N92" s="363"/>
    </row>
    <row r="93" spans="1:14" x14ac:dyDescent="0.2">
      <c r="A93" s="225"/>
      <c r="B93" s="225"/>
      <c r="C93" s="225"/>
      <c r="D93" s="225"/>
      <c r="E93" s="225"/>
      <c r="F93" s="225"/>
      <c r="G93" s="225"/>
      <c r="H93" s="363"/>
      <c r="I93" s="363"/>
      <c r="J93" s="363"/>
      <c r="K93" s="363"/>
      <c r="L93" s="363"/>
      <c r="M93" s="363"/>
      <c r="N93" s="363"/>
    </row>
  </sheetData>
  <mergeCells count="15">
    <mergeCell ref="L41:L93"/>
    <mergeCell ref="M41:M93"/>
    <mergeCell ref="N41:N93"/>
    <mergeCell ref="F2:H2"/>
    <mergeCell ref="C3:K3"/>
    <mergeCell ref="C4:K4"/>
    <mergeCell ref="C7:K7"/>
    <mergeCell ref="C8:K8"/>
    <mergeCell ref="B9:L9"/>
    <mergeCell ref="A41:G41"/>
    <mergeCell ref="H41:H93"/>
    <mergeCell ref="I41:I93"/>
    <mergeCell ref="J41:J93"/>
    <mergeCell ref="K41:K93"/>
    <mergeCell ref="A42:G42"/>
  </mergeCells>
  <hyperlinks>
    <hyperlink ref="G17" r:id="rId1" display="mailto:r.a.wilson@warwick.ac.uk" xr:uid="{5C39AD22-D628-44E6-BE81-477F55DFC76F}"/>
  </hyperlinks>
  <pageMargins left="0.7" right="0.7" top="0.75" bottom="0.75" header="0.3" footer="0.3"/>
  <pageSetup paperSize="9" orientation="portrait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3"/>
  <dimension ref="A1:G40"/>
  <sheetViews>
    <sheetView zoomScale="85" workbookViewId="0"/>
  </sheetViews>
  <sheetFormatPr defaultRowHeight="12.75" x14ac:dyDescent="0.2"/>
  <cols>
    <col min="1" max="1" width="18.140625" customWidth="1"/>
    <col min="2" max="2" width="25.7109375" customWidth="1"/>
  </cols>
  <sheetData>
    <row r="1" spans="1:2" x14ac:dyDescent="0.2">
      <c r="A1" t="s">
        <v>522</v>
      </c>
      <c r="B1" t="s">
        <v>544</v>
      </c>
    </row>
    <row r="2" spans="1:2" x14ac:dyDescent="0.2">
      <c r="A2" t="s">
        <v>446</v>
      </c>
      <c r="B2" t="s">
        <v>447</v>
      </c>
    </row>
    <row r="3" spans="1:2" x14ac:dyDescent="0.2">
      <c r="A3" t="s">
        <v>448</v>
      </c>
      <c r="B3" t="s">
        <v>519</v>
      </c>
    </row>
    <row r="4" spans="1:2" x14ac:dyDescent="0.2">
      <c r="A4" t="s">
        <v>520</v>
      </c>
      <c r="B4" s="388">
        <v>44967.595034722224</v>
      </c>
    </row>
    <row r="5" spans="1:2" x14ac:dyDescent="0.2">
      <c r="A5" t="s">
        <v>523</v>
      </c>
      <c r="B5" t="s">
        <v>545</v>
      </c>
    </row>
    <row r="6" spans="1:2" x14ac:dyDescent="0.2">
      <c r="A6" t="s">
        <v>121</v>
      </c>
      <c r="B6" t="s">
        <v>546</v>
      </c>
    </row>
    <row r="40" spans="7:7" x14ac:dyDescent="0.2">
      <c r="G40" s="335"/>
    </row>
  </sheetData>
  <phoneticPr fontId="4" type="noConversion"/>
  <pageMargins left="0.75" right="0.75" top="1" bottom="1" header="0.5" footer="0.5"/>
  <pageSetup paperSize="9" orientation="landscape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Manager"/>
  <dimension ref="A1:AZ18"/>
  <sheetViews>
    <sheetView showGridLines="0" zoomScale="85" zoomScaleNormal="85" workbookViewId="0"/>
  </sheetViews>
  <sheetFormatPr defaultRowHeight="12.75" x14ac:dyDescent="0.2"/>
  <cols>
    <col min="1" max="1" width="3.42578125" customWidth="1"/>
    <col min="2" max="2" width="18.28515625" customWidth="1"/>
    <col min="3" max="4" width="6.140625" customWidth="1"/>
    <col min="5" max="5" width="6.28515625" customWidth="1"/>
    <col min="6" max="6" width="9.28515625" customWidth="1"/>
    <col min="7" max="7" width="6.140625" customWidth="1"/>
    <col min="8" max="8" width="10.42578125" customWidth="1"/>
  </cols>
  <sheetData>
    <row r="1" spans="1:52" x14ac:dyDescent="0.2">
      <c r="A1" s="10"/>
      <c r="B1" s="10"/>
      <c r="C1" s="10"/>
      <c r="D1" s="10"/>
      <c r="E1" s="10"/>
      <c r="F1" s="10"/>
      <c r="G1" s="195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0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</row>
    <row r="2" spans="1:52" ht="20.25" x14ac:dyDescent="0.3">
      <c r="B2" s="174" t="s">
        <v>97</v>
      </c>
    </row>
    <row r="4" spans="1:52" x14ac:dyDescent="0.2">
      <c r="B4" s="82" t="s">
        <v>96</v>
      </c>
      <c r="C4" t="str">
        <f>Stored!B11</f>
        <v>M:/IE/Projects/Nuffield via NFER AI and automation/Data/Results/Workbooks/NE/NE_Database.Main.xlsx</v>
      </c>
    </row>
    <row r="5" spans="1:52" x14ac:dyDescent="0.2">
      <c r="B5" s="82"/>
    </row>
    <row r="6" spans="1:52" ht="22.5" customHeight="1" x14ac:dyDescent="0.2">
      <c r="B6" s="175" t="s">
        <v>137</v>
      </c>
      <c r="C6" s="175"/>
      <c r="D6" s="199"/>
    </row>
    <row r="7" spans="1:52" ht="15.75" customHeight="1" x14ac:dyDescent="0.2">
      <c r="B7" s="52"/>
      <c r="C7" s="53"/>
      <c r="D7" s="54"/>
    </row>
    <row r="8" spans="1:52" ht="21" customHeight="1" x14ac:dyDescent="0.2">
      <c r="B8" s="55"/>
      <c r="C8" s="198"/>
      <c r="D8" s="56"/>
    </row>
    <row r="10" spans="1:52" ht="17.25" customHeight="1" x14ac:dyDescent="0.2">
      <c r="B10" s="176" t="s">
        <v>419</v>
      </c>
      <c r="C10" s="50"/>
      <c r="D10" s="50"/>
      <c r="E10" s="50"/>
      <c r="F10" s="50"/>
      <c r="G10" s="50"/>
      <c r="H10" s="51"/>
    </row>
    <row r="11" spans="1:52" x14ac:dyDescent="0.2">
      <c r="B11" s="52"/>
      <c r="C11" s="58" t="s">
        <v>22</v>
      </c>
      <c r="D11" s="58" t="s">
        <v>23</v>
      </c>
      <c r="E11" s="58" t="s">
        <v>24</v>
      </c>
      <c r="F11" s="58" t="s">
        <v>25</v>
      </c>
      <c r="G11" s="58" t="s">
        <v>26</v>
      </c>
      <c r="H11" s="54"/>
    </row>
    <row r="12" spans="1:52" ht="13.5" thickBot="1" x14ac:dyDescent="0.25">
      <c r="B12" s="173" t="s">
        <v>16</v>
      </c>
      <c r="C12" s="59">
        <f>'Ind T3'!B3</f>
        <v>2015</v>
      </c>
      <c r="D12" s="59">
        <f>'Ind T3'!C3</f>
        <v>2019</v>
      </c>
      <c r="E12" s="59">
        <f>'Ind T3'!D3</f>
        <v>2020</v>
      </c>
      <c r="F12" s="59">
        <f>'Ind T3'!E3</f>
        <v>2025</v>
      </c>
      <c r="G12" s="59">
        <f>'Ind T3'!F3</f>
        <v>2035</v>
      </c>
      <c r="H12" s="54"/>
    </row>
    <row r="13" spans="1:52" ht="13.5" thickBot="1" x14ac:dyDescent="0.25">
      <c r="B13" s="204" t="s">
        <v>12</v>
      </c>
      <c r="C13" s="126">
        <v>2015</v>
      </c>
      <c r="D13" s="60">
        <v>2019</v>
      </c>
      <c r="E13" s="60">
        <v>2020</v>
      </c>
      <c r="F13" s="60">
        <v>2025</v>
      </c>
      <c r="G13" s="61">
        <v>2035</v>
      </c>
      <c r="H13" s="57"/>
    </row>
    <row r="14" spans="1:52" x14ac:dyDescent="0.2">
      <c r="A14" s="82"/>
    </row>
    <row r="16" spans="1:52" ht="45.75" customHeight="1" x14ac:dyDescent="0.2"/>
    <row r="17" spans="5:5" ht="15.75" customHeight="1" x14ac:dyDescent="0.2">
      <c r="E17" s="53"/>
    </row>
    <row r="18" spans="5:5" ht="24" customHeight="1" x14ac:dyDescent="0.2">
      <c r="E18" s="53"/>
    </row>
  </sheetData>
  <phoneticPr fontId="4" type="noConversion"/>
  <pageMargins left="0.75" right="0.75" top="1" bottom="1" header="0.5" footer="0.5"/>
  <pageSetup paperSize="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9" r:id="rId4" name="installDataButton">
          <controlPr defaultSize="0" autoLine="0" r:id="rId5">
            <anchor moveWithCells="1">
              <from>
                <xdr:col>1</xdr:col>
                <xdr:colOff>85725</xdr:colOff>
                <xdr:row>6</xdr:row>
                <xdr:rowOff>85725</xdr:rowOff>
              </from>
              <to>
                <xdr:col>1</xdr:col>
                <xdr:colOff>657225</xdr:colOff>
                <xdr:row>7</xdr:row>
                <xdr:rowOff>190500</xdr:rowOff>
              </to>
            </anchor>
          </controlPr>
        </control>
      </mc:Choice>
      <mc:Fallback>
        <control shapeId="1029" r:id="rId4" name="installDataButton"/>
      </mc:Fallback>
    </mc:AlternateContent>
    <mc:AlternateContent xmlns:mc="http://schemas.openxmlformats.org/markup-compatibility/2006">
      <mc:Choice Requires="x14">
        <control shapeId="1025" r:id="rId6" name="SummaryTablesA">
          <controlPr autoLine="0" r:id="rId7">
            <anchor moveWithCells="1">
              <from>
                <xdr:col>7</xdr:col>
                <xdr:colOff>38100</xdr:colOff>
                <xdr:row>10</xdr:row>
                <xdr:rowOff>95250</xdr:rowOff>
              </from>
              <to>
                <xdr:col>7</xdr:col>
                <xdr:colOff>609600</xdr:colOff>
                <xdr:row>12</xdr:row>
                <xdr:rowOff>76200</xdr:rowOff>
              </to>
            </anchor>
          </controlPr>
        </control>
      </mc:Choice>
      <mc:Fallback>
        <control shapeId="1025" r:id="rId6" name="SummaryTablesA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7"/>
  <dimension ref="A1:B32"/>
  <sheetViews>
    <sheetView showGridLines="0" workbookViewId="0"/>
  </sheetViews>
  <sheetFormatPr defaultColWidth="9.140625" defaultRowHeight="12.75" x14ac:dyDescent="0.2"/>
  <cols>
    <col min="1" max="1" width="14.140625" customWidth="1"/>
    <col min="2" max="2" width="100.85546875" customWidth="1"/>
    <col min="3" max="3" width="9.140625" customWidth="1"/>
  </cols>
  <sheetData>
    <row r="1" spans="1:2" ht="15" x14ac:dyDescent="0.25">
      <c r="A1" s="213" t="s">
        <v>144</v>
      </c>
    </row>
    <row r="2" spans="1:2" x14ac:dyDescent="0.2">
      <c r="A2" s="82" t="s">
        <v>142</v>
      </c>
    </row>
    <row r="3" spans="1:2" s="1" customFormat="1" x14ac:dyDescent="0.2">
      <c r="A3" s="208"/>
      <c r="B3" s="208"/>
    </row>
    <row r="4" spans="1:2" s="82" customFormat="1" x14ac:dyDescent="0.2">
      <c r="A4" s="209" t="s">
        <v>143</v>
      </c>
      <c r="B4" s="209" t="s">
        <v>144</v>
      </c>
    </row>
    <row r="5" spans="1:2" x14ac:dyDescent="0.2">
      <c r="A5" s="210" t="s">
        <v>381</v>
      </c>
      <c r="B5" s="211" t="s">
        <v>384</v>
      </c>
    </row>
    <row r="6" spans="1:2" x14ac:dyDescent="0.2">
      <c r="A6" s="210" t="s">
        <v>382</v>
      </c>
      <c r="B6" s="211" t="s">
        <v>385</v>
      </c>
    </row>
    <row r="7" spans="1:2" x14ac:dyDescent="0.2">
      <c r="A7" s="210" t="s">
        <v>386</v>
      </c>
      <c r="B7" s="211" t="s">
        <v>388</v>
      </c>
    </row>
    <row r="8" spans="1:2" x14ac:dyDescent="0.2">
      <c r="A8" s="210" t="s">
        <v>389</v>
      </c>
      <c r="B8" s="211" t="s">
        <v>393</v>
      </c>
    </row>
    <row r="9" spans="1:2" x14ac:dyDescent="0.2">
      <c r="A9" s="210" t="s">
        <v>392</v>
      </c>
      <c r="B9" s="212" t="s">
        <v>394</v>
      </c>
    </row>
    <row r="10" spans="1:2" x14ac:dyDescent="0.2">
      <c r="A10" s="210" t="s">
        <v>390</v>
      </c>
      <c r="B10" s="212" t="s">
        <v>395</v>
      </c>
    </row>
    <row r="11" spans="1:2" x14ac:dyDescent="0.2">
      <c r="A11" s="210" t="s">
        <v>396</v>
      </c>
      <c r="B11" s="211" t="s">
        <v>405</v>
      </c>
    </row>
    <row r="12" spans="1:2" x14ac:dyDescent="0.2">
      <c r="A12" s="210" t="s">
        <v>398</v>
      </c>
      <c r="B12" s="211" t="s">
        <v>401</v>
      </c>
    </row>
    <row r="13" spans="1:2" x14ac:dyDescent="0.2">
      <c r="A13" s="210" t="s">
        <v>400</v>
      </c>
      <c r="B13" s="211" t="s">
        <v>402</v>
      </c>
    </row>
    <row r="14" spans="1:2" x14ac:dyDescent="0.2">
      <c r="A14" s="210" t="s">
        <v>417</v>
      </c>
      <c r="B14" s="211" t="s">
        <v>403</v>
      </c>
    </row>
    <row r="15" spans="1:2" x14ac:dyDescent="0.2">
      <c r="A15" s="210" t="s">
        <v>404</v>
      </c>
      <c r="B15" s="211" t="s">
        <v>436</v>
      </c>
    </row>
    <row r="16" spans="1:2" x14ac:dyDescent="0.2">
      <c r="A16" s="210" t="s">
        <v>383</v>
      </c>
      <c r="B16" s="211" t="s">
        <v>509</v>
      </c>
    </row>
    <row r="17" spans="1:2" x14ac:dyDescent="0.2">
      <c r="A17" s="210" t="s">
        <v>387</v>
      </c>
      <c r="B17" s="211" t="s">
        <v>510</v>
      </c>
    </row>
    <row r="18" spans="1:2" x14ac:dyDescent="0.2">
      <c r="A18" s="210" t="s">
        <v>391</v>
      </c>
      <c r="B18" s="211" t="s">
        <v>511</v>
      </c>
    </row>
    <row r="19" spans="1:2" x14ac:dyDescent="0.2">
      <c r="A19" s="210" t="s">
        <v>437</v>
      </c>
      <c r="B19" s="211" t="s">
        <v>438</v>
      </c>
    </row>
    <row r="20" spans="1:2" x14ac:dyDescent="0.2">
      <c r="A20" s="210" t="s">
        <v>397</v>
      </c>
      <c r="B20" s="211" t="s">
        <v>512</v>
      </c>
    </row>
    <row r="21" spans="1:2" x14ac:dyDescent="0.2">
      <c r="A21" s="210" t="s">
        <v>399</v>
      </c>
      <c r="B21" s="211" t="s">
        <v>513</v>
      </c>
    </row>
    <row r="22" spans="1:2" x14ac:dyDescent="0.2">
      <c r="A22" s="210" t="s">
        <v>428</v>
      </c>
      <c r="B22" s="211" t="s">
        <v>430</v>
      </c>
    </row>
    <row r="23" spans="1:2" x14ac:dyDescent="0.2">
      <c r="A23" s="210" t="s">
        <v>429</v>
      </c>
      <c r="B23" s="211" t="s">
        <v>431</v>
      </c>
    </row>
    <row r="24" spans="1:2" x14ac:dyDescent="0.2">
      <c r="A24" s="210" t="s">
        <v>434</v>
      </c>
      <c r="B24" s="211" t="s">
        <v>435</v>
      </c>
    </row>
    <row r="25" spans="1:2" x14ac:dyDescent="0.2">
      <c r="A25" s="210" t="s">
        <v>406</v>
      </c>
      <c r="B25" s="211" t="s">
        <v>407</v>
      </c>
    </row>
    <row r="26" spans="1:2" x14ac:dyDescent="0.2">
      <c r="A26" s="210" t="s">
        <v>408</v>
      </c>
      <c r="B26" s="211" t="s">
        <v>409</v>
      </c>
    </row>
    <row r="27" spans="1:2" x14ac:dyDescent="0.2">
      <c r="A27" s="210" t="s">
        <v>410</v>
      </c>
      <c r="B27" s="211" t="s">
        <v>514</v>
      </c>
    </row>
    <row r="28" spans="1:2" x14ac:dyDescent="0.2">
      <c r="A28" s="210" t="s">
        <v>412</v>
      </c>
      <c r="B28" s="211" t="s">
        <v>515</v>
      </c>
    </row>
    <row r="29" spans="1:2" x14ac:dyDescent="0.2">
      <c r="A29" s="210" t="s">
        <v>411</v>
      </c>
      <c r="B29" s="211" t="s">
        <v>516</v>
      </c>
    </row>
    <row r="30" spans="1:2" x14ac:dyDescent="0.2">
      <c r="A30" s="210" t="s">
        <v>413</v>
      </c>
      <c r="B30" s="211" t="s">
        <v>416</v>
      </c>
    </row>
    <row r="31" spans="1:2" x14ac:dyDescent="0.2">
      <c r="A31" s="210" t="s">
        <v>414</v>
      </c>
      <c r="B31" s="211" t="s">
        <v>517</v>
      </c>
    </row>
    <row r="32" spans="1:2" x14ac:dyDescent="0.2">
      <c r="A32" s="210" t="s">
        <v>415</v>
      </c>
      <c r="B32" s="211" t="s">
        <v>518</v>
      </c>
    </row>
  </sheetData>
  <hyperlinks>
    <hyperlink ref="A5" location="'Ind T1'!A1" display="Ind T1" xr:uid="{00000000-0004-0000-0400-000000000000}"/>
    <hyperlink ref="A6" location="'Ind T2'!A1" display="Ind T2" xr:uid="{00000000-0004-0000-0400-000001000000}"/>
    <hyperlink ref="A7" location="'Ind T3'!A1" display="Ind T3" xr:uid="{00000000-0004-0000-0400-000002000000}"/>
    <hyperlink ref="A8" location="'Ind T4'!A1" display="Ind T4" xr:uid="{00000000-0004-0000-0400-000003000000}"/>
    <hyperlink ref="A9" location="'Ind T5'!A1" display="Ind T5" xr:uid="{00000000-0004-0000-0400-000004000000}"/>
    <hyperlink ref="A10" location="'Ind T6'!A1" display="Ind T6" xr:uid="{00000000-0004-0000-0400-000005000000}"/>
    <hyperlink ref="A11" location="'Ind F1'!A1" display="Ind F1" xr:uid="{00000000-0004-0000-0400-000006000000}"/>
    <hyperlink ref="A12" location="'Ind F2'!A1" display="Ind F2" xr:uid="{00000000-0004-0000-0400-000007000000}"/>
    <hyperlink ref="A13" location="'Ind Occ T1'!A1" display="IndOcc T1" xr:uid="{00000000-0004-0000-0400-000008000000}"/>
    <hyperlink ref="A14" location="'Ind Occ T2'!A1" display="IndOcc T2" xr:uid="{00000000-0004-0000-0400-000009000000}"/>
    <hyperlink ref="A15" location="'Occ T1'!A1" display="Occ T1" xr:uid="{00000000-0004-0000-0400-00000A000000}"/>
    <hyperlink ref="A16" location="'Occ T2'!A1" display="Occ T2" xr:uid="{00000000-0004-0000-0400-00000B000000}"/>
    <hyperlink ref="A17" location="'Occ T3'!A1" display="Occ T3" xr:uid="{00000000-0004-0000-0400-00000C000000}"/>
    <hyperlink ref="A18" location="'Occ T4'!A1" display="Occ T4" xr:uid="{00000000-0004-0000-0400-00000D000000}"/>
    <hyperlink ref="A20" location="'Occ F1'!A1" display="Occ F1" xr:uid="{00000000-0004-0000-0400-00000E000000}"/>
    <hyperlink ref="A21" location="'Occ F2'!A1" display="Occ F2" xr:uid="{00000000-0004-0000-0400-00000F000000}"/>
    <hyperlink ref="A25" location="'Qual T1'!A1" display="Qual T1" xr:uid="{00000000-0004-0000-0400-000010000000}"/>
    <hyperlink ref="A26" location="'Qual F1'!A1" display="Qual F1" xr:uid="{00000000-0004-0000-0400-000011000000}"/>
    <hyperlink ref="A27" location="'ShiftShare T1'!A1" display="ShiftShare T1" xr:uid="{00000000-0004-0000-0400-000012000000}"/>
    <hyperlink ref="A28" location="'RD T1'!A1" display="RD T1" xr:uid="{00000000-0004-0000-0400-000013000000}"/>
    <hyperlink ref="A29" location="'RD F1'!A1" display="RD F1" xr:uid="{00000000-0004-0000-0400-000014000000}"/>
    <hyperlink ref="A30" location="'Basic T1'!A1" display="Basic T1" xr:uid="{00000000-0004-0000-0400-000015000000}"/>
    <hyperlink ref="A31" location="'Basic T2'!A1" display="Basic T2" xr:uid="{00000000-0004-0000-0400-000016000000}"/>
    <hyperlink ref="A32" location="'Basic T3'!A1" display="Basic T3" xr:uid="{00000000-0004-0000-0400-000017000000}"/>
    <hyperlink ref="A22" location="'Occ F3'!A1" display="Occ F3" xr:uid="{00000000-0004-0000-0400-000018000000}"/>
    <hyperlink ref="A23" location="'Occ F4'!A1" display="Occ F3" xr:uid="{00000000-0004-0000-0400-000019000000}"/>
    <hyperlink ref="A24" location="'Occ F5'!A1" display="Occ F5" xr:uid="{00000000-0004-0000-0400-00001A000000}"/>
    <hyperlink ref="A19" location="'Occ T5'!A1" display="Occ T5" xr:uid="{00000000-0004-0000-0400-00001B000000}"/>
  </hyperlinks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S52"/>
  <sheetViews>
    <sheetView showGridLines="0" zoomScale="85" zoomScaleNormal="85" workbookViewId="0"/>
  </sheetViews>
  <sheetFormatPr defaultRowHeight="12.75" x14ac:dyDescent="0.2"/>
  <cols>
    <col min="1" max="1" width="26.7109375" customWidth="1"/>
    <col min="2" max="6" width="11.7109375" customWidth="1"/>
    <col min="7" max="7" width="4.85546875" customWidth="1"/>
    <col min="8" max="11" width="11.7109375" customWidth="1"/>
    <col min="12" max="12" width="26.7109375" customWidth="1"/>
    <col min="13" max="17" width="11.7109375" customWidth="1"/>
    <col min="18" max="19" width="10.7109375" customWidth="1"/>
  </cols>
  <sheetData>
    <row r="1" spans="1:19" ht="15.75" x14ac:dyDescent="0.25">
      <c r="A1" s="18" t="str">
        <f>CONCATENATE("Industry Table 1  Employment by Industry Sector (SIC 2007), ",B$5,"-",F$5,", ",Info!B5)</f>
        <v>Industry Table 1  Employment by Industry Sector (SIC 2007), 2015-2035, North East</v>
      </c>
      <c r="L1" s="18" t="str">
        <f>CONCATENATE("Industry Table 1.1  Employment by Industry Sector (SIC 2007), ",B$5,"-",F$5,", ",Info!B5)</f>
        <v>Industry Table 1.1  Employment by Industry Sector (SIC 2007), 2015-2035, North East</v>
      </c>
    </row>
    <row r="2" spans="1:19" x14ac:dyDescent="0.2">
      <c r="A2" s="1" t="s">
        <v>531</v>
      </c>
      <c r="F2" s="15"/>
      <c r="J2" s="15" t="s">
        <v>35</v>
      </c>
    </row>
    <row r="3" spans="1:19" x14ac:dyDescent="0.2">
      <c r="A3" s="35"/>
      <c r="B3" s="35"/>
      <c r="C3" s="35"/>
      <c r="D3" s="35"/>
      <c r="E3" s="35"/>
      <c r="F3" s="35"/>
      <c r="G3" s="16"/>
      <c r="H3" s="27" t="str">
        <f>CONCATENATE(D5,"-",F5)</f>
        <v>2020-2035</v>
      </c>
      <c r="I3" s="35"/>
      <c r="J3" s="35"/>
      <c r="K3" s="16"/>
      <c r="O3" s="1" t="s">
        <v>13</v>
      </c>
      <c r="R3" s="75" t="s">
        <v>41</v>
      </c>
    </row>
    <row r="4" spans="1:19" x14ac:dyDescent="0.2">
      <c r="G4" s="10"/>
      <c r="H4" s="15" t="s">
        <v>29</v>
      </c>
      <c r="I4" s="15" t="s">
        <v>30</v>
      </c>
      <c r="J4" s="15" t="s">
        <v>32</v>
      </c>
      <c r="K4" s="10"/>
      <c r="L4" s="21"/>
      <c r="M4" s="22">
        <f>B5</f>
        <v>2015</v>
      </c>
      <c r="N4" s="22">
        <f>C5</f>
        <v>2019</v>
      </c>
      <c r="O4" s="22">
        <f>D5</f>
        <v>2020</v>
      </c>
      <c r="P4" s="22">
        <f>E5</f>
        <v>2025</v>
      </c>
      <c r="Q4" s="22">
        <f>F5</f>
        <v>2035</v>
      </c>
      <c r="R4" s="74" t="str">
        <f>CONCATENATE(B$5,"-",D$5)</f>
        <v>2015-2020</v>
      </c>
      <c r="S4" s="74" t="str">
        <f>F33</f>
        <v>2020-2035</v>
      </c>
    </row>
    <row r="5" spans="1:19" x14ac:dyDescent="0.2">
      <c r="A5" s="23"/>
      <c r="B5" s="34">
        <f>'Ind T3'!B3</f>
        <v>2015</v>
      </c>
      <c r="C5" s="34">
        <f>'Ind T3'!C3</f>
        <v>2019</v>
      </c>
      <c r="D5" s="34">
        <f>'Ind T3'!D3</f>
        <v>2020</v>
      </c>
      <c r="E5" s="34">
        <f>'Ind T3'!E3</f>
        <v>2025</v>
      </c>
      <c r="F5" s="34">
        <f>'Ind T3'!F3</f>
        <v>2035</v>
      </c>
      <c r="G5" s="11"/>
      <c r="H5" s="62" t="s">
        <v>18</v>
      </c>
      <c r="I5" s="62" t="s">
        <v>31</v>
      </c>
      <c r="J5" s="62" t="s">
        <v>33</v>
      </c>
      <c r="K5" s="11"/>
      <c r="L5" t="str">
        <f t="shared" ref="L5:Q10" si="0">A7</f>
        <v>Primary sector and utilities</v>
      </c>
      <c r="M5" s="11">
        <f t="shared" si="0"/>
        <v>20.336000000008575</v>
      </c>
      <c r="N5" s="11">
        <f t="shared" si="0"/>
        <v>23.856999999918884</v>
      </c>
      <c r="O5" s="11">
        <f t="shared" si="0"/>
        <v>25.080999999810309</v>
      </c>
      <c r="P5" s="11">
        <f t="shared" si="0"/>
        <v>25.067000000062393</v>
      </c>
      <c r="Q5" s="11">
        <f t="shared" si="0"/>
        <v>25.41999999996457</v>
      </c>
      <c r="R5" s="39">
        <f>IF(D$5-B$5 &lt;&gt; 0,(EXP(LN(D7/B7)/(D$5-B$5))-1)*100,0)</f>
        <v>4.2835634656757993</v>
      </c>
      <c r="S5" s="39">
        <f>F34</f>
        <v>8.9544589846579647E-2</v>
      </c>
    </row>
    <row r="6" spans="1:19" x14ac:dyDescent="0.2">
      <c r="A6" s="1" t="s">
        <v>13</v>
      </c>
      <c r="C6" s="10"/>
      <c r="D6" s="10"/>
      <c r="E6" s="10"/>
      <c r="F6" s="10"/>
      <c r="G6" s="11"/>
      <c r="H6" s="11"/>
      <c r="I6" s="11"/>
      <c r="J6" s="11"/>
      <c r="K6" s="11"/>
      <c r="L6" t="str">
        <f t="shared" si="0"/>
        <v>Manufacturing</v>
      </c>
      <c r="M6" s="11">
        <f t="shared" si="0"/>
        <v>122.03700000012459</v>
      </c>
      <c r="N6" s="11">
        <f t="shared" si="0"/>
        <v>110.95099999963999</v>
      </c>
      <c r="O6" s="11">
        <f t="shared" si="0"/>
        <v>102.97199999972995</v>
      </c>
      <c r="P6" s="11">
        <f t="shared" si="0"/>
        <v>100.48600000047473</v>
      </c>
      <c r="Q6" s="11">
        <f t="shared" si="0"/>
        <v>91.615999999540549</v>
      </c>
      <c r="R6" s="39">
        <f t="shared" ref="R6:R10" si="1">IF(D$5-B$5 &lt;&gt; 0,(EXP(LN(D8/B8)/(D$5-B$5))-1)*100,0)</f>
        <v>-3.3402817243805893</v>
      </c>
      <c r="S6" s="39">
        <f t="shared" ref="S6:S12" si="2">F35</f>
        <v>-0.77598144890543841</v>
      </c>
    </row>
    <row r="7" spans="1:19" x14ac:dyDescent="0.2">
      <c r="A7" t="str">
        <f>name!C4</f>
        <v>Primary sector and utilities</v>
      </c>
      <c r="B7" s="11">
        <f t="array" ref="B7:B12">MMULT(aggregation!$B$28:$BX$33,'Ind T3'!B5:B79)</f>
        <v>20.336000000008575</v>
      </c>
      <c r="C7" s="11">
        <f t="array" ref="C7:C12">MMULT(aggregation!$B$28:$BX$33,'Ind T3'!C5:C79)</f>
        <v>23.856999999918884</v>
      </c>
      <c r="D7" s="11">
        <f t="array" ref="D7:D12">MMULT(aggregation!$B$28:$BX$33,'Ind T3'!D5:D79)</f>
        <v>25.080999999810309</v>
      </c>
      <c r="E7" s="11">
        <f t="array" ref="E7:E12">MMULT(aggregation!$B$28:$BX$33,'Ind T3'!E5:E79)</f>
        <v>25.067000000062393</v>
      </c>
      <c r="F7" s="11">
        <f t="array" ref="F7:F12">MMULT(aggregation!$B$28:$BX$33,'Ind T3'!F5:F79)</f>
        <v>25.41999999996457</v>
      </c>
      <c r="G7" s="11"/>
      <c r="H7" s="11">
        <f>F7-D7</f>
        <v>0.33900000015426102</v>
      </c>
      <c r="I7" s="11">
        <f t="array" ref="I7:I12">MMULT(aggregation!$B$28:$BX$33,'RD T1'!AB7:AB81)</f>
        <v>11.55806820136409</v>
      </c>
      <c r="J7" s="11">
        <f>SUM(H7:I7)</f>
        <v>11.897068201518351</v>
      </c>
      <c r="K7" s="11"/>
      <c r="L7" t="str">
        <f t="shared" si="0"/>
        <v>Construction</v>
      </c>
      <c r="M7" s="11">
        <f t="shared" si="0"/>
        <v>66.990999999728743</v>
      </c>
      <c r="N7" s="11">
        <f t="shared" si="0"/>
        <v>72.67500000056009</v>
      </c>
      <c r="O7" s="11">
        <f t="shared" si="0"/>
        <v>69.163999999273443</v>
      </c>
      <c r="P7" s="11">
        <f t="shared" si="0"/>
        <v>66.884999997326702</v>
      </c>
      <c r="Q7" s="11">
        <f t="shared" si="0"/>
        <v>66.354999997656051</v>
      </c>
      <c r="R7" s="39">
        <f t="shared" si="1"/>
        <v>0.64048668023506394</v>
      </c>
      <c r="S7" s="39">
        <f t="shared" si="2"/>
        <v>-0.27602754268255536</v>
      </c>
    </row>
    <row r="8" spans="1:19" x14ac:dyDescent="0.2">
      <c r="A8" t="str">
        <f>name!C5</f>
        <v>Manufacturing</v>
      </c>
      <c r="B8" s="11">
        <v>122.03700000012459</v>
      </c>
      <c r="C8" s="11">
        <v>110.95099999963999</v>
      </c>
      <c r="D8" s="11">
        <v>102.97199999972995</v>
      </c>
      <c r="E8" s="11">
        <v>100.48600000047473</v>
      </c>
      <c r="F8" s="11">
        <v>91.615999999540549</v>
      </c>
      <c r="G8" s="11"/>
      <c r="H8" s="11">
        <f t="shared" ref="H8:H12" si="3">F8-D8</f>
        <v>-11.356000000189397</v>
      </c>
      <c r="I8" s="11">
        <v>40.0468588259982</v>
      </c>
      <c r="J8" s="11">
        <f t="shared" ref="J8:J12" si="4">SUM(H8:I8)</f>
        <v>28.690858825808803</v>
      </c>
      <c r="K8" s="11"/>
      <c r="L8" t="str">
        <f t="shared" si="0"/>
        <v>Trade, accomod. and transport</v>
      </c>
      <c r="M8" s="11">
        <f t="shared" si="0"/>
        <v>311.50100000559627</v>
      </c>
      <c r="N8" s="11">
        <f t="shared" si="0"/>
        <v>326.36800000044593</v>
      </c>
      <c r="O8" s="11">
        <f t="shared" si="0"/>
        <v>324.45500000108876</v>
      </c>
      <c r="P8" s="11">
        <f t="shared" si="0"/>
        <v>328.38100000981746</v>
      </c>
      <c r="Q8" s="11">
        <f t="shared" si="0"/>
        <v>345.32299999881729</v>
      </c>
      <c r="R8" s="39">
        <f t="shared" si="1"/>
        <v>0.81821529615699884</v>
      </c>
      <c r="S8" s="39">
        <f t="shared" si="2"/>
        <v>0.41642035856557236</v>
      </c>
    </row>
    <row r="9" spans="1:19" x14ac:dyDescent="0.2">
      <c r="A9" t="str">
        <f>name!C6</f>
        <v>Construction</v>
      </c>
      <c r="B9" s="11">
        <v>66.990999999728743</v>
      </c>
      <c r="C9" s="11">
        <v>72.67500000056009</v>
      </c>
      <c r="D9" s="11">
        <v>69.163999999273443</v>
      </c>
      <c r="E9" s="11">
        <v>66.884999997326702</v>
      </c>
      <c r="F9" s="11">
        <v>66.354999997656051</v>
      </c>
      <c r="G9" s="11"/>
      <c r="H9" s="11">
        <f t="shared" si="3"/>
        <v>-2.8090000016173917</v>
      </c>
      <c r="I9" s="11">
        <v>27.648118363836367</v>
      </c>
      <c r="J9" s="11">
        <f t="shared" si="4"/>
        <v>24.839118362218976</v>
      </c>
      <c r="K9" s="11"/>
      <c r="L9" t="str">
        <f t="shared" si="0"/>
        <v>Business and other services</v>
      </c>
      <c r="M9" s="11">
        <f t="shared" si="0"/>
        <v>318.98199999946166</v>
      </c>
      <c r="N9" s="11">
        <f t="shared" si="0"/>
        <v>308.32999999960094</v>
      </c>
      <c r="O9" s="11">
        <f t="shared" si="0"/>
        <v>301.06899999909416</v>
      </c>
      <c r="P9" s="11">
        <f t="shared" si="0"/>
        <v>303.93300000331493</v>
      </c>
      <c r="Q9" s="11">
        <f t="shared" si="0"/>
        <v>318.65200000145637</v>
      </c>
      <c r="R9" s="39">
        <f t="shared" si="1"/>
        <v>-1.1492491057750742</v>
      </c>
      <c r="S9" s="39">
        <f t="shared" si="2"/>
        <v>0.37911766560443372</v>
      </c>
    </row>
    <row r="10" spans="1:19" x14ac:dyDescent="0.2">
      <c r="A10" t="str">
        <f>name!C7</f>
        <v>Trade, accomod. and transport</v>
      </c>
      <c r="B10" s="11">
        <v>311.50100000559627</v>
      </c>
      <c r="C10" s="11">
        <v>326.36800000044593</v>
      </c>
      <c r="D10" s="11">
        <v>324.45500000108876</v>
      </c>
      <c r="E10" s="11">
        <v>328.38100000981746</v>
      </c>
      <c r="F10" s="11">
        <v>345.32299999881729</v>
      </c>
      <c r="G10" s="11"/>
      <c r="H10" s="11">
        <f t="shared" si="3"/>
        <v>20.867999997728532</v>
      </c>
      <c r="I10" s="11">
        <v>161.74412931423615</v>
      </c>
      <c r="J10" s="11">
        <f t="shared" si="4"/>
        <v>182.61212931196468</v>
      </c>
      <c r="K10" s="11"/>
      <c r="L10" t="str">
        <f t="shared" si="0"/>
        <v>Non-marketed services</v>
      </c>
      <c r="M10" s="11">
        <f t="shared" si="0"/>
        <v>367.85599999673241</v>
      </c>
      <c r="N10" s="11">
        <f t="shared" si="0"/>
        <v>352.68700000061204</v>
      </c>
      <c r="O10" s="11">
        <f t="shared" si="0"/>
        <v>366.59800000129326</v>
      </c>
      <c r="P10" s="11">
        <f t="shared" si="0"/>
        <v>384.02399998943628</v>
      </c>
      <c r="Q10" s="11">
        <f t="shared" si="0"/>
        <v>403.63100000277814</v>
      </c>
      <c r="R10" s="39">
        <f t="shared" si="1"/>
        <v>-6.8490082344629943E-2</v>
      </c>
      <c r="S10" s="39">
        <f t="shared" si="2"/>
        <v>0.64363055244627265</v>
      </c>
    </row>
    <row r="11" spans="1:19" x14ac:dyDescent="0.2">
      <c r="A11" t="str">
        <f>name!C8</f>
        <v>Business and other services</v>
      </c>
      <c r="B11" s="11">
        <v>318.98199999946166</v>
      </c>
      <c r="C11" s="11">
        <v>308.32999999960094</v>
      </c>
      <c r="D11" s="11">
        <v>301.06899999909416</v>
      </c>
      <c r="E11" s="11">
        <v>303.93300000331493</v>
      </c>
      <c r="F11" s="11">
        <v>318.65200000145637</v>
      </c>
      <c r="G11" s="11"/>
      <c r="H11" s="11">
        <f t="shared" si="3"/>
        <v>17.583000002362212</v>
      </c>
      <c r="I11" s="11">
        <v>146.49359188665466</v>
      </c>
      <c r="J11" s="11">
        <f t="shared" si="4"/>
        <v>164.07659188901687</v>
      </c>
      <c r="K11" s="11"/>
      <c r="M11" s="11"/>
      <c r="N11" s="11"/>
      <c r="O11" s="11"/>
      <c r="P11" s="11"/>
      <c r="Q11" s="11"/>
      <c r="R11" s="39"/>
      <c r="S11" s="39"/>
    </row>
    <row r="12" spans="1:19" x14ac:dyDescent="0.2">
      <c r="A12" t="str">
        <f>name!C9</f>
        <v>Non-marketed services</v>
      </c>
      <c r="B12" s="11">
        <v>367.85599999673241</v>
      </c>
      <c r="C12" s="11">
        <v>352.68700000061204</v>
      </c>
      <c r="D12" s="11">
        <v>366.59800000129326</v>
      </c>
      <c r="E12" s="11">
        <v>384.02399998943628</v>
      </c>
      <c r="F12" s="11">
        <v>403.63100000277814</v>
      </c>
      <c r="G12" s="11"/>
      <c r="H12" s="11">
        <f t="shared" si="3"/>
        <v>37.033000001484879</v>
      </c>
      <c r="I12" s="11">
        <v>209.56926070973191</v>
      </c>
      <c r="J12" s="11">
        <f t="shared" si="4"/>
        <v>246.60226071121679</v>
      </c>
      <c r="K12" s="11"/>
      <c r="L12" s="23" t="str">
        <f t="shared" ref="L12:Q12" si="5">A14</f>
        <v>All industries</v>
      </c>
      <c r="M12" s="33">
        <f t="shared" si="5"/>
        <v>1207.7030000016521</v>
      </c>
      <c r="N12" s="33">
        <f t="shared" si="5"/>
        <v>1194.8680000007778</v>
      </c>
      <c r="O12" s="33">
        <f t="shared" si="5"/>
        <v>1189.3390000002898</v>
      </c>
      <c r="P12" s="33">
        <f t="shared" si="5"/>
        <v>1208.7760000004325</v>
      </c>
      <c r="Q12" s="33">
        <f t="shared" si="5"/>
        <v>1250.9970000002131</v>
      </c>
      <c r="R12" s="42">
        <f>IF(D$5-B$5 &lt;&gt; 0,(EXP(LN(D14/B14)/(D$5-B$5))-1)*100,0)</f>
        <v>-0.30598127509877671</v>
      </c>
      <c r="S12" s="42">
        <f t="shared" si="2"/>
        <v>0.33752261436221787</v>
      </c>
    </row>
    <row r="13" spans="1:19" x14ac:dyDescent="0.2">
      <c r="B13" s="11"/>
      <c r="C13" s="11"/>
      <c r="D13" s="11"/>
      <c r="E13" s="11"/>
      <c r="F13" s="11"/>
      <c r="G13" s="11"/>
      <c r="H13" s="11"/>
      <c r="I13" s="11"/>
      <c r="J13" s="11"/>
      <c r="K13" s="11"/>
      <c r="L13" s="11"/>
    </row>
    <row r="14" spans="1:19" x14ac:dyDescent="0.2">
      <c r="A14" s="23" t="str">
        <f>name!C3</f>
        <v>All industries</v>
      </c>
      <c r="B14" s="33">
        <f>SUM(B7:B12)</f>
        <v>1207.7030000016521</v>
      </c>
      <c r="C14" s="33">
        <f t="shared" ref="C14:F14" si="6">SUM(C7:C12)</f>
        <v>1194.8680000007778</v>
      </c>
      <c r="D14" s="33">
        <f t="shared" si="6"/>
        <v>1189.3390000002898</v>
      </c>
      <c r="E14" s="33">
        <f t="shared" si="6"/>
        <v>1208.7760000004325</v>
      </c>
      <c r="F14" s="33">
        <f t="shared" si="6"/>
        <v>1250.9970000002131</v>
      </c>
      <c r="G14" s="33"/>
      <c r="H14" s="33">
        <f>SUM(H7:H12)</f>
        <v>61.657999999923092</v>
      </c>
      <c r="I14" s="33">
        <f>SUM(I7:I12)</f>
        <v>597.06002730182138</v>
      </c>
      <c r="J14" s="33">
        <f t="shared" ref="J14" si="7">SUM(J7:J12)</f>
        <v>658.71802730174443</v>
      </c>
      <c r="K14" s="11"/>
      <c r="L14" s="11"/>
    </row>
    <row r="15" spans="1:19" x14ac:dyDescent="0.2">
      <c r="B15" s="11"/>
      <c r="C15" s="11"/>
      <c r="D15" s="11"/>
      <c r="E15" s="11"/>
      <c r="F15" s="11"/>
      <c r="G15" s="16"/>
      <c r="H15" s="11"/>
      <c r="I15" s="11"/>
      <c r="J15" s="11"/>
      <c r="K15" s="16"/>
      <c r="L15" s="11"/>
    </row>
    <row r="16" spans="1:19" x14ac:dyDescent="0.2">
      <c r="B16" s="11"/>
      <c r="C16" s="11"/>
      <c r="D16" s="11"/>
      <c r="E16" s="11"/>
      <c r="F16" s="11"/>
      <c r="G16" s="17"/>
      <c r="H16" s="16"/>
      <c r="I16" s="16"/>
      <c r="J16" s="347" t="s">
        <v>34</v>
      </c>
      <c r="K16" s="17"/>
      <c r="L16" s="11"/>
    </row>
    <row r="17" spans="1:12" x14ac:dyDescent="0.2">
      <c r="A17" s="35"/>
      <c r="B17" s="64"/>
      <c r="C17" s="64"/>
      <c r="D17" s="64"/>
      <c r="E17" s="64"/>
      <c r="F17" s="64"/>
      <c r="G17" s="17"/>
      <c r="H17" s="27" t="str">
        <f>CONCATENATE(D19,"-",F19)</f>
        <v>2020-2035</v>
      </c>
      <c r="I17" s="35"/>
      <c r="J17" s="35"/>
      <c r="K17" s="17"/>
      <c r="L17" s="11"/>
    </row>
    <row r="18" spans="1:12" x14ac:dyDescent="0.2">
      <c r="B18" s="11"/>
      <c r="C18" s="11"/>
      <c r="D18" s="11"/>
      <c r="E18" s="11"/>
      <c r="F18" s="11"/>
      <c r="G18" s="17"/>
      <c r="H18" s="15" t="s">
        <v>29</v>
      </c>
      <c r="I18" s="15" t="s">
        <v>30</v>
      </c>
      <c r="J18" s="15" t="s">
        <v>32</v>
      </c>
      <c r="K18" s="17"/>
      <c r="L18" s="11"/>
    </row>
    <row r="19" spans="1:12" x14ac:dyDescent="0.2">
      <c r="A19" s="40" t="s">
        <v>463</v>
      </c>
      <c r="B19" s="34">
        <f>B$5</f>
        <v>2015</v>
      </c>
      <c r="C19" s="34">
        <f>C$5</f>
        <v>2019</v>
      </c>
      <c r="D19" s="34">
        <f>D$5</f>
        <v>2020</v>
      </c>
      <c r="E19" s="34">
        <f>E$5</f>
        <v>2025</v>
      </c>
      <c r="F19" s="34">
        <f>F$5</f>
        <v>2035</v>
      </c>
      <c r="G19" s="17"/>
      <c r="H19" s="62" t="s">
        <v>18</v>
      </c>
      <c r="I19" s="62" t="s">
        <v>31</v>
      </c>
      <c r="J19" s="62" t="s">
        <v>33</v>
      </c>
      <c r="K19" s="17"/>
      <c r="L19" s="11"/>
    </row>
    <row r="20" spans="1:12" x14ac:dyDescent="0.2">
      <c r="A20" t="str">
        <f>$A$7</f>
        <v>Primary sector and utilities</v>
      </c>
      <c r="B20" s="17">
        <f>B7/B$14*100</f>
        <v>1.6838577034238349</v>
      </c>
      <c r="C20" s="17">
        <f>C7/C$14*100</f>
        <v>1.9966222210238582</v>
      </c>
      <c r="D20" s="17">
        <f>D7/D$14*100</f>
        <v>2.1088184276984272</v>
      </c>
      <c r="E20" s="17">
        <f>E7/E$14*100</f>
        <v>2.0737506370124343</v>
      </c>
      <c r="F20" s="17">
        <f>F7/F$14*100</f>
        <v>2.0319792933124732</v>
      </c>
      <c r="G20" s="17"/>
      <c r="H20" s="39">
        <f>IF(D7&gt;0,(H7/D7)*100,0)</f>
        <v>1.351620749399246</v>
      </c>
      <c r="I20" s="39">
        <f>IF(D7&gt;0,(I7/D7)*100,0)</f>
        <v>46.082964002438118</v>
      </c>
      <c r="J20" s="39">
        <f>IF(D7&gt;0,(J7/D7)*100,0)</f>
        <v>47.434584751837363</v>
      </c>
      <c r="K20" s="17"/>
      <c r="L20" s="11"/>
    </row>
    <row r="21" spans="1:12" x14ac:dyDescent="0.2">
      <c r="A21" t="str">
        <f>$A$8</f>
        <v>Manufacturing</v>
      </c>
      <c r="B21" s="17">
        <f t="shared" ref="B21:F27" si="8">B8/B$14*100</f>
        <v>10.104885058657439</v>
      </c>
      <c r="C21" s="17">
        <f t="shared" si="8"/>
        <v>9.2856282032465316</v>
      </c>
      <c r="D21" s="17">
        <f t="shared" si="8"/>
        <v>8.6579183899380112</v>
      </c>
      <c r="E21" s="17">
        <f t="shared" si="8"/>
        <v>8.3130373204331303</v>
      </c>
      <c r="F21" s="17">
        <f t="shared" si="8"/>
        <v>7.3234388251550513</v>
      </c>
      <c r="G21" s="17"/>
      <c r="H21" s="39">
        <f t="shared" ref="H21:H25" si="9">IF(D8&gt;0,(H8/D8)*100,0)</f>
        <v>-11.028240687001494</v>
      </c>
      <c r="I21" s="39">
        <f t="shared" ref="I21:I25" si="10">IF(D8&gt;0,(I8/D8)*100,0)</f>
        <v>38.891017777748537</v>
      </c>
      <c r="J21" s="39">
        <f t="shared" ref="J21:J25" si="11">IF(D8&gt;0,(J8/D8)*100,0)</f>
        <v>27.862777090747041</v>
      </c>
      <c r="K21" s="17"/>
      <c r="L21" s="11"/>
    </row>
    <row r="22" spans="1:12" x14ac:dyDescent="0.2">
      <c r="A22" t="str">
        <f>$A$9</f>
        <v>Construction</v>
      </c>
      <c r="B22" s="17">
        <f t="shared" si="8"/>
        <v>5.5469763675040227</v>
      </c>
      <c r="C22" s="17">
        <f t="shared" si="8"/>
        <v>6.0822618063679652</v>
      </c>
      <c r="D22" s="17">
        <f t="shared" si="8"/>
        <v>5.8153310367571054</v>
      </c>
      <c r="E22" s="17">
        <f t="shared" si="8"/>
        <v>5.5332832549043633</v>
      </c>
      <c r="F22" s="17">
        <f t="shared" si="8"/>
        <v>5.3041693943026837</v>
      </c>
      <c r="G22" s="17"/>
      <c r="H22" s="39">
        <f t="shared" si="9"/>
        <v>-4.0613614042665258</v>
      </c>
      <c r="I22" s="39">
        <f t="shared" si="10"/>
        <v>39.974724371243433</v>
      </c>
      <c r="J22" s="39">
        <f t="shared" si="11"/>
        <v>35.913362966976905</v>
      </c>
      <c r="K22" s="17"/>
      <c r="L22" s="11"/>
    </row>
    <row r="23" spans="1:12" x14ac:dyDescent="0.2">
      <c r="A23" t="str">
        <f>$A$10</f>
        <v>Trade, accomod. and transport</v>
      </c>
      <c r="B23" s="17">
        <f t="shared" si="8"/>
        <v>25.792848076486536</v>
      </c>
      <c r="C23" s="17">
        <f t="shared" si="8"/>
        <v>27.314146834648973</v>
      </c>
      <c r="D23" s="17">
        <f t="shared" si="8"/>
        <v>27.280279214001197</v>
      </c>
      <c r="E23" s="17">
        <f t="shared" si="8"/>
        <v>27.166406349042333</v>
      </c>
      <c r="F23" s="17">
        <f t="shared" si="8"/>
        <v>27.603823190523912</v>
      </c>
      <c r="G23" s="17"/>
      <c r="H23" s="39">
        <f t="shared" si="9"/>
        <v>6.4317085567053995</v>
      </c>
      <c r="I23" s="39">
        <f t="shared" si="10"/>
        <v>49.851020731285814</v>
      </c>
      <c r="J23" s="39">
        <f t="shared" si="11"/>
        <v>56.282729287991216</v>
      </c>
      <c r="K23" s="17"/>
      <c r="L23" s="11"/>
    </row>
    <row r="24" spans="1:12" x14ac:dyDescent="0.2">
      <c r="A24" t="str">
        <f>$A$11</f>
        <v>Business and other services</v>
      </c>
      <c r="B24" s="17">
        <f t="shared" si="8"/>
        <v>26.412288451633003</v>
      </c>
      <c r="C24" s="17">
        <f t="shared" si="8"/>
        <v>25.80452401431792</v>
      </c>
      <c r="D24" s="17">
        <f t="shared" si="8"/>
        <v>25.313976923233895</v>
      </c>
      <c r="E24" s="17">
        <f t="shared" si="8"/>
        <v>25.143864537615418</v>
      </c>
      <c r="F24" s="17">
        <f t="shared" si="8"/>
        <v>25.471843657610854</v>
      </c>
      <c r="G24" s="17"/>
      <c r="H24" s="39">
        <f t="shared" si="9"/>
        <v>5.8401894590326853</v>
      </c>
      <c r="I24" s="39">
        <f t="shared" si="10"/>
        <v>48.657813287683361</v>
      </c>
      <c r="J24" s="39">
        <f t="shared" si="11"/>
        <v>54.498002746716047</v>
      </c>
      <c r="K24" s="17"/>
    </row>
    <row r="25" spans="1:12" x14ac:dyDescent="0.2">
      <c r="A25" t="str">
        <f>$A$12</f>
        <v>Non-marketed services</v>
      </c>
      <c r="B25" s="17">
        <f t="shared" si="8"/>
        <v>30.459144342295186</v>
      </c>
      <c r="C25" s="17">
        <f t="shared" si="8"/>
        <v>29.51681692039476</v>
      </c>
      <c r="D25" s="17">
        <f t="shared" si="8"/>
        <v>30.823676008371365</v>
      </c>
      <c r="E25" s="17">
        <f t="shared" si="8"/>
        <v>31.769657900992314</v>
      </c>
      <c r="F25" s="17">
        <f t="shared" si="8"/>
        <v>32.264745639095011</v>
      </c>
      <c r="G25" s="17"/>
      <c r="H25" s="39">
        <f t="shared" si="9"/>
        <v>10.101800883080168</v>
      </c>
      <c r="I25" s="39">
        <f t="shared" si="10"/>
        <v>57.165958545598336</v>
      </c>
      <c r="J25" s="39">
        <f t="shared" si="11"/>
        <v>67.267759428678502</v>
      </c>
      <c r="K25" s="17"/>
      <c r="L25" s="11"/>
    </row>
    <row r="26" spans="1:12" x14ac:dyDescent="0.2">
      <c r="B26" s="17"/>
      <c r="C26" s="17"/>
      <c r="D26" s="17"/>
      <c r="E26" s="17"/>
      <c r="F26" s="17"/>
      <c r="G26" s="17"/>
      <c r="H26" s="39"/>
      <c r="I26" s="39"/>
      <c r="J26" s="39"/>
      <c r="K26" s="17"/>
      <c r="L26" s="11"/>
    </row>
    <row r="27" spans="1:12" x14ac:dyDescent="0.2">
      <c r="A27" s="23" t="str">
        <f>$A$14</f>
        <v>All industries</v>
      </c>
      <c r="B27" s="25">
        <f t="shared" si="8"/>
        <v>100</v>
      </c>
      <c r="C27" s="25">
        <f t="shared" si="8"/>
        <v>100</v>
      </c>
      <c r="D27" s="25">
        <f t="shared" si="8"/>
        <v>100</v>
      </c>
      <c r="E27" s="25">
        <f t="shared" si="8"/>
        <v>100</v>
      </c>
      <c r="F27" s="25">
        <f t="shared" si="8"/>
        <v>100</v>
      </c>
      <c r="G27" s="17"/>
      <c r="H27" s="42">
        <f>IF(D14&gt;0,(H14/D14)*100,0)</f>
        <v>5.1842241782963532</v>
      </c>
      <c r="I27" s="42">
        <f>IF(D14&gt;0,(I14/D14)*100,0)</f>
        <v>50.200996293039736</v>
      </c>
      <c r="J27" s="42">
        <f>IF(D14&gt;0,(J14/D14)*100,0)</f>
        <v>55.385220471336083</v>
      </c>
      <c r="K27" s="17"/>
      <c r="L27" s="11"/>
    </row>
    <row r="28" spans="1:12" x14ac:dyDescent="0.2">
      <c r="B28" s="17"/>
      <c r="C28" s="17"/>
      <c r="D28" s="17"/>
      <c r="E28" s="17"/>
      <c r="F28" s="17"/>
      <c r="G28" s="17"/>
      <c r="H28" s="17"/>
      <c r="I28" s="17"/>
      <c r="J28" s="17"/>
      <c r="K28" s="17"/>
      <c r="L28" s="11"/>
    </row>
    <row r="29" spans="1:12" x14ac:dyDescent="0.2">
      <c r="B29" s="17"/>
      <c r="C29" s="17"/>
      <c r="D29" s="17"/>
      <c r="E29" s="17"/>
      <c r="F29" s="17"/>
      <c r="G29" s="17"/>
      <c r="H29" s="17"/>
      <c r="I29" s="17"/>
      <c r="J29" s="17"/>
      <c r="K29" s="17"/>
      <c r="L29" s="11"/>
    </row>
    <row r="30" spans="1:12" x14ac:dyDescent="0.2">
      <c r="B30" s="17"/>
      <c r="C30" s="17"/>
      <c r="D30" s="17"/>
      <c r="E30" s="17"/>
      <c r="F30" s="17"/>
      <c r="H30" s="17"/>
      <c r="I30" s="17"/>
      <c r="J30" s="17"/>
    </row>
    <row r="31" spans="1:12" ht="15.75" x14ac:dyDescent="0.25">
      <c r="A31" s="193" t="str">
        <f>CONCATENATE(A1," (Continued)")</f>
        <v>Industry Table 1  Employment by Industry Sector (SIC 2007), 2015-2035, North East (Continued)</v>
      </c>
      <c r="B31" s="17"/>
      <c r="C31" s="17"/>
      <c r="D31" s="17"/>
      <c r="E31" s="17"/>
      <c r="F31" s="17"/>
      <c r="G31" s="19"/>
      <c r="K31" s="19"/>
    </row>
    <row r="32" spans="1:12" x14ac:dyDescent="0.2">
      <c r="G32" s="17"/>
      <c r="H32" s="19"/>
      <c r="I32" s="19"/>
      <c r="J32" s="19"/>
      <c r="K32" s="17"/>
    </row>
    <row r="33" spans="1:11" x14ac:dyDescent="0.2">
      <c r="A33" s="194" t="s">
        <v>14</v>
      </c>
      <c r="B33" s="24" t="str">
        <f>CONCATENATE(B$5,"-",C$5)</f>
        <v>2015-2019</v>
      </c>
      <c r="C33" s="24" t="str">
        <f>CONCATENATE(C$5,"-",D$5)</f>
        <v>2019-2020</v>
      </c>
      <c r="D33" s="24" t="str">
        <f>CONCATENATE(D$5,"-",E$5)</f>
        <v>2020-2025</v>
      </c>
      <c r="E33" s="24" t="str">
        <f>CONCATENATE(E$5,"-",F$5)</f>
        <v>2025-2035</v>
      </c>
      <c r="F33" s="24" t="str">
        <f>CONCATENATE(D$5,"-",F$5)</f>
        <v>2020-2035</v>
      </c>
      <c r="G33" s="17"/>
      <c r="H33" s="17"/>
      <c r="I33" s="17"/>
      <c r="J33" s="17"/>
      <c r="K33" s="17"/>
    </row>
    <row r="34" spans="1:11" x14ac:dyDescent="0.2">
      <c r="A34" t="str">
        <f>$A$7</f>
        <v>Primary sector and utilities</v>
      </c>
      <c r="B34" s="17">
        <f>IF(C$5-B$5 &lt;&gt; 0,(EXP(LN(C7/B7)/(C$5-B$5))-1)*100,0)</f>
        <v>4.0728803389879387</v>
      </c>
      <c r="C34" s="17">
        <f>IF(D$5-C$5 &lt;&gt; 0,(EXP(LN(D7/C7)/(D$5-C$5))-1)*100,0)</f>
        <v>5.1305696436919401</v>
      </c>
      <c r="D34" s="17">
        <f>IF(E$5-D$5 &lt;&gt; 0,(EXP(LN(E7/D7)/(E$5-D$5))-1)*100,0)</f>
        <v>-1.1166322449185362E-2</v>
      </c>
      <c r="E34" s="17">
        <f>IF(F$5-E$5 &lt;&gt; 0,(EXP(LN(F7/E7)/(F$5-E$5))-1)*100,0)</f>
        <v>0.13993807893826204</v>
      </c>
      <c r="F34" s="17">
        <f>IF(F$5-D$5 &lt;&gt; 0,(EXP(LN(F7/D7)/(F$5-D$5))-1)*100,0)</f>
        <v>8.9544589846579647E-2</v>
      </c>
      <c r="G34" s="17"/>
      <c r="H34" s="17"/>
      <c r="I34" s="17"/>
      <c r="J34" s="17"/>
      <c r="K34" s="17"/>
    </row>
    <row r="35" spans="1:11" x14ac:dyDescent="0.2">
      <c r="A35" t="str">
        <f>$A$8</f>
        <v>Manufacturing</v>
      </c>
      <c r="B35" s="17">
        <f t="shared" ref="B35:B41" si="12">IF(C$5-B$5 &lt;&gt; 0,(EXP(LN(C8/B8)/(C$5-B$5))-1)*100,0)</f>
        <v>-2.3527707886624616</v>
      </c>
      <c r="C35" s="17">
        <f t="shared" ref="C35:C41" si="13">IF(D$5-C$5 &lt;&gt; 0,(EXP(LN(D8/C8)/(D$5-C$5))-1)*100,0)</f>
        <v>-7.1914628979783295</v>
      </c>
      <c r="D35" s="17">
        <f t="shared" ref="D35:E39" si="14">IF(E$5-D$5 &lt;&gt; 0,(EXP(LN(E8/D8)/(E$5-D$5))-1)*100,0)</f>
        <v>-0.48758129025030517</v>
      </c>
      <c r="E35" s="17">
        <f t="shared" si="14"/>
        <v>-0.91986794348835055</v>
      </c>
      <c r="F35" s="17">
        <f t="shared" ref="F35:F41" si="15">IF(F$5-D$5 &lt;&gt; 0,(EXP(LN(F8/D8)/(F$5-D$5))-1)*100,0)</f>
        <v>-0.77598144890543841</v>
      </c>
      <c r="G35" s="17"/>
      <c r="H35" s="17"/>
      <c r="I35" s="17"/>
      <c r="J35" s="17"/>
      <c r="K35" s="17"/>
    </row>
    <row r="36" spans="1:11" x14ac:dyDescent="0.2">
      <c r="A36" t="str">
        <f>$A$9</f>
        <v>Construction</v>
      </c>
      <c r="B36" s="17">
        <f t="shared" si="12"/>
        <v>2.0568465441312078</v>
      </c>
      <c r="C36" s="17">
        <f t="shared" si="13"/>
        <v>-4.8310973529543721</v>
      </c>
      <c r="D36" s="17">
        <f t="shared" si="14"/>
        <v>-0.66787512024921725</v>
      </c>
      <c r="E36" s="17">
        <f t="shared" si="14"/>
        <v>-7.9524471055303358E-2</v>
      </c>
      <c r="F36" s="17">
        <f t="shared" si="15"/>
        <v>-0.27602754268255536</v>
      </c>
      <c r="G36" s="17"/>
      <c r="H36" s="17"/>
      <c r="I36" s="17"/>
      <c r="J36" s="17"/>
      <c r="K36" s="17"/>
    </row>
    <row r="37" spans="1:11" x14ac:dyDescent="0.2">
      <c r="A37" t="str">
        <f>$A$10</f>
        <v>Trade, accomod. and transport</v>
      </c>
      <c r="B37" s="17">
        <f t="shared" si="12"/>
        <v>1.1723950671747918</v>
      </c>
      <c r="C37" s="17">
        <f t="shared" si="13"/>
        <v>-0.58614815158182232</v>
      </c>
      <c r="D37" s="17">
        <f t="shared" si="14"/>
        <v>0.24084292202830593</v>
      </c>
      <c r="E37" s="17">
        <f t="shared" si="14"/>
        <v>0.50432436832330563</v>
      </c>
      <c r="F37" s="17">
        <f t="shared" si="15"/>
        <v>0.41642035856557236</v>
      </c>
      <c r="G37" s="17"/>
      <c r="H37" s="17"/>
      <c r="I37" s="17"/>
      <c r="J37" s="17"/>
      <c r="K37" s="17"/>
    </row>
    <row r="38" spans="1:11" x14ac:dyDescent="0.2">
      <c r="A38" t="str">
        <f>$A$11</f>
        <v>Business and other services</v>
      </c>
      <c r="B38" s="17">
        <f t="shared" si="12"/>
        <v>-0.84550624159713816</v>
      </c>
      <c r="C38" s="17">
        <f t="shared" si="13"/>
        <v>-2.3549443779444679</v>
      </c>
      <c r="D38" s="17">
        <f t="shared" si="14"/>
        <v>0.18953555267122724</v>
      </c>
      <c r="E38" s="17">
        <f t="shared" si="14"/>
        <v>0.47404320486830187</v>
      </c>
      <c r="F38" s="17">
        <f t="shared" si="15"/>
        <v>0.37911766560443372</v>
      </c>
      <c r="G38" s="17"/>
      <c r="H38" s="17"/>
      <c r="I38" s="17"/>
      <c r="J38" s="17"/>
      <c r="K38" s="17"/>
    </row>
    <row r="39" spans="1:11" x14ac:dyDescent="0.2">
      <c r="A39" t="str">
        <f>$A$12</f>
        <v>Non-marketed services</v>
      </c>
      <c r="B39" s="17">
        <f t="shared" si="12"/>
        <v>-1.047242309926788</v>
      </c>
      <c r="C39" s="17">
        <f t="shared" si="13"/>
        <v>3.9442905467615974</v>
      </c>
      <c r="D39" s="17">
        <f t="shared" si="14"/>
        <v>0.93310999263715999</v>
      </c>
      <c r="E39" s="17">
        <f t="shared" si="14"/>
        <v>0.49920231999907028</v>
      </c>
      <c r="F39" s="17">
        <f t="shared" si="15"/>
        <v>0.64363055244627265</v>
      </c>
      <c r="G39" s="17"/>
      <c r="H39" s="17"/>
      <c r="I39" s="17"/>
      <c r="J39" s="17"/>
      <c r="K39" s="17"/>
    </row>
    <row r="40" spans="1:11" x14ac:dyDescent="0.2">
      <c r="B40" s="17"/>
      <c r="C40" s="17"/>
      <c r="D40" s="17"/>
      <c r="E40" s="17"/>
      <c r="F40" s="17"/>
      <c r="G40" s="17"/>
      <c r="H40" s="17"/>
      <c r="I40" s="17"/>
      <c r="J40" s="17"/>
      <c r="K40" s="17"/>
    </row>
    <row r="41" spans="1:11" x14ac:dyDescent="0.2">
      <c r="A41" t="str">
        <f>$A$14</f>
        <v>All industries</v>
      </c>
      <c r="B41" s="17">
        <f t="shared" si="12"/>
        <v>-0.26675580585351355</v>
      </c>
      <c r="C41" s="17">
        <f t="shared" si="13"/>
        <v>-0.46272893746290844</v>
      </c>
      <c r="D41" s="17">
        <f>IF(E$5-D$5 &lt;&gt; 0,(EXP(LN(E14/D14)/(E$5-D$5))-1)*100,0)</f>
        <v>0.32473787001081611</v>
      </c>
      <c r="E41" s="17">
        <f>IF(F$5-E$5 &lt;&gt; 0,(EXP(LN(F14/E14)/(F$5-E$5))-1)*100,0)</f>
        <v>0.34391559747728451</v>
      </c>
      <c r="F41" s="17">
        <f t="shared" si="15"/>
        <v>0.33752261436221787</v>
      </c>
      <c r="H41" s="17"/>
      <c r="I41" s="17"/>
      <c r="J41" s="17"/>
    </row>
    <row r="42" spans="1:11" x14ac:dyDescent="0.2">
      <c r="B42" s="17"/>
      <c r="C42" s="17"/>
      <c r="D42" s="17"/>
      <c r="E42" s="17"/>
      <c r="F42" s="17"/>
      <c r="G42" s="19"/>
      <c r="K42" s="19"/>
    </row>
    <row r="43" spans="1:11" x14ac:dyDescent="0.2">
      <c r="G43" s="26"/>
      <c r="H43" s="19"/>
      <c r="I43" s="19"/>
      <c r="J43" s="19"/>
      <c r="K43" s="26"/>
    </row>
    <row r="44" spans="1:11" x14ac:dyDescent="0.2">
      <c r="A44" s="1" t="s">
        <v>15</v>
      </c>
      <c r="B44" s="19" t="str">
        <f>CONCATENATE(B$5,"-",C$5)</f>
        <v>2015-2019</v>
      </c>
      <c r="C44" s="19" t="str">
        <f>CONCATENATE(C$5,"-",D$5)</f>
        <v>2019-2020</v>
      </c>
      <c r="D44" s="19" t="str">
        <f>CONCATENATE(D$5,"-",E$5)</f>
        <v>2020-2025</v>
      </c>
      <c r="E44" s="19" t="str">
        <f>CONCATENATE(E$5,"-",F$5)</f>
        <v>2025-2035</v>
      </c>
      <c r="F44" s="19" t="str">
        <f>CONCATENATE(D$5,"-",F$5)</f>
        <v>2020-2035</v>
      </c>
      <c r="G44" s="26"/>
      <c r="H44" s="26"/>
      <c r="I44" s="26"/>
      <c r="J44" s="26"/>
      <c r="K44" s="26"/>
    </row>
    <row r="45" spans="1:11" x14ac:dyDescent="0.2">
      <c r="A45" t="str">
        <f>$A$7</f>
        <v>Primary sector and utilities</v>
      </c>
      <c r="B45" s="26">
        <f>C7-B7</f>
        <v>3.520999999910309</v>
      </c>
      <c r="C45" s="26">
        <f>D7-C7</f>
        <v>1.2239999998914257</v>
      </c>
      <c r="D45" s="26">
        <f>E7-D7</f>
        <v>-1.3999999747916547E-2</v>
      </c>
      <c r="E45" s="26">
        <f>F7-E7</f>
        <v>0.35299999990217756</v>
      </c>
      <c r="F45" s="26">
        <f>F7-D7</f>
        <v>0.33900000015426102</v>
      </c>
      <c r="G45" s="26"/>
      <c r="H45" s="26"/>
      <c r="I45" s="26"/>
      <c r="J45" s="26"/>
      <c r="K45" s="26"/>
    </row>
    <row r="46" spans="1:11" x14ac:dyDescent="0.2">
      <c r="A46" t="str">
        <f>$A$8</f>
        <v>Manufacturing</v>
      </c>
      <c r="B46" s="26">
        <f t="shared" ref="B46:E52" si="16">C8-B8</f>
        <v>-11.086000000484603</v>
      </c>
      <c r="C46" s="26">
        <f>D8-C8</f>
        <v>-7.9789999999100445</v>
      </c>
      <c r="D46" s="26">
        <f t="shared" si="16"/>
        <v>-2.4859999992552133</v>
      </c>
      <c r="E46" s="26">
        <f t="shared" si="16"/>
        <v>-8.8700000009341835</v>
      </c>
      <c r="F46" s="26">
        <f t="shared" ref="F46:F52" si="17">F8-D8</f>
        <v>-11.356000000189397</v>
      </c>
      <c r="G46" s="26"/>
      <c r="H46" s="26"/>
      <c r="I46" s="26"/>
      <c r="J46" s="26"/>
      <c r="K46" s="26"/>
    </row>
    <row r="47" spans="1:11" x14ac:dyDescent="0.2">
      <c r="A47" t="str">
        <f>$A$9</f>
        <v>Construction</v>
      </c>
      <c r="B47" s="26">
        <f t="shared" si="16"/>
        <v>5.6840000008313467</v>
      </c>
      <c r="C47" s="26">
        <f t="shared" ref="C47:C50" si="18">D9-C9</f>
        <v>-3.5110000012866465</v>
      </c>
      <c r="D47" s="26">
        <f t="shared" si="16"/>
        <v>-2.2790000019467413</v>
      </c>
      <c r="E47" s="26">
        <f t="shared" si="16"/>
        <v>-0.52999999967065037</v>
      </c>
      <c r="F47" s="26">
        <f t="shared" si="17"/>
        <v>-2.8090000016173917</v>
      </c>
      <c r="G47" s="26"/>
      <c r="H47" s="26"/>
      <c r="I47" s="26"/>
      <c r="J47" s="26"/>
      <c r="K47" s="26"/>
    </row>
    <row r="48" spans="1:11" x14ac:dyDescent="0.2">
      <c r="A48" t="str">
        <f>$A$10</f>
        <v>Trade, accomod. and transport</v>
      </c>
      <c r="B48" s="26">
        <f t="shared" si="16"/>
        <v>14.866999994849664</v>
      </c>
      <c r="C48" s="26">
        <f t="shared" si="18"/>
        <v>-1.9129999993571687</v>
      </c>
      <c r="D48" s="26">
        <f t="shared" si="16"/>
        <v>3.9260000087286926</v>
      </c>
      <c r="E48" s="26">
        <f t="shared" si="16"/>
        <v>16.941999988999839</v>
      </c>
      <c r="F48" s="26">
        <f t="shared" si="17"/>
        <v>20.867999997728532</v>
      </c>
      <c r="G48" s="26"/>
      <c r="H48" s="26"/>
      <c r="I48" s="26"/>
      <c r="J48" s="26"/>
      <c r="K48" s="26"/>
    </row>
    <row r="49" spans="1:11" x14ac:dyDescent="0.2">
      <c r="A49" t="str">
        <f>$A$11</f>
        <v>Business and other services</v>
      </c>
      <c r="B49" s="26">
        <f t="shared" si="16"/>
        <v>-10.65199999986072</v>
      </c>
      <c r="C49" s="26">
        <f t="shared" si="18"/>
        <v>-7.2610000005067832</v>
      </c>
      <c r="D49" s="26">
        <f t="shared" si="16"/>
        <v>2.8640000042207703</v>
      </c>
      <c r="E49" s="26">
        <f t="shared" si="16"/>
        <v>14.718999998141442</v>
      </c>
      <c r="F49" s="26">
        <f t="shared" si="17"/>
        <v>17.583000002362212</v>
      </c>
      <c r="G49" s="26"/>
      <c r="H49" s="26"/>
      <c r="I49" s="26"/>
      <c r="J49" s="26"/>
      <c r="K49" s="26"/>
    </row>
    <row r="50" spans="1:11" x14ac:dyDescent="0.2">
      <c r="A50" t="str">
        <f>$A$12</f>
        <v>Non-marketed services</v>
      </c>
      <c r="B50" s="26">
        <f t="shared" si="16"/>
        <v>-15.168999996120363</v>
      </c>
      <c r="C50" s="26">
        <f t="shared" si="18"/>
        <v>13.911000000681213</v>
      </c>
      <c r="D50" s="26">
        <f t="shared" si="16"/>
        <v>17.425999988143019</v>
      </c>
      <c r="E50" s="26">
        <f t="shared" si="16"/>
        <v>19.60700001334186</v>
      </c>
      <c r="F50" s="26">
        <f t="shared" si="17"/>
        <v>37.033000001484879</v>
      </c>
      <c r="G50" s="26"/>
      <c r="H50" s="26"/>
      <c r="I50" s="26"/>
      <c r="J50" s="26"/>
      <c r="K50" s="26"/>
    </row>
    <row r="51" spans="1:11" x14ac:dyDescent="0.2">
      <c r="B51" s="26"/>
      <c r="C51" s="26"/>
      <c r="D51" s="26"/>
      <c r="E51" s="26"/>
      <c r="F51" s="26"/>
      <c r="H51" s="26"/>
      <c r="I51" s="26"/>
      <c r="J51" s="26"/>
    </row>
    <row r="52" spans="1:11" x14ac:dyDescent="0.2">
      <c r="A52" s="23" t="str">
        <f>$A$14</f>
        <v>All industries</v>
      </c>
      <c r="B52" s="28">
        <f>C14-B14</f>
        <v>-12.835000000874288</v>
      </c>
      <c r="C52" s="28">
        <f>D14-C14</f>
        <v>-5.5290000004879403</v>
      </c>
      <c r="D52" s="28">
        <f t="shared" si="16"/>
        <v>19.437000000142689</v>
      </c>
      <c r="E52" s="28">
        <f t="shared" si="16"/>
        <v>42.220999999780588</v>
      </c>
      <c r="F52" s="28">
        <f t="shared" si="17"/>
        <v>61.657999999923277</v>
      </c>
    </row>
  </sheetData>
  <phoneticPr fontId="4" type="noConversion"/>
  <pageMargins left="0.74803149606299213" right="0.74803149606299213" top="0.78740157480314965" bottom="0.78740157480314965" header="0.51181102362204722" footer="0.51181102362204722"/>
  <pageSetup paperSize="9" scale="69" orientation="portrait" r:id="rId1"/>
  <headerFooter alignWithMargins="0"/>
  <ignoredErrors>
    <ignoredError sqref="C32 C42:C43 C51" formula="1"/>
  </ignoredErrors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G113"/>
  <sheetViews>
    <sheetView showGridLines="0" zoomScale="85" zoomScaleNormal="85" workbookViewId="0"/>
  </sheetViews>
  <sheetFormatPr defaultRowHeight="12.75" x14ac:dyDescent="0.2"/>
  <cols>
    <col min="1" max="1" width="26.7109375" customWidth="1"/>
    <col min="2" max="6" width="11.7109375" customWidth="1"/>
  </cols>
  <sheetData>
    <row r="1" spans="1:7" ht="15.75" x14ac:dyDescent="0.25">
      <c r="A1" s="18" t="str">
        <f>CONCATENATE("Industry Table 2  Employment by Industry Group (SIC 2007), ",B$3,"-",F$3,", ",Info!B5)</f>
        <v>Industry Table 2  Employment by Industry Group (SIC 2007), 2015-2035, North East</v>
      </c>
    </row>
    <row r="2" spans="1:7" x14ac:dyDescent="0.2">
      <c r="A2" s="1" t="s">
        <v>532</v>
      </c>
    </row>
    <row r="3" spans="1:7" x14ac:dyDescent="0.2">
      <c r="A3" s="21"/>
      <c r="B3" s="22">
        <f>'Ind T3'!B3</f>
        <v>2015</v>
      </c>
      <c r="C3" s="22">
        <f>'Ind T3'!C3</f>
        <v>2019</v>
      </c>
      <c r="D3" s="22">
        <f>'Ind T3'!D3</f>
        <v>2020</v>
      </c>
      <c r="E3" s="22">
        <f>'Ind T3'!E3</f>
        <v>2025</v>
      </c>
      <c r="F3" s="22">
        <f>'Ind T3'!F3</f>
        <v>2035</v>
      </c>
    </row>
    <row r="4" spans="1:7" x14ac:dyDescent="0.2">
      <c r="A4" s="1" t="s">
        <v>13</v>
      </c>
    </row>
    <row r="5" spans="1:7" x14ac:dyDescent="0.2">
      <c r="A5" s="10" t="str">
        <f>name!B4</f>
        <v>Agriculture</v>
      </c>
      <c r="B5" s="11">
        <f t="array" ref="B5:B26">MMULT(aggregation!$B$3:$BX$24,'Ind T3'!B5:B79)</f>
        <v>7.5630000000325035</v>
      </c>
      <c r="C5" s="11">
        <f t="array" ref="C5:C26">MMULT(aggregation!$B$3:$BX$24,'Ind T3'!C5:C79)</f>
        <v>5.6520000000104469</v>
      </c>
      <c r="D5" s="11">
        <f t="array" ref="D5:D26">MMULT(aggregation!$B$3:$BX$24,'Ind T3'!D5:D79)</f>
        <v>5.4509999999013061</v>
      </c>
      <c r="E5" s="11">
        <f t="array" ref="E5:E26">MMULT(aggregation!$B$3:$BX$24,'Ind T3'!E5:E79)</f>
        <v>5.6419999998911603</v>
      </c>
      <c r="F5" s="11">
        <f t="array" ref="F5:F26">MMULT(aggregation!$B$3:$BX$24,'Ind T3'!F5:F79)</f>
        <v>5.7999999998997858</v>
      </c>
      <c r="G5" s="10"/>
    </row>
    <row r="6" spans="1:7" x14ac:dyDescent="0.2">
      <c r="A6" s="10" t="str">
        <f>name!B5</f>
        <v>Mining and quarrying</v>
      </c>
      <c r="B6" s="11">
        <v>2.1220000000001642</v>
      </c>
      <c r="C6" s="11">
        <v>1.4599999999974611</v>
      </c>
      <c r="D6" s="11">
        <v>1.8109999999980091</v>
      </c>
      <c r="E6" s="11">
        <v>1.5999999999931795</v>
      </c>
      <c r="F6" s="11">
        <v>1.3979999999938684</v>
      </c>
    </row>
    <row r="7" spans="1:7" x14ac:dyDescent="0.2">
      <c r="A7" s="10" t="str">
        <f>name!B6</f>
        <v>Food drink and tobacco</v>
      </c>
      <c r="B7" s="11">
        <v>11.212000000066105</v>
      </c>
      <c r="C7" s="11">
        <v>12.574999999921447</v>
      </c>
      <c r="D7" s="11">
        <v>12.08899999995249</v>
      </c>
      <c r="E7" s="11">
        <v>12.193000000237667</v>
      </c>
      <c r="F7" s="11">
        <v>11.836999999912951</v>
      </c>
      <c r="G7" s="11"/>
    </row>
    <row r="8" spans="1:7" x14ac:dyDescent="0.2">
      <c r="A8" s="10" t="str">
        <f>name!B7</f>
        <v>Engineering</v>
      </c>
      <c r="B8" s="11">
        <v>20.202999999951118</v>
      </c>
      <c r="C8" s="11">
        <v>17.826999999924137</v>
      </c>
      <c r="D8" s="11">
        <v>16.679999999939167</v>
      </c>
      <c r="E8" s="11">
        <v>17.218000000096591</v>
      </c>
      <c r="F8" s="11">
        <v>15.845999999941993</v>
      </c>
      <c r="G8" s="11"/>
    </row>
    <row r="9" spans="1:7" x14ac:dyDescent="0.2">
      <c r="A9" s="10" t="str">
        <f>name!B8</f>
        <v>Rest of manufacturing</v>
      </c>
      <c r="B9" s="11">
        <v>90.622000000107377</v>
      </c>
      <c r="C9" s="11">
        <v>80.54899999979439</v>
      </c>
      <c r="D9" s="11">
        <v>74.202999999838298</v>
      </c>
      <c r="E9" s="11">
        <v>71.075000000140477</v>
      </c>
      <c r="F9" s="11">
        <v>63.932999999685606</v>
      </c>
      <c r="G9" s="11"/>
    </row>
    <row r="10" spans="1:7" x14ac:dyDescent="0.2">
      <c r="A10" s="10" t="str">
        <f>name!B9</f>
        <v>Electricity and gas</v>
      </c>
      <c r="B10" s="11">
        <v>4.1479999999737878</v>
      </c>
      <c r="C10" s="11">
        <v>9.8579999999228942</v>
      </c>
      <c r="D10" s="11">
        <v>10.234999999929453</v>
      </c>
      <c r="E10" s="11">
        <v>10.067000000182878</v>
      </c>
      <c r="F10" s="11">
        <v>10.257000000087229</v>
      </c>
      <c r="G10" s="11"/>
    </row>
    <row r="11" spans="1:7" x14ac:dyDescent="0.2">
      <c r="A11" s="10" t="str">
        <f>name!B10</f>
        <v>Water and sewerage</v>
      </c>
      <c r="B11" s="11">
        <v>6.5030000000021211</v>
      </c>
      <c r="C11" s="11">
        <v>6.8869999999880784</v>
      </c>
      <c r="D11" s="11">
        <v>7.5839999999815433</v>
      </c>
      <c r="E11" s="11">
        <v>7.7579999999951719</v>
      </c>
      <c r="F11" s="11">
        <v>7.9649999999836893</v>
      </c>
      <c r="G11" s="11"/>
    </row>
    <row r="12" spans="1:7" x14ac:dyDescent="0.2">
      <c r="A12" s="10" t="str">
        <f>name!B11</f>
        <v>Construction</v>
      </c>
      <c r="B12" s="11">
        <v>66.990999999728743</v>
      </c>
      <c r="C12" s="11">
        <v>72.67500000056009</v>
      </c>
      <c r="D12" s="11">
        <v>69.163999999273443</v>
      </c>
      <c r="E12" s="11">
        <v>66.884999997326702</v>
      </c>
      <c r="F12" s="11">
        <v>66.354999997656051</v>
      </c>
      <c r="G12" s="11"/>
    </row>
    <row r="13" spans="1:7" x14ac:dyDescent="0.2">
      <c r="A13" s="10" t="str">
        <f>name!B12</f>
        <v>Wholesale and retail trade</v>
      </c>
      <c r="B13" s="11">
        <v>174.85700000374186</v>
      </c>
      <c r="C13" s="11">
        <v>170.39800000086126</v>
      </c>
      <c r="D13" s="11">
        <v>170.47000000101687</v>
      </c>
      <c r="E13" s="11">
        <v>169.38800000605769</v>
      </c>
      <c r="F13" s="11">
        <v>170.43699999908375</v>
      </c>
      <c r="G13" s="11"/>
    </row>
    <row r="14" spans="1:7" x14ac:dyDescent="0.2">
      <c r="A14" s="10" t="str">
        <f>name!B13</f>
        <v>Transport and storage</v>
      </c>
      <c r="B14" s="11">
        <v>50.688000000389223</v>
      </c>
      <c r="C14" s="11">
        <v>59.498999999342587</v>
      </c>
      <c r="D14" s="11">
        <v>61.093000000102208</v>
      </c>
      <c r="E14" s="11">
        <v>63.446000000786249</v>
      </c>
      <c r="F14" s="11">
        <v>63.739000000015331</v>
      </c>
      <c r="G14" s="11"/>
    </row>
    <row r="15" spans="1:7" x14ac:dyDescent="0.2">
      <c r="A15" s="10" t="str">
        <f>name!B14</f>
        <v>Accommodation and food</v>
      </c>
      <c r="B15" s="11">
        <v>85.956000001465156</v>
      </c>
      <c r="C15" s="11">
        <v>96.471000000242128</v>
      </c>
      <c r="D15" s="11">
        <v>92.891999999969698</v>
      </c>
      <c r="E15" s="11">
        <v>95.547000002973519</v>
      </c>
      <c r="F15" s="11">
        <v>111.1469999997182</v>
      </c>
      <c r="G15" s="11"/>
    </row>
    <row r="16" spans="1:7" x14ac:dyDescent="0.2">
      <c r="A16" s="10" t="str">
        <f>name!B15</f>
        <v>Media</v>
      </c>
      <c r="B16" s="11">
        <v>7.8250000000005127</v>
      </c>
      <c r="C16" s="11">
        <v>9.1439999999976802</v>
      </c>
      <c r="D16" s="11">
        <v>8.8949999999797313</v>
      </c>
      <c r="E16" s="11">
        <v>8.7439999999353368</v>
      </c>
      <c r="F16" s="11">
        <v>8.8840000000381973</v>
      </c>
      <c r="G16" s="11"/>
    </row>
    <row r="17" spans="1:7" x14ac:dyDescent="0.2">
      <c r="A17" s="10" t="str">
        <f>name!B16</f>
        <v>Information technology</v>
      </c>
      <c r="B17" s="11">
        <v>28.204999999688198</v>
      </c>
      <c r="C17" s="11">
        <v>29.431999999776014</v>
      </c>
      <c r="D17" s="11">
        <v>25.47499999979382</v>
      </c>
      <c r="E17" s="11">
        <v>27.810000000448838</v>
      </c>
      <c r="F17" s="11">
        <v>30.689000000358785</v>
      </c>
      <c r="G17" s="11"/>
    </row>
    <row r="18" spans="1:7" x14ac:dyDescent="0.2">
      <c r="A18" s="10" t="str">
        <f>name!B17</f>
        <v>Finance and insurance</v>
      </c>
      <c r="B18" s="11">
        <v>26.168999999849355</v>
      </c>
      <c r="C18" s="11">
        <v>24.832999999834982</v>
      </c>
      <c r="D18" s="11">
        <v>23.084999999885824</v>
      </c>
      <c r="E18" s="11">
        <v>23.889000000319875</v>
      </c>
      <c r="F18" s="11">
        <v>23.938000000099546</v>
      </c>
      <c r="G18" s="11"/>
    </row>
    <row r="19" spans="1:7" x14ac:dyDescent="0.2">
      <c r="A19" s="10" t="str">
        <f>name!B18</f>
        <v>Real estate</v>
      </c>
      <c r="B19" s="11">
        <v>17.609999999974573</v>
      </c>
      <c r="C19" s="11">
        <v>20.42399999993853</v>
      </c>
      <c r="D19" s="11">
        <v>18.573999999919479</v>
      </c>
      <c r="E19" s="11">
        <v>18.522000000260267</v>
      </c>
      <c r="F19" s="11">
        <v>21.197000000018889</v>
      </c>
      <c r="G19" s="11"/>
    </row>
    <row r="20" spans="1:7" x14ac:dyDescent="0.2">
      <c r="A20" s="10" t="str">
        <f>name!B19</f>
        <v>Professional services</v>
      </c>
      <c r="B20" s="11">
        <v>80.351999999048971</v>
      </c>
      <c r="C20" s="11">
        <v>68.207999999705365</v>
      </c>
      <c r="D20" s="11">
        <v>71.108999999742551</v>
      </c>
      <c r="E20" s="11">
        <v>73.075000001019859</v>
      </c>
      <c r="F20" s="11">
        <v>77.093000000910507</v>
      </c>
      <c r="G20" s="11"/>
    </row>
    <row r="21" spans="1:7" x14ac:dyDescent="0.2">
      <c r="A21" s="10" t="str">
        <f>name!B20</f>
        <v>Support services</v>
      </c>
      <c r="B21" s="11">
        <v>85.496000000568486</v>
      </c>
      <c r="C21" s="11">
        <v>89.171999999947857</v>
      </c>
      <c r="D21" s="11">
        <v>87.509999999800939</v>
      </c>
      <c r="E21" s="11">
        <v>89.225000000844602</v>
      </c>
      <c r="F21" s="11">
        <v>92.56599999963899</v>
      </c>
      <c r="G21" s="11"/>
    </row>
    <row r="22" spans="1:7" x14ac:dyDescent="0.2">
      <c r="A22" s="10" t="str">
        <f>name!B21</f>
        <v>Public admin. and defence</v>
      </c>
      <c r="B22" s="11">
        <v>67.457999999465031</v>
      </c>
      <c r="C22" s="11">
        <v>68.509999999851416</v>
      </c>
      <c r="D22" s="11">
        <v>70.491999999956889</v>
      </c>
      <c r="E22" s="11">
        <v>68.748000000034438</v>
      </c>
      <c r="F22" s="11">
        <v>69.499000000265639</v>
      </c>
      <c r="G22" s="11"/>
    </row>
    <row r="23" spans="1:7" x14ac:dyDescent="0.2">
      <c r="A23" s="10" t="str">
        <f>name!B22</f>
        <v>Education</v>
      </c>
      <c r="B23" s="11">
        <v>108.41699999992581</v>
      </c>
      <c r="C23" s="11">
        <v>107.63300000187928</v>
      </c>
      <c r="D23" s="11">
        <v>104.24300000191386</v>
      </c>
      <c r="E23" s="11">
        <v>110.93099999135777</v>
      </c>
      <c r="F23" s="11">
        <v>114.767000001966</v>
      </c>
      <c r="G23" s="11"/>
    </row>
    <row r="24" spans="1:7" x14ac:dyDescent="0.2">
      <c r="A24" s="10" t="str">
        <f>name!B23</f>
        <v>Health and social work</v>
      </c>
      <c r="B24" s="11">
        <v>191.98099999734154</v>
      </c>
      <c r="C24" s="11">
        <v>176.54399999888139</v>
      </c>
      <c r="D24" s="11">
        <v>191.86299999942253</v>
      </c>
      <c r="E24" s="11">
        <v>204.34499999804405</v>
      </c>
      <c r="F24" s="11">
        <v>219.36500000054656</v>
      </c>
      <c r="G24" s="11"/>
    </row>
    <row r="25" spans="1:7" x14ac:dyDescent="0.2">
      <c r="A25" s="10" t="str">
        <f>name!B24</f>
        <v>Arts and entertainment</v>
      </c>
      <c r="B25" s="11">
        <v>33.387000000208353</v>
      </c>
      <c r="C25" s="11">
        <v>34.839000000201779</v>
      </c>
      <c r="D25" s="11">
        <v>32.683000000148354</v>
      </c>
      <c r="E25" s="11">
        <v>33.741000000543238</v>
      </c>
      <c r="F25" s="11">
        <v>36.913000000295206</v>
      </c>
      <c r="G25" s="11"/>
    </row>
    <row r="26" spans="1:7" x14ac:dyDescent="0.2">
      <c r="A26" s="10" t="str">
        <f>name!B25</f>
        <v>Other services</v>
      </c>
      <c r="B26" s="11">
        <v>39.938000000123239</v>
      </c>
      <c r="C26" s="11">
        <v>32.278000000198759</v>
      </c>
      <c r="D26" s="11">
        <v>33.737999999823501</v>
      </c>
      <c r="E26" s="11">
        <v>28.926999999942918</v>
      </c>
      <c r="F26" s="11">
        <v>27.372000000096243</v>
      </c>
      <c r="G26" s="11"/>
    </row>
    <row r="27" spans="1:7" x14ac:dyDescent="0.2">
      <c r="B27" s="11"/>
      <c r="C27" s="11"/>
      <c r="D27" s="11"/>
      <c r="E27" s="11"/>
      <c r="F27" s="11"/>
      <c r="G27" s="11"/>
    </row>
    <row r="28" spans="1:7" x14ac:dyDescent="0.2">
      <c r="A28" s="10" t="str">
        <f>name!B3</f>
        <v>All industries</v>
      </c>
      <c r="B28" s="11">
        <f>SUM(B5:B26)</f>
        <v>1207.7030000016525</v>
      </c>
      <c r="C28" s="11">
        <f t="shared" ref="C28:F28" si="0">SUM(C5:C26)</f>
        <v>1194.8680000007782</v>
      </c>
      <c r="D28" s="11">
        <f t="shared" si="0"/>
        <v>1189.3390000002896</v>
      </c>
      <c r="E28" s="11">
        <f t="shared" si="0"/>
        <v>1208.7760000004325</v>
      </c>
      <c r="F28" s="11">
        <f t="shared" si="0"/>
        <v>1250.9970000002129</v>
      </c>
      <c r="G28" s="11"/>
    </row>
    <row r="29" spans="1:7" x14ac:dyDescent="0.2">
      <c r="B29" s="11"/>
      <c r="C29" s="11"/>
      <c r="D29" s="11"/>
      <c r="E29" s="11"/>
      <c r="F29" s="11"/>
      <c r="G29" s="11"/>
    </row>
    <row r="31" spans="1:7" x14ac:dyDescent="0.2">
      <c r="A31" s="40" t="s">
        <v>463</v>
      </c>
      <c r="B31" s="16">
        <f>B$3</f>
        <v>2015</v>
      </c>
      <c r="C31" s="16">
        <f>C$3</f>
        <v>2019</v>
      </c>
      <c r="D31" s="16">
        <f>D$3</f>
        <v>2020</v>
      </c>
      <c r="E31" s="16">
        <f>E$3</f>
        <v>2025</v>
      </c>
      <c r="F31" s="16">
        <f>F$3</f>
        <v>2035</v>
      </c>
      <c r="G31" s="11"/>
    </row>
    <row r="32" spans="1:7" x14ac:dyDescent="0.2">
      <c r="A32" t="str">
        <f>$A$5</f>
        <v>Agriculture</v>
      </c>
      <c r="B32" s="17">
        <f>B5/B$28*100</f>
        <v>0.62623012446124215</v>
      </c>
      <c r="C32" s="17">
        <f t="shared" ref="C32:E32" si="1">C5/C$28*100</f>
        <v>0.47302296153271872</v>
      </c>
      <c r="D32" s="17">
        <f t="shared" si="1"/>
        <v>0.45832180731481759</v>
      </c>
      <c r="E32" s="17">
        <f t="shared" si="1"/>
        <v>0.4667531453213119</v>
      </c>
      <c r="F32" s="17">
        <f>F5/F$28*100</f>
        <v>0.46363020853757431</v>
      </c>
    </row>
    <row r="33" spans="1:6" x14ac:dyDescent="0.2">
      <c r="A33" t="str">
        <f>$A$6</f>
        <v>Mining and quarrying</v>
      </c>
      <c r="B33" s="17">
        <f t="shared" ref="B33:F53" si="2">B6/B$28*100</f>
        <v>0.17570545076043204</v>
      </c>
      <c r="C33" s="17">
        <f t="shared" si="2"/>
        <v>0.12218922927022149</v>
      </c>
      <c r="D33" s="17">
        <f t="shared" si="2"/>
        <v>0.1522694538729133</v>
      </c>
      <c r="E33" s="17">
        <f t="shared" si="2"/>
        <v>0.13236530175918509</v>
      </c>
      <c r="F33" s="17">
        <f t="shared" si="2"/>
        <v>0.11175086750756641</v>
      </c>
    </row>
    <row r="34" spans="1:6" x14ac:dyDescent="0.2">
      <c r="A34" t="str">
        <f>$A$7</f>
        <v>Food drink and tobacco</v>
      </c>
      <c r="B34" s="17">
        <f t="shared" si="2"/>
        <v>0.92837394624760916</v>
      </c>
      <c r="C34" s="17">
        <f t="shared" si="2"/>
        <v>1.052417505524732</v>
      </c>
      <c r="D34" s="17">
        <f t="shared" si="2"/>
        <v>1.0164469507810259</v>
      </c>
      <c r="E34" s="17">
        <f t="shared" si="2"/>
        <v>1.0087063277425514</v>
      </c>
      <c r="F34" s="17">
        <f t="shared" si="2"/>
        <v>0.94620530664029867</v>
      </c>
    </row>
    <row r="35" spans="1:6" x14ac:dyDescent="0.2">
      <c r="A35" t="str">
        <f>$A$8</f>
        <v>Engineering</v>
      </c>
      <c r="B35" s="17">
        <f t="shared" si="2"/>
        <v>1.6728450620660438</v>
      </c>
      <c r="C35" s="17">
        <f t="shared" si="2"/>
        <v>1.4919639658868198</v>
      </c>
      <c r="D35" s="17">
        <f t="shared" si="2"/>
        <v>1.4024596855846065</v>
      </c>
      <c r="E35" s="17">
        <f t="shared" si="2"/>
        <v>1.4244161035700931</v>
      </c>
      <c r="F35" s="17">
        <f t="shared" si="2"/>
        <v>1.2666697042390427</v>
      </c>
    </row>
    <row r="36" spans="1:6" x14ac:dyDescent="0.2">
      <c r="A36" t="str">
        <f>$A$9</f>
        <v>Rest of manufacturing</v>
      </c>
      <c r="B36" s="17">
        <f t="shared" si="2"/>
        <v>7.5036660503437824</v>
      </c>
      <c r="C36" s="17">
        <f t="shared" si="2"/>
        <v>6.7412467318349751</v>
      </c>
      <c r="D36" s="17">
        <f t="shared" si="2"/>
        <v>6.239011753572381</v>
      </c>
      <c r="E36" s="17">
        <f t="shared" si="2"/>
        <v>5.879914889120486</v>
      </c>
      <c r="F36" s="17">
        <f t="shared" si="2"/>
        <v>5.1105638142757117</v>
      </c>
    </row>
    <row r="37" spans="1:6" x14ac:dyDescent="0.2">
      <c r="A37" t="str">
        <f>$A$10</f>
        <v>Electricity and gas</v>
      </c>
      <c r="B37" s="17">
        <f t="shared" si="2"/>
        <v>0.34346192730895853</v>
      </c>
      <c r="C37" s="17">
        <f t="shared" si="2"/>
        <v>0.82502837132775109</v>
      </c>
      <c r="D37" s="17">
        <f t="shared" si="2"/>
        <v>0.86056204328008767</v>
      </c>
      <c r="E37" s="17">
        <f t="shared" si="2"/>
        <v>0.83282593302475194</v>
      </c>
      <c r="F37" s="17">
        <f t="shared" si="2"/>
        <v>0.81990604294698421</v>
      </c>
    </row>
    <row r="38" spans="1:6" x14ac:dyDescent="0.2">
      <c r="A38" t="str">
        <f>$A$11</f>
        <v>Water and sewerage</v>
      </c>
      <c r="B38" s="17">
        <f t="shared" si="2"/>
        <v>0.53846020089320157</v>
      </c>
      <c r="C38" s="17">
        <f t="shared" si="2"/>
        <v>0.57638165889316584</v>
      </c>
      <c r="D38" s="17">
        <f t="shared" si="2"/>
        <v>0.63766512323060931</v>
      </c>
      <c r="E38" s="17">
        <f t="shared" si="2"/>
        <v>0.64180625690718507</v>
      </c>
      <c r="F38" s="17">
        <f t="shared" si="2"/>
        <v>0.63669217432034875</v>
      </c>
    </row>
    <row r="39" spans="1:6" x14ac:dyDescent="0.2">
      <c r="A39" t="str">
        <f>$A$12</f>
        <v>Construction</v>
      </c>
      <c r="B39" s="17">
        <f t="shared" si="2"/>
        <v>5.54697636750402</v>
      </c>
      <c r="C39" s="17">
        <f t="shared" si="2"/>
        <v>6.0822618063679634</v>
      </c>
      <c r="D39" s="17">
        <f t="shared" si="2"/>
        <v>5.8153310367571063</v>
      </c>
      <c r="E39" s="17">
        <f t="shared" si="2"/>
        <v>5.5332832549043633</v>
      </c>
      <c r="F39" s="17">
        <f t="shared" si="2"/>
        <v>5.3041693943026855</v>
      </c>
    </row>
    <row r="40" spans="1:6" x14ac:dyDescent="0.2">
      <c r="A40" t="str">
        <f>$A$13</f>
        <v>Wholesale and retail trade</v>
      </c>
      <c r="B40" s="17">
        <f t="shared" si="2"/>
        <v>14.478476910589988</v>
      </c>
      <c r="C40" s="17">
        <f t="shared" si="2"/>
        <v>14.260822115978526</v>
      </c>
      <c r="D40" s="17">
        <f t="shared" si="2"/>
        <v>14.333171618939206</v>
      </c>
      <c r="E40" s="17">
        <f t="shared" si="2"/>
        <v>14.013183584551403</v>
      </c>
      <c r="F40" s="17">
        <f t="shared" si="2"/>
        <v>13.624093423010187</v>
      </c>
    </row>
    <row r="41" spans="1:6" x14ac:dyDescent="0.2">
      <c r="A41" t="str">
        <f>$A$14</f>
        <v>Transport and storage</v>
      </c>
      <c r="B41" s="17">
        <f t="shared" si="2"/>
        <v>4.1970583827580015</v>
      </c>
      <c r="C41" s="17">
        <f t="shared" si="2"/>
        <v>4.9795458577268654</v>
      </c>
      <c r="D41" s="17">
        <f t="shared" si="2"/>
        <v>5.1367187992731536</v>
      </c>
      <c r="E41" s="17">
        <f t="shared" si="2"/>
        <v>5.2487805847207047</v>
      </c>
      <c r="F41" s="17">
        <f t="shared" si="2"/>
        <v>5.0950561831886478</v>
      </c>
    </row>
    <row r="42" spans="1:6" x14ac:dyDescent="0.2">
      <c r="A42" t="str">
        <f>$A$15</f>
        <v>Accommodation and food</v>
      </c>
      <c r="B42" s="17">
        <f t="shared" si="2"/>
        <v>7.117312783138531</v>
      </c>
      <c r="C42" s="17">
        <f t="shared" si="2"/>
        <v>8.0737788609435768</v>
      </c>
      <c r="D42" s="17">
        <f t="shared" si="2"/>
        <v>7.8103887957888443</v>
      </c>
      <c r="E42" s="17">
        <f t="shared" si="2"/>
        <v>7.904442179770224</v>
      </c>
      <c r="F42" s="17">
        <f t="shared" si="2"/>
        <v>8.8846735843250855</v>
      </c>
    </row>
    <row r="43" spans="1:6" x14ac:dyDescent="0.2">
      <c r="A43" t="str">
        <f>$A$16</f>
        <v>Media</v>
      </c>
      <c r="B43" s="17">
        <f t="shared" si="2"/>
        <v>0.64792419990592109</v>
      </c>
      <c r="C43" s="17">
        <f t="shared" si="2"/>
        <v>0.76527281674559233</v>
      </c>
      <c r="D43" s="17">
        <f t="shared" si="2"/>
        <v>0.74789441866259876</v>
      </c>
      <c r="E43" s="17">
        <f t="shared" si="2"/>
        <v>0.72337637411168054</v>
      </c>
      <c r="F43" s="17">
        <f t="shared" si="2"/>
        <v>0.71015358150632535</v>
      </c>
    </row>
    <row r="44" spans="1:6" x14ac:dyDescent="0.2">
      <c r="A44" t="str">
        <f>$A$17</f>
        <v>Information technology</v>
      </c>
      <c r="B44" s="17">
        <f t="shared" si="2"/>
        <v>2.3354251831493014</v>
      </c>
      <c r="C44" s="17">
        <f t="shared" si="2"/>
        <v>2.4632009560685235</v>
      </c>
      <c r="D44" s="17">
        <f t="shared" si="2"/>
        <v>2.1419460725485009</v>
      </c>
      <c r="E44" s="17">
        <f t="shared" si="2"/>
        <v>2.3006744012487745</v>
      </c>
      <c r="F44" s="17">
        <f t="shared" si="2"/>
        <v>2.4531633569347937</v>
      </c>
    </row>
    <row r="45" spans="1:6" x14ac:dyDescent="0.2">
      <c r="A45" t="str">
        <f>$A$18</f>
        <v>Finance and insurance</v>
      </c>
      <c r="B45" s="17">
        <f t="shared" si="2"/>
        <v>2.1668406884650904</v>
      </c>
      <c r="C45" s="17">
        <f t="shared" si="2"/>
        <v>2.0783048838715916</v>
      </c>
      <c r="D45" s="17">
        <f t="shared" si="2"/>
        <v>1.9409941152085486</v>
      </c>
      <c r="E45" s="17">
        <f t="shared" si="2"/>
        <v>1.9762966836131199</v>
      </c>
      <c r="F45" s="17">
        <f t="shared" si="2"/>
        <v>1.9135137814155809</v>
      </c>
    </row>
    <row r="46" spans="1:6" x14ac:dyDescent="0.2">
      <c r="A46" t="str">
        <f>$A$19</f>
        <v>Real estate</v>
      </c>
      <c r="B46" s="17">
        <f t="shared" si="2"/>
        <v>1.4581399565911881</v>
      </c>
      <c r="C46" s="17">
        <f t="shared" si="2"/>
        <v>1.7093101497341321</v>
      </c>
      <c r="D46" s="17">
        <f t="shared" si="2"/>
        <v>1.5617078057572278</v>
      </c>
      <c r="E46" s="17">
        <f t="shared" si="2"/>
        <v>1.5322938245178295</v>
      </c>
      <c r="F46" s="17">
        <f t="shared" si="2"/>
        <v>1.694408539749918</v>
      </c>
    </row>
    <row r="47" spans="1:6" x14ac:dyDescent="0.2">
      <c r="A47" s="10" t="str">
        <f>$A$20</f>
        <v>Professional services</v>
      </c>
      <c r="B47" s="17">
        <f t="shared" si="2"/>
        <v>6.6532914134467687</v>
      </c>
      <c r="C47" s="17">
        <f t="shared" si="2"/>
        <v>5.7084129794806575</v>
      </c>
      <c r="D47" s="17">
        <f t="shared" si="2"/>
        <v>5.978867253131801</v>
      </c>
      <c r="E47" s="17">
        <f t="shared" si="2"/>
        <v>6.0453715163929225</v>
      </c>
      <c r="F47" s="17">
        <f t="shared" si="2"/>
        <v>6.1625247703149881</v>
      </c>
    </row>
    <row r="48" spans="1:6" x14ac:dyDescent="0.2">
      <c r="A48" s="10" t="str">
        <f>$A$21</f>
        <v>Support services</v>
      </c>
      <c r="B48" s="17">
        <f t="shared" si="2"/>
        <v>7.0792239483094352</v>
      </c>
      <c r="C48" s="17">
        <f t="shared" si="2"/>
        <v>7.4629164058197039</v>
      </c>
      <c r="D48" s="17">
        <f t="shared" si="2"/>
        <v>7.3578685303163889</v>
      </c>
      <c r="E48" s="17">
        <f t="shared" si="2"/>
        <v>7.3814337810158932</v>
      </c>
      <c r="F48" s="17">
        <f t="shared" si="2"/>
        <v>7.3993782558729748</v>
      </c>
    </row>
    <row r="49" spans="1:6" x14ac:dyDescent="0.2">
      <c r="A49" s="10" t="str">
        <f>$A$22</f>
        <v>Public admin. and defence</v>
      </c>
      <c r="B49" s="17">
        <f t="shared" si="2"/>
        <v>5.5856448149398261</v>
      </c>
      <c r="C49" s="17">
        <f t="shared" si="2"/>
        <v>5.7336877378762168</v>
      </c>
      <c r="D49" s="17">
        <f t="shared" si="2"/>
        <v>5.9269896976337044</v>
      </c>
      <c r="E49" s="17">
        <f t="shared" si="2"/>
        <v>5.6874061033648786</v>
      </c>
      <c r="F49" s="17">
        <f t="shared" si="2"/>
        <v>5.5554889420401334</v>
      </c>
    </row>
    <row r="50" spans="1:6" x14ac:dyDescent="0.2">
      <c r="A50" s="10" t="str">
        <f>$A$23</f>
        <v>Education</v>
      </c>
      <c r="B50" s="17">
        <f t="shared" si="2"/>
        <v>8.9771243426386658</v>
      </c>
      <c r="C50" s="17">
        <f t="shared" si="2"/>
        <v>9.0079406262289368</v>
      </c>
      <c r="D50" s="17">
        <f t="shared" si="2"/>
        <v>8.7647844728785032</v>
      </c>
      <c r="E50" s="17">
        <f t="shared" si="2"/>
        <v>9.177134555229264</v>
      </c>
      <c r="F50" s="17">
        <f t="shared" si="2"/>
        <v>9.1740427836314939</v>
      </c>
    </row>
    <row r="51" spans="1:6" x14ac:dyDescent="0.2">
      <c r="A51" s="10" t="str">
        <f>$A$24</f>
        <v>Health and social work</v>
      </c>
      <c r="B51" s="17">
        <f t="shared" si="2"/>
        <v>15.896375184716677</v>
      </c>
      <c r="C51" s="17">
        <f t="shared" si="2"/>
        <v>14.775188556289597</v>
      </c>
      <c r="D51" s="17">
        <f t="shared" si="2"/>
        <v>16.131901837859164</v>
      </c>
      <c r="E51" s="17">
        <f t="shared" si="2"/>
        <v>16.90511724239817</v>
      </c>
      <c r="F51" s="17">
        <f t="shared" si="2"/>
        <v>17.535213913423391</v>
      </c>
    </row>
    <row r="52" spans="1:6" x14ac:dyDescent="0.2">
      <c r="A52" s="10" t="str">
        <f>$A$25</f>
        <v>Arts and entertainment</v>
      </c>
      <c r="B52" s="17">
        <f t="shared" si="2"/>
        <v>2.7645041868872289</v>
      </c>
      <c r="C52" s="17">
        <f t="shared" si="2"/>
        <v>2.9157195606693866</v>
      </c>
      <c r="D52" s="17">
        <f t="shared" si="2"/>
        <v>2.7479969966628852</v>
      </c>
      <c r="E52" s="17">
        <f t="shared" si="2"/>
        <v>2.7913360292172547</v>
      </c>
      <c r="F52" s="17">
        <f t="shared" si="2"/>
        <v>2.9506865324448359</v>
      </c>
    </row>
    <row r="53" spans="1:6" x14ac:dyDescent="0.2">
      <c r="A53" s="10" t="str">
        <f>$A$26</f>
        <v>Other services</v>
      </c>
      <c r="B53" s="17">
        <f t="shared" si="2"/>
        <v>3.3069388748780613</v>
      </c>
      <c r="C53" s="17">
        <f t="shared" si="2"/>
        <v>2.7013862619283251</v>
      </c>
      <c r="D53" s="17">
        <f t="shared" si="2"/>
        <v>2.8367017309459528</v>
      </c>
      <c r="E53" s="17">
        <f t="shared" si="2"/>
        <v>2.3930819274979456</v>
      </c>
      <c r="F53" s="17">
        <f t="shared" si="2"/>
        <v>2.1880148393714443</v>
      </c>
    </row>
    <row r="54" spans="1:6" x14ac:dyDescent="0.2">
      <c r="B54" s="17"/>
      <c r="C54" s="17"/>
      <c r="D54" s="17"/>
      <c r="E54" s="17"/>
      <c r="F54" s="17"/>
    </row>
    <row r="55" spans="1:6" x14ac:dyDescent="0.2">
      <c r="A55" s="23" t="str">
        <f>$A$28</f>
        <v>All industries</v>
      </c>
      <c r="B55" s="25">
        <f>B28/B$28*100</f>
        <v>100</v>
      </c>
      <c r="C55" s="25">
        <f>C28/C$28*100</f>
        <v>100</v>
      </c>
      <c r="D55" s="25">
        <f>D28/D$28*100</f>
        <v>100</v>
      </c>
      <c r="E55" s="25">
        <f>E28/E$28*100</f>
        <v>100</v>
      </c>
      <c r="F55" s="25">
        <f>F28/F$28*100</f>
        <v>100</v>
      </c>
    </row>
    <row r="56" spans="1:6" x14ac:dyDescent="0.2">
      <c r="B56" s="17"/>
      <c r="C56" s="17"/>
      <c r="D56" s="17"/>
      <c r="E56" s="17"/>
      <c r="F56" s="17"/>
    </row>
    <row r="57" spans="1:6" x14ac:dyDescent="0.2">
      <c r="B57" s="17"/>
      <c r="C57" s="17"/>
      <c r="D57" s="17"/>
      <c r="E57" s="17"/>
      <c r="F57" s="17"/>
    </row>
    <row r="58" spans="1:6" x14ac:dyDescent="0.2">
      <c r="B58" s="17"/>
      <c r="C58" s="17"/>
      <c r="D58" s="17"/>
      <c r="E58" s="17"/>
      <c r="F58" s="17"/>
    </row>
    <row r="59" spans="1:6" ht="15.75" x14ac:dyDescent="0.25">
      <c r="A59" s="18" t="str">
        <f>CONCATENATE(A1," (Continued)")</f>
        <v>Industry Table 2  Employment by Industry Group (SIC 2007), 2015-2035, North East (Continued)</v>
      </c>
      <c r="B59" s="17"/>
      <c r="C59" s="17"/>
      <c r="D59" s="17"/>
      <c r="E59" s="17"/>
      <c r="F59" s="17"/>
    </row>
    <row r="61" spans="1:6" x14ac:dyDescent="0.2">
      <c r="A61" s="21"/>
      <c r="B61" s="24" t="str">
        <f>CONCATENATE(B$3,"-",C$3)</f>
        <v>2015-2019</v>
      </c>
      <c r="C61" s="24" t="str">
        <f>CONCATENATE(C$3,"-",D$3)</f>
        <v>2019-2020</v>
      </c>
      <c r="D61" s="24" t="str">
        <f>CONCATENATE(D$3,"-",E$3)</f>
        <v>2020-2025</v>
      </c>
      <c r="E61" s="24" t="str">
        <f>CONCATENATE(E$3,"-",F$3)</f>
        <v>2025-2035</v>
      </c>
      <c r="F61" s="24" t="str">
        <f>CONCATENATE(D$3,"-",F$3)</f>
        <v>2020-2035</v>
      </c>
    </row>
    <row r="62" spans="1:6" x14ac:dyDescent="0.2">
      <c r="A62" s="27" t="s">
        <v>14</v>
      </c>
    </row>
    <row r="63" spans="1:6" x14ac:dyDescent="0.2">
      <c r="A63" t="str">
        <f>$A$5</f>
        <v>Agriculture</v>
      </c>
      <c r="B63" s="17">
        <f>IF(AND(C$3-B$3 &lt;&gt; 0,B5&lt;&gt;0,C5&lt;&gt;0),(EXP(LN(C5/B5)/(C$3-B$3))-1)*100,0)</f>
        <v>-7.0226822751157547</v>
      </c>
      <c r="C63" s="17">
        <f>IF(AND(D$3-C$3 &lt;&gt; 0,C5&lt;&gt;0,D5&lt;&gt;0),(EXP(LN(D5/C5)/(D$3-C$3))-1)*100,0)</f>
        <v>-3.556263271563509</v>
      </c>
      <c r="D63" s="17">
        <f t="shared" ref="B63:E78" si="3">IF(AND(E$3-D$3 &lt;&gt; 0,D5&lt;&gt;0,E5&lt;&gt;0),(EXP(LN(E5/D5)/(E$3-D$3))-1)*100,0)</f>
        <v>0.69116830880651126</v>
      </c>
      <c r="E63" s="17">
        <f t="shared" si="3"/>
        <v>0.27657481413745355</v>
      </c>
      <c r="F63" s="17">
        <f>IF(AND(F$3-D$3 &lt;&gt; 0,D5&lt;&gt;0,F5&lt;&gt;0),(EXP(LN(F5/D5)/(F$3-D$3))-1)*100,0)</f>
        <v>0.41458262232376697</v>
      </c>
    </row>
    <row r="64" spans="1:6" x14ac:dyDescent="0.2">
      <c r="A64" t="str">
        <f>$A$6</f>
        <v>Mining and quarrying</v>
      </c>
      <c r="B64" s="17">
        <f t="shared" si="3"/>
        <v>-8.9244360641197122</v>
      </c>
      <c r="C64" s="17">
        <f t="shared" ref="C64:C78" si="4">IF(AND(D$3-C$3 &lt;&gt; 0,C6&lt;&gt;0,D6&lt;&gt;0),(EXP(LN(D6/C6)/(D$3-C$3))-1)*100,0)</f>
        <v>24.041095890490304</v>
      </c>
      <c r="D64" s="17">
        <f t="shared" si="3"/>
        <v>-2.4470725793714343</v>
      </c>
      <c r="E64" s="17">
        <f t="shared" si="3"/>
        <v>-1.3405434533920735</v>
      </c>
      <c r="F64" s="17">
        <f t="shared" ref="F64:F86" si="5">IF(AND(F$3-D$3 &lt;&gt; 0,D6&lt;&gt;0,F6&lt;&gt;0),(EXP(LN(F6/D6)/(F$3-D$3))-1)*100,0)</f>
        <v>-1.7107740893458234</v>
      </c>
    </row>
    <row r="65" spans="1:6" x14ac:dyDescent="0.2">
      <c r="A65" t="str">
        <f>$A$7</f>
        <v>Food drink and tobacco</v>
      </c>
      <c r="B65" s="17">
        <f t="shared" si="3"/>
        <v>2.9096796218966769</v>
      </c>
      <c r="C65" s="17">
        <f t="shared" si="4"/>
        <v>-3.8648111329780743</v>
      </c>
      <c r="D65" s="17">
        <f t="shared" si="3"/>
        <v>0.17146820653244355</v>
      </c>
      <c r="E65" s="17">
        <f t="shared" si="3"/>
        <v>-0.29587938792906554</v>
      </c>
      <c r="F65" s="17">
        <f t="shared" si="5"/>
        <v>-0.14033962672496125</v>
      </c>
    </row>
    <row r="66" spans="1:6" x14ac:dyDescent="0.2">
      <c r="A66" t="str">
        <f>$A$8</f>
        <v>Engineering</v>
      </c>
      <c r="B66" s="17">
        <f t="shared" si="3"/>
        <v>-3.0795102160733001</v>
      </c>
      <c r="C66" s="17">
        <f t="shared" si="4"/>
        <v>-6.4340606943953045</v>
      </c>
      <c r="D66" s="17">
        <f t="shared" si="3"/>
        <v>0.63691878236433741</v>
      </c>
      <c r="E66" s="17">
        <f t="shared" si="3"/>
        <v>-0.82694430508042371</v>
      </c>
      <c r="F66" s="17">
        <f t="shared" si="5"/>
        <v>-0.34137129465912075</v>
      </c>
    </row>
    <row r="67" spans="1:6" x14ac:dyDescent="0.2">
      <c r="A67" t="str">
        <f>$A$9</f>
        <v>Rest of manufacturing</v>
      </c>
      <c r="B67" s="17">
        <f t="shared" si="3"/>
        <v>-2.9028175953278224</v>
      </c>
      <c r="C67" s="17">
        <f t="shared" si="4"/>
        <v>-7.8784342449593314</v>
      </c>
      <c r="D67" s="17">
        <f t="shared" si="3"/>
        <v>-0.85767922645355599</v>
      </c>
      <c r="E67" s="17">
        <f t="shared" si="3"/>
        <v>-1.0534123125111261</v>
      </c>
      <c r="F67" s="17">
        <f t="shared" si="5"/>
        <v>-0.98821092473546646</v>
      </c>
    </row>
    <row r="68" spans="1:6" x14ac:dyDescent="0.2">
      <c r="A68" t="str">
        <f>$A$10</f>
        <v>Electricity and gas</v>
      </c>
      <c r="B68" s="17">
        <f t="shared" si="3"/>
        <v>24.161661772506804</v>
      </c>
      <c r="C68" s="17">
        <f t="shared" si="4"/>
        <v>3.824305132983441</v>
      </c>
      <c r="D68" s="17">
        <f t="shared" si="3"/>
        <v>-0.33046219457822934</v>
      </c>
      <c r="E68" s="17">
        <f t="shared" si="3"/>
        <v>0.18715142576695154</v>
      </c>
      <c r="F68" s="17">
        <f t="shared" si="5"/>
        <v>1.4315559427879876E-2</v>
      </c>
    </row>
    <row r="69" spans="1:6" x14ac:dyDescent="0.2">
      <c r="A69" t="str">
        <f>$A$11</f>
        <v>Water and sewerage</v>
      </c>
      <c r="B69" s="17">
        <f t="shared" si="3"/>
        <v>1.4446346172186431</v>
      </c>
      <c r="C69" s="17">
        <f t="shared" si="4"/>
        <v>10.120516915851185</v>
      </c>
      <c r="D69" s="17">
        <f t="shared" si="3"/>
        <v>0.45470674931313848</v>
      </c>
      <c r="E69" s="17">
        <f t="shared" si="3"/>
        <v>0.26367074490962761</v>
      </c>
      <c r="F69" s="17">
        <f t="shared" si="5"/>
        <v>0.32730901270849877</v>
      </c>
    </row>
    <row r="70" spans="1:6" x14ac:dyDescent="0.2">
      <c r="A70" t="str">
        <f>$A$12</f>
        <v>Construction</v>
      </c>
      <c r="B70" s="17">
        <f t="shared" si="3"/>
        <v>2.0568465441312078</v>
      </c>
      <c r="C70" s="17">
        <f t="shared" si="4"/>
        <v>-4.8310973529543721</v>
      </c>
      <c r="D70" s="17">
        <f t="shared" si="3"/>
        <v>-0.66787512024921725</v>
      </c>
      <c r="E70" s="17">
        <f t="shared" si="3"/>
        <v>-7.9524471055303358E-2</v>
      </c>
      <c r="F70" s="17">
        <f t="shared" si="5"/>
        <v>-0.27602754268255536</v>
      </c>
    </row>
    <row r="71" spans="1:6" x14ac:dyDescent="0.2">
      <c r="A71" t="str">
        <f>$A$13</f>
        <v>Wholesale and retail trade</v>
      </c>
      <c r="B71" s="17">
        <f t="shared" si="3"/>
        <v>-0.6437097497363542</v>
      </c>
      <c r="C71" s="17">
        <f t="shared" si="4"/>
        <v>4.2254017157028478E-2</v>
      </c>
      <c r="D71" s="17">
        <f t="shared" si="3"/>
        <v>-0.12726668072150504</v>
      </c>
      <c r="E71" s="17">
        <f t="shared" si="3"/>
        <v>6.1756916511335191E-2</v>
      </c>
      <c r="F71" s="17">
        <f t="shared" si="5"/>
        <v>-1.2906663332756807E-3</v>
      </c>
    </row>
    <row r="72" spans="1:6" x14ac:dyDescent="0.2">
      <c r="A72" t="str">
        <f>$A$14</f>
        <v>Transport and storage</v>
      </c>
      <c r="B72" s="17">
        <f t="shared" si="3"/>
        <v>4.0881111822977045</v>
      </c>
      <c r="C72" s="17">
        <f t="shared" si="4"/>
        <v>2.6790366237705365</v>
      </c>
      <c r="D72" s="17">
        <f t="shared" si="3"/>
        <v>0.75870080102811155</v>
      </c>
      <c r="E72" s="17">
        <f t="shared" si="3"/>
        <v>4.608531312362274E-2</v>
      </c>
      <c r="F72" s="17">
        <f t="shared" si="5"/>
        <v>0.28306204486863162</v>
      </c>
    </row>
    <row r="73" spans="1:6" x14ac:dyDescent="0.2">
      <c r="A73" t="str">
        <f>$A$15</f>
        <v>Accommodation and food</v>
      </c>
      <c r="B73" s="17">
        <f t="shared" si="3"/>
        <v>2.9271969817403765</v>
      </c>
      <c r="C73" s="17">
        <f t="shared" si="4"/>
        <v>-3.7099231896253193</v>
      </c>
      <c r="D73" s="17">
        <f t="shared" si="3"/>
        <v>0.56520619777289394</v>
      </c>
      <c r="E73" s="17">
        <f t="shared" si="3"/>
        <v>1.523847703851966</v>
      </c>
      <c r="F73" s="17">
        <f t="shared" si="5"/>
        <v>1.2032894481447398</v>
      </c>
    </row>
    <row r="74" spans="1:6" x14ac:dyDescent="0.2">
      <c r="A74" t="str">
        <f>$A$16</f>
        <v>Media</v>
      </c>
      <c r="B74" s="17">
        <f t="shared" si="3"/>
        <v>3.9711787680861033</v>
      </c>
      <c r="C74" s="17">
        <f t="shared" si="4"/>
        <v>-2.7230971130578707</v>
      </c>
      <c r="D74" s="17">
        <f t="shared" si="3"/>
        <v>-0.34184577728639809</v>
      </c>
      <c r="E74" s="17">
        <f t="shared" si="3"/>
        <v>0.1589677717102056</v>
      </c>
      <c r="F74" s="17">
        <f t="shared" si="5"/>
        <v>-8.2490936038182028E-3</v>
      </c>
    </row>
    <row r="75" spans="1:6" x14ac:dyDescent="0.2">
      <c r="A75" t="str">
        <f>$A$17</f>
        <v>Information technology</v>
      </c>
      <c r="B75" s="17">
        <f t="shared" si="3"/>
        <v>1.0702680940908982</v>
      </c>
      <c r="C75" s="17">
        <f t="shared" si="4"/>
        <v>-13.444550149538969</v>
      </c>
      <c r="D75" s="17">
        <f t="shared" si="3"/>
        <v>1.7694340195765212</v>
      </c>
      <c r="E75" s="17">
        <f t="shared" si="3"/>
        <v>0.98995410453093236</v>
      </c>
      <c r="F75" s="17">
        <f t="shared" si="5"/>
        <v>1.2491151134933931</v>
      </c>
    </row>
    <row r="76" spans="1:6" x14ac:dyDescent="0.2">
      <c r="A76" t="str">
        <f>$A$18</f>
        <v>Finance and insurance</v>
      </c>
      <c r="B76" s="17">
        <f t="shared" si="3"/>
        <v>-1.3015084234586416</v>
      </c>
      <c r="C76" s="17">
        <f t="shared" si="4"/>
        <v>-7.0390206578374475</v>
      </c>
      <c r="D76" s="17">
        <f t="shared" si="3"/>
        <v>0.68705035594771591</v>
      </c>
      <c r="E76" s="17">
        <f t="shared" si="3"/>
        <v>2.0492624436752038E-2</v>
      </c>
      <c r="F76" s="17">
        <f t="shared" si="5"/>
        <v>0.24218678956147155</v>
      </c>
    </row>
    <row r="77" spans="1:6" x14ac:dyDescent="0.2">
      <c r="A77" t="str">
        <f>$A$19</f>
        <v>Real estate</v>
      </c>
      <c r="B77" s="17">
        <f t="shared" si="3"/>
        <v>3.7756259110830248</v>
      </c>
      <c r="C77" s="17">
        <f t="shared" si="4"/>
        <v>-9.0579710146132975</v>
      </c>
      <c r="D77" s="17">
        <f t="shared" si="3"/>
        <v>-5.6055055027459666E-2</v>
      </c>
      <c r="E77" s="17">
        <f t="shared" si="3"/>
        <v>1.3581445940184178</v>
      </c>
      <c r="F77" s="17">
        <f t="shared" si="5"/>
        <v>0.88453515462685317</v>
      </c>
    </row>
    <row r="78" spans="1:6" x14ac:dyDescent="0.2">
      <c r="A78" t="str">
        <f>$A$20</f>
        <v>Professional services</v>
      </c>
      <c r="B78" s="17">
        <f t="shared" si="3"/>
        <v>-4.0136105118165126</v>
      </c>
      <c r="C78" s="17">
        <f t="shared" si="4"/>
        <v>4.2531667840278509</v>
      </c>
      <c r="D78" s="17">
        <f t="shared" si="3"/>
        <v>0.54693827468619283</v>
      </c>
      <c r="E78" s="17">
        <f t="shared" si="3"/>
        <v>0.53669682768811011</v>
      </c>
      <c r="F78" s="17">
        <f t="shared" si="5"/>
        <v>0.54011052744145083</v>
      </c>
    </row>
    <row r="79" spans="1:6" x14ac:dyDescent="0.2">
      <c r="A79" s="10" t="str">
        <f>$A$21</f>
        <v>Support services</v>
      </c>
      <c r="B79" s="17">
        <f t="shared" ref="B79:B84" si="6">IF(AND(C$3-B$3 &lt;&gt; 0,B21&lt;&gt;0,C21&lt;&gt;0),(EXP(LN(C21/B21)/(C$3-B$3))-1)*100,0)</f>
        <v>1.0579950458502685</v>
      </c>
      <c r="C79" s="17">
        <f t="shared" ref="C79:C84" si="7">IF(AND(D$3-C$3 &lt;&gt; 0,C21&lt;&gt;0,D21&lt;&gt;0),(EXP(LN(D21/C21)/(D$3-C$3))-1)*100,0)</f>
        <v>-1.8638137533619203</v>
      </c>
      <c r="D79" s="17">
        <f t="shared" ref="D79:D84" si="8">IF(AND(E$3-D$3 &lt;&gt; 0,D21&lt;&gt;0,E21&lt;&gt;0),(EXP(LN(E21/D21)/(E$3-D$3))-1)*100,0)</f>
        <v>0.3889182687127013</v>
      </c>
      <c r="E79" s="17">
        <f t="shared" ref="E79:E84" si="9">IF(AND(F$3-E$3 &lt;&gt; 0,E21&lt;&gt;0,F21&lt;&gt;0),(EXP(LN(F21/E21)/(F$3-E$3))-1)*100,0)</f>
        <v>0.36828284293870528</v>
      </c>
      <c r="F79" s="17">
        <f t="shared" si="5"/>
        <v>0.37516084685238482</v>
      </c>
    </row>
    <row r="80" spans="1:6" x14ac:dyDescent="0.2">
      <c r="A80" s="10" t="str">
        <f>$A$22</f>
        <v>Public admin. and defence</v>
      </c>
      <c r="B80" s="17">
        <f t="shared" si="6"/>
        <v>0.38761273319132261</v>
      </c>
      <c r="C80" s="17">
        <f t="shared" si="7"/>
        <v>2.8930083201135215</v>
      </c>
      <c r="D80" s="17">
        <f t="shared" si="8"/>
        <v>-0.4997785897437268</v>
      </c>
      <c r="E80" s="17">
        <f t="shared" si="9"/>
        <v>0.10870623010668101</v>
      </c>
      <c r="F80" s="17">
        <f t="shared" si="5"/>
        <v>-9.4534382869071454E-2</v>
      </c>
    </row>
    <row r="81" spans="1:6" x14ac:dyDescent="0.2">
      <c r="A81" s="10" t="str">
        <f>$A$23</f>
        <v>Education</v>
      </c>
      <c r="B81" s="17">
        <f t="shared" si="6"/>
        <v>-0.18127577419465579</v>
      </c>
      <c r="C81" s="17">
        <f t="shared" si="7"/>
        <v>-3.149591667895757</v>
      </c>
      <c r="D81" s="17">
        <f t="shared" si="8"/>
        <v>1.2514392622389625</v>
      </c>
      <c r="E81" s="17">
        <f t="shared" si="9"/>
        <v>0.34053450384337047</v>
      </c>
      <c r="F81" s="17">
        <f t="shared" si="5"/>
        <v>0.64325521662738083</v>
      </c>
    </row>
    <row r="82" spans="1:6" x14ac:dyDescent="0.2">
      <c r="A82" s="10" t="str">
        <f>$A$24</f>
        <v>Health and social work</v>
      </c>
      <c r="B82" s="17">
        <f t="shared" si="6"/>
        <v>-2.0738504995497231</v>
      </c>
      <c r="C82" s="17">
        <f t="shared" si="7"/>
        <v>8.6771569697289053</v>
      </c>
      <c r="D82" s="17">
        <f t="shared" si="8"/>
        <v>1.26854191349135</v>
      </c>
      <c r="E82" s="17">
        <f t="shared" si="9"/>
        <v>0.71179396866518641</v>
      </c>
      <c r="F82" s="17">
        <f t="shared" si="5"/>
        <v>0.89703568831791536</v>
      </c>
    </row>
    <row r="83" spans="1:6" x14ac:dyDescent="0.2">
      <c r="A83" s="10" t="str">
        <f>$A$25</f>
        <v>Arts and entertainment</v>
      </c>
      <c r="B83" s="17">
        <f>IF(AND(C$3-B$3 &lt;&gt; 0,B25&lt;&gt;0,C25&lt;&gt;0),(EXP(LN(C25/B25)/(C$3-B$3))-1)*100,0)</f>
        <v>1.0699546670316362</v>
      </c>
      <c r="C83" s="17">
        <f t="shared" si="7"/>
        <v>-6.1884669480781191</v>
      </c>
      <c r="D83" s="17">
        <f t="shared" si="8"/>
        <v>0.63920726661748084</v>
      </c>
      <c r="E83" s="17">
        <f t="shared" si="9"/>
        <v>0.90254940906500103</v>
      </c>
      <c r="F83" s="17">
        <f t="shared" si="5"/>
        <v>0.81469221869561181</v>
      </c>
    </row>
    <row r="84" spans="1:6" x14ac:dyDescent="0.2">
      <c r="A84" s="10" t="str">
        <f>$A$26</f>
        <v>Other services</v>
      </c>
      <c r="B84" s="17">
        <f t="shared" si="6"/>
        <v>-5.1843391945487376</v>
      </c>
      <c r="C84" s="17">
        <f t="shared" si="7"/>
        <v>4.5232046583299823</v>
      </c>
      <c r="D84" s="17">
        <f t="shared" si="8"/>
        <v>-3.0301302335023816</v>
      </c>
      <c r="E84" s="17">
        <f t="shared" si="9"/>
        <v>-0.5510244794087793</v>
      </c>
      <c r="F84" s="17">
        <f t="shared" si="5"/>
        <v>-1.3843564590900193</v>
      </c>
    </row>
    <row r="85" spans="1:6" x14ac:dyDescent="0.2">
      <c r="B85" s="17"/>
      <c r="C85" s="17"/>
      <c r="D85" s="17"/>
      <c r="E85" s="17"/>
      <c r="F85" s="17"/>
    </row>
    <row r="86" spans="1:6" x14ac:dyDescent="0.2">
      <c r="A86" t="str">
        <f>$A$28</f>
        <v>All industries</v>
      </c>
      <c r="B86" s="17">
        <f>IF(AND(C$3-B$3 &lt;&gt; 0,B28&lt;&gt;0,C28&lt;&gt;0),(EXP(LN(C28/B28)/(C$3-B$3))-1)*100,0)</f>
        <v>-0.26675580585351355</v>
      </c>
      <c r="C86" s="17">
        <f>IF(AND(D$3-C$3 &lt;&gt; 0,C28&lt;&gt;0,D28&lt;&gt;0),(EXP(LN(D28/C28)/(D$3-C$3))-1)*100,0)</f>
        <v>-0.46272893746296395</v>
      </c>
      <c r="D86" s="17">
        <f>IF(AND(E$3-D$3 &lt;&gt; 0,D28&lt;&gt;0,E28&lt;&gt;0),(EXP(LN(E28/D28)/(E$3-D$3))-1)*100,0)</f>
        <v>0.32473787001081611</v>
      </c>
      <c r="E86" s="17">
        <f>IF(AND(F$3-E$3 &lt;&gt; 0,E28&lt;&gt;0,F28&lt;&gt;0),(EXP(LN(F28/E28)/(F$3-E$3))-1)*100,0)</f>
        <v>0.34391559747728451</v>
      </c>
      <c r="F86" s="17">
        <f t="shared" si="5"/>
        <v>0.33752261436221787</v>
      </c>
    </row>
    <row r="89" spans="1:6" x14ac:dyDescent="0.2">
      <c r="A89" s="1" t="s">
        <v>15</v>
      </c>
      <c r="B89" s="19" t="str">
        <f>CONCATENATE(B$3,"-",C$3)</f>
        <v>2015-2019</v>
      </c>
      <c r="C89" s="19" t="str">
        <f>CONCATENATE(C$3,"-",D$3)</f>
        <v>2019-2020</v>
      </c>
      <c r="D89" s="19" t="str">
        <f>CONCATENATE(D$3,"-",E$3)</f>
        <v>2020-2025</v>
      </c>
      <c r="E89" s="19" t="str">
        <f>CONCATENATE(E$3,"-",F$3)</f>
        <v>2025-2035</v>
      </c>
      <c r="F89" s="19" t="str">
        <f>CONCATENATE(D$3,"-",F$3)</f>
        <v>2020-2035</v>
      </c>
    </row>
    <row r="90" spans="1:6" x14ac:dyDescent="0.2">
      <c r="A90" t="str">
        <f>$A$5</f>
        <v>Agriculture</v>
      </c>
      <c r="B90" s="26">
        <f t="shared" ref="B90:E105" si="10">C5-B5</f>
        <v>-1.9110000000220566</v>
      </c>
      <c r="C90" s="26">
        <f>D5-C5</f>
        <v>-0.20100000010914076</v>
      </c>
      <c r="D90" s="26">
        <f t="shared" si="10"/>
        <v>0.19099999998985417</v>
      </c>
      <c r="E90" s="26">
        <f t="shared" si="10"/>
        <v>0.15800000000862546</v>
      </c>
      <c r="F90" s="26">
        <f>F5-D5</f>
        <v>0.34899999999847964</v>
      </c>
    </row>
    <row r="91" spans="1:6" x14ac:dyDescent="0.2">
      <c r="A91" t="str">
        <f>$A$6</f>
        <v>Mining and quarrying</v>
      </c>
      <c r="B91" s="26">
        <f t="shared" si="10"/>
        <v>-0.66200000000270309</v>
      </c>
      <c r="C91" s="26">
        <f t="shared" ref="C91:C105" si="11">D6-C6</f>
        <v>0.35100000000054798</v>
      </c>
      <c r="D91" s="26">
        <f t="shared" si="10"/>
        <v>-0.21100000000482955</v>
      </c>
      <c r="E91" s="26">
        <f t="shared" si="10"/>
        <v>-0.20199999999931118</v>
      </c>
      <c r="F91" s="26">
        <f t="shared" ref="F91:F113" si="12">F6-D6</f>
        <v>-0.41300000000414072</v>
      </c>
    </row>
    <row r="92" spans="1:6" x14ac:dyDescent="0.2">
      <c r="A92" t="str">
        <f>$A$7</f>
        <v>Food drink and tobacco</v>
      </c>
      <c r="B92" s="26">
        <f t="shared" si="10"/>
        <v>1.3629999998553419</v>
      </c>
      <c r="C92" s="26">
        <f t="shared" si="11"/>
        <v>-0.48599999996895704</v>
      </c>
      <c r="D92" s="26">
        <f t="shared" si="10"/>
        <v>0.10400000028517731</v>
      </c>
      <c r="E92" s="26">
        <f t="shared" si="10"/>
        <v>-0.35600000032471613</v>
      </c>
      <c r="F92" s="26">
        <f t="shared" si="12"/>
        <v>-0.25200000003953882</v>
      </c>
    </row>
    <row r="93" spans="1:6" x14ac:dyDescent="0.2">
      <c r="A93" t="str">
        <f>$A$8</f>
        <v>Engineering</v>
      </c>
      <c r="B93" s="26">
        <f t="shared" si="10"/>
        <v>-2.3760000000269805</v>
      </c>
      <c r="C93" s="26">
        <f t="shared" si="11"/>
        <v>-1.1469999999849705</v>
      </c>
      <c r="D93" s="26">
        <f t="shared" si="10"/>
        <v>0.53800000015742455</v>
      </c>
      <c r="E93" s="26">
        <f t="shared" si="10"/>
        <v>-1.372000000154598</v>
      </c>
      <c r="F93" s="26">
        <f t="shared" si="12"/>
        <v>-0.83399999999717345</v>
      </c>
    </row>
    <row r="94" spans="1:6" x14ac:dyDescent="0.2">
      <c r="A94" t="str">
        <f>$A$9</f>
        <v>Rest of manufacturing</v>
      </c>
      <c r="B94" s="26">
        <f t="shared" si="10"/>
        <v>-10.073000000312987</v>
      </c>
      <c r="C94" s="26">
        <f t="shared" si="11"/>
        <v>-6.3459999999560921</v>
      </c>
      <c r="D94" s="26">
        <f t="shared" si="10"/>
        <v>-3.1279999996978205</v>
      </c>
      <c r="E94" s="26">
        <f t="shared" si="10"/>
        <v>-7.1420000004548712</v>
      </c>
      <c r="F94" s="26">
        <f t="shared" si="12"/>
        <v>-10.270000000152692</v>
      </c>
    </row>
    <row r="95" spans="1:6" x14ac:dyDescent="0.2">
      <c r="A95" t="str">
        <f>$A$10</f>
        <v>Electricity and gas</v>
      </c>
      <c r="B95" s="26">
        <f t="shared" si="10"/>
        <v>5.7099999999491065</v>
      </c>
      <c r="C95" s="26">
        <f t="shared" si="11"/>
        <v>0.37700000000655898</v>
      </c>
      <c r="D95" s="26">
        <f t="shared" si="10"/>
        <v>-0.16799999974657531</v>
      </c>
      <c r="E95" s="26">
        <f t="shared" si="10"/>
        <v>0.18999999990435157</v>
      </c>
      <c r="F95" s="26">
        <f t="shared" si="12"/>
        <v>2.2000000157776256E-2</v>
      </c>
    </row>
    <row r="96" spans="1:6" x14ac:dyDescent="0.2">
      <c r="A96" t="str">
        <f>$A$11</f>
        <v>Water and sewerage</v>
      </c>
      <c r="B96" s="26">
        <f t="shared" si="10"/>
        <v>0.38399999998595735</v>
      </c>
      <c r="C96" s="26">
        <f t="shared" si="11"/>
        <v>0.69699999999346485</v>
      </c>
      <c r="D96" s="26">
        <f t="shared" si="10"/>
        <v>0.17400000001362859</v>
      </c>
      <c r="E96" s="26">
        <f t="shared" si="10"/>
        <v>0.20699999998851748</v>
      </c>
      <c r="F96" s="26">
        <f t="shared" si="12"/>
        <v>0.38100000000214607</v>
      </c>
    </row>
    <row r="97" spans="1:6" x14ac:dyDescent="0.2">
      <c r="A97" t="str">
        <f>$A$12</f>
        <v>Construction</v>
      </c>
      <c r="B97" s="26">
        <f t="shared" si="10"/>
        <v>5.6840000008313467</v>
      </c>
      <c r="C97" s="26">
        <f t="shared" si="11"/>
        <v>-3.5110000012866465</v>
      </c>
      <c r="D97" s="26">
        <f t="shared" si="10"/>
        <v>-2.2790000019467413</v>
      </c>
      <c r="E97" s="26">
        <f t="shared" si="10"/>
        <v>-0.52999999967065037</v>
      </c>
      <c r="F97" s="26">
        <f t="shared" si="12"/>
        <v>-2.8090000016173917</v>
      </c>
    </row>
    <row r="98" spans="1:6" x14ac:dyDescent="0.2">
      <c r="A98" t="str">
        <f>$A$13</f>
        <v>Wholesale and retail trade</v>
      </c>
      <c r="B98" s="26">
        <f t="shared" si="10"/>
        <v>-4.4590000028806003</v>
      </c>
      <c r="C98" s="26">
        <f t="shared" si="11"/>
        <v>7.2000000155611588E-2</v>
      </c>
      <c r="D98" s="26">
        <f t="shared" si="10"/>
        <v>-1.0819999949591761</v>
      </c>
      <c r="E98" s="26">
        <f t="shared" si="10"/>
        <v>1.0489999930260581</v>
      </c>
      <c r="F98" s="26">
        <f t="shared" si="12"/>
        <v>-3.3000001933118028E-2</v>
      </c>
    </row>
    <row r="99" spans="1:6" x14ac:dyDescent="0.2">
      <c r="A99" t="str">
        <f>$A$14</f>
        <v>Transport and storage</v>
      </c>
      <c r="B99" s="26">
        <f t="shared" si="10"/>
        <v>8.8109999989533634</v>
      </c>
      <c r="C99" s="26">
        <f t="shared" si="11"/>
        <v>1.5940000007596211</v>
      </c>
      <c r="D99" s="26">
        <f t="shared" si="10"/>
        <v>2.353000000684041</v>
      </c>
      <c r="E99" s="26">
        <f t="shared" si="10"/>
        <v>0.29299999922908171</v>
      </c>
      <c r="F99" s="26">
        <f t="shared" si="12"/>
        <v>2.6459999999131227</v>
      </c>
    </row>
    <row r="100" spans="1:6" x14ac:dyDescent="0.2">
      <c r="A100" t="str">
        <f>$A$15</f>
        <v>Accommodation and food</v>
      </c>
      <c r="B100" s="26">
        <f t="shared" si="10"/>
        <v>10.514999998776972</v>
      </c>
      <c r="C100" s="26">
        <f t="shared" si="11"/>
        <v>-3.5790000002724298</v>
      </c>
      <c r="D100" s="26">
        <f t="shared" si="10"/>
        <v>2.6550000030038206</v>
      </c>
      <c r="E100" s="26">
        <f t="shared" si="10"/>
        <v>15.599999996744685</v>
      </c>
      <c r="F100" s="26">
        <f t="shared" si="12"/>
        <v>18.254999999748506</v>
      </c>
    </row>
    <row r="101" spans="1:6" x14ac:dyDescent="0.2">
      <c r="A101" t="str">
        <f>$A$16</f>
        <v>Media</v>
      </c>
      <c r="B101" s="26">
        <f t="shared" si="10"/>
        <v>1.3189999999971675</v>
      </c>
      <c r="C101" s="26">
        <f t="shared" si="11"/>
        <v>-0.24900000001794886</v>
      </c>
      <c r="D101" s="26">
        <f t="shared" si="10"/>
        <v>-0.15100000004439451</v>
      </c>
      <c r="E101" s="26">
        <f t="shared" si="10"/>
        <v>0.14000000010286051</v>
      </c>
      <c r="F101" s="26">
        <f t="shared" si="12"/>
        <v>-1.0999999941534E-2</v>
      </c>
    </row>
    <row r="102" spans="1:6" x14ac:dyDescent="0.2">
      <c r="A102" t="str">
        <f>$A$17</f>
        <v>Information technology</v>
      </c>
      <c r="B102" s="26">
        <f t="shared" si="10"/>
        <v>1.2270000000878163</v>
      </c>
      <c r="C102" s="26">
        <f t="shared" si="11"/>
        <v>-3.9569999999821945</v>
      </c>
      <c r="D102" s="26">
        <f t="shared" si="10"/>
        <v>2.3350000006550182</v>
      </c>
      <c r="E102" s="26">
        <f t="shared" si="10"/>
        <v>2.8789999999099471</v>
      </c>
      <c r="F102" s="26">
        <f t="shared" si="12"/>
        <v>5.2140000005649654</v>
      </c>
    </row>
    <row r="103" spans="1:6" x14ac:dyDescent="0.2">
      <c r="A103" t="str">
        <f>$A$18</f>
        <v>Finance and insurance</v>
      </c>
      <c r="B103" s="26">
        <f t="shared" si="10"/>
        <v>-1.3360000000143728</v>
      </c>
      <c r="C103" s="26">
        <f t="shared" si="11"/>
        <v>-1.7479999999491582</v>
      </c>
      <c r="D103" s="26">
        <f t="shared" si="10"/>
        <v>0.80400000043405129</v>
      </c>
      <c r="E103" s="26">
        <f t="shared" si="10"/>
        <v>4.8999999779670844E-2</v>
      </c>
      <c r="F103" s="26">
        <f t="shared" si="12"/>
        <v>0.85300000021372213</v>
      </c>
    </row>
    <row r="104" spans="1:6" x14ac:dyDescent="0.2">
      <c r="A104" t="str">
        <f>$A$19</f>
        <v>Real estate</v>
      </c>
      <c r="B104" s="26">
        <f t="shared" si="10"/>
        <v>2.8139999999639578</v>
      </c>
      <c r="C104" s="26">
        <f t="shared" si="11"/>
        <v>-1.8500000000190511</v>
      </c>
      <c r="D104" s="26">
        <f t="shared" si="10"/>
        <v>-5.1999999659212648E-2</v>
      </c>
      <c r="E104" s="26">
        <f t="shared" si="10"/>
        <v>2.6749999997586222</v>
      </c>
      <c r="F104" s="26">
        <f t="shared" si="12"/>
        <v>2.6230000000994096</v>
      </c>
    </row>
    <row r="105" spans="1:6" x14ac:dyDescent="0.2">
      <c r="A105" t="str">
        <f>$A$20</f>
        <v>Professional services</v>
      </c>
      <c r="B105" s="26">
        <f t="shared" si="10"/>
        <v>-12.143999999343606</v>
      </c>
      <c r="C105" s="26">
        <f t="shared" si="11"/>
        <v>2.9010000000371861</v>
      </c>
      <c r="D105" s="26">
        <f t="shared" si="10"/>
        <v>1.9660000012773082</v>
      </c>
      <c r="E105" s="26">
        <f t="shared" si="10"/>
        <v>4.0179999998906482</v>
      </c>
      <c r="F105" s="26">
        <f t="shared" si="12"/>
        <v>5.9840000011679564</v>
      </c>
    </row>
    <row r="106" spans="1:6" x14ac:dyDescent="0.2">
      <c r="A106" s="10" t="str">
        <f>$A$21</f>
        <v>Support services</v>
      </c>
      <c r="B106" s="26">
        <f t="shared" ref="B106:B111" si="13">C21-B21</f>
        <v>3.6759999993793713</v>
      </c>
      <c r="C106" s="26">
        <f t="shared" ref="C106:C111" si="14">D21-C21</f>
        <v>-1.662000000146918</v>
      </c>
      <c r="D106" s="26">
        <f t="shared" ref="D106:D111" si="15">E21-D21</f>
        <v>1.7150000010436628</v>
      </c>
      <c r="E106" s="26">
        <f t="shared" ref="E106:E111" si="16">F21-E21</f>
        <v>3.3409999987943877</v>
      </c>
      <c r="F106" s="26">
        <f t="shared" si="12"/>
        <v>5.0559999998380505</v>
      </c>
    </row>
    <row r="107" spans="1:6" x14ac:dyDescent="0.2">
      <c r="A107" s="10" t="str">
        <f>$A$22</f>
        <v>Public admin. and defence</v>
      </c>
      <c r="B107" s="26">
        <f t="shared" si="13"/>
        <v>1.0520000003863856</v>
      </c>
      <c r="C107" s="26">
        <f t="shared" si="14"/>
        <v>1.9820000001054723</v>
      </c>
      <c r="D107" s="26">
        <f t="shared" si="15"/>
        <v>-1.7439999999224511</v>
      </c>
      <c r="E107" s="26">
        <f t="shared" si="16"/>
        <v>0.75100000023120117</v>
      </c>
      <c r="F107" s="26">
        <f t="shared" si="12"/>
        <v>-0.99299999969124997</v>
      </c>
    </row>
    <row r="108" spans="1:6" x14ac:dyDescent="0.2">
      <c r="A108" s="10" t="str">
        <f>$A$23</f>
        <v>Education</v>
      </c>
      <c r="B108" s="26">
        <f t="shared" si="13"/>
        <v>-0.78399999804652509</v>
      </c>
      <c r="C108" s="26">
        <f t="shared" si="14"/>
        <v>-3.3899999999654256</v>
      </c>
      <c r="D108" s="26">
        <f t="shared" si="15"/>
        <v>6.6879999894439095</v>
      </c>
      <c r="E108" s="26">
        <f t="shared" si="16"/>
        <v>3.836000010608231</v>
      </c>
      <c r="F108" s="26">
        <f t="shared" si="12"/>
        <v>10.524000000052141</v>
      </c>
    </row>
    <row r="109" spans="1:6" x14ac:dyDescent="0.2">
      <c r="A109" s="10" t="str">
        <f>$A$24</f>
        <v>Health and social work</v>
      </c>
      <c r="B109" s="26">
        <f t="shared" si="13"/>
        <v>-15.436999998460152</v>
      </c>
      <c r="C109" s="26">
        <f t="shared" si="14"/>
        <v>15.319000000541138</v>
      </c>
      <c r="D109" s="26">
        <f t="shared" si="15"/>
        <v>12.481999998621518</v>
      </c>
      <c r="E109" s="26">
        <f t="shared" si="16"/>
        <v>15.020000002502513</v>
      </c>
      <c r="F109" s="26">
        <f t="shared" si="12"/>
        <v>27.502000001124031</v>
      </c>
    </row>
    <row r="110" spans="1:6" x14ac:dyDescent="0.2">
      <c r="A110" s="10" t="str">
        <f>$A$25</f>
        <v>Arts and entertainment</v>
      </c>
      <c r="B110" s="26">
        <f t="shared" si="13"/>
        <v>1.4519999999934257</v>
      </c>
      <c r="C110" s="26">
        <f t="shared" si="14"/>
        <v>-2.1560000000534245</v>
      </c>
      <c r="D110" s="26">
        <f t="shared" si="15"/>
        <v>1.058000000394884</v>
      </c>
      <c r="E110" s="26">
        <f t="shared" si="16"/>
        <v>3.1719999997519679</v>
      </c>
      <c r="F110" s="26">
        <f t="shared" si="12"/>
        <v>4.2300000001468518</v>
      </c>
    </row>
    <row r="111" spans="1:6" x14ac:dyDescent="0.2">
      <c r="A111" s="10" t="str">
        <f>$A$26</f>
        <v>Other services</v>
      </c>
      <c r="B111" s="26">
        <f t="shared" si="13"/>
        <v>-7.6599999999244801</v>
      </c>
      <c r="C111" s="26">
        <f t="shared" si="14"/>
        <v>1.4599999996247419</v>
      </c>
      <c r="D111" s="26">
        <f t="shared" si="15"/>
        <v>-4.8109999998805826</v>
      </c>
      <c r="E111" s="26">
        <f t="shared" si="16"/>
        <v>-1.5549999998466753</v>
      </c>
      <c r="F111" s="26">
        <f t="shared" si="12"/>
        <v>-6.3659999997272578</v>
      </c>
    </row>
    <row r="112" spans="1:6" x14ac:dyDescent="0.2">
      <c r="B112" s="26"/>
      <c r="C112" s="26"/>
      <c r="D112" s="26"/>
      <c r="E112" s="26"/>
      <c r="F112" s="26"/>
    </row>
    <row r="113" spans="1:6" x14ac:dyDescent="0.2">
      <c r="A113" s="23" t="str">
        <f>$A$28</f>
        <v>All industries</v>
      </c>
      <c r="B113" s="28">
        <f>C28-B28</f>
        <v>-12.835000000874288</v>
      </c>
      <c r="C113" s="28">
        <f>D28-C28</f>
        <v>-5.5290000004886224</v>
      </c>
      <c r="D113" s="28">
        <f>E28-D28</f>
        <v>19.437000000142916</v>
      </c>
      <c r="E113" s="28">
        <f>F28-E28</f>
        <v>42.220999999780361</v>
      </c>
      <c r="F113" s="28">
        <f t="shared" si="12"/>
        <v>61.657999999923277</v>
      </c>
    </row>
  </sheetData>
  <phoneticPr fontId="4" type="noConversion"/>
  <pageMargins left="0.74803149606299213" right="0.74803149606299213" top="0.78740157480314965" bottom="0.78740157480314965" header="0.51181102362204722" footer="0.51181102362204722"/>
  <pageSetup paperSize="9" scale="93" orientation="portrait" r:id="rId1"/>
  <headerFooter alignWithMargins="0"/>
  <rowBreaks count="1" manualBreakCount="1">
    <brk id="58" max="6" man="1"/>
  </rowBreaks>
  <ignoredErrors>
    <ignoredError sqref="C62 C87:C88 C112" formula="1"/>
  </ignoredErrors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"/>
  <dimension ref="A1:G333"/>
  <sheetViews>
    <sheetView showGridLines="0" zoomScale="85" zoomScaleNormal="85" workbookViewId="0"/>
  </sheetViews>
  <sheetFormatPr defaultColWidth="9.140625" defaultRowHeight="12.75" x14ac:dyDescent="0.2"/>
  <cols>
    <col min="1" max="1" width="26.7109375" customWidth="1"/>
    <col min="2" max="6" width="11.7109375" customWidth="1"/>
  </cols>
  <sheetData>
    <row r="1" spans="1:7" ht="15.75" x14ac:dyDescent="0.25">
      <c r="A1" s="18" t="str">
        <f>CONCATENATE("Industry Table 3  Employment by Industry (SIC 2007), ",B$3,"-",F$3,", ",Info!B5)</f>
        <v>Industry Table 3  Employment by Industry (SIC 2007), 2015-2035, North East</v>
      </c>
    </row>
    <row r="2" spans="1:7" x14ac:dyDescent="0.2">
      <c r="A2" s="1" t="s">
        <v>533</v>
      </c>
    </row>
    <row r="3" spans="1:7" x14ac:dyDescent="0.2">
      <c r="A3" s="21"/>
      <c r="B3" s="22">
        <v>2015</v>
      </c>
      <c r="C3" s="22">
        <v>2019</v>
      </c>
      <c r="D3" s="22">
        <v>2020</v>
      </c>
      <c r="E3" s="22">
        <v>2025</v>
      </c>
      <c r="F3" s="22">
        <v>2035</v>
      </c>
    </row>
    <row r="4" spans="1:7" x14ac:dyDescent="0.2">
      <c r="A4" s="1" t="s">
        <v>13</v>
      </c>
    </row>
    <row r="5" spans="1:7" x14ac:dyDescent="0.2">
      <c r="A5" t="str">
        <f>name!A4</f>
        <v>Agriculture, etc</v>
      </c>
      <c r="B5" s="11">
        <v>7.5630000000325035</v>
      </c>
      <c r="C5" s="11">
        <v>5.6520000000104469</v>
      </c>
      <c r="D5" s="11">
        <v>5.4509999999013061</v>
      </c>
      <c r="E5" s="11">
        <v>5.6419999998911603</v>
      </c>
      <c r="F5" s="11">
        <v>5.7999999998997858</v>
      </c>
      <c r="G5" s="10"/>
    </row>
    <row r="6" spans="1:7" x14ac:dyDescent="0.2">
      <c r="A6" t="str">
        <f>name!A5</f>
        <v>Coal, oil &amp; gas; Mining &amp; related</v>
      </c>
      <c r="B6" s="11">
        <v>2.1220000000001642</v>
      </c>
      <c r="C6" s="11">
        <v>1.4599999999974611</v>
      </c>
      <c r="D6" s="11">
        <v>1.8109999999980091</v>
      </c>
      <c r="E6" s="11">
        <v>1.5999999999931795</v>
      </c>
      <c r="F6" s="11">
        <v>1.3979999999938684</v>
      </c>
    </row>
    <row r="7" spans="1:7" x14ac:dyDescent="0.2">
      <c r="A7" t="str">
        <f>name!A6</f>
        <v>Food products</v>
      </c>
      <c r="B7" s="11">
        <v>9.3960000000672874</v>
      </c>
      <c r="C7" s="11">
        <v>10.909999999930591</v>
      </c>
      <c r="D7" s="11">
        <v>10.491999999958361</v>
      </c>
      <c r="E7" s="11">
        <v>10.563000000221145</v>
      </c>
      <c r="F7" s="11">
        <v>10.216999999918167</v>
      </c>
      <c r="G7" s="11"/>
    </row>
    <row r="8" spans="1:7" x14ac:dyDescent="0.2">
      <c r="A8" t="str">
        <f>name!A7</f>
        <v>Beverages and tobacco</v>
      </c>
      <c r="B8" s="11">
        <v>1.8159999999988172</v>
      </c>
      <c r="C8" s="11">
        <v>1.6649999999908562</v>
      </c>
      <c r="D8" s="11">
        <v>1.5969999999941284</v>
      </c>
      <c r="E8" s="11">
        <v>1.6300000000165218</v>
      </c>
      <c r="F8" s="11">
        <v>1.6199999999947829</v>
      </c>
      <c r="G8" s="11"/>
    </row>
    <row r="9" spans="1:7" x14ac:dyDescent="0.2">
      <c r="A9" t="str">
        <f>name!A8</f>
        <v>Textiles</v>
      </c>
      <c r="B9" s="11">
        <v>2.4740000000147746</v>
      </c>
      <c r="C9" s="11">
        <v>0.97699999999308629</v>
      </c>
      <c r="D9" s="11">
        <v>1.2579999999952975</v>
      </c>
      <c r="E9" s="11">
        <v>1.1130000000100571</v>
      </c>
      <c r="F9" s="11">
        <v>0.94700000000099527</v>
      </c>
      <c r="G9" s="11"/>
    </row>
    <row r="10" spans="1:7" x14ac:dyDescent="0.2">
      <c r="A10" t="str">
        <f>name!A9</f>
        <v>Wearing apparel; Leather, etc</v>
      </c>
      <c r="B10" s="11">
        <v>1.7580000000142986</v>
      </c>
      <c r="C10" s="11">
        <v>0.30899999999680899</v>
      </c>
      <c r="D10" s="11">
        <v>0.33299999999699459</v>
      </c>
      <c r="E10" s="11">
        <v>0.29300000000489695</v>
      </c>
      <c r="F10" s="11">
        <v>0.25200000000129252</v>
      </c>
      <c r="G10" s="11"/>
    </row>
    <row r="11" spans="1:7" x14ac:dyDescent="0.2">
      <c r="A11" t="str">
        <f>name!A10</f>
        <v xml:space="preserve">Wood and cork </v>
      </c>
      <c r="B11" s="11">
        <v>3.672000000013631</v>
      </c>
      <c r="C11" s="11">
        <v>4.972999999998633</v>
      </c>
      <c r="D11" s="11">
        <v>3.9399999999997344</v>
      </c>
      <c r="E11" s="11">
        <v>3.8329999999925413</v>
      </c>
      <c r="F11" s="11">
        <v>3.6879999999642861</v>
      </c>
      <c r="G11" s="11"/>
    </row>
    <row r="12" spans="1:7" x14ac:dyDescent="0.2">
      <c r="A12" t="str">
        <f>name!A11</f>
        <v>Paper, etc</v>
      </c>
      <c r="B12" s="11">
        <v>4.1320000000158883</v>
      </c>
      <c r="C12" s="11">
        <v>2.0219999999948004</v>
      </c>
      <c r="D12" s="11">
        <v>1.890999999995721</v>
      </c>
      <c r="E12" s="11">
        <v>1.8350000000025446</v>
      </c>
      <c r="F12" s="11">
        <v>1.7639999999872062</v>
      </c>
      <c r="G12" s="11"/>
    </row>
    <row r="13" spans="1:7" x14ac:dyDescent="0.2">
      <c r="A13" t="str">
        <f>name!A12</f>
        <v>Printing and recording</v>
      </c>
      <c r="B13" s="11">
        <v>7.4969999999955643</v>
      </c>
      <c r="C13" s="11">
        <v>3.9629999999812227</v>
      </c>
      <c r="D13" s="11">
        <v>3.4059999999881088</v>
      </c>
      <c r="E13" s="11">
        <v>3.086000000024038</v>
      </c>
      <c r="F13" s="11">
        <v>2.5139999999974294</v>
      </c>
      <c r="G13" s="11"/>
    </row>
    <row r="14" spans="1:7" x14ac:dyDescent="0.2">
      <c r="A14" t="str">
        <f>name!A13</f>
        <v>Coke and petroleum; Chemicals, etc</v>
      </c>
      <c r="B14" s="11">
        <v>9.0379999999818903</v>
      </c>
      <c r="C14" s="11">
        <v>8.6609999999636376</v>
      </c>
      <c r="D14" s="11">
        <v>8.4149999999691669</v>
      </c>
      <c r="E14" s="11">
        <v>6.9520000000754711</v>
      </c>
      <c r="F14" s="11">
        <v>5.3699999999972308</v>
      </c>
      <c r="G14" s="11"/>
    </row>
    <row r="15" spans="1:7" x14ac:dyDescent="0.2">
      <c r="A15" t="str">
        <f>name!A14</f>
        <v>Pharmaceuticals</v>
      </c>
      <c r="B15" s="11">
        <v>2.7989999999906545</v>
      </c>
      <c r="C15" s="11">
        <v>3.6139999999869579</v>
      </c>
      <c r="D15" s="11">
        <v>3.6499999999898907</v>
      </c>
      <c r="E15" s="11">
        <v>4.0560000000253416</v>
      </c>
      <c r="F15" s="11">
        <v>4.014000000010209</v>
      </c>
      <c r="G15" s="11"/>
    </row>
    <row r="16" spans="1:7" x14ac:dyDescent="0.2">
      <c r="A16" t="str">
        <f>name!A15</f>
        <v>Rubber and plastic</v>
      </c>
      <c r="B16" s="11">
        <v>7.8460000000291998</v>
      </c>
      <c r="C16" s="11">
        <v>6.8579999999932149</v>
      </c>
      <c r="D16" s="11">
        <v>7.3699999999915331</v>
      </c>
      <c r="E16" s="11">
        <v>7.763999999981757</v>
      </c>
      <c r="F16" s="11">
        <v>7.1339999999419161</v>
      </c>
      <c r="G16" s="11"/>
    </row>
    <row r="17" spans="1:7" x14ac:dyDescent="0.2">
      <c r="A17" t="str">
        <f>name!A16</f>
        <v>Other non-metallic</v>
      </c>
      <c r="B17" s="11">
        <v>2.9780000000047151</v>
      </c>
      <c r="C17" s="11">
        <v>4.0069999999957178</v>
      </c>
      <c r="D17" s="11">
        <v>4.3089999999962192</v>
      </c>
      <c r="E17" s="11">
        <v>4.5289999999960306</v>
      </c>
      <c r="F17" s="11">
        <v>4.1449999999727254</v>
      </c>
      <c r="G17" s="11"/>
    </row>
    <row r="18" spans="1:7" x14ac:dyDescent="0.2">
      <c r="A18" t="str">
        <f>name!A17</f>
        <v>Basic metals</v>
      </c>
      <c r="B18" s="11">
        <v>2.1750000000017624</v>
      </c>
      <c r="C18" s="11">
        <v>3.252000000000463</v>
      </c>
      <c r="D18" s="11">
        <v>2.6919999999986155</v>
      </c>
      <c r="E18" s="11">
        <v>2.6709999999915817</v>
      </c>
      <c r="F18" s="11">
        <v>2.3349999999884523</v>
      </c>
      <c r="G18" s="11"/>
    </row>
    <row r="19" spans="1:7" x14ac:dyDescent="0.2">
      <c r="A19" t="str">
        <f>name!A18</f>
        <v>Metal products</v>
      </c>
      <c r="B19" s="11">
        <v>15.947000000010011</v>
      </c>
      <c r="C19" s="11">
        <v>16.56299999996666</v>
      </c>
      <c r="D19" s="11">
        <v>13.777999999973744</v>
      </c>
      <c r="E19" s="11">
        <v>13.720000000004445</v>
      </c>
      <c r="F19" s="11">
        <v>12.076999999927137</v>
      </c>
      <c r="G19" s="11"/>
    </row>
    <row r="20" spans="1:7" x14ac:dyDescent="0.2">
      <c r="A20" t="str">
        <f>name!A19</f>
        <v>Computer, etc</v>
      </c>
      <c r="B20" s="11">
        <v>2.8589999999884195</v>
      </c>
      <c r="C20" s="11">
        <v>2.3809999999867504</v>
      </c>
      <c r="D20" s="11">
        <v>2.5149999999891826</v>
      </c>
      <c r="E20" s="11">
        <v>3.4290000000360257</v>
      </c>
      <c r="F20" s="11">
        <v>3.9199999999929354</v>
      </c>
      <c r="G20" s="11"/>
    </row>
    <row r="21" spans="1:7" x14ac:dyDescent="0.2">
      <c r="A21" t="str">
        <f>name!A20</f>
        <v>Electrical equipment</v>
      </c>
      <c r="B21" s="11">
        <v>5.9119999999872901</v>
      </c>
      <c r="C21" s="11">
        <v>3.7609999999797052</v>
      </c>
      <c r="D21" s="11">
        <v>3.2529999999857546</v>
      </c>
      <c r="E21" s="11">
        <v>3.130000000022009</v>
      </c>
      <c r="F21" s="11">
        <v>2.8159999999894652</v>
      </c>
      <c r="G21" s="11"/>
    </row>
    <row r="22" spans="1:7" x14ac:dyDescent="0.2">
      <c r="A22" t="str">
        <f>name!A21</f>
        <v>Machinery n.e.c.</v>
      </c>
      <c r="B22" s="11">
        <v>11.43199999997541</v>
      </c>
      <c r="C22" s="11">
        <v>11.684999999957682</v>
      </c>
      <c r="D22" s="11">
        <v>10.91199999996423</v>
      </c>
      <c r="E22" s="11">
        <v>10.659000000038557</v>
      </c>
      <c r="F22" s="11">
        <v>9.1099999999595926</v>
      </c>
      <c r="G22" s="11"/>
    </row>
    <row r="23" spans="1:7" x14ac:dyDescent="0.2">
      <c r="A23" t="str">
        <f>name!A22</f>
        <v>Motor vehicles, etc</v>
      </c>
      <c r="B23" s="11">
        <v>12.626000000007469</v>
      </c>
      <c r="C23" s="11">
        <v>15.04499999995361</v>
      </c>
      <c r="D23" s="11">
        <v>12.739999999972374</v>
      </c>
      <c r="E23" s="11">
        <v>12.066000000011543</v>
      </c>
      <c r="F23" s="11">
        <v>10.994999999943127</v>
      </c>
      <c r="G23" s="11"/>
    </row>
    <row r="24" spans="1:7" x14ac:dyDescent="0.2">
      <c r="A24" t="str">
        <f>name!A23</f>
        <v>Other transport equipment</v>
      </c>
      <c r="B24" s="11">
        <v>1.9049999999974592</v>
      </c>
      <c r="C24" s="11">
        <v>2.7159999999936129</v>
      </c>
      <c r="D24" s="11">
        <v>2.6639999999942705</v>
      </c>
      <c r="E24" s="11">
        <v>2.1580000000013841</v>
      </c>
      <c r="F24" s="11">
        <v>1.6309999999958407</v>
      </c>
      <c r="G24" s="11"/>
    </row>
    <row r="25" spans="1:7" x14ac:dyDescent="0.2">
      <c r="A25" t="str">
        <f>name!A24</f>
        <v>Furniture</v>
      </c>
      <c r="B25" s="11">
        <v>6.0060000000207232</v>
      </c>
      <c r="C25" s="11">
        <v>2.8219999999991066</v>
      </c>
      <c r="D25" s="11">
        <v>2.8549999999972493</v>
      </c>
      <c r="E25" s="11">
        <v>2.5739999999933736</v>
      </c>
      <c r="F25" s="11">
        <v>2.5959999999777632</v>
      </c>
      <c r="G25" s="11"/>
    </row>
    <row r="26" spans="1:7" x14ac:dyDescent="0.2">
      <c r="A26" t="str">
        <f>name!A25</f>
        <v>Other manufacturing</v>
      </c>
      <c r="B26" s="11">
        <v>5.3240000000078957</v>
      </c>
      <c r="C26" s="11">
        <v>3.0109999999792327</v>
      </c>
      <c r="D26" s="11">
        <v>3.1159999999829031</v>
      </c>
      <c r="E26" s="11">
        <v>2.8130000000255189</v>
      </c>
      <c r="F26" s="11">
        <v>2.8459999999840551</v>
      </c>
      <c r="G26" s="11"/>
    </row>
    <row r="27" spans="1:7" x14ac:dyDescent="0.2">
      <c r="A27" t="str">
        <f>name!A26</f>
        <v>Repair and installation</v>
      </c>
      <c r="B27" s="11">
        <v>4.4450000000014471</v>
      </c>
      <c r="C27" s="11">
        <v>1.7559999999976257</v>
      </c>
      <c r="D27" s="11">
        <v>1.7859999999964791</v>
      </c>
      <c r="E27" s="11">
        <v>1.6119999999999532</v>
      </c>
      <c r="F27" s="11">
        <v>1.6249999999959348</v>
      </c>
      <c r="G27" s="11"/>
    </row>
    <row r="28" spans="1:7" x14ac:dyDescent="0.2">
      <c r="A28" t="str">
        <f>name!A27</f>
        <v>Electricity, gas, etc</v>
      </c>
      <c r="B28" s="11">
        <v>4.1479999999737878</v>
      </c>
      <c r="C28" s="11">
        <v>9.8579999999228942</v>
      </c>
      <c r="D28" s="11">
        <v>10.234999999929453</v>
      </c>
      <c r="E28" s="11">
        <v>10.067000000182878</v>
      </c>
      <c r="F28" s="11">
        <v>10.257000000087229</v>
      </c>
      <c r="G28" s="11"/>
    </row>
    <row r="29" spans="1:7" x14ac:dyDescent="0.2">
      <c r="A29" t="str">
        <f>name!A28</f>
        <v>Water</v>
      </c>
      <c r="B29" s="11">
        <v>2.6789999999837368</v>
      </c>
      <c r="C29" s="11">
        <v>2.7019999999889417</v>
      </c>
      <c r="D29" s="11">
        <v>2.9939999999879907</v>
      </c>
      <c r="E29" s="11">
        <v>3.0690000000220352</v>
      </c>
      <c r="F29" s="11">
        <v>3.1720000000202733</v>
      </c>
      <c r="G29" s="11"/>
    </row>
    <row r="30" spans="1:7" x14ac:dyDescent="0.2">
      <c r="A30" t="str">
        <f>name!A29</f>
        <v>Sewerage</v>
      </c>
      <c r="B30" s="11">
        <v>0.18600000000148278</v>
      </c>
      <c r="C30" s="11">
        <v>0.14900000000044009</v>
      </c>
      <c r="D30" s="11">
        <v>0.15600000000032818</v>
      </c>
      <c r="E30" s="11">
        <v>0.15999999999862552</v>
      </c>
      <c r="F30" s="11">
        <v>0.16299999999826809</v>
      </c>
      <c r="G30" s="11"/>
    </row>
    <row r="31" spans="1:7" x14ac:dyDescent="0.2">
      <c r="A31" t="str">
        <f>name!A30</f>
        <v>Waste management</v>
      </c>
      <c r="B31" s="11">
        <v>3.638000000016901</v>
      </c>
      <c r="C31" s="11">
        <v>4.0359999999986966</v>
      </c>
      <c r="D31" s="11">
        <v>4.4339999999932243</v>
      </c>
      <c r="E31" s="11">
        <v>4.528999999974511</v>
      </c>
      <c r="F31" s="11">
        <v>4.6299999999651478</v>
      </c>
      <c r="G31" s="11"/>
    </row>
    <row r="32" spans="1:7" x14ac:dyDescent="0.2">
      <c r="A32" t="str">
        <f>name!A31</f>
        <v>Construction</v>
      </c>
      <c r="B32" s="11">
        <v>21.463999999932017</v>
      </c>
      <c r="C32" s="11">
        <v>20.877000000150403</v>
      </c>
      <c r="D32" s="11">
        <v>20.222999999794339</v>
      </c>
      <c r="E32" s="11">
        <v>19.548999999287357</v>
      </c>
      <c r="F32" s="11">
        <v>19.406999999361748</v>
      </c>
      <c r="G32" s="11"/>
    </row>
    <row r="33" spans="1:7" x14ac:dyDescent="0.2">
      <c r="A33" t="str">
        <f>name!A32</f>
        <v>Civil engineering</v>
      </c>
      <c r="B33" s="11">
        <v>9.0989999999568898</v>
      </c>
      <c r="C33" s="11">
        <v>9.4030000000691061</v>
      </c>
      <c r="D33" s="11">
        <v>8.8809999999063614</v>
      </c>
      <c r="E33" s="11">
        <v>8.5989999996573783</v>
      </c>
      <c r="F33" s="11">
        <v>8.5469999997011872</v>
      </c>
      <c r="G33" s="11"/>
    </row>
    <row r="34" spans="1:7" x14ac:dyDescent="0.2">
      <c r="A34" t="str">
        <f>name!A33</f>
        <v>Specialised construction</v>
      </c>
      <c r="B34" s="11">
        <v>36.427999999839834</v>
      </c>
      <c r="C34" s="11">
        <v>42.39500000034058</v>
      </c>
      <c r="D34" s="11">
        <v>40.059999999572746</v>
      </c>
      <c r="E34" s="11">
        <v>38.736999998381961</v>
      </c>
      <c r="F34" s="11">
        <v>38.400999998593115</v>
      </c>
      <c r="G34" s="11"/>
    </row>
    <row r="35" spans="1:7" x14ac:dyDescent="0.2">
      <c r="A35" t="str">
        <f>name!A34</f>
        <v>Motor vehicle trade</v>
      </c>
      <c r="B35" s="11">
        <v>21.828000000164721</v>
      </c>
      <c r="C35" s="11">
        <v>20.835000000077525</v>
      </c>
      <c r="D35" s="11">
        <v>17.909999999999691</v>
      </c>
      <c r="E35" s="11">
        <v>18.917999999926021</v>
      </c>
      <c r="F35" s="11">
        <v>20.205999999801854</v>
      </c>
      <c r="G35" s="11"/>
    </row>
    <row r="36" spans="1:7" x14ac:dyDescent="0.2">
      <c r="A36" t="str">
        <f>name!A35</f>
        <v>Wholesale trade</v>
      </c>
      <c r="B36" s="11">
        <v>28.693000000215296</v>
      </c>
      <c r="C36" s="11">
        <v>28.843999999943058</v>
      </c>
      <c r="D36" s="11">
        <v>29.149999999958176</v>
      </c>
      <c r="E36" s="11">
        <v>28.778000000327328</v>
      </c>
      <c r="F36" s="11">
        <v>28.750999999785385</v>
      </c>
      <c r="G36" s="11"/>
    </row>
    <row r="37" spans="1:7" x14ac:dyDescent="0.2">
      <c r="A37" t="str">
        <f>name!A36</f>
        <v>Retail trade</v>
      </c>
      <c r="B37" s="11">
        <v>124.33600000336185</v>
      </c>
      <c r="C37" s="11">
        <v>120.71900000084068</v>
      </c>
      <c r="D37" s="11">
        <v>123.410000001059</v>
      </c>
      <c r="E37" s="11">
        <v>121.69200000580435</v>
      </c>
      <c r="F37" s="11">
        <v>121.47999999949651</v>
      </c>
      <c r="G37" s="11"/>
    </row>
    <row r="38" spans="1:7" x14ac:dyDescent="0.2">
      <c r="A38" t="str">
        <f>name!A37</f>
        <v>Land transport, etc</v>
      </c>
      <c r="B38" s="11">
        <v>26.855000000208054</v>
      </c>
      <c r="C38" s="11">
        <v>35.104999999360111</v>
      </c>
      <c r="D38" s="11">
        <v>35.677000000126988</v>
      </c>
      <c r="E38" s="11">
        <v>36.917000000513319</v>
      </c>
      <c r="F38" s="11">
        <v>36.801000000212781</v>
      </c>
      <c r="G38" s="11"/>
    </row>
    <row r="39" spans="1:7" x14ac:dyDescent="0.2">
      <c r="A39" t="str">
        <f>name!A38</f>
        <v>Water transport</v>
      </c>
      <c r="B39" s="11">
        <v>0.45600000000516705</v>
      </c>
      <c r="C39" s="11">
        <v>6.9999999999840381E-3</v>
      </c>
      <c r="D39" s="11">
        <v>9.0000000000048097E-3</v>
      </c>
      <c r="E39" s="11">
        <v>7.0000000001401077E-3</v>
      </c>
      <c r="F39" s="11">
        <v>7.0000000000649733E-3</v>
      </c>
      <c r="G39" s="11"/>
    </row>
    <row r="40" spans="1:7" x14ac:dyDescent="0.2">
      <c r="A40" t="str">
        <f>name!A39</f>
        <v>Air transport</v>
      </c>
      <c r="B40" s="11">
        <v>1.5750000000015791</v>
      </c>
      <c r="C40" s="11">
        <v>1.6439999999890667</v>
      </c>
      <c r="D40" s="11">
        <v>1.394999999993588</v>
      </c>
      <c r="E40" s="11">
        <v>1.9820000000395961</v>
      </c>
      <c r="F40" s="11">
        <v>2.2039999999971811</v>
      </c>
      <c r="G40" s="11"/>
    </row>
    <row r="41" spans="1:7" x14ac:dyDescent="0.2">
      <c r="A41" t="str">
        <f>name!A40</f>
        <v>Warehousing, etc</v>
      </c>
      <c r="B41" s="11">
        <v>13.164000000077461</v>
      </c>
      <c r="C41" s="11">
        <v>14.693000000000977</v>
      </c>
      <c r="D41" s="11">
        <v>15.12499999999523</v>
      </c>
      <c r="E41" s="11">
        <v>15.432000000056705</v>
      </c>
      <c r="F41" s="11">
        <v>15.459999999888396</v>
      </c>
      <c r="G41" s="11"/>
    </row>
    <row r="42" spans="1:7" x14ac:dyDescent="0.2">
      <c r="A42" t="str">
        <f>name!A41</f>
        <v>Postal and courier</v>
      </c>
      <c r="B42" s="11">
        <v>8.6380000000969552</v>
      </c>
      <c r="C42" s="11">
        <v>8.0499999999924512</v>
      </c>
      <c r="D42" s="11">
        <v>8.8869999999863971</v>
      </c>
      <c r="E42" s="11">
        <v>9.1080000001764887</v>
      </c>
      <c r="F42" s="11">
        <v>9.2669999999169104</v>
      </c>
      <c r="G42" s="11"/>
    </row>
    <row r="43" spans="1:7" x14ac:dyDescent="0.2">
      <c r="A43" t="str">
        <f>name!A42</f>
        <v>Accommodation</v>
      </c>
      <c r="B43" s="11">
        <v>18.844000000280339</v>
      </c>
      <c r="C43" s="11">
        <v>14.881000000004354</v>
      </c>
      <c r="D43" s="11">
        <v>13.47899999995753</v>
      </c>
      <c r="E43" s="11">
        <v>13.381000000429168</v>
      </c>
      <c r="F43" s="11">
        <v>15.575999999968696</v>
      </c>
      <c r="G43" s="11"/>
    </row>
    <row r="44" spans="1:7" x14ac:dyDescent="0.2">
      <c r="A44" t="str">
        <f>name!A43</f>
        <v>Food and beverage services</v>
      </c>
      <c r="B44" s="11">
        <v>67.112000001184825</v>
      </c>
      <c r="C44" s="11">
        <v>81.590000000237779</v>
      </c>
      <c r="D44" s="11">
        <v>79.413000000012161</v>
      </c>
      <c r="E44" s="11">
        <v>82.166000002544351</v>
      </c>
      <c r="F44" s="11">
        <v>95.570999999749503</v>
      </c>
      <c r="G44" s="11"/>
    </row>
    <row r="45" spans="1:7" x14ac:dyDescent="0.2">
      <c r="A45" t="str">
        <f>name!A44</f>
        <v>Publishing activities</v>
      </c>
      <c r="B45" s="11">
        <v>4.6709999999875302</v>
      </c>
      <c r="C45" s="11">
        <v>2.1679999999877255</v>
      </c>
      <c r="D45" s="11">
        <v>3.0109999999822747</v>
      </c>
      <c r="E45" s="11">
        <v>2.898999999974547</v>
      </c>
      <c r="F45" s="11">
        <v>2.8350000000275255</v>
      </c>
      <c r="G45" s="11"/>
    </row>
    <row r="46" spans="1:7" x14ac:dyDescent="0.2">
      <c r="A46" t="str">
        <f>name!A45</f>
        <v>Film and music</v>
      </c>
      <c r="B46" s="11">
        <v>2.8820000000121717</v>
      </c>
      <c r="C46" s="11">
        <v>6.6910000000098924</v>
      </c>
      <c r="D46" s="11">
        <v>5.498999999997821</v>
      </c>
      <c r="E46" s="11">
        <v>5.4749999999669665</v>
      </c>
      <c r="F46" s="11">
        <v>5.6870000000082168</v>
      </c>
      <c r="G46" s="11"/>
    </row>
    <row r="47" spans="1:7" x14ac:dyDescent="0.2">
      <c r="A47" t="str">
        <f>name!A46</f>
        <v>Broadcasting</v>
      </c>
      <c r="B47" s="11">
        <v>0.27200000000081059</v>
      </c>
      <c r="C47" s="11">
        <v>0.28500000000006231</v>
      </c>
      <c r="D47" s="11">
        <v>0.3849999999996358</v>
      </c>
      <c r="E47" s="11">
        <v>0.3699999999938226</v>
      </c>
      <c r="F47" s="11">
        <v>0.3620000000024548</v>
      </c>
      <c r="G47" s="11"/>
    </row>
    <row r="48" spans="1:7" x14ac:dyDescent="0.2">
      <c r="A48" t="str">
        <f>name!A47</f>
        <v>Telecommunications</v>
      </c>
      <c r="B48" s="11">
        <v>9.8689999999205824</v>
      </c>
      <c r="C48" s="11">
        <v>9.2029999999349119</v>
      </c>
      <c r="D48" s="11">
        <v>7.6689999999374914</v>
      </c>
      <c r="E48" s="11">
        <v>8.3500000001600299</v>
      </c>
      <c r="F48" s="11">
        <v>9.1930000001206906</v>
      </c>
      <c r="G48" s="11"/>
    </row>
    <row r="49" spans="1:7" x14ac:dyDescent="0.2">
      <c r="A49" t="str">
        <f>name!A48</f>
        <v>Computing services</v>
      </c>
      <c r="B49" s="11">
        <v>16.998999999774391</v>
      </c>
      <c r="C49" s="11">
        <v>15.758999999858746</v>
      </c>
      <c r="D49" s="11">
        <v>13.944999999877892</v>
      </c>
      <c r="E49" s="11">
        <v>15.246000000255489</v>
      </c>
      <c r="F49" s="11">
        <v>16.876000000225748</v>
      </c>
      <c r="G49" s="11"/>
    </row>
    <row r="50" spans="1:7" x14ac:dyDescent="0.2">
      <c r="A50" t="str">
        <f>name!A49</f>
        <v>Information services</v>
      </c>
      <c r="B50" s="11">
        <v>1.3369999999932258</v>
      </c>
      <c r="C50" s="11">
        <v>4.469999999982357</v>
      </c>
      <c r="D50" s="11">
        <v>3.8609999999784357</v>
      </c>
      <c r="E50" s="11">
        <v>4.2140000000333204</v>
      </c>
      <c r="F50" s="11">
        <v>4.6200000000123476</v>
      </c>
      <c r="G50" s="11"/>
    </row>
    <row r="51" spans="1:7" x14ac:dyDescent="0.2">
      <c r="A51" t="str">
        <f>name!A50</f>
        <v>Financial services</v>
      </c>
      <c r="B51" s="11">
        <v>17.125999999909901</v>
      </c>
      <c r="C51" s="11">
        <v>14.941999999907015</v>
      </c>
      <c r="D51" s="11">
        <v>13.752999999934991</v>
      </c>
      <c r="E51" s="11">
        <v>14.203000000177889</v>
      </c>
      <c r="F51" s="11">
        <v>14.218000000054928</v>
      </c>
      <c r="G51" s="11"/>
    </row>
    <row r="52" spans="1:7" x14ac:dyDescent="0.2">
      <c r="A52" t="str">
        <f>name!A51</f>
        <v>Insurance and pensions</v>
      </c>
      <c r="B52" s="11">
        <v>2.2449999999879164</v>
      </c>
      <c r="C52" s="11">
        <v>2.597999999985964</v>
      </c>
      <c r="D52" s="11">
        <v>2.4019999999902506</v>
      </c>
      <c r="E52" s="11">
        <v>2.4790000000295729</v>
      </c>
      <c r="F52" s="11">
        <v>2.4760000000064104</v>
      </c>
      <c r="G52" s="11"/>
    </row>
    <row r="53" spans="1:7" x14ac:dyDescent="0.2">
      <c r="A53" t="str">
        <f>name!A52</f>
        <v>Auxiliary financial services</v>
      </c>
      <c r="B53" s="11">
        <v>6.7979999999515357</v>
      </c>
      <c r="C53" s="11">
        <v>7.2929999999420057</v>
      </c>
      <c r="D53" s="11">
        <v>6.9299999999605841</v>
      </c>
      <c r="E53" s="11">
        <v>7.207000000112413</v>
      </c>
      <c r="F53" s="11">
        <v>7.2440000000382057</v>
      </c>
      <c r="G53" s="11"/>
    </row>
    <row r="54" spans="1:7" x14ac:dyDescent="0.2">
      <c r="A54" t="str">
        <f>name!A53</f>
        <v>Real estate</v>
      </c>
      <c r="B54" s="11">
        <v>17.609999999974573</v>
      </c>
      <c r="C54" s="11">
        <v>20.42399999993853</v>
      </c>
      <c r="D54" s="11">
        <v>18.573999999919479</v>
      </c>
      <c r="E54" s="11">
        <v>18.522000000260267</v>
      </c>
      <c r="F54" s="11">
        <v>21.197000000018889</v>
      </c>
      <c r="G54" s="11"/>
    </row>
    <row r="55" spans="1:7" x14ac:dyDescent="0.2">
      <c r="A55" t="str">
        <f>name!A54</f>
        <v>Legal and accounting</v>
      </c>
      <c r="B55" s="11">
        <v>15.693999999835178</v>
      </c>
      <c r="C55" s="11">
        <v>18.723999999973074</v>
      </c>
      <c r="D55" s="11">
        <v>19.11199999997547</v>
      </c>
      <c r="E55" s="11">
        <v>19.609000000210152</v>
      </c>
      <c r="F55" s="11">
        <v>20.037000000184459</v>
      </c>
      <c r="G55" s="11"/>
    </row>
    <row r="56" spans="1:7" x14ac:dyDescent="0.2">
      <c r="A56" t="str">
        <f>name!A55</f>
        <v>Head offices, etc</v>
      </c>
      <c r="B56" s="11">
        <v>13.511999999843148</v>
      </c>
      <c r="C56" s="11">
        <v>11.719999999957521</v>
      </c>
      <c r="D56" s="11">
        <v>12.534999999947265</v>
      </c>
      <c r="E56" s="11">
        <v>12.701000000146243</v>
      </c>
      <c r="F56" s="11">
        <v>12.914000000125377</v>
      </c>
      <c r="G56" s="11"/>
    </row>
    <row r="57" spans="1:7" x14ac:dyDescent="0.2">
      <c r="A57" t="str">
        <f>name!A56</f>
        <v>Architectural and related</v>
      </c>
      <c r="B57" s="11">
        <v>34.546999999503903</v>
      </c>
      <c r="C57" s="11">
        <v>22.966999999817283</v>
      </c>
      <c r="D57" s="11">
        <v>26.238999999824618</v>
      </c>
      <c r="E57" s="11">
        <v>25.034000000465177</v>
      </c>
      <c r="F57" s="11">
        <v>25.321000000368326</v>
      </c>
      <c r="G57" s="11"/>
    </row>
    <row r="58" spans="1:7" x14ac:dyDescent="0.2">
      <c r="A58" t="str">
        <f>name!A57</f>
        <v>Scientific research and development</v>
      </c>
      <c r="B58" s="11">
        <v>6.6449999999490084</v>
      </c>
      <c r="C58" s="11">
        <v>3.3049999999988104</v>
      </c>
      <c r="D58" s="11">
        <v>3.0500000000023055</v>
      </c>
      <c r="E58" s="11">
        <v>3.6240000000678836</v>
      </c>
      <c r="F58" s="11">
        <v>4.3240000000997343</v>
      </c>
      <c r="G58" s="11"/>
    </row>
    <row r="59" spans="1:7" x14ac:dyDescent="0.2">
      <c r="A59" t="str">
        <f>name!A58</f>
        <v>Advertising, etc</v>
      </c>
      <c r="B59" s="11">
        <v>3.4549999999861574</v>
      </c>
      <c r="C59" s="11">
        <v>3.2340000000081162</v>
      </c>
      <c r="D59" s="11">
        <v>2.7569999999933965</v>
      </c>
      <c r="E59" s="11">
        <v>3.28200000004529</v>
      </c>
      <c r="F59" s="11">
        <v>3.9340000000507063</v>
      </c>
      <c r="G59" s="11"/>
    </row>
    <row r="60" spans="1:7" x14ac:dyDescent="0.2">
      <c r="A60" t="str">
        <f>name!A59</f>
        <v>Other professional</v>
      </c>
      <c r="B60" s="11">
        <v>4.5909999999771749</v>
      </c>
      <c r="C60" s="11">
        <v>5.8240000000021492</v>
      </c>
      <c r="D60" s="11">
        <v>5.6149999999886919</v>
      </c>
      <c r="E60" s="11">
        <v>6.6800000000823729</v>
      </c>
      <c r="F60" s="11">
        <v>7.9800000000543747</v>
      </c>
      <c r="G60" s="11"/>
    </row>
    <row r="61" spans="1:7" x14ac:dyDescent="0.2">
      <c r="A61" t="str">
        <f>name!A60</f>
        <v>Veterinary</v>
      </c>
      <c r="B61" s="11">
        <v>1.9079999999543962</v>
      </c>
      <c r="C61" s="11">
        <v>2.4339999999484117</v>
      </c>
      <c r="D61" s="11">
        <v>1.8010000000108048</v>
      </c>
      <c r="E61" s="11">
        <v>2.1450000000027392</v>
      </c>
      <c r="F61" s="11">
        <v>2.5830000000275306</v>
      </c>
      <c r="G61" s="11"/>
    </row>
    <row r="62" spans="1:7" x14ac:dyDescent="0.2">
      <c r="A62" t="str">
        <f>name!A61</f>
        <v>Rental and leasing</v>
      </c>
      <c r="B62" s="11">
        <v>3.7170000000205126</v>
      </c>
      <c r="C62" s="11">
        <v>6.7289999999961596</v>
      </c>
      <c r="D62" s="11">
        <v>6.4210000000029446</v>
      </c>
      <c r="E62" s="11">
        <v>6.5520000000407288</v>
      </c>
      <c r="F62" s="11">
        <v>6.812999999979616</v>
      </c>
      <c r="G62" s="11"/>
    </row>
    <row r="63" spans="1:7" x14ac:dyDescent="0.2">
      <c r="A63" t="str">
        <f>name!A62</f>
        <v>Employment activities</v>
      </c>
      <c r="B63" s="11">
        <v>26.616000000173031</v>
      </c>
      <c r="C63" s="11">
        <v>26.985999999991613</v>
      </c>
      <c r="D63" s="11">
        <v>26.429999999926494</v>
      </c>
      <c r="E63" s="11">
        <v>26.996000000232954</v>
      </c>
      <c r="F63" s="11">
        <v>28.079999999875387</v>
      </c>
      <c r="G63" s="11"/>
    </row>
    <row r="64" spans="1:7" x14ac:dyDescent="0.2">
      <c r="A64" t="str">
        <f>name!A63</f>
        <v>Travel, etc</v>
      </c>
      <c r="B64" s="11">
        <v>3.1170000000212625</v>
      </c>
      <c r="C64" s="11">
        <v>2.2839999999936569</v>
      </c>
      <c r="D64" s="11">
        <v>2.2989999999892463</v>
      </c>
      <c r="E64" s="11">
        <v>2.3500000000319456</v>
      </c>
      <c r="F64" s="11">
        <v>2.4489999999889309</v>
      </c>
      <c r="G64" s="11"/>
    </row>
    <row r="65" spans="1:7" x14ac:dyDescent="0.2">
      <c r="A65" t="str">
        <f>name!A64</f>
        <v>Security, etc</v>
      </c>
      <c r="B65" s="11">
        <v>5.5870000000403595</v>
      </c>
      <c r="C65" s="11">
        <v>9.6110000000057383</v>
      </c>
      <c r="D65" s="11">
        <v>9.2589999999836703</v>
      </c>
      <c r="E65" s="11">
        <v>9.4250000000908578</v>
      </c>
      <c r="F65" s="11">
        <v>9.7499999999636078</v>
      </c>
      <c r="G65" s="11"/>
    </row>
    <row r="66" spans="1:7" x14ac:dyDescent="0.2">
      <c r="A66" t="str">
        <f>name!A65</f>
        <v>Services to buildings</v>
      </c>
      <c r="B66" s="11">
        <v>28.493000000183585</v>
      </c>
      <c r="C66" s="11">
        <v>25.649999999932223</v>
      </c>
      <c r="D66" s="11">
        <v>25.755999999916675</v>
      </c>
      <c r="E66" s="11">
        <v>26.207000000444911</v>
      </c>
      <c r="F66" s="11">
        <v>27.069999999938471</v>
      </c>
      <c r="G66" s="11"/>
    </row>
    <row r="67" spans="1:7" x14ac:dyDescent="0.2">
      <c r="A67" t="str">
        <f>name!A66</f>
        <v>Office administrative</v>
      </c>
      <c r="B67" s="11">
        <v>17.966000000129736</v>
      </c>
      <c r="C67" s="11">
        <v>17.91200000002847</v>
      </c>
      <c r="D67" s="11">
        <v>17.344999999981905</v>
      </c>
      <c r="E67" s="11">
        <v>17.695000000003198</v>
      </c>
      <c r="F67" s="11">
        <v>18.403999999892996</v>
      </c>
      <c r="G67" s="11"/>
    </row>
    <row r="68" spans="1:7" x14ac:dyDescent="0.2">
      <c r="A68" t="str">
        <f>name!A67</f>
        <v>Public administration and defence</v>
      </c>
      <c r="B68" s="11">
        <v>67.457999999465031</v>
      </c>
      <c r="C68" s="11">
        <v>68.509999999851416</v>
      </c>
      <c r="D68" s="11">
        <v>70.491999999956889</v>
      </c>
      <c r="E68" s="11">
        <v>68.748000000034438</v>
      </c>
      <c r="F68" s="11">
        <v>69.499000000265639</v>
      </c>
      <c r="G68" s="11"/>
    </row>
    <row r="69" spans="1:7" x14ac:dyDescent="0.2">
      <c r="A69" t="str">
        <f>name!A68</f>
        <v xml:space="preserve">Education </v>
      </c>
      <c r="B69" s="11">
        <v>108.41699999992581</v>
      </c>
      <c r="C69" s="11">
        <v>107.63300000187928</v>
      </c>
      <c r="D69" s="11">
        <v>104.24300000191386</v>
      </c>
      <c r="E69" s="11">
        <v>110.93099999135777</v>
      </c>
      <c r="F69" s="11">
        <v>114.767000001966</v>
      </c>
      <c r="G69" s="11"/>
    </row>
    <row r="70" spans="1:7" x14ac:dyDescent="0.2">
      <c r="A70" t="str">
        <f>name!A69</f>
        <v>Health</v>
      </c>
      <c r="B70" s="11">
        <v>112.85199999850951</v>
      </c>
      <c r="C70" s="11">
        <v>104.10899999938789</v>
      </c>
      <c r="D70" s="11">
        <v>118.86499999959847</v>
      </c>
      <c r="E70" s="11">
        <v>127.00299999887234</v>
      </c>
      <c r="F70" s="11">
        <v>139.54700000043104</v>
      </c>
      <c r="G70" s="11"/>
    </row>
    <row r="71" spans="1:7" x14ac:dyDescent="0.2">
      <c r="A71" t="str">
        <f>name!A70</f>
        <v>Residential care</v>
      </c>
      <c r="B71" s="11">
        <v>37.62899999946567</v>
      </c>
      <c r="C71" s="11">
        <v>35.767999999779263</v>
      </c>
      <c r="D71" s="11">
        <v>35.929999999939866</v>
      </c>
      <c r="E71" s="11">
        <v>38.254999999626229</v>
      </c>
      <c r="F71" s="11">
        <v>39.873000000052826</v>
      </c>
      <c r="G71" s="11"/>
    </row>
    <row r="72" spans="1:7" x14ac:dyDescent="0.2">
      <c r="A72" t="str">
        <f>name!A71</f>
        <v>Social work</v>
      </c>
      <c r="B72" s="11">
        <v>41.499999999366381</v>
      </c>
      <c r="C72" s="11">
        <v>36.666999999714243</v>
      </c>
      <c r="D72" s="11">
        <v>37.067999999884194</v>
      </c>
      <c r="E72" s="11">
        <v>39.086999999545455</v>
      </c>
      <c r="F72" s="11">
        <v>39.945000000062691</v>
      </c>
      <c r="G72" s="11"/>
    </row>
    <row r="73" spans="1:7" x14ac:dyDescent="0.2">
      <c r="A73" t="str">
        <f>name!A72</f>
        <v>Arts and entertainment</v>
      </c>
      <c r="B73" s="11">
        <v>5.8320000000586285</v>
      </c>
      <c r="C73" s="11">
        <v>5.2380000000450728</v>
      </c>
      <c r="D73" s="11">
        <v>4.2630000000465245</v>
      </c>
      <c r="E73" s="11">
        <v>4.0020000001387901</v>
      </c>
      <c r="F73" s="11">
        <v>4.4020000001017294</v>
      </c>
      <c r="G73" s="11"/>
    </row>
    <row r="74" spans="1:7" x14ac:dyDescent="0.2">
      <c r="A74" t="str">
        <f>name!A73</f>
        <v>Libraries, etc</v>
      </c>
      <c r="B74" s="11">
        <v>9.4590000000705938</v>
      </c>
      <c r="C74" s="11">
        <v>7.1040000000746231</v>
      </c>
      <c r="D74" s="11">
        <v>6.0100000000511136</v>
      </c>
      <c r="E74" s="11">
        <v>5.6670000001505425</v>
      </c>
      <c r="F74" s="11">
        <v>6.2510000001112784</v>
      </c>
      <c r="G74" s="11"/>
    </row>
    <row r="75" spans="1:7" x14ac:dyDescent="0.2">
      <c r="A75" t="str">
        <f>name!A74</f>
        <v>Gambling and betting</v>
      </c>
      <c r="B75" s="11">
        <v>6.8270000000276623</v>
      </c>
      <c r="C75" s="11">
        <v>4.6960000000221243</v>
      </c>
      <c r="D75" s="11">
        <v>4.554000000005793</v>
      </c>
      <c r="E75" s="11">
        <v>4.8940000000294326</v>
      </c>
      <c r="F75" s="11">
        <v>5.3410000000014914</v>
      </c>
      <c r="G75" s="11"/>
    </row>
    <row r="76" spans="1:7" x14ac:dyDescent="0.2">
      <c r="A76" t="str">
        <f>name!A75</f>
        <v>Sport and recreation</v>
      </c>
      <c r="B76" s="11">
        <v>11.269000000051467</v>
      </c>
      <c r="C76" s="11">
        <v>17.801000000059958</v>
      </c>
      <c r="D76" s="11">
        <v>17.856000000044919</v>
      </c>
      <c r="E76" s="11">
        <v>19.178000000224468</v>
      </c>
      <c r="F76" s="11">
        <v>20.919000000080704</v>
      </c>
      <c r="G76" s="11"/>
    </row>
    <row r="77" spans="1:7" x14ac:dyDescent="0.2">
      <c r="A77" t="str">
        <f>name!A76</f>
        <v>Membership organisations</v>
      </c>
      <c r="B77" s="11">
        <v>21.802999999922037</v>
      </c>
      <c r="C77" s="11">
        <v>14.718000000108676</v>
      </c>
      <c r="D77" s="11">
        <v>14.975999999992514</v>
      </c>
      <c r="E77" s="11">
        <v>12.799999999846113</v>
      </c>
      <c r="F77" s="11">
        <v>12.043000000067458</v>
      </c>
      <c r="G77" s="11"/>
    </row>
    <row r="78" spans="1:7" x14ac:dyDescent="0.2">
      <c r="A78" t="str">
        <f>name!A77</f>
        <v>Repair of goods</v>
      </c>
      <c r="B78" s="11">
        <v>2.071999999990374</v>
      </c>
      <c r="C78" s="11">
        <v>2.1420000000034749</v>
      </c>
      <c r="D78" s="11">
        <v>2.3879999999837973</v>
      </c>
      <c r="E78" s="11">
        <v>2.064000000013376</v>
      </c>
      <c r="F78" s="11">
        <v>1.9790000000411139</v>
      </c>
      <c r="G78" s="11"/>
    </row>
    <row r="79" spans="1:7" x14ac:dyDescent="0.2">
      <c r="A79" t="str">
        <f>name!A78</f>
        <v>Other personal service</v>
      </c>
      <c r="B79" s="11">
        <v>16.063000000210828</v>
      </c>
      <c r="C79" s="11">
        <v>15.418000000086606</v>
      </c>
      <c r="D79" s="11">
        <v>16.373999999847193</v>
      </c>
      <c r="E79" s="11">
        <v>14.063000000083429</v>
      </c>
      <c r="F79" s="11">
        <v>13.349999999987672</v>
      </c>
      <c r="G79" s="11"/>
    </row>
    <row r="80" spans="1:7" x14ac:dyDescent="0.2">
      <c r="B80" s="11"/>
      <c r="C80" s="11"/>
      <c r="D80" s="11"/>
      <c r="E80" s="11"/>
      <c r="F80" s="11"/>
      <c r="G80" s="11"/>
    </row>
    <row r="81" spans="1:7" x14ac:dyDescent="0.2">
      <c r="A81" s="23" t="str">
        <f>name!A3</f>
        <v>All industries</v>
      </c>
      <c r="B81" s="33">
        <f>SUM(B5:B79)</f>
        <v>1207.7030000016523</v>
      </c>
      <c r="C81" s="33">
        <f t="shared" ref="C81:F81" si="0">SUM(C5:C79)</f>
        <v>1194.8680000007782</v>
      </c>
      <c r="D81" s="33">
        <f t="shared" si="0"/>
        <v>1189.3390000002901</v>
      </c>
      <c r="E81" s="33">
        <f t="shared" si="0"/>
        <v>1208.7760000004323</v>
      </c>
      <c r="F81" s="33">
        <f t="shared" si="0"/>
        <v>1250.9970000002133</v>
      </c>
      <c r="G81" s="11"/>
    </row>
    <row r="82" spans="1:7" x14ac:dyDescent="0.2">
      <c r="B82" s="11"/>
      <c r="C82" s="11"/>
      <c r="D82" s="11"/>
      <c r="E82" s="11"/>
      <c r="F82" s="11"/>
      <c r="G82" s="11"/>
    </row>
    <row r="83" spans="1:7" x14ac:dyDescent="0.2">
      <c r="B83" s="11"/>
      <c r="C83" s="11"/>
      <c r="D83" s="11"/>
      <c r="E83" s="11"/>
      <c r="F83" s="11"/>
      <c r="G83" s="11"/>
    </row>
    <row r="84" spans="1:7" x14ac:dyDescent="0.2">
      <c r="B84" s="11"/>
      <c r="C84" s="11"/>
      <c r="D84" s="11"/>
      <c r="E84" s="11"/>
      <c r="F84" s="11"/>
      <c r="G84" s="11"/>
    </row>
    <row r="85" spans="1:7" ht="15.75" x14ac:dyDescent="0.25">
      <c r="A85" s="18" t="str">
        <f>CONCATENATE($A$1," (Continued)")</f>
        <v>Industry Table 3  Employment by Industry (SIC 2007), 2015-2035, North East (Continued)</v>
      </c>
      <c r="B85" s="17"/>
      <c r="C85" s="17"/>
      <c r="D85" s="17"/>
      <c r="E85" s="17"/>
      <c r="F85" s="17"/>
      <c r="G85" s="11"/>
    </row>
    <row r="87" spans="1:7" x14ac:dyDescent="0.2">
      <c r="A87" s="35"/>
      <c r="B87" s="22">
        <f>B$3</f>
        <v>2015</v>
      </c>
      <c r="C87" s="22">
        <f>C$3</f>
        <v>2019</v>
      </c>
      <c r="D87" s="22">
        <f>D$3</f>
        <v>2020</v>
      </c>
      <c r="E87" s="22">
        <f>E$3</f>
        <v>2025</v>
      </c>
      <c r="F87" s="22">
        <f>F$3</f>
        <v>2035</v>
      </c>
      <c r="G87" s="11"/>
    </row>
    <row r="88" spans="1:7" x14ac:dyDescent="0.2">
      <c r="A88" s="27" t="s">
        <v>463</v>
      </c>
    </row>
    <row r="89" spans="1:7" x14ac:dyDescent="0.2">
      <c r="A89" t="str">
        <f>$A$5</f>
        <v>Agriculture, etc</v>
      </c>
      <c r="B89" s="17">
        <f t="shared" ref="B89:F98" si="1">B5/B$81*100</f>
        <v>0.62623012446124215</v>
      </c>
      <c r="C89" s="17">
        <f t="shared" si="1"/>
        <v>0.47302296153271872</v>
      </c>
      <c r="D89" s="17">
        <f t="shared" si="1"/>
        <v>0.45832180731481742</v>
      </c>
      <c r="E89" s="17">
        <f t="shared" si="1"/>
        <v>0.46675314532131196</v>
      </c>
      <c r="F89" s="17">
        <f t="shared" si="1"/>
        <v>0.46363020853757414</v>
      </c>
    </row>
    <row r="90" spans="1:7" x14ac:dyDescent="0.2">
      <c r="A90" t="str">
        <f>$A$6</f>
        <v>Coal, oil &amp; gas; Mining &amp; related</v>
      </c>
      <c r="B90" s="17">
        <f t="shared" si="1"/>
        <v>0.17570545076043209</v>
      </c>
      <c r="C90" s="17">
        <f t="shared" si="1"/>
        <v>0.12218922927022149</v>
      </c>
      <c r="D90" s="17">
        <f t="shared" si="1"/>
        <v>0.15226945387291324</v>
      </c>
      <c r="E90" s="17">
        <f t="shared" si="1"/>
        <v>0.13236530175918512</v>
      </c>
      <c r="F90" s="17">
        <f t="shared" si="1"/>
        <v>0.11175086750756637</v>
      </c>
    </row>
    <row r="91" spans="1:7" x14ac:dyDescent="0.2">
      <c r="A91" t="str">
        <f>$A$7</f>
        <v>Food products</v>
      </c>
      <c r="B91" s="17">
        <f t="shared" si="1"/>
        <v>0.7780058507807327</v>
      </c>
      <c r="C91" s="17">
        <f t="shared" si="1"/>
        <v>0.91307156940544765</v>
      </c>
      <c r="D91" s="17">
        <f t="shared" si="1"/>
        <v>0.88217068472116056</v>
      </c>
      <c r="E91" s="17">
        <f t="shared" si="1"/>
        <v>0.87385917657344014</v>
      </c>
      <c r="F91" s="17">
        <f t="shared" si="1"/>
        <v>0.81670859321936218</v>
      </c>
    </row>
    <row r="92" spans="1:7" x14ac:dyDescent="0.2">
      <c r="A92" t="str">
        <f>$A$8</f>
        <v>Beverages and tobacco</v>
      </c>
      <c r="B92" s="17">
        <f t="shared" si="1"/>
        <v>0.1503680954668766</v>
      </c>
      <c r="C92" s="17">
        <f t="shared" si="1"/>
        <v>0.13934593611928447</v>
      </c>
      <c r="D92" s="17">
        <f t="shared" si="1"/>
        <v>0.13427626605986509</v>
      </c>
      <c r="E92" s="17">
        <f t="shared" si="1"/>
        <v>0.13484715116911147</v>
      </c>
      <c r="F92" s="17">
        <f t="shared" si="1"/>
        <v>0.12949671342093599</v>
      </c>
    </row>
    <row r="93" spans="1:7" x14ac:dyDescent="0.2">
      <c r="A93" t="str">
        <f>$A$9</f>
        <v>Textiles</v>
      </c>
      <c r="B93" s="17">
        <f t="shared" si="1"/>
        <v>0.20485168953057081</v>
      </c>
      <c r="C93" s="17">
        <f t="shared" si="1"/>
        <v>8.1766354107102202E-2</v>
      </c>
      <c r="D93" s="17">
        <f t="shared" si="1"/>
        <v>0.10577303863700684</v>
      </c>
      <c r="E93" s="17">
        <f t="shared" si="1"/>
        <v>9.2076613037457636E-2</v>
      </c>
      <c r="F93" s="17">
        <f t="shared" si="1"/>
        <v>7.5699621981574206E-2</v>
      </c>
    </row>
    <row r="94" spans="1:7" x14ac:dyDescent="0.2">
      <c r="A94" t="str">
        <f>$A$10</f>
        <v>Wearing apparel; Leather, etc</v>
      </c>
      <c r="B94" s="17">
        <f t="shared" si="1"/>
        <v>0.14556559021645996</v>
      </c>
      <c r="C94" s="17">
        <f t="shared" si="1"/>
        <v>2.5860597153543968E-2</v>
      </c>
      <c r="D94" s="17">
        <f t="shared" si="1"/>
        <v>2.7998745521412599E-2</v>
      </c>
      <c r="E94" s="17">
        <f t="shared" si="1"/>
        <v>2.4239395885159217E-2</v>
      </c>
      <c r="F94" s="17">
        <f t="shared" si="1"/>
        <v>2.0143933198980456E-2</v>
      </c>
    </row>
    <row r="95" spans="1:7" x14ac:dyDescent="0.2">
      <c r="A95" t="str">
        <f>$A$11</f>
        <v xml:space="preserve">Wood and cork </v>
      </c>
      <c r="B95" s="17">
        <f t="shared" si="1"/>
        <v>0.30404826352245601</v>
      </c>
      <c r="C95" s="17">
        <f t="shared" si="1"/>
        <v>0.41619660079568571</v>
      </c>
      <c r="D95" s="17">
        <f t="shared" si="1"/>
        <v>0.33127644851457605</v>
      </c>
      <c r="E95" s="17">
        <f t="shared" si="1"/>
        <v>0.31709762602758251</v>
      </c>
      <c r="F95" s="17">
        <f t="shared" si="1"/>
        <v>0.29480486363785502</v>
      </c>
    </row>
    <row r="96" spans="1:7" x14ac:dyDescent="0.2">
      <c r="A96" t="str">
        <f>$A$12</f>
        <v>Paper, etc</v>
      </c>
      <c r="B96" s="17">
        <f t="shared" si="1"/>
        <v>0.34213709827749328</v>
      </c>
      <c r="C96" s="17">
        <f t="shared" si="1"/>
        <v>0.16922371341382339</v>
      </c>
      <c r="D96" s="17">
        <f t="shared" si="1"/>
        <v>0.15899587922327107</v>
      </c>
      <c r="E96" s="17">
        <f t="shared" si="1"/>
        <v>0.15180645545592306</v>
      </c>
      <c r="F96" s="17">
        <f t="shared" si="1"/>
        <v>0.1410075323911173</v>
      </c>
    </row>
    <row r="97" spans="1:6" x14ac:dyDescent="0.2">
      <c r="A97" t="str">
        <f>$A$13</f>
        <v>Printing and recording</v>
      </c>
      <c r="B97" s="17">
        <f t="shared" si="1"/>
        <v>0.62076520468900942</v>
      </c>
      <c r="C97" s="17">
        <f t="shared" si="1"/>
        <v>0.33166843534002427</v>
      </c>
      <c r="D97" s="17">
        <f t="shared" si="1"/>
        <v>0.28637755929867581</v>
      </c>
      <c r="E97" s="17">
        <f t="shared" si="1"/>
        <v>0.25529957577110518</v>
      </c>
      <c r="F97" s="17">
        <f t="shared" si="1"/>
        <v>0.20095971453144976</v>
      </c>
    </row>
    <row r="98" spans="1:6" x14ac:dyDescent="0.2">
      <c r="A98" t="str">
        <f>$A$14</f>
        <v>Coke and petroleum; Chemicals, etc</v>
      </c>
      <c r="B98" s="17">
        <f t="shared" si="1"/>
        <v>0.74836280111662601</v>
      </c>
      <c r="C98" s="17">
        <f t="shared" si="1"/>
        <v>0.72484994157999016</v>
      </c>
      <c r="D98" s="17">
        <f t="shared" si="1"/>
        <v>0.70753586655840894</v>
      </c>
      <c r="E98" s="17">
        <f t="shared" si="1"/>
        <v>0.5751272361523545</v>
      </c>
      <c r="F98" s="17">
        <f t="shared" si="1"/>
        <v>0.4292576241187081</v>
      </c>
    </row>
    <row r="99" spans="1:6" x14ac:dyDescent="0.2">
      <c r="A99" t="str">
        <f>$A$15</f>
        <v>Pharmaceuticals</v>
      </c>
      <c r="B99" s="17">
        <f t="shared" ref="B99:F108" si="2">B15/B$81*100</f>
        <v>0.23176227930102228</v>
      </c>
      <c r="C99" s="17">
        <f t="shared" si="2"/>
        <v>0.30246018806969505</v>
      </c>
      <c r="D99" s="17">
        <f t="shared" si="2"/>
        <v>0.30689315661800382</v>
      </c>
      <c r="E99" s="17">
        <f t="shared" si="2"/>
        <v>0.33554603996306104</v>
      </c>
      <c r="F99" s="17">
        <f t="shared" si="2"/>
        <v>0.32086407881150192</v>
      </c>
    </row>
    <row r="100" spans="1:6" x14ac:dyDescent="0.2">
      <c r="A100" t="str">
        <f>$A$16</f>
        <v>Rubber and plastic</v>
      </c>
      <c r="B100" s="17">
        <f t="shared" si="2"/>
        <v>0.64966303801667014</v>
      </c>
      <c r="C100" s="17">
        <f t="shared" si="2"/>
        <v>0.57395461255877211</v>
      </c>
      <c r="D100" s="17">
        <f t="shared" si="2"/>
        <v>0.61967193541872712</v>
      </c>
      <c r="E100" s="17">
        <f t="shared" si="2"/>
        <v>0.64230262678767447</v>
      </c>
      <c r="F100" s="17">
        <f t="shared" si="2"/>
        <v>0.5702651565064264</v>
      </c>
    </row>
    <row r="101" spans="1:6" x14ac:dyDescent="0.2">
      <c r="A101" t="str">
        <f>$A$17</f>
        <v>Other non-metallic</v>
      </c>
      <c r="B101" s="17">
        <f t="shared" si="2"/>
        <v>0.24658380413070438</v>
      </c>
      <c r="C101" s="17">
        <f t="shared" si="2"/>
        <v>0.3353508504699354</v>
      </c>
      <c r="D101" s="17">
        <f t="shared" si="2"/>
        <v>0.36230208544369336</v>
      </c>
      <c r="E101" s="17">
        <f t="shared" si="2"/>
        <v>0.37467653229336212</v>
      </c>
      <c r="F101" s="17">
        <f t="shared" si="2"/>
        <v>0.33133572662220762</v>
      </c>
    </row>
    <row r="102" spans="1:6" x14ac:dyDescent="0.2">
      <c r="A102" t="str">
        <f>$A$18</f>
        <v>Basic metals</v>
      </c>
      <c r="B102" s="17">
        <f t="shared" si="2"/>
        <v>0.18009394693884065</v>
      </c>
      <c r="C102" s="17">
        <f t="shared" si="2"/>
        <v>0.27216395451199166</v>
      </c>
      <c r="D102" s="17">
        <f t="shared" si="2"/>
        <v>0.22634421304589852</v>
      </c>
      <c r="E102" s="17">
        <f t="shared" si="2"/>
        <v>0.22096732562448515</v>
      </c>
      <c r="F102" s="17">
        <f t="shared" si="2"/>
        <v>0.18665112706010117</v>
      </c>
    </row>
    <row r="103" spans="1:6" x14ac:dyDescent="0.2">
      <c r="A103" t="str">
        <f>$A$19</f>
        <v>Metal products</v>
      </c>
      <c r="B103" s="17">
        <f t="shared" si="2"/>
        <v>1.32044053877387</v>
      </c>
      <c r="C103" s="17">
        <f t="shared" si="2"/>
        <v>1.3861782221932357</v>
      </c>
      <c r="D103" s="17">
        <f t="shared" si="2"/>
        <v>1.158458605996304</v>
      </c>
      <c r="E103" s="17">
        <f t="shared" si="2"/>
        <v>1.1350324625902184</v>
      </c>
      <c r="F103" s="17">
        <f t="shared" si="2"/>
        <v>0.96539000492607729</v>
      </c>
    </row>
    <row r="104" spans="1:6" x14ac:dyDescent="0.2">
      <c r="A104" t="str">
        <f>$A$20</f>
        <v>Computer, etc</v>
      </c>
      <c r="B104" s="17">
        <f t="shared" si="2"/>
        <v>0.23673038818190464</v>
      </c>
      <c r="C104" s="17">
        <f t="shared" si="2"/>
        <v>0.19926887321320844</v>
      </c>
      <c r="D104" s="17">
        <f t="shared" si="2"/>
        <v>0.21146199695701301</v>
      </c>
      <c r="E104" s="17">
        <f t="shared" si="2"/>
        <v>0.28367538733684317</v>
      </c>
      <c r="F104" s="17">
        <f t="shared" si="2"/>
        <v>0.31335007198196851</v>
      </c>
    </row>
    <row r="105" spans="1:6" x14ac:dyDescent="0.2">
      <c r="A105" t="str">
        <f>$A$21</f>
        <v>Electrical equipment</v>
      </c>
      <c r="B105" s="17">
        <f t="shared" si="2"/>
        <v>0.48952432841345939</v>
      </c>
      <c r="C105" s="17">
        <f t="shared" si="2"/>
        <v>0.31476280224905645</v>
      </c>
      <c r="D105" s="17">
        <f t="shared" si="2"/>
        <v>0.2735132708155506</v>
      </c>
      <c r="E105" s="17">
        <f t="shared" si="2"/>
        <v>0.25893962156933042</v>
      </c>
      <c r="F105" s="17">
        <f t="shared" si="2"/>
        <v>0.22510045987232463</v>
      </c>
    </row>
    <row r="106" spans="1:6" x14ac:dyDescent="0.2">
      <c r="A106" t="str">
        <f>$A$22</f>
        <v>Machinery n.e.c.</v>
      </c>
      <c r="B106" s="17">
        <f t="shared" si="2"/>
        <v>0.94659034547068033</v>
      </c>
      <c r="C106" s="17">
        <f t="shared" si="2"/>
        <v>0.97793229042455498</v>
      </c>
      <c r="D106" s="17">
        <f t="shared" si="2"/>
        <v>0.9174844178120426</v>
      </c>
      <c r="E106" s="17">
        <f t="shared" si="2"/>
        <v>0.88180109466391987</v>
      </c>
      <c r="F106" s="17">
        <f t="shared" si="2"/>
        <v>0.72821917238474898</v>
      </c>
    </row>
    <row r="107" spans="1:6" x14ac:dyDescent="0.2">
      <c r="A107" t="str">
        <f>$A$23</f>
        <v>Motor vehicles, etc</v>
      </c>
      <c r="B107" s="17">
        <f t="shared" si="2"/>
        <v>1.0454557122065768</v>
      </c>
      <c r="C107" s="17">
        <f t="shared" si="2"/>
        <v>1.2591349002520622</v>
      </c>
      <c r="D107" s="17">
        <f t="shared" si="2"/>
        <v>1.0711832370727998</v>
      </c>
      <c r="E107" s="17">
        <f t="shared" si="2"/>
        <v>0.99819983189666472</v>
      </c>
      <c r="F107" s="17">
        <f t="shared" si="2"/>
        <v>0.87889899016074802</v>
      </c>
    </row>
    <row r="108" spans="1:6" x14ac:dyDescent="0.2">
      <c r="A108" t="str">
        <f>$A$24</f>
        <v>Other transport equipment</v>
      </c>
      <c r="B108" s="17">
        <f t="shared" si="2"/>
        <v>0.15773745697368086</v>
      </c>
      <c r="C108" s="17">
        <f t="shared" si="2"/>
        <v>0.2273054429436426</v>
      </c>
      <c r="D108" s="17">
        <f t="shared" si="2"/>
        <v>0.22398996417284062</v>
      </c>
      <c r="E108" s="17">
        <f t="shared" si="2"/>
        <v>0.17852770074857643</v>
      </c>
      <c r="F108" s="17">
        <f t="shared" si="2"/>
        <v>0.1303760120924001</v>
      </c>
    </row>
    <row r="109" spans="1:6" x14ac:dyDescent="0.2">
      <c r="A109" t="str">
        <f>$A$25</f>
        <v>Furniture</v>
      </c>
      <c r="B109" s="17">
        <f t="shared" ref="B109:F118" si="3">B25/B$81*100</f>
        <v>0.49730769899656674</v>
      </c>
      <c r="C109" s="17">
        <f t="shared" si="3"/>
        <v>0.23617671575414761</v>
      </c>
      <c r="D109" s="17">
        <f t="shared" si="3"/>
        <v>0.24004930469752969</v>
      </c>
      <c r="E109" s="17">
        <f t="shared" si="3"/>
        <v>0.21294267920544857</v>
      </c>
      <c r="F109" s="17">
        <f t="shared" si="3"/>
        <v>0.20751448644379805</v>
      </c>
    </row>
    <row r="110" spans="1:6" x14ac:dyDescent="0.2">
      <c r="A110" t="str">
        <f>$A$26</f>
        <v>Other manufacturing</v>
      </c>
      <c r="B110" s="17">
        <f t="shared" si="3"/>
        <v>0.44083686138070471</v>
      </c>
      <c r="C110" s="17">
        <f t="shared" si="3"/>
        <v>0.25199436255530078</v>
      </c>
      <c r="D110" s="17">
        <f t="shared" si="3"/>
        <v>0.2619942674024936</v>
      </c>
      <c r="E110" s="17">
        <f t="shared" si="3"/>
        <v>0.23271474615847043</v>
      </c>
      <c r="F110" s="17">
        <f t="shared" si="3"/>
        <v>0.22749854715747278</v>
      </c>
    </row>
    <row r="111" spans="1:6" x14ac:dyDescent="0.2">
      <c r="A111" t="str">
        <f>$A$27</f>
        <v>Repair and installation</v>
      </c>
      <c r="B111" s="17">
        <f t="shared" si="3"/>
        <v>0.36805406627253273</v>
      </c>
      <c r="C111" s="17">
        <f t="shared" si="3"/>
        <v>0.1469618401360219</v>
      </c>
      <c r="D111" s="17">
        <f t="shared" si="3"/>
        <v>0.15016744595073764</v>
      </c>
      <c r="E111" s="17">
        <f t="shared" si="3"/>
        <v>0.13335804152294359</v>
      </c>
      <c r="F111" s="17">
        <f t="shared" si="3"/>
        <v>0.12989639463529151</v>
      </c>
    </row>
    <row r="112" spans="1:6" x14ac:dyDescent="0.2">
      <c r="A112" t="str">
        <f>$A$28</f>
        <v>Electricity, gas, etc</v>
      </c>
      <c r="B112" s="17">
        <f t="shared" si="3"/>
        <v>0.34346192730895864</v>
      </c>
      <c r="C112" s="17">
        <f t="shared" si="3"/>
        <v>0.82502837132775109</v>
      </c>
      <c r="D112" s="17">
        <f t="shared" si="3"/>
        <v>0.86056204328008734</v>
      </c>
      <c r="E112" s="17">
        <f t="shared" si="3"/>
        <v>0.83282593302475216</v>
      </c>
      <c r="F112" s="17">
        <f t="shared" si="3"/>
        <v>0.81990604294698388</v>
      </c>
    </row>
    <row r="113" spans="1:6" x14ac:dyDescent="0.2">
      <c r="A113" t="str">
        <f>$A$29</f>
        <v>Water</v>
      </c>
      <c r="B113" s="17">
        <f t="shared" si="3"/>
        <v>0.22182606153831461</v>
      </c>
      <c r="C113" s="17">
        <f t="shared" si="3"/>
        <v>0.22613376540230232</v>
      </c>
      <c r="D113" s="17">
        <f t="shared" si="3"/>
        <v>0.25173646874333228</v>
      </c>
      <c r="E113" s="17">
        <f t="shared" si="3"/>
        <v>0.25389319443974218</v>
      </c>
      <c r="F113" s="17">
        <f t="shared" si="3"/>
        <v>0.25355776233034388</v>
      </c>
    </row>
    <row r="114" spans="1:6" x14ac:dyDescent="0.2">
      <c r="A114" t="str">
        <f>$A$30</f>
        <v>Sewerage</v>
      </c>
      <c r="B114" s="17">
        <f t="shared" si="3"/>
        <v>1.5401137531431843E-2</v>
      </c>
      <c r="C114" s="17">
        <f t="shared" si="3"/>
        <v>1.2469996685855094E-2</v>
      </c>
      <c r="D114" s="17">
        <f t="shared" si="3"/>
        <v>1.3116529433600524E-2</v>
      </c>
      <c r="E114" s="17">
        <f t="shared" si="3"/>
        <v>1.3236530175861228E-2</v>
      </c>
      <c r="F114" s="17">
        <f t="shared" si="3"/>
        <v>1.3029607584849546E-2</v>
      </c>
    </row>
    <row r="115" spans="1:6" x14ac:dyDescent="0.2">
      <c r="A115" t="str">
        <f>$A$31</f>
        <v>Waste management</v>
      </c>
      <c r="B115" s="17">
        <f t="shared" si="3"/>
        <v>0.30123300182345525</v>
      </c>
      <c r="C115" s="17">
        <f t="shared" si="3"/>
        <v>0.33777789680500842</v>
      </c>
      <c r="D115" s="17">
        <f t="shared" si="3"/>
        <v>0.37281212505367628</v>
      </c>
      <c r="E115" s="17">
        <f t="shared" si="3"/>
        <v>0.37467653229158182</v>
      </c>
      <c r="F115" s="17">
        <f t="shared" si="3"/>
        <v>0.37010480440515514</v>
      </c>
    </row>
    <row r="116" spans="1:6" x14ac:dyDescent="0.2">
      <c r="A116" t="str">
        <f>$A$32</f>
        <v>Construction</v>
      </c>
      <c r="B116" s="17">
        <f t="shared" si="3"/>
        <v>1.7772581503815634</v>
      </c>
      <c r="C116" s="17">
        <f t="shared" si="3"/>
        <v>1.7472222873268681</v>
      </c>
      <c r="D116" s="17">
        <f t="shared" si="3"/>
        <v>1.7003562482849219</v>
      </c>
      <c r="E116" s="17">
        <f t="shared" si="3"/>
        <v>1.6172558025043817</v>
      </c>
      <c r="F116" s="17">
        <f t="shared" si="3"/>
        <v>1.5513226649910781</v>
      </c>
    </row>
    <row r="117" spans="1:6" x14ac:dyDescent="0.2">
      <c r="A117" t="str">
        <f>$A$33</f>
        <v>Civil engineering</v>
      </c>
      <c r="B117" s="17">
        <f t="shared" si="3"/>
        <v>0.7534137118103077</v>
      </c>
      <c r="C117" s="17">
        <f t="shared" si="3"/>
        <v>0.78694885125913328</v>
      </c>
      <c r="D117" s="17">
        <f t="shared" si="3"/>
        <v>0.74671729422008326</v>
      </c>
      <c r="E117" s="17">
        <f t="shared" si="3"/>
        <v>0.7113807686167084</v>
      </c>
      <c r="F117" s="17">
        <f t="shared" si="3"/>
        <v>0.6832150676380303</v>
      </c>
    </row>
    <row r="118" spans="1:6" x14ac:dyDescent="0.2">
      <c r="A118" t="str">
        <f>$A$34</f>
        <v>Specialised construction</v>
      </c>
      <c r="B118" s="17">
        <f t="shared" si="3"/>
        <v>3.0163045053121498</v>
      </c>
      <c r="C118" s="17">
        <f t="shared" si="3"/>
        <v>3.5480906677819615</v>
      </c>
      <c r="D118" s="17">
        <f t="shared" si="3"/>
        <v>3.3682574942520991</v>
      </c>
      <c r="E118" s="17">
        <f t="shared" si="3"/>
        <v>3.2046466837832734</v>
      </c>
      <c r="F118" s="17">
        <f t="shared" si="3"/>
        <v>3.0696316616735744</v>
      </c>
    </row>
    <row r="119" spans="1:6" x14ac:dyDescent="0.2">
      <c r="A119" t="str">
        <f>$A$35</f>
        <v>Motor vehicle trade</v>
      </c>
      <c r="B119" s="17">
        <f t="shared" ref="B119:F128" si="4">B35/B$81*100</f>
        <v>1.807398010945974</v>
      </c>
      <c r="C119" s="17">
        <f t="shared" si="4"/>
        <v>1.7437072546979211</v>
      </c>
      <c r="D119" s="17">
        <f t="shared" si="4"/>
        <v>1.5058784753544048</v>
      </c>
      <c r="E119" s="17">
        <f t="shared" si="4"/>
        <v>1.5650542366757163</v>
      </c>
      <c r="F119" s="17">
        <f t="shared" si="4"/>
        <v>1.6151917230655555</v>
      </c>
    </row>
    <row r="120" spans="1:6" x14ac:dyDescent="0.2">
      <c r="A120" t="str">
        <f>$A$36</f>
        <v>Wholesale trade</v>
      </c>
      <c r="B120" s="17">
        <f t="shared" si="4"/>
        <v>2.3758324687589614</v>
      </c>
      <c r="C120" s="17">
        <f t="shared" si="4"/>
        <v>2.4139904993626304</v>
      </c>
      <c r="D120" s="17">
        <f t="shared" si="4"/>
        <v>2.45094123710322</v>
      </c>
      <c r="E120" s="17">
        <f t="shared" si="4"/>
        <v>2.3807554088033709</v>
      </c>
      <c r="F120" s="17">
        <f t="shared" si="4"/>
        <v>2.2982469182404501</v>
      </c>
    </row>
    <row r="121" spans="1:6" x14ac:dyDescent="0.2">
      <c r="A121" t="str">
        <f>$A$37</f>
        <v>Retail trade</v>
      </c>
      <c r="B121" s="17">
        <f t="shared" si="4"/>
        <v>10.295246430885054</v>
      </c>
      <c r="C121" s="17">
        <f t="shared" si="4"/>
        <v>10.103124361917974</v>
      </c>
      <c r="D121" s="17">
        <f t="shared" si="4"/>
        <v>10.376351906481576</v>
      </c>
      <c r="E121" s="17">
        <f t="shared" si="4"/>
        <v>10.06737393907232</v>
      </c>
      <c r="F121" s="17">
        <f t="shared" si="4"/>
        <v>9.7106547817041768</v>
      </c>
    </row>
    <row r="122" spans="1:6" x14ac:dyDescent="0.2">
      <c r="A122" t="str">
        <f>$A$38</f>
        <v>Land transport, etc</v>
      </c>
      <c r="B122" s="17">
        <f t="shared" si="4"/>
        <v>2.2236427333683291</v>
      </c>
      <c r="C122" s="17">
        <f t="shared" si="4"/>
        <v>2.9379814338769843</v>
      </c>
      <c r="D122" s="17">
        <f t="shared" si="4"/>
        <v>2.9997334654054302</v>
      </c>
      <c r="E122" s="17">
        <f t="shared" si="4"/>
        <v>3.0540811532078829</v>
      </c>
      <c r="F122" s="17">
        <f t="shared" si="4"/>
        <v>2.9417336732387454</v>
      </c>
    </row>
    <row r="123" spans="1:6" x14ac:dyDescent="0.2">
      <c r="A123" t="str">
        <f>$A$39</f>
        <v>Water transport</v>
      </c>
      <c r="B123" s="17">
        <f t="shared" si="4"/>
        <v>3.7757627496540387E-2</v>
      </c>
      <c r="C123" s="17">
        <f t="shared" si="4"/>
        <v>5.8583877047334765E-4</v>
      </c>
      <c r="D123" s="17">
        <f t="shared" si="4"/>
        <v>7.5672285193730427E-4</v>
      </c>
      <c r="E123" s="17">
        <f t="shared" si="4"/>
        <v>5.7909819521049426E-4</v>
      </c>
      <c r="F123" s="17">
        <f t="shared" si="4"/>
        <v>5.5955369997400309E-4</v>
      </c>
    </row>
    <row r="124" spans="1:6" x14ac:dyDescent="0.2">
      <c r="A124" t="str">
        <f>$A$40</f>
        <v>Air transport</v>
      </c>
      <c r="B124" s="17">
        <f t="shared" si="4"/>
        <v>0.13041285812815107</v>
      </c>
      <c r="C124" s="17">
        <f t="shared" si="4"/>
        <v>0.13758841980771064</v>
      </c>
      <c r="D124" s="17">
        <f t="shared" si="4"/>
        <v>0.11729204204968034</v>
      </c>
      <c r="E124" s="17">
        <f t="shared" si="4"/>
        <v>0.16396751755816522</v>
      </c>
      <c r="F124" s="17">
        <f t="shared" si="4"/>
        <v>0.17617947924709693</v>
      </c>
    </row>
    <row r="125" spans="1:6" x14ac:dyDescent="0.2">
      <c r="A125" t="str">
        <f>$A$41</f>
        <v>Warehousing, etc</v>
      </c>
      <c r="B125" s="17">
        <f t="shared" si="4"/>
        <v>1.0900030885126104</v>
      </c>
      <c r="C125" s="17">
        <f t="shared" si="4"/>
        <v>1.2296755792264424</v>
      </c>
      <c r="D125" s="17">
        <f t="shared" si="4"/>
        <v>1.2717147928380002</v>
      </c>
      <c r="E125" s="17">
        <f t="shared" si="4"/>
        <v>1.2766633354774735</v>
      </c>
      <c r="F125" s="17">
        <f t="shared" si="4"/>
        <v>1.2358143144936207</v>
      </c>
    </row>
    <row r="126" spans="1:6" x14ac:dyDescent="0.2">
      <c r="A126" t="str">
        <f>$A$42</f>
        <v>Postal and courier</v>
      </c>
      <c r="B126" s="17">
        <f t="shared" si="4"/>
        <v>0.7152420752523706</v>
      </c>
      <c r="C126" s="17">
        <f t="shared" si="4"/>
        <v>0.67371458604525425</v>
      </c>
      <c r="D126" s="17">
        <f t="shared" si="4"/>
        <v>0.74722177612810392</v>
      </c>
      <c r="E126" s="17">
        <f t="shared" si="4"/>
        <v>0.75348948028197382</v>
      </c>
      <c r="F126" s="17">
        <f t="shared" si="4"/>
        <v>0.74076916250920899</v>
      </c>
    </row>
    <row r="127" spans="1:6" x14ac:dyDescent="0.2">
      <c r="A127" t="str">
        <f>$A$43</f>
        <v>Accommodation</v>
      </c>
      <c r="B127" s="17">
        <f t="shared" si="4"/>
        <v>1.5603173959371268</v>
      </c>
      <c r="C127" s="17">
        <f t="shared" si="4"/>
        <v>1.2454095347766165</v>
      </c>
      <c r="D127" s="17">
        <f t="shared" si="4"/>
        <v>1.1333185912472594</v>
      </c>
      <c r="E127" s="17">
        <f t="shared" si="4"/>
        <v>1.1069875643150082</v>
      </c>
      <c r="F127" s="17">
        <f t="shared" si="4"/>
        <v>1.2450869186709512</v>
      </c>
    </row>
    <row r="128" spans="1:6" x14ac:dyDescent="0.2">
      <c r="A128" t="str">
        <f>$A$44</f>
        <v>Food and beverage services</v>
      </c>
      <c r="B128" s="17">
        <f t="shared" si="4"/>
        <v>5.5569953872014066</v>
      </c>
      <c r="C128" s="17">
        <f t="shared" si="4"/>
        <v>6.8283693261669605</v>
      </c>
      <c r="D128" s="17">
        <f t="shared" si="4"/>
        <v>6.6770702045415815</v>
      </c>
      <c r="E128" s="17">
        <f t="shared" si="4"/>
        <v>6.7974546154552176</v>
      </c>
      <c r="F128" s="17">
        <f t="shared" si="4"/>
        <v>7.6395866656541305</v>
      </c>
    </row>
    <row r="129" spans="1:6" x14ac:dyDescent="0.2">
      <c r="A129" t="str">
        <f>$A$45</f>
        <v>Publishing activities</v>
      </c>
      <c r="B129" s="17">
        <f t="shared" ref="B129:F129" si="5">B45/B$81*100</f>
        <v>0.38676727639006775</v>
      </c>
      <c r="C129" s="17">
        <f t="shared" si="5"/>
        <v>0.18144263634027469</v>
      </c>
      <c r="D129" s="17">
        <f t="shared" si="5"/>
        <v>0.25316583412984356</v>
      </c>
      <c r="E129" s="17">
        <f t="shared" si="5"/>
        <v>0.23982938112384017</v>
      </c>
      <c r="F129" s="17">
        <f t="shared" si="5"/>
        <v>0.22661924848956808</v>
      </c>
    </row>
    <row r="130" spans="1:6" x14ac:dyDescent="0.2">
      <c r="A130" t="str">
        <f>$A$46</f>
        <v>Film and music</v>
      </c>
      <c r="B130" s="17">
        <f t="shared" ref="B130:B154" si="6">B46/B$81*100</f>
        <v>0.23863482992161392</v>
      </c>
      <c r="C130" s="17">
        <f t="shared" ref="C130:F130" si="7">C46/C$81*100</f>
        <v>0.5599781733217003</v>
      </c>
      <c r="D130" s="17">
        <f t="shared" si="7"/>
        <v>0.4623576625332626</v>
      </c>
      <c r="E130" s="17">
        <f t="shared" si="7"/>
        <v>0.45293751695640949</v>
      </c>
      <c r="F130" s="17">
        <f t="shared" si="7"/>
        <v>0.45459741310388807</v>
      </c>
    </row>
    <row r="131" spans="1:6" x14ac:dyDescent="0.2">
      <c r="A131" t="str">
        <f>$A$47</f>
        <v>Broadcasting</v>
      </c>
      <c r="B131" s="17">
        <f t="shared" si="6"/>
        <v>2.2522093594239515E-2</v>
      </c>
      <c r="C131" s="17">
        <f t="shared" ref="C131:F131" si="8">C47/C$81*100</f>
        <v>2.385200708361733E-2</v>
      </c>
      <c r="D131" s="17">
        <f t="shared" si="8"/>
        <v>3.2370921999492312E-2</v>
      </c>
      <c r="E131" s="17">
        <f t="shared" si="8"/>
        <v>3.060947603143099E-2</v>
      </c>
      <c r="F131" s="17">
        <f t="shared" si="8"/>
        <v>2.8936919912868942E-2</v>
      </c>
    </row>
    <row r="132" spans="1:6" x14ac:dyDescent="0.2">
      <c r="A132" t="str">
        <f>$A$48</f>
        <v>Telecommunications</v>
      </c>
      <c r="B132" s="17">
        <f t="shared" si="6"/>
        <v>0.81717110911433355</v>
      </c>
      <c r="C132" s="17">
        <f t="shared" ref="C132:F132" si="9">C48/C$81*100</f>
        <v>0.77021060066291147</v>
      </c>
      <c r="D132" s="17">
        <f t="shared" si="9"/>
        <v>0.64481195016186477</v>
      </c>
      <c r="E132" s="17">
        <f t="shared" si="9"/>
        <v>0.69078141857193087</v>
      </c>
      <c r="F132" s="17">
        <f t="shared" si="9"/>
        <v>0.7348538805543996</v>
      </c>
    </row>
    <row r="133" spans="1:6" x14ac:dyDescent="0.2">
      <c r="A133" t="str">
        <f>$A$49</f>
        <v>Computing services</v>
      </c>
      <c r="B133" s="17">
        <f t="shared" si="6"/>
        <v>1.4075480478024096</v>
      </c>
      <c r="C133" s="17">
        <f t="shared" ref="C133:F133" si="10">C49/C$81*100</f>
        <v>1.3188904548325406</v>
      </c>
      <c r="D133" s="17">
        <f t="shared" si="10"/>
        <v>1.1725000189075183</v>
      </c>
      <c r="E133" s="17">
        <f t="shared" si="10"/>
        <v>1.2612758691643478</v>
      </c>
      <c r="F133" s="17">
        <f t="shared" si="10"/>
        <v>1.3490040343999921</v>
      </c>
    </row>
    <row r="134" spans="1:6" x14ac:dyDescent="0.2">
      <c r="A134" t="str">
        <f>$A$50</f>
        <v>Information services</v>
      </c>
      <c r="B134" s="17">
        <f t="shared" si="6"/>
        <v>0.11070602623255855</v>
      </c>
      <c r="C134" s="17">
        <f t="shared" ref="C134:F134" si="11">C50/C$81*100</f>
        <v>0.3740999005730713</v>
      </c>
      <c r="D134" s="17">
        <f t="shared" si="11"/>
        <v>0.32463410347911686</v>
      </c>
      <c r="E134" s="17">
        <f t="shared" si="11"/>
        <v>0.34861711351249641</v>
      </c>
      <c r="F134" s="17">
        <f t="shared" si="11"/>
        <v>0.36930544198040122</v>
      </c>
    </row>
    <row r="135" spans="1:6" x14ac:dyDescent="0.2">
      <c r="A135" t="str">
        <f>$A$51</f>
        <v>Financial services</v>
      </c>
      <c r="B135" s="17">
        <f t="shared" si="6"/>
        <v>1.4180638782785562</v>
      </c>
      <c r="C135" s="17">
        <f t="shared" ref="C135:F135" si="12">C51/C$81*100</f>
        <v>1.2505147011968925</v>
      </c>
      <c r="D135" s="17">
        <f t="shared" si="12"/>
        <v>1.1563565980709989</v>
      </c>
      <c r="E135" s="17">
        <f t="shared" si="12"/>
        <v>1.1749902380732915</v>
      </c>
      <c r="F135" s="17">
        <f t="shared" si="12"/>
        <v>1.1365335008838953</v>
      </c>
    </row>
    <row r="136" spans="1:6" x14ac:dyDescent="0.2">
      <c r="A136" t="str">
        <f>$A$52</f>
        <v>Insurance and pensions</v>
      </c>
      <c r="B136" s="17">
        <f t="shared" si="6"/>
        <v>0.1858900739656062</v>
      </c>
      <c r="C136" s="17">
        <f t="shared" ref="C136:F136" si="13">C52/C$81*100</f>
        <v>0.21742987509785783</v>
      </c>
      <c r="D136" s="17">
        <f t="shared" si="13"/>
        <v>0.20196092114945063</v>
      </c>
      <c r="E136" s="17">
        <f t="shared" si="13"/>
        <v>0.20508348941645815</v>
      </c>
      <c r="F136" s="17">
        <f t="shared" si="13"/>
        <v>0.19792213730376557</v>
      </c>
    </row>
    <row r="137" spans="1:6" x14ac:dyDescent="0.2">
      <c r="A137" t="str">
        <f>$A$53</f>
        <v>Auxiliary financial services</v>
      </c>
      <c r="B137" s="17">
        <f t="shared" si="6"/>
        <v>0.56288673622092811</v>
      </c>
      <c r="C137" s="17">
        <f t="shared" ref="C137:F137" si="14">C53/C$81*100</f>
        <v>0.61036030757684157</v>
      </c>
      <c r="D137" s="17">
        <f t="shared" si="14"/>
        <v>0.58267659598809873</v>
      </c>
      <c r="E137" s="17">
        <f t="shared" si="14"/>
        <v>0.59622295612337073</v>
      </c>
      <c r="F137" s="17">
        <f t="shared" si="14"/>
        <v>0.57905814322791904</v>
      </c>
    </row>
    <row r="138" spans="1:6" x14ac:dyDescent="0.2">
      <c r="A138" t="str">
        <f>$A$54</f>
        <v>Real estate</v>
      </c>
      <c r="B138" s="17">
        <f t="shared" si="6"/>
        <v>1.4581399565911883</v>
      </c>
      <c r="C138" s="17">
        <f t="shared" ref="C138:F138" si="15">C54/C$81*100</f>
        <v>1.7093101497341321</v>
      </c>
      <c r="D138" s="17">
        <f t="shared" si="15"/>
        <v>1.5617078057572273</v>
      </c>
      <c r="E138" s="17">
        <f t="shared" si="15"/>
        <v>1.5322938245178299</v>
      </c>
      <c r="F138" s="17">
        <f t="shared" si="15"/>
        <v>1.6944085397499173</v>
      </c>
    </row>
    <row r="139" spans="1:6" x14ac:dyDescent="0.2">
      <c r="A139" t="str">
        <f>$A$55</f>
        <v>Legal and accounting</v>
      </c>
      <c r="B139" s="17">
        <f t="shared" si="6"/>
        <v>1.299491679644226</v>
      </c>
      <c r="C139" s="17">
        <f t="shared" ref="C139:F139" si="16">C55/C$81*100</f>
        <v>1.5670350197645999</v>
      </c>
      <c r="D139" s="17">
        <f t="shared" si="16"/>
        <v>1.6069430162443852</v>
      </c>
      <c r="E139" s="17">
        <f t="shared" si="16"/>
        <v>1.6222195013967136</v>
      </c>
      <c r="F139" s="17">
        <f t="shared" si="16"/>
        <v>1.6016824980540356</v>
      </c>
    </row>
    <row r="140" spans="1:6" x14ac:dyDescent="0.2">
      <c r="A140" t="str">
        <f>$A$56</f>
        <v>Head offices, etc</v>
      </c>
      <c r="B140" s="17">
        <f t="shared" si="6"/>
        <v>1.1188181200034</v>
      </c>
      <c r="C140" s="17">
        <f t="shared" ref="C140:F140" si="17">C56/C$81*100</f>
        <v>0.98086148427691477</v>
      </c>
      <c r="D140" s="17">
        <f t="shared" si="17"/>
        <v>1.0539467721099038</v>
      </c>
      <c r="E140" s="17">
        <f t="shared" si="17"/>
        <v>1.0507323110437088</v>
      </c>
      <c r="F140" s="17">
        <f t="shared" si="17"/>
        <v>1.0322966402096228</v>
      </c>
    </row>
    <row r="141" spans="1:6" x14ac:dyDescent="0.2">
      <c r="A141" t="str">
        <f>$A$57</f>
        <v>Architectural and related</v>
      </c>
      <c r="B141" s="17">
        <f t="shared" si="6"/>
        <v>2.8605542918628704</v>
      </c>
      <c r="C141" s="17">
        <f t="shared" ref="C141:F141" si="18">C57/C$81*100</f>
        <v>1.9221370059121445</v>
      </c>
      <c r="D141" s="17">
        <f t="shared" si="18"/>
        <v>2.2061834346488443</v>
      </c>
      <c r="E141" s="17">
        <f t="shared" si="18"/>
        <v>2.0710206026969615</v>
      </c>
      <c r="F141" s="17">
        <f t="shared" si="18"/>
        <v>2.0240656053023316</v>
      </c>
    </row>
    <row r="142" spans="1:6" x14ac:dyDescent="0.2">
      <c r="A142" t="str">
        <f>$A$58</f>
        <v>Scientific research and development</v>
      </c>
      <c r="B142" s="17">
        <f t="shared" si="6"/>
        <v>0.55021805857399686</v>
      </c>
      <c r="C142" s="17">
        <f t="shared" ref="C142:F142" si="19">C58/C$81*100</f>
        <v>0.27659959091687603</v>
      </c>
      <c r="D142" s="17">
        <f t="shared" si="19"/>
        <v>0.25644496648992104</v>
      </c>
      <c r="E142" s="17">
        <f t="shared" si="19"/>
        <v>0.29980740849144816</v>
      </c>
      <c r="F142" s="17">
        <f t="shared" si="19"/>
        <v>0.34564431410299123</v>
      </c>
    </row>
    <row r="143" spans="1:6" x14ac:dyDescent="0.2">
      <c r="A143" t="str">
        <f>$A$59</f>
        <v>Advertising, etc</v>
      </c>
      <c r="B143" s="17">
        <f t="shared" si="6"/>
        <v>0.28608026973365391</v>
      </c>
      <c r="C143" s="17">
        <f t="shared" ref="C143:F143" si="20">C59/C$81*100</f>
        <v>0.270657511959983</v>
      </c>
      <c r="D143" s="17">
        <f t="shared" si="20"/>
        <v>0.23180943364278175</v>
      </c>
      <c r="E143" s="17">
        <f t="shared" si="20"/>
        <v>0.27151432523843261</v>
      </c>
      <c r="F143" s="17">
        <f t="shared" si="20"/>
        <v>0.31446917938652413</v>
      </c>
    </row>
    <row r="144" spans="1:6" x14ac:dyDescent="0.2">
      <c r="A144" t="str">
        <f>$A$60</f>
        <v>Other professional</v>
      </c>
      <c r="B144" s="17">
        <f t="shared" si="6"/>
        <v>0.3801431312144537</v>
      </c>
      <c r="C144" s="17">
        <f t="shared" ref="C144:F144" si="21">C60/C$81*100</f>
        <v>0.48741785703511653</v>
      </c>
      <c r="D144" s="17">
        <f t="shared" si="21"/>
        <v>0.47211097929079282</v>
      </c>
      <c r="E144" s="17">
        <f t="shared" si="21"/>
        <v>0.55262513485376807</v>
      </c>
      <c r="F144" s="17">
        <f t="shared" si="21"/>
        <v>0.63789121796878923</v>
      </c>
    </row>
    <row r="145" spans="1:6" x14ac:dyDescent="0.2">
      <c r="A145" t="str">
        <f>$A$61</f>
        <v>Veterinary</v>
      </c>
      <c r="B145" s="17">
        <f t="shared" si="6"/>
        <v>0.15798586241416854</v>
      </c>
      <c r="C145" s="17">
        <f t="shared" ref="C145:F145" si="22">C61/C$81*100</f>
        <v>0.20370450961502246</v>
      </c>
      <c r="D145" s="17">
        <f t="shared" si="22"/>
        <v>0.15142865070517034</v>
      </c>
      <c r="E145" s="17">
        <f t="shared" si="22"/>
        <v>0.17745223267189059</v>
      </c>
      <c r="F145" s="17">
        <f t="shared" si="22"/>
        <v>0.20647531529069135</v>
      </c>
    </row>
    <row r="146" spans="1:6" x14ac:dyDescent="0.2">
      <c r="A146" t="str">
        <f>$A$62</f>
        <v>Rental and leasing</v>
      </c>
      <c r="B146" s="17">
        <f t="shared" si="6"/>
        <v>0.3077743451838264</v>
      </c>
      <c r="C146" s="17">
        <f t="shared" ref="C146:F146" si="23">C62/C$81*100</f>
        <v>0.56315844093169931</v>
      </c>
      <c r="D146" s="17">
        <f t="shared" si="23"/>
        <v>0.53987971469878471</v>
      </c>
      <c r="E146" s="17">
        <f t="shared" si="23"/>
        <v>0.54203591070954305</v>
      </c>
      <c r="F146" s="17">
        <f t="shared" si="23"/>
        <v>0.54460562255372746</v>
      </c>
    </row>
    <row r="147" spans="1:6" x14ac:dyDescent="0.2">
      <c r="A147" t="str">
        <f>$A$63</f>
        <v>Employment activities</v>
      </c>
      <c r="B147" s="17">
        <f t="shared" si="6"/>
        <v>2.2038530996558441</v>
      </c>
      <c r="C147" s="17">
        <f t="shared" ref="C147:F147" si="24">C63/C$81*100</f>
        <v>2.2584921514321277</v>
      </c>
      <c r="D147" s="17">
        <f t="shared" si="24"/>
        <v>2.222242775181849</v>
      </c>
      <c r="E147" s="17">
        <f t="shared" si="24"/>
        <v>2.2333335539606427</v>
      </c>
      <c r="F147" s="17">
        <f t="shared" si="24"/>
        <v>2.2446096992934912</v>
      </c>
    </row>
    <row r="148" spans="1:6" x14ac:dyDescent="0.2">
      <c r="A148" t="str">
        <f>$A$64</f>
        <v>Travel, etc</v>
      </c>
      <c r="B148" s="17">
        <f t="shared" si="6"/>
        <v>0.25809325637321412</v>
      </c>
      <c r="C148" s="17">
        <f t="shared" ref="C148:F148" si="25">C64/C$81*100</f>
        <v>0.19115082168006586</v>
      </c>
      <c r="D148" s="17">
        <f t="shared" si="25"/>
        <v>0.1933006485105328</v>
      </c>
      <c r="E148" s="17">
        <f t="shared" si="25"/>
        <v>0.19441153696227467</v>
      </c>
      <c r="F148" s="17">
        <f t="shared" si="25"/>
        <v>0.19576385874534577</v>
      </c>
    </row>
    <row r="149" spans="1:6" x14ac:dyDescent="0.2">
      <c r="A149" t="str">
        <f>$A$65</f>
        <v>Security, etc</v>
      </c>
      <c r="B149" s="17">
        <f t="shared" si="6"/>
        <v>0.462613738645405</v>
      </c>
      <c r="C149" s="17">
        <f t="shared" ref="C149:F149" si="26">C65/C$81*100</f>
        <v>0.80435663186222073</v>
      </c>
      <c r="D149" s="17">
        <f t="shared" si="26"/>
        <v>0.7784996540079332</v>
      </c>
      <c r="E149" s="17">
        <f t="shared" si="26"/>
        <v>0.77971435568603997</v>
      </c>
      <c r="F149" s="17">
        <f t="shared" si="26"/>
        <v>0.77937836781078973</v>
      </c>
    </row>
    <row r="150" spans="1:6" x14ac:dyDescent="0.2">
      <c r="A150" t="str">
        <f>$A$66</f>
        <v>Services to buildings</v>
      </c>
      <c r="B150" s="17">
        <f t="shared" si="6"/>
        <v>2.3592721058194441</v>
      </c>
      <c r="C150" s="17">
        <f t="shared" ref="C150:F150" si="27">C66/C$81*100</f>
        <v>2.1466806375194181</v>
      </c>
      <c r="D150" s="17">
        <f t="shared" si="27"/>
        <v>2.1655726416026377</v>
      </c>
      <c r="E150" s="17">
        <f t="shared" si="27"/>
        <v>2.1680609145479011</v>
      </c>
      <c r="F150" s="17">
        <f t="shared" si="27"/>
        <v>2.16387409401732</v>
      </c>
    </row>
    <row r="151" spans="1:6" x14ac:dyDescent="0.2">
      <c r="A151" t="str">
        <f>$A$67</f>
        <v>Office administrative</v>
      </c>
      <c r="B151" s="17">
        <f t="shared" si="6"/>
        <v>1.4876174026317028</v>
      </c>
      <c r="C151" s="17">
        <f t="shared" ref="C151:F151" si="28">C67/C$81*100</f>
        <v>1.4990777223941729</v>
      </c>
      <c r="D151" s="17">
        <f t="shared" si="28"/>
        <v>1.4583730963146482</v>
      </c>
      <c r="E151" s="17">
        <f t="shared" si="28"/>
        <v>1.4638775091494924</v>
      </c>
      <c r="F151" s="17">
        <f t="shared" si="28"/>
        <v>1.471146613452299</v>
      </c>
    </row>
    <row r="152" spans="1:6" x14ac:dyDescent="0.2">
      <c r="A152" t="str">
        <f>$A$68</f>
        <v>Public administration and defence</v>
      </c>
      <c r="B152" s="17">
        <f t="shared" si="6"/>
        <v>5.585644814939827</v>
      </c>
      <c r="C152" s="17">
        <f t="shared" ref="C152:F152" si="29">C68/C$81*100</f>
        <v>5.7336877378762168</v>
      </c>
      <c r="D152" s="17">
        <f t="shared" si="29"/>
        <v>5.9269896976337018</v>
      </c>
      <c r="E152" s="17">
        <f t="shared" si="29"/>
        <v>5.6874061033648786</v>
      </c>
      <c r="F152" s="17">
        <f t="shared" si="29"/>
        <v>5.5554889420401317</v>
      </c>
    </row>
    <row r="153" spans="1:6" x14ac:dyDescent="0.2">
      <c r="A153" t="str">
        <f>$A$69</f>
        <v xml:space="preserve">Education </v>
      </c>
      <c r="B153" s="17">
        <f t="shared" si="6"/>
        <v>8.9771243426386693</v>
      </c>
      <c r="C153" s="17">
        <f t="shared" ref="C153:F153" si="30">C69/C$81*100</f>
        <v>9.0079406262289368</v>
      </c>
      <c r="D153" s="17">
        <f t="shared" si="30"/>
        <v>8.7647844728785014</v>
      </c>
      <c r="E153" s="17">
        <f t="shared" si="30"/>
        <v>9.177134555229264</v>
      </c>
      <c r="F153" s="17">
        <f t="shared" si="30"/>
        <v>9.1740427836314886</v>
      </c>
    </row>
    <row r="154" spans="1:6" x14ac:dyDescent="0.2">
      <c r="A154" t="str">
        <f>$A$70</f>
        <v>Health</v>
      </c>
      <c r="B154" s="17">
        <f t="shared" si="6"/>
        <v>9.344350390646964</v>
      </c>
      <c r="C154" s="17">
        <f t="shared" ref="C154:F154" si="31">C70/C$81*100</f>
        <v>8.7130126507128889</v>
      </c>
      <c r="D154" s="17">
        <f t="shared" si="31"/>
        <v>9.9942068661306394</v>
      </c>
      <c r="E154" s="17">
        <f t="shared" si="31"/>
        <v>10.506744012027616</v>
      </c>
      <c r="F154" s="17">
        <f t="shared" si="31"/>
        <v>11.154862881398376</v>
      </c>
    </row>
    <row r="155" spans="1:6" x14ac:dyDescent="0.2">
      <c r="A155" t="str">
        <f>$A$71</f>
        <v>Residential care</v>
      </c>
      <c r="B155" s="17">
        <f t="shared" ref="B155:F155" si="32">B71/B$81*100</f>
        <v>3.1157494847172016</v>
      </c>
      <c r="C155" s="17">
        <f t="shared" si="32"/>
        <v>2.9934687346013087</v>
      </c>
      <c r="D155" s="17">
        <f t="shared" si="32"/>
        <v>3.0210057855608117</v>
      </c>
      <c r="E155" s="17">
        <f t="shared" si="32"/>
        <v>3.1647716367310856</v>
      </c>
      <c r="F155" s="17">
        <f t="shared" si="32"/>
        <v>3.1872978112694135</v>
      </c>
    </row>
    <row r="156" spans="1:6" x14ac:dyDescent="0.2">
      <c r="A156" t="str">
        <f>$A$72</f>
        <v>Social work</v>
      </c>
      <c r="B156" s="17">
        <f t="shared" ref="B156:F156" si="33">B72/B$81*100</f>
        <v>3.4362753093525149</v>
      </c>
      <c r="C156" s="17">
        <f t="shared" si="33"/>
        <v>3.0687071709754017</v>
      </c>
      <c r="D156" s="17">
        <f t="shared" si="33"/>
        <v>3.1166891861677075</v>
      </c>
      <c r="E156" s="17">
        <f t="shared" si="33"/>
        <v>3.2336015936394729</v>
      </c>
      <c r="F156" s="17">
        <f t="shared" si="33"/>
        <v>3.1930532207555955</v>
      </c>
    </row>
    <row r="157" spans="1:6" x14ac:dyDescent="0.2">
      <c r="A157" t="str">
        <f>$A$73</f>
        <v>Arts and entertainment</v>
      </c>
      <c r="B157" s="17">
        <f t="shared" ref="B157:F157" si="34">B73/B$81*100</f>
        <v>0.48290018324460976</v>
      </c>
      <c r="C157" s="17">
        <f t="shared" si="34"/>
        <v>0.43837478282468534</v>
      </c>
      <c r="D157" s="17">
        <f t="shared" si="34"/>
        <v>0.3584343908713567</v>
      </c>
      <c r="E157" s="17">
        <f t="shared" si="34"/>
        <v>0.33107871103805492</v>
      </c>
      <c r="F157" s="17">
        <f t="shared" si="34"/>
        <v>0.35187934104566027</v>
      </c>
    </row>
    <row r="158" spans="1:6" x14ac:dyDescent="0.2">
      <c r="A158" t="str">
        <f>$A$74</f>
        <v>Libraries, etc</v>
      </c>
      <c r="B158" s="17">
        <f t="shared" ref="B158:F158" si="35">B74/B$81*100</f>
        <v>0.78322236510612742</v>
      </c>
      <c r="C158" s="17">
        <f t="shared" si="35"/>
        <v>0.59454266078512408</v>
      </c>
      <c r="D158" s="17">
        <f t="shared" si="35"/>
        <v>0.50532270446438299</v>
      </c>
      <c r="E158" s="17">
        <f t="shared" si="35"/>
        <v>0.46882135318276635</v>
      </c>
      <c r="F158" s="17">
        <f t="shared" si="35"/>
        <v>0.49968145408104192</v>
      </c>
    </row>
    <row r="159" spans="1:6" x14ac:dyDescent="0.2">
      <c r="A159" t="str">
        <f>$A$75</f>
        <v>Gambling and betting</v>
      </c>
      <c r="B159" s="17">
        <f t="shared" ref="B159:F159" si="36">B75/B$81*100</f>
        <v>0.56528798885308074</v>
      </c>
      <c r="C159" s="17">
        <f t="shared" si="36"/>
        <v>0.39301412373743927</v>
      </c>
      <c r="D159" s="17">
        <f t="shared" si="36"/>
        <v>0.38290176308055834</v>
      </c>
      <c r="E159" s="17">
        <f t="shared" si="36"/>
        <v>0.40487236676006821</v>
      </c>
      <c r="F159" s="17">
        <f t="shared" si="36"/>
        <v>0.4269394730763208</v>
      </c>
    </row>
    <row r="160" spans="1:6" x14ac:dyDescent="0.2">
      <c r="A160" t="str">
        <f>$A$76</f>
        <v>Sport and recreation</v>
      </c>
      <c r="B160" s="17">
        <f t="shared" ref="B160:F160" si="37">B76/B$81*100</f>
        <v>0.93309364968341135</v>
      </c>
      <c r="C160" s="17">
        <f t="shared" si="37"/>
        <v>1.4897879933221381</v>
      </c>
      <c r="D160" s="17">
        <f t="shared" si="37"/>
        <v>1.501338138246586</v>
      </c>
      <c r="E160" s="17">
        <f t="shared" si="37"/>
        <v>1.5865635982363655</v>
      </c>
      <c r="F160" s="17">
        <f t="shared" si="37"/>
        <v>1.6721862642418115</v>
      </c>
    </row>
    <row r="161" spans="1:6" x14ac:dyDescent="0.2">
      <c r="A161" t="str">
        <f>$A$77</f>
        <v>Membership organisations</v>
      </c>
      <c r="B161" s="17">
        <f t="shared" ref="B161:F161" si="38">B77/B$81*100</f>
        <v>1.805327965558768</v>
      </c>
      <c r="C161" s="17">
        <f t="shared" si="38"/>
        <v>1.2317678605585798</v>
      </c>
      <c r="D161" s="17">
        <f t="shared" si="38"/>
        <v>1.2591868256223719</v>
      </c>
      <c r="E161" s="17">
        <f t="shared" si="38"/>
        <v>1.058922414065264</v>
      </c>
      <c r="F161" s="17">
        <f t="shared" si="38"/>
        <v>0.96267217268030247</v>
      </c>
    </row>
    <row r="162" spans="1:6" x14ac:dyDescent="0.2">
      <c r="A162" t="str">
        <f>$A$78</f>
        <v>Repair of goods</v>
      </c>
      <c r="B162" s="17">
        <f t="shared" ref="B162:F162" si="39">B78/B$81*100</f>
        <v>0.17156536002539854</v>
      </c>
      <c r="C162" s="17">
        <f t="shared" si="39"/>
        <v>0.17926666376554395</v>
      </c>
      <c r="D162" s="17">
        <f t="shared" si="39"/>
        <v>0.20078379671256175</v>
      </c>
      <c r="E162" s="17">
        <f t="shared" si="39"/>
        <v>0.17075123927118321</v>
      </c>
      <c r="F162" s="17">
        <f t="shared" si="39"/>
        <v>0.15819382460875417</v>
      </c>
    </row>
    <row r="163" spans="1:6" x14ac:dyDescent="0.2">
      <c r="A163" t="str">
        <f>$A$79</f>
        <v>Other personal service</v>
      </c>
      <c r="B163" s="17">
        <f>B79/B$81*100</f>
        <v>1.3300455492938952</v>
      </c>
      <c r="C163" s="17">
        <f t="shared" ref="C163:F163" si="40">C79/C$81*100</f>
        <v>1.2903517376042011</v>
      </c>
      <c r="D163" s="17">
        <f t="shared" si="40"/>
        <v>1.3767311086110183</v>
      </c>
      <c r="E163" s="17">
        <f t="shared" si="40"/>
        <v>1.1634082741614988</v>
      </c>
      <c r="F163" s="17">
        <f t="shared" si="40"/>
        <v>1.0671488420823867</v>
      </c>
    </row>
    <row r="164" spans="1:6" x14ac:dyDescent="0.2">
      <c r="B164" s="17"/>
      <c r="C164" s="17"/>
      <c r="D164" s="17"/>
      <c r="E164" s="17"/>
      <c r="F164" s="17"/>
    </row>
    <row r="165" spans="1:6" x14ac:dyDescent="0.2">
      <c r="A165" s="23" t="str">
        <f>$A$81</f>
        <v>All industries</v>
      </c>
      <c r="B165" s="25">
        <f>B81/B$81*100</f>
        <v>100</v>
      </c>
      <c r="C165" s="25">
        <f>C81/C$81*100</f>
        <v>100</v>
      </c>
      <c r="D165" s="25">
        <f>D81/D$81*100</f>
        <v>100</v>
      </c>
      <c r="E165" s="25">
        <f>E81/E$81*100</f>
        <v>100</v>
      </c>
      <c r="F165" s="25">
        <f>F81/F$81*100</f>
        <v>100</v>
      </c>
    </row>
    <row r="166" spans="1:6" x14ac:dyDescent="0.2">
      <c r="B166" s="17"/>
      <c r="C166" s="17"/>
      <c r="D166" s="17"/>
      <c r="E166" s="17"/>
      <c r="F166" s="17"/>
    </row>
    <row r="167" spans="1:6" x14ac:dyDescent="0.2">
      <c r="B167" s="17"/>
      <c r="C167" s="17"/>
      <c r="D167" s="17"/>
      <c r="E167" s="17"/>
      <c r="F167" s="17"/>
    </row>
    <row r="168" spans="1:6" x14ac:dyDescent="0.2">
      <c r="B168" s="17"/>
      <c r="C168" s="17"/>
      <c r="D168" s="17"/>
      <c r="E168" s="17"/>
      <c r="F168" s="17"/>
    </row>
    <row r="169" spans="1:6" ht="15.75" x14ac:dyDescent="0.25">
      <c r="A169" s="18" t="str">
        <f>CONCATENATE($A$1," (Continued)")</f>
        <v>Industry Table 3  Employment by Industry (SIC 2007), 2015-2035, North East (Continued)</v>
      </c>
      <c r="B169" s="17"/>
      <c r="C169" s="17"/>
      <c r="D169" s="17"/>
      <c r="E169" s="17"/>
      <c r="F169" s="17"/>
    </row>
    <row r="171" spans="1:6" x14ac:dyDescent="0.2">
      <c r="A171" s="21"/>
      <c r="B171" s="24" t="str">
        <f>CONCATENATE(B$3,"-",C$3)</f>
        <v>2015-2019</v>
      </c>
      <c r="C171" s="24" t="str">
        <f>CONCATENATE(C$3,"-",D$3)</f>
        <v>2019-2020</v>
      </c>
      <c r="D171" s="24" t="str">
        <f>CONCATENATE(D$3,"-",E$3)</f>
        <v>2020-2025</v>
      </c>
      <c r="E171" s="24" t="str">
        <f>CONCATENATE(E$3,"-",F$3)</f>
        <v>2025-2035</v>
      </c>
      <c r="F171" s="24" t="str">
        <f>CONCATENATE(D$3,"-",F$3)</f>
        <v>2020-2035</v>
      </c>
    </row>
    <row r="172" spans="1:6" x14ac:dyDescent="0.2">
      <c r="A172" s="27" t="s">
        <v>14</v>
      </c>
    </row>
    <row r="173" spans="1:6" x14ac:dyDescent="0.2">
      <c r="A173" t="str">
        <f>$A$5</f>
        <v>Agriculture, etc</v>
      </c>
      <c r="B173" s="17">
        <f t="shared" ref="B173:E192" si="41">IF(AND(C$3-B$3 &lt;&gt; 0,B5&lt;&gt;0,C5&lt;&gt;0),(EXP(LN(C5/B5)/(C$3-B$3))-1)*100,0)</f>
        <v>-7.0226822751157547</v>
      </c>
      <c r="C173" s="17">
        <f t="shared" si="41"/>
        <v>-3.556263271563509</v>
      </c>
      <c r="D173" s="17">
        <f t="shared" si="41"/>
        <v>0.69116830880651126</v>
      </c>
      <c r="E173" s="17">
        <f t="shared" si="41"/>
        <v>0.27657481413745355</v>
      </c>
      <c r="F173" s="17">
        <f>IF(AND(F$3-D$3 &lt;&gt; 0,D5&lt;&gt;0,F5&lt;&gt;0),(EXP(LN(F5/D5)/(F$3-D$3))-1)*100,0)</f>
        <v>0.41458262232376697</v>
      </c>
    </row>
    <row r="174" spans="1:6" x14ac:dyDescent="0.2">
      <c r="A174" t="str">
        <f>$A$6</f>
        <v>Coal, oil &amp; gas; Mining &amp; related</v>
      </c>
      <c r="B174" s="17">
        <f t="shared" si="41"/>
        <v>-8.9244360641197122</v>
      </c>
      <c r="C174" s="17">
        <f t="shared" si="41"/>
        <v>24.041095890490304</v>
      </c>
      <c r="D174" s="17">
        <f t="shared" si="41"/>
        <v>-2.4470725793714343</v>
      </c>
      <c r="E174" s="17">
        <f t="shared" si="41"/>
        <v>-1.3405434533920735</v>
      </c>
      <c r="F174" s="17">
        <f t="shared" ref="F174:F237" si="42">IF(AND(F$3-D$3 &lt;&gt; 0,D6&lt;&gt;0,F6&lt;&gt;0),(EXP(LN(F6/D6)/(F$3-D$3))-1)*100,0)</f>
        <v>-1.7107740893458234</v>
      </c>
    </row>
    <row r="175" spans="1:6" x14ac:dyDescent="0.2">
      <c r="A175" t="str">
        <f>$A$7</f>
        <v>Food products</v>
      </c>
      <c r="B175" s="17">
        <f t="shared" si="41"/>
        <v>3.8055169624649388</v>
      </c>
      <c r="C175" s="17">
        <f t="shared" si="41"/>
        <v>-3.831347387487527</v>
      </c>
      <c r="D175" s="17">
        <f t="shared" si="41"/>
        <v>0.13497634841268535</v>
      </c>
      <c r="E175" s="17">
        <f t="shared" si="41"/>
        <v>-0.33248931859483077</v>
      </c>
      <c r="F175" s="17">
        <f t="shared" si="42"/>
        <v>-0.17691041138845343</v>
      </c>
    </row>
    <row r="176" spans="1:6" x14ac:dyDescent="0.2">
      <c r="A176" t="str">
        <f>$A$8</f>
        <v>Beverages and tobacco</v>
      </c>
      <c r="B176" s="17">
        <f t="shared" si="41"/>
        <v>-2.1468978163737829</v>
      </c>
      <c r="C176" s="17">
        <f t="shared" si="41"/>
        <v>-4.084084083909989</v>
      </c>
      <c r="D176" s="17">
        <f t="shared" si="41"/>
        <v>0.40990071631472613</v>
      </c>
      <c r="E176" s="17">
        <f t="shared" si="41"/>
        <v>-6.1519724730030312E-2</v>
      </c>
      <c r="F176" s="17">
        <f t="shared" si="42"/>
        <v>9.5373985500701863E-2</v>
      </c>
    </row>
    <row r="177" spans="1:6" x14ac:dyDescent="0.2">
      <c r="A177" t="str">
        <f>$A$9</f>
        <v>Textiles</v>
      </c>
      <c r="B177" s="17">
        <f t="shared" si="41"/>
        <v>-20.727287817088001</v>
      </c>
      <c r="C177" s="17">
        <f t="shared" si="41"/>
        <v>28.761514841780933</v>
      </c>
      <c r="D177" s="17">
        <f t="shared" si="41"/>
        <v>-2.4195302091329252</v>
      </c>
      <c r="E177" s="17">
        <f t="shared" si="41"/>
        <v>-1.6021789336532644</v>
      </c>
      <c r="F177" s="17">
        <f t="shared" si="42"/>
        <v>-1.8753872383407977</v>
      </c>
    </row>
    <row r="178" spans="1:6" x14ac:dyDescent="0.2">
      <c r="A178" t="str">
        <f>$A$10</f>
        <v>Wearing apparel; Leather, etc</v>
      </c>
      <c r="B178" s="17">
        <f t="shared" si="41"/>
        <v>-35.250726162840785</v>
      </c>
      <c r="C178" s="17">
        <f t="shared" si="41"/>
        <v>7.7669902914023981</v>
      </c>
      <c r="D178" s="17">
        <f t="shared" si="41"/>
        <v>-2.5269226820502033</v>
      </c>
      <c r="E178" s="17">
        <f t="shared" si="41"/>
        <v>-1.4961302866433268</v>
      </c>
      <c r="F178" s="17">
        <f t="shared" si="42"/>
        <v>-1.8409332921614729</v>
      </c>
    </row>
    <row r="179" spans="1:6" x14ac:dyDescent="0.2">
      <c r="A179" t="str">
        <f>$A$11</f>
        <v xml:space="preserve">Wood and cork </v>
      </c>
      <c r="B179" s="17">
        <f t="shared" si="41"/>
        <v>7.8770214159739727</v>
      </c>
      <c r="C179" s="17">
        <f t="shared" si="41"/>
        <v>-20.772169716452492</v>
      </c>
      <c r="D179" s="17">
        <f t="shared" si="41"/>
        <v>-0.54914539210109137</v>
      </c>
      <c r="E179" s="17">
        <f t="shared" si="41"/>
        <v>-0.38489219099788752</v>
      </c>
      <c r="F179" s="17">
        <f t="shared" si="42"/>
        <v>-0.43967337824631914</v>
      </c>
    </row>
    <row r="180" spans="1:6" x14ac:dyDescent="0.2">
      <c r="A180" t="str">
        <f>$A$12</f>
        <v>Paper, etc</v>
      </c>
      <c r="B180" s="17">
        <f t="shared" si="41"/>
        <v>-16.361697560179756</v>
      </c>
      <c r="C180" s="17">
        <f t="shared" si="41"/>
        <v>-6.47873392677627</v>
      </c>
      <c r="D180" s="17">
        <f t="shared" si="41"/>
        <v>-0.59942241550376973</v>
      </c>
      <c r="E180" s="17">
        <f t="shared" si="41"/>
        <v>-0.39382769590985411</v>
      </c>
      <c r="F180" s="17">
        <f t="shared" si="42"/>
        <v>-0.46240647471209595</v>
      </c>
    </row>
    <row r="181" spans="1:6" x14ac:dyDescent="0.2">
      <c r="A181" t="str">
        <f>$A$13</f>
        <v>Printing and recording</v>
      </c>
      <c r="B181" s="17">
        <f t="shared" si="41"/>
        <v>-14.73238013771433</v>
      </c>
      <c r="C181" s="17">
        <f t="shared" si="41"/>
        <v>-14.055008831586003</v>
      </c>
      <c r="D181" s="17">
        <f t="shared" si="41"/>
        <v>-1.9539152850093888</v>
      </c>
      <c r="E181" s="17">
        <f t="shared" si="41"/>
        <v>-2.0291366597335658</v>
      </c>
      <c r="F181" s="17">
        <f t="shared" si="42"/>
        <v>-2.0040692825862405</v>
      </c>
    </row>
    <row r="182" spans="1:6" x14ac:dyDescent="0.2">
      <c r="A182" t="str">
        <f>$A$14</f>
        <v>Coke and petroleum; Chemicals, etc</v>
      </c>
      <c r="B182" s="17">
        <f t="shared" si="41"/>
        <v>-1.0595399499015334</v>
      </c>
      <c r="C182" s="17">
        <f t="shared" si="41"/>
        <v>-2.8403186698476302</v>
      </c>
      <c r="D182" s="17">
        <f t="shared" si="41"/>
        <v>-3.7476972020632826</v>
      </c>
      <c r="E182" s="17">
        <f t="shared" si="41"/>
        <v>-2.5489658464248222</v>
      </c>
      <c r="F182" s="17">
        <f t="shared" si="42"/>
        <v>-2.9501926345011142</v>
      </c>
    </row>
    <row r="183" spans="1:6" x14ac:dyDescent="0.2">
      <c r="A183" t="str">
        <f>$A$15</f>
        <v>Pharmaceuticals</v>
      </c>
      <c r="B183" s="17">
        <f t="shared" si="41"/>
        <v>6.5973264698646616</v>
      </c>
      <c r="C183" s="17">
        <f t="shared" si="41"/>
        <v>0.99612617606703591</v>
      </c>
      <c r="D183" s="17">
        <f t="shared" si="41"/>
        <v>2.1318071183816345</v>
      </c>
      <c r="E183" s="17">
        <f t="shared" si="41"/>
        <v>-0.10403600416984959</v>
      </c>
      <c r="F183" s="17">
        <f t="shared" si="42"/>
        <v>0.63575293618840512</v>
      </c>
    </row>
    <row r="184" spans="1:6" x14ac:dyDescent="0.2">
      <c r="A184" t="str">
        <f>$A$16</f>
        <v>Rubber and plastic</v>
      </c>
      <c r="B184" s="17">
        <f t="shared" si="41"/>
        <v>-3.3087233882038714</v>
      </c>
      <c r="C184" s="17">
        <f t="shared" si="41"/>
        <v>7.4657334499682815</v>
      </c>
      <c r="D184" s="17">
        <f t="shared" si="41"/>
        <v>1.0470427098640878</v>
      </c>
      <c r="E184" s="17">
        <f t="shared" si="41"/>
        <v>-0.84268511891919529</v>
      </c>
      <c r="F184" s="17">
        <f t="shared" si="42"/>
        <v>-0.21673558365802315</v>
      </c>
    </row>
    <row r="185" spans="1:6" x14ac:dyDescent="0.2">
      <c r="A185" t="str">
        <f>$A$17</f>
        <v>Other non-metallic</v>
      </c>
      <c r="B185" s="17">
        <f t="shared" si="41"/>
        <v>7.7019737469319782</v>
      </c>
      <c r="C185" s="17">
        <f t="shared" si="41"/>
        <v>7.5368105815029729</v>
      </c>
      <c r="D185" s="17">
        <f t="shared" si="41"/>
        <v>1.0008817676746995</v>
      </c>
      <c r="E185" s="17">
        <f t="shared" si="41"/>
        <v>-0.88207048931935317</v>
      </c>
      <c r="F185" s="17">
        <f t="shared" si="42"/>
        <v>-0.25835282684703031</v>
      </c>
    </row>
    <row r="186" spans="1:6" x14ac:dyDescent="0.2">
      <c r="A186" t="str">
        <f>$A$18</f>
        <v>Basic metals</v>
      </c>
      <c r="B186" s="17">
        <f t="shared" si="41"/>
        <v>10.579040928820739</v>
      </c>
      <c r="C186" s="17">
        <f t="shared" si="41"/>
        <v>-17.220172201776375</v>
      </c>
      <c r="D186" s="17">
        <f t="shared" si="41"/>
        <v>-0.156506953078972</v>
      </c>
      <c r="E186" s="17">
        <f t="shared" si="41"/>
        <v>-1.3354135963183467</v>
      </c>
      <c r="F186" s="17">
        <f t="shared" si="42"/>
        <v>-0.94399955423364323</v>
      </c>
    </row>
    <row r="187" spans="1:6" x14ac:dyDescent="0.2">
      <c r="A187" t="str">
        <f>$A$19</f>
        <v>Metal products</v>
      </c>
      <c r="B187" s="17">
        <f t="shared" si="41"/>
        <v>0.95201733223506668</v>
      </c>
      <c r="C187" s="17">
        <f t="shared" si="41"/>
        <v>-16.814586729448301</v>
      </c>
      <c r="D187" s="17">
        <f t="shared" si="41"/>
        <v>-8.4334316030121315E-2</v>
      </c>
      <c r="E187" s="17">
        <f t="shared" si="41"/>
        <v>-1.2674177952749388</v>
      </c>
      <c r="F187" s="17">
        <f t="shared" si="42"/>
        <v>-0.87462140380085707</v>
      </c>
    </row>
    <row r="188" spans="1:6" x14ac:dyDescent="0.2">
      <c r="A188" t="str">
        <f>$A$20</f>
        <v>Computer, etc</v>
      </c>
      <c r="B188" s="17">
        <f t="shared" si="41"/>
        <v>-4.4707627804151269</v>
      </c>
      <c r="C188" s="17">
        <f t="shared" si="41"/>
        <v>5.627887442384627</v>
      </c>
      <c r="D188" s="17">
        <f t="shared" si="41"/>
        <v>6.3961465883559665</v>
      </c>
      <c r="E188" s="17">
        <f t="shared" si="41"/>
        <v>1.3472241751279368</v>
      </c>
      <c r="F188" s="17">
        <f t="shared" si="42"/>
        <v>3.0029995178671109</v>
      </c>
    </row>
    <row r="189" spans="1:6" x14ac:dyDescent="0.2">
      <c r="A189" t="str">
        <f>$A$21</f>
        <v>Electrical equipment</v>
      </c>
      <c r="B189" s="17">
        <f t="shared" si="41"/>
        <v>-10.691616831093143</v>
      </c>
      <c r="C189" s="17">
        <f t="shared" si="41"/>
        <v>-13.507045998316725</v>
      </c>
      <c r="D189" s="17">
        <f t="shared" si="41"/>
        <v>-0.76792910024831018</v>
      </c>
      <c r="E189" s="17">
        <f t="shared" si="41"/>
        <v>-1.0515874111639678</v>
      </c>
      <c r="F189" s="17">
        <f t="shared" si="42"/>
        <v>-0.95712484963365041</v>
      </c>
    </row>
    <row r="190" spans="1:6" x14ac:dyDescent="0.2">
      <c r="A190" t="str">
        <f>$A$22</f>
        <v>Machinery n.e.c.</v>
      </c>
      <c r="B190" s="17">
        <f t="shared" si="41"/>
        <v>0.5487382672894503</v>
      </c>
      <c r="C190" s="17">
        <f t="shared" si="41"/>
        <v>-6.6153187847347139</v>
      </c>
      <c r="D190" s="17">
        <f t="shared" si="41"/>
        <v>-0.4680710249467257</v>
      </c>
      <c r="E190" s="17">
        <f t="shared" si="41"/>
        <v>-1.5580537214609724</v>
      </c>
      <c r="F190" s="17">
        <f t="shared" si="42"/>
        <v>-1.1960589298024238</v>
      </c>
    </row>
    <row r="191" spans="1:6" x14ac:dyDescent="0.2">
      <c r="A191" t="str">
        <f>$A$23</f>
        <v>Motor vehicles, etc</v>
      </c>
      <c r="B191" s="17">
        <f t="shared" si="41"/>
        <v>4.4796241854049512</v>
      </c>
      <c r="C191" s="17">
        <f t="shared" si="41"/>
        <v>-15.320704552930165</v>
      </c>
      <c r="D191" s="17">
        <f t="shared" si="41"/>
        <v>-1.0812138091669476</v>
      </c>
      <c r="E191" s="17">
        <f t="shared" si="41"/>
        <v>-0.92520297377413074</v>
      </c>
      <c r="F191" s="17">
        <f t="shared" si="42"/>
        <v>-0.97723390577880709</v>
      </c>
    </row>
    <row r="192" spans="1:6" x14ac:dyDescent="0.2">
      <c r="A192" t="str">
        <f>$A$24</f>
        <v>Other transport equipment</v>
      </c>
      <c r="B192" s="17">
        <f t="shared" si="41"/>
        <v>9.2719507802627277</v>
      </c>
      <c r="C192" s="17">
        <f t="shared" si="41"/>
        <v>-1.9145802650760158</v>
      </c>
      <c r="D192" s="17">
        <f t="shared" si="41"/>
        <v>-4.1254267259441484</v>
      </c>
      <c r="E192" s="17">
        <f t="shared" si="41"/>
        <v>-2.7610519152235891</v>
      </c>
      <c r="F192" s="17">
        <f t="shared" si="42"/>
        <v>-3.2179873402302439</v>
      </c>
    </row>
    <row r="193" spans="1:6" x14ac:dyDescent="0.2">
      <c r="A193" t="str">
        <f>$A$25</f>
        <v>Furniture</v>
      </c>
      <c r="B193" s="17">
        <f t="shared" ref="B193:E212" si="43">IF(AND(C$3-B$3 &lt;&gt; 0,B25&lt;&gt;0,C25&lt;&gt;0),(EXP(LN(C25/B25)/(C$3-B$3))-1)*100,0)</f>
        <v>-17.20713328007194</v>
      </c>
      <c r="C193" s="17">
        <f t="shared" si="43"/>
        <v>1.1693834159515637</v>
      </c>
      <c r="D193" s="17">
        <f t="shared" si="43"/>
        <v>-2.0508918492599393</v>
      </c>
      <c r="E193" s="17">
        <f t="shared" si="43"/>
        <v>8.5143122814712591E-2</v>
      </c>
      <c r="F193" s="17">
        <f t="shared" si="42"/>
        <v>-0.63199475390439686</v>
      </c>
    </row>
    <row r="194" spans="1:6" x14ac:dyDescent="0.2">
      <c r="A194" t="str">
        <f>$A$26</f>
        <v>Other manufacturing</v>
      </c>
      <c r="B194" s="17">
        <f t="shared" si="43"/>
        <v>-13.280218054014181</v>
      </c>
      <c r="C194" s="17">
        <f t="shared" si="43"/>
        <v>3.4872135504614654</v>
      </c>
      <c r="D194" s="17">
        <f t="shared" si="43"/>
        <v>-2.0251839767775448</v>
      </c>
      <c r="E194" s="17">
        <f t="shared" si="43"/>
        <v>0.11669774033757907</v>
      </c>
      <c r="F194" s="17">
        <f t="shared" si="42"/>
        <v>-0.60241567862433509</v>
      </c>
    </row>
    <row r="195" spans="1:6" x14ac:dyDescent="0.2">
      <c r="A195" t="str">
        <f>$A$27</f>
        <v>Repair and installation</v>
      </c>
      <c r="B195" s="17">
        <f t="shared" si="43"/>
        <v>-20.720083043560166</v>
      </c>
      <c r="C195" s="17">
        <f t="shared" si="43"/>
        <v>1.7084282459506772</v>
      </c>
      <c r="D195" s="17">
        <f t="shared" si="43"/>
        <v>-2.0291859680072966</v>
      </c>
      <c r="E195" s="17">
        <f t="shared" si="43"/>
        <v>8.0353983477410296E-2</v>
      </c>
      <c r="F195" s="17">
        <f t="shared" si="42"/>
        <v>-0.62782533331916524</v>
      </c>
    </row>
    <row r="196" spans="1:6" x14ac:dyDescent="0.2">
      <c r="A196" t="str">
        <f>$A$28</f>
        <v>Electricity, gas, etc</v>
      </c>
      <c r="B196" s="17">
        <f t="shared" si="43"/>
        <v>24.161661772506804</v>
      </c>
      <c r="C196" s="17">
        <f t="shared" si="43"/>
        <v>3.824305132983441</v>
      </c>
      <c r="D196" s="17">
        <f t="shared" si="43"/>
        <v>-0.33046219457822934</v>
      </c>
      <c r="E196" s="17">
        <f t="shared" si="43"/>
        <v>0.18715142576695154</v>
      </c>
      <c r="F196" s="17">
        <f t="shared" si="42"/>
        <v>1.4315559427879876E-2</v>
      </c>
    </row>
    <row r="197" spans="1:6" x14ac:dyDescent="0.2">
      <c r="A197" t="str">
        <f>$A$29</f>
        <v>Water</v>
      </c>
      <c r="B197" s="17">
        <f t="shared" si="43"/>
        <v>0.21394476033786969</v>
      </c>
      <c r="C197" s="17">
        <f t="shared" si="43"/>
        <v>10.806809770549375</v>
      </c>
      <c r="D197" s="17">
        <f t="shared" si="43"/>
        <v>0.4960560975197037</v>
      </c>
      <c r="E197" s="17">
        <f t="shared" si="43"/>
        <v>0.33065072884452817</v>
      </c>
      <c r="F197" s="17">
        <f t="shared" si="42"/>
        <v>0.38575558082090122</v>
      </c>
    </row>
    <row r="198" spans="1:6" x14ac:dyDescent="0.2">
      <c r="A198" t="str">
        <f>$A$30</f>
        <v>Sewerage</v>
      </c>
      <c r="B198" s="17">
        <f t="shared" si="43"/>
        <v>-5.3940761529555514</v>
      </c>
      <c r="C198" s="17">
        <f t="shared" si="43"/>
        <v>4.6979865770922391</v>
      </c>
      <c r="D198" s="17">
        <f t="shared" si="43"/>
        <v>0.50764030881462752</v>
      </c>
      <c r="E198" s="17">
        <f t="shared" si="43"/>
        <v>0.18593650364870928</v>
      </c>
      <c r="F198" s="17">
        <f t="shared" si="42"/>
        <v>0.29305653050932801</v>
      </c>
    </row>
    <row r="199" spans="1:6" x14ac:dyDescent="0.2">
      <c r="A199" t="str">
        <f>$A$31</f>
        <v>Waste management</v>
      </c>
      <c r="B199" s="17">
        <f t="shared" si="43"/>
        <v>2.6294769914719351</v>
      </c>
      <c r="C199" s="17">
        <f t="shared" si="43"/>
        <v>9.8612487610172384</v>
      </c>
      <c r="D199" s="17">
        <f t="shared" si="43"/>
        <v>0.42488113883965006</v>
      </c>
      <c r="E199" s="17">
        <f t="shared" si="43"/>
        <v>0.22080044116734587</v>
      </c>
      <c r="F199" s="17">
        <f t="shared" si="42"/>
        <v>0.28878121792088596</v>
      </c>
    </row>
    <row r="200" spans="1:6" x14ac:dyDescent="0.2">
      <c r="A200" t="str">
        <f>$A$32</f>
        <v>Construction</v>
      </c>
      <c r="B200" s="17">
        <f t="shared" si="43"/>
        <v>-0.69082869605807673</v>
      </c>
      <c r="C200" s="17">
        <f t="shared" si="43"/>
        <v>-3.1326340008207665</v>
      </c>
      <c r="D200" s="17">
        <f t="shared" si="43"/>
        <v>-0.67563597396375075</v>
      </c>
      <c r="E200" s="17">
        <f t="shared" si="43"/>
        <v>-7.2876517102260507E-2</v>
      </c>
      <c r="F200" s="17">
        <f t="shared" si="42"/>
        <v>-0.27420167745582091</v>
      </c>
    </row>
    <row r="201" spans="1:6" x14ac:dyDescent="0.2">
      <c r="A201" t="str">
        <f>$A$33</f>
        <v>Civil engineering</v>
      </c>
      <c r="B201" s="17">
        <f t="shared" si="43"/>
        <v>0.82499119916539243</v>
      </c>
      <c r="C201" s="17">
        <f t="shared" si="43"/>
        <v>-5.5514197613411476</v>
      </c>
      <c r="D201" s="17">
        <f t="shared" si="43"/>
        <v>-0.64328691079945655</v>
      </c>
      <c r="E201" s="17">
        <f t="shared" si="43"/>
        <v>-6.0637340529345884E-2</v>
      </c>
      <c r="F201" s="17">
        <f t="shared" si="42"/>
        <v>-0.25523252062582547</v>
      </c>
    </row>
    <row r="202" spans="1:6" x14ac:dyDescent="0.2">
      <c r="A202" t="str">
        <f>$A$34</f>
        <v>Specialised construction</v>
      </c>
      <c r="B202" s="17">
        <f t="shared" si="43"/>
        <v>3.8651440886024346</v>
      </c>
      <c r="C202" s="17">
        <f t="shared" si="43"/>
        <v>-5.507724969333827</v>
      </c>
      <c r="D202" s="17">
        <f t="shared" si="43"/>
        <v>-0.66941168302854237</v>
      </c>
      <c r="E202" s="17">
        <f t="shared" si="43"/>
        <v>-8.7079211177232274E-2</v>
      </c>
      <c r="F202" s="17">
        <f t="shared" si="42"/>
        <v>-0.28156837951410774</v>
      </c>
    </row>
    <row r="203" spans="1:6" x14ac:dyDescent="0.2">
      <c r="A203" t="str">
        <f>$A$35</f>
        <v>Motor vehicle trade</v>
      </c>
      <c r="B203" s="17">
        <f t="shared" si="43"/>
        <v>-1.157234047020983</v>
      </c>
      <c r="C203" s="17">
        <f t="shared" si="43"/>
        <v>-14.038876890170149</v>
      </c>
      <c r="D203" s="17">
        <f t="shared" si="43"/>
        <v>1.1011107619326665</v>
      </c>
      <c r="E203" s="17">
        <f t="shared" si="43"/>
        <v>0.66083132022327629</v>
      </c>
      <c r="F203" s="17">
        <f t="shared" si="42"/>
        <v>0.80737768210428218</v>
      </c>
    </row>
    <row r="204" spans="1:6" x14ac:dyDescent="0.2">
      <c r="A204" t="str">
        <f>$A$36</f>
        <v>Wholesale trade</v>
      </c>
      <c r="B204" s="17">
        <f t="shared" si="43"/>
        <v>0.13130634307763067</v>
      </c>
      <c r="C204" s="17">
        <f t="shared" si="43"/>
        <v>1.0608792123690369</v>
      </c>
      <c r="D204" s="17">
        <f t="shared" si="43"/>
        <v>-0.25654448957205256</v>
      </c>
      <c r="E204" s="17">
        <f t="shared" si="43"/>
        <v>-9.386130604305265E-3</v>
      </c>
      <c r="F204" s="17">
        <f t="shared" si="42"/>
        <v>-9.1840224729056175E-2</v>
      </c>
    </row>
    <row r="205" spans="1:6" x14ac:dyDescent="0.2">
      <c r="A205" t="str">
        <f>$A$37</f>
        <v>Retail trade</v>
      </c>
      <c r="B205" s="17">
        <f t="shared" si="43"/>
        <v>-0.7353342826883158</v>
      </c>
      <c r="C205" s="17">
        <f t="shared" si="43"/>
        <v>2.2291437140794512</v>
      </c>
      <c r="D205" s="17">
        <f t="shared" si="43"/>
        <v>-0.27998496909248383</v>
      </c>
      <c r="E205" s="17">
        <f t="shared" si="43"/>
        <v>-1.7434702900531729E-2</v>
      </c>
      <c r="F205" s="17">
        <f t="shared" si="42"/>
        <v>-0.10502817543127652</v>
      </c>
    </row>
    <row r="206" spans="1:6" x14ac:dyDescent="0.2">
      <c r="A206" t="str">
        <f>$A$38</f>
        <v>Land transport, etc</v>
      </c>
      <c r="B206" s="17">
        <f t="shared" si="43"/>
        <v>6.9266486514947267</v>
      </c>
      <c r="C206" s="17">
        <f t="shared" si="43"/>
        <v>1.6293975239347835</v>
      </c>
      <c r="D206" s="17">
        <f t="shared" si="43"/>
        <v>0.68565846999841806</v>
      </c>
      <c r="E206" s="17">
        <f t="shared" si="43"/>
        <v>-3.1466356814591201E-2</v>
      </c>
      <c r="F206" s="17">
        <f t="shared" si="42"/>
        <v>0.20700593046174554</v>
      </c>
    </row>
    <row r="207" spans="1:6" x14ac:dyDescent="0.2">
      <c r="A207" t="str">
        <f>$A$39</f>
        <v>Water transport</v>
      </c>
      <c r="B207" s="17">
        <f t="shared" si="43"/>
        <v>-64.800758964859085</v>
      </c>
      <c r="C207" s="17">
        <f t="shared" si="43"/>
        <v>28.57142857179047</v>
      </c>
      <c r="D207" s="17">
        <f t="shared" si="43"/>
        <v>-4.9020607200705113</v>
      </c>
      <c r="E207" s="17">
        <f t="shared" si="43"/>
        <v>-1.0733636202076013E-10</v>
      </c>
      <c r="F207" s="17">
        <f t="shared" si="42"/>
        <v>-1.6614722581488328</v>
      </c>
    </row>
    <row r="208" spans="1:6" x14ac:dyDescent="0.2">
      <c r="A208" t="str">
        <f>$A$40</f>
        <v>Air transport</v>
      </c>
      <c r="B208" s="17">
        <f t="shared" si="43"/>
        <v>1.0776913142137579</v>
      </c>
      <c r="C208" s="17">
        <f t="shared" si="43"/>
        <v>-15.145985401285555</v>
      </c>
      <c r="D208" s="17">
        <f t="shared" si="43"/>
        <v>7.2768193181460328</v>
      </c>
      <c r="E208" s="17">
        <f t="shared" si="43"/>
        <v>1.0673303154459246</v>
      </c>
      <c r="F208" s="17">
        <f t="shared" si="42"/>
        <v>3.0961606309145129</v>
      </c>
    </row>
    <row r="209" spans="1:6" x14ac:dyDescent="0.2">
      <c r="A209" t="str">
        <f>$A$41</f>
        <v>Warehousing, etc</v>
      </c>
      <c r="B209" s="17">
        <f t="shared" si="43"/>
        <v>2.7852156135725226</v>
      </c>
      <c r="C209" s="17">
        <f t="shared" si="43"/>
        <v>2.9401755937808804</v>
      </c>
      <c r="D209" s="17">
        <f t="shared" si="43"/>
        <v>0.40269407622892661</v>
      </c>
      <c r="E209" s="17">
        <f t="shared" si="43"/>
        <v>1.8129318611914691E-2</v>
      </c>
      <c r="F209" s="17">
        <f t="shared" si="42"/>
        <v>0.14615362870060711</v>
      </c>
    </row>
    <row r="210" spans="1:6" x14ac:dyDescent="0.2">
      <c r="A210" t="str">
        <f>$A$42</f>
        <v>Postal and courier</v>
      </c>
      <c r="B210" s="17">
        <f t="shared" si="43"/>
        <v>-1.7470338409124375</v>
      </c>
      <c r="C210" s="17">
        <f t="shared" si="43"/>
        <v>10.39751552788486</v>
      </c>
      <c r="D210" s="17">
        <f t="shared" si="43"/>
        <v>0.49248099009366886</v>
      </c>
      <c r="E210" s="17">
        <f t="shared" si="43"/>
        <v>0.17321538859014218</v>
      </c>
      <c r="F210" s="17">
        <f t="shared" si="42"/>
        <v>0.27952439522138661</v>
      </c>
    </row>
    <row r="211" spans="1:6" x14ac:dyDescent="0.2">
      <c r="A211" t="str">
        <f>$A$43</f>
        <v>Accommodation</v>
      </c>
      <c r="B211" s="17">
        <f t="shared" si="43"/>
        <v>-5.7318996883189861</v>
      </c>
      <c r="C211" s="17">
        <f t="shared" si="43"/>
        <v>-9.4214098518003766</v>
      </c>
      <c r="D211" s="17">
        <f t="shared" si="43"/>
        <v>-0.14583612358427533</v>
      </c>
      <c r="E211" s="17">
        <f t="shared" si="43"/>
        <v>1.5305495271555669</v>
      </c>
      <c r="F211" s="17">
        <f t="shared" si="42"/>
        <v>0.96865033557784752</v>
      </c>
    </row>
    <row r="212" spans="1:6" x14ac:dyDescent="0.2">
      <c r="A212" t="str">
        <f>$A$44</f>
        <v>Food and beverage services</v>
      </c>
      <c r="B212" s="17">
        <f t="shared" si="43"/>
        <v>5.0048086692190852</v>
      </c>
      <c r="C212" s="17">
        <f t="shared" si="43"/>
        <v>-2.6682191447717551</v>
      </c>
      <c r="D212" s="17">
        <f t="shared" si="43"/>
        <v>0.68391828040481606</v>
      </c>
      <c r="E212" s="17">
        <f t="shared" si="43"/>
        <v>1.5227559130563728</v>
      </c>
      <c r="F212" s="17">
        <f t="shared" si="42"/>
        <v>1.2423697092974972</v>
      </c>
    </row>
    <row r="213" spans="1:6" x14ac:dyDescent="0.2">
      <c r="A213" t="str">
        <f>$A$45</f>
        <v>Publishing activities</v>
      </c>
      <c r="B213" s="17">
        <f t="shared" ref="B213:C238" si="44">IF(AND(C$3-B$3 &lt;&gt; 0,B45&lt;&gt;0,C45&lt;&gt;0),(EXP(LN(C45/B45)/(C$3-B$3))-1)*100,0)</f>
        <v>-17.460401376412648</v>
      </c>
      <c r="C213" s="17">
        <f t="shared" si="44"/>
        <v>38.883763837607098</v>
      </c>
      <c r="D213" s="17">
        <f t="shared" ref="D213:E213" si="45">IF(AND(E$3-D$3 &lt;&gt; 0,D45&lt;&gt;0,E45&lt;&gt;0),(EXP(LN(E45/D45)/(E$3-D$3))-1)*100,0)</f>
        <v>-0.75526144959627839</v>
      </c>
      <c r="E213" s="17">
        <f t="shared" si="45"/>
        <v>-0.22299013419099234</v>
      </c>
      <c r="F213" s="17">
        <f t="shared" si="42"/>
        <v>-0.40073033982788164</v>
      </c>
    </row>
    <row r="214" spans="1:6" x14ac:dyDescent="0.2">
      <c r="A214" t="str">
        <f>$A$46</f>
        <v>Film and music</v>
      </c>
      <c r="B214" s="17">
        <f t="shared" si="44"/>
        <v>23.438109961470044</v>
      </c>
      <c r="C214" s="17">
        <f t="shared" si="44"/>
        <v>-17.814975340163041</v>
      </c>
      <c r="D214" s="17">
        <f t="shared" ref="D214:E214" si="46">IF(AND(E$3-D$3 &lt;&gt; 0,D46&lt;&gt;0,E46&lt;&gt;0),(EXP(LN(E46/D46)/(E$3-D$3))-1)*100,0)</f>
        <v>-8.7441384296060853E-2</v>
      </c>
      <c r="E214" s="17">
        <f t="shared" si="46"/>
        <v>0.38062848358282331</v>
      </c>
      <c r="F214" s="17">
        <f t="shared" si="42"/>
        <v>0.22436205449496427</v>
      </c>
    </row>
    <row r="215" spans="1:6" x14ac:dyDescent="0.2">
      <c r="A215" t="str">
        <f>$A$47</f>
        <v>Broadcasting</v>
      </c>
      <c r="B215" s="17">
        <f t="shared" si="44"/>
        <v>1.174015948268492</v>
      </c>
      <c r="C215" s="17">
        <f t="shared" si="44"/>
        <v>35.087719298088295</v>
      </c>
      <c r="D215" s="17">
        <f t="shared" ref="D215:E215" si="47">IF(AND(E$3-D$3 &lt;&gt; 0,D47&lt;&gt;0,E47&lt;&gt;0),(EXP(LN(E47/D47)/(E$3-D$3))-1)*100,0)</f>
        <v>-0.79165633747924069</v>
      </c>
      <c r="E215" s="17">
        <f t="shared" si="47"/>
        <v>-0.21834920843354366</v>
      </c>
      <c r="F215" s="17">
        <f t="shared" si="42"/>
        <v>-0.40981875789384281</v>
      </c>
    </row>
    <row r="216" spans="1:6" x14ac:dyDescent="0.2">
      <c r="A216" t="str">
        <f>$A$48</f>
        <v>Telecommunications</v>
      </c>
      <c r="B216" s="17">
        <f t="shared" si="44"/>
        <v>-1.7315585222555385</v>
      </c>
      <c r="C216" s="17">
        <f t="shared" si="44"/>
        <v>-16.668477670414749</v>
      </c>
      <c r="D216" s="17">
        <f t="shared" ref="D216:E216" si="48">IF(AND(E$3-D$3 &lt;&gt; 0,D48&lt;&gt;0,E48&lt;&gt;0),(EXP(LN(E48/D48)/(E$3-D$3))-1)*100,0)</f>
        <v>1.7160642705303042</v>
      </c>
      <c r="E216" s="17">
        <f t="shared" si="48"/>
        <v>0.96644809671584397</v>
      </c>
      <c r="F216" s="17">
        <f t="shared" si="42"/>
        <v>1.2157043086368446</v>
      </c>
    </row>
    <row r="217" spans="1:6" x14ac:dyDescent="0.2">
      <c r="A217" t="str">
        <f>$A$49</f>
        <v>Computing services</v>
      </c>
      <c r="B217" s="17">
        <f t="shared" si="44"/>
        <v>-1.8757567520536811</v>
      </c>
      <c r="C217" s="17">
        <f t="shared" si="44"/>
        <v>-11.510882670201884</v>
      </c>
      <c r="D217" s="17">
        <f t="shared" ref="D217:E217" si="49">IF(AND(E$3-D$3 &lt;&gt; 0,D49&lt;&gt;0,E49&lt;&gt;0),(EXP(LN(E49/D49)/(E$3-D$3))-1)*100,0)</f>
        <v>1.7999299997072171</v>
      </c>
      <c r="E217" s="17">
        <f t="shared" si="49"/>
        <v>1.0209294910586975</v>
      </c>
      <c r="F217" s="17">
        <f t="shared" si="42"/>
        <v>1.2799317176422242</v>
      </c>
    </row>
    <row r="218" spans="1:6" x14ac:dyDescent="0.2">
      <c r="A218" t="str">
        <f>$A$50</f>
        <v>Information services</v>
      </c>
      <c r="B218" s="17">
        <f t="shared" si="44"/>
        <v>35.220964386023198</v>
      </c>
      <c r="C218" s="17">
        <f t="shared" si="44"/>
        <v>-13.624161073967</v>
      </c>
      <c r="D218" s="17">
        <f t="shared" ref="D218:E218" si="50">IF(AND(E$3-D$3 &lt;&gt; 0,D50&lt;&gt;0,E50&lt;&gt;0),(EXP(LN(E50/D50)/(E$3-D$3))-1)*100,0)</f>
        <v>1.765119269253046</v>
      </c>
      <c r="E218" s="17">
        <f t="shared" si="50"/>
        <v>0.92406727763609808</v>
      </c>
      <c r="F218" s="17">
        <f t="shared" si="42"/>
        <v>1.2036427584853904</v>
      </c>
    </row>
    <row r="219" spans="1:6" x14ac:dyDescent="0.2">
      <c r="A219" t="str">
        <f>$A$51</f>
        <v>Financial services</v>
      </c>
      <c r="B219" s="17">
        <f t="shared" si="44"/>
        <v>-3.3530399744364114</v>
      </c>
      <c r="C219" s="17">
        <f t="shared" si="44"/>
        <v>-7.9574354168078116</v>
      </c>
      <c r="D219" s="17">
        <f t="shared" ref="D219:E219" si="51">IF(AND(E$3-D$3 &lt;&gt; 0,D51&lt;&gt;0,E51&lt;&gt;0),(EXP(LN(E51/D51)/(E$3-D$3))-1)*100,0)</f>
        <v>0.64600220694868149</v>
      </c>
      <c r="E219" s="17">
        <f t="shared" si="51"/>
        <v>1.0556133116912392E-2</v>
      </c>
      <c r="F219" s="17">
        <f t="shared" si="42"/>
        <v>0.22192445782287518</v>
      </c>
    </row>
    <row r="220" spans="1:6" x14ac:dyDescent="0.2">
      <c r="A220" t="str">
        <f>$A$52</f>
        <v>Insurance and pensions</v>
      </c>
      <c r="B220" s="17">
        <f t="shared" si="44"/>
        <v>3.7183741583018959</v>
      </c>
      <c r="C220" s="17">
        <f t="shared" si="44"/>
        <v>-7.5442648189673722</v>
      </c>
      <c r="D220" s="17">
        <f t="shared" ref="D220:E220" si="52">IF(AND(E$3-D$3 &lt;&gt; 0,D52&lt;&gt;0,E52&lt;&gt;0),(EXP(LN(E52/D52)/(E$3-D$3))-1)*100,0)</f>
        <v>0.63306603401036554</v>
      </c>
      <c r="E220" s="17">
        <f t="shared" si="52"/>
        <v>-1.2108249292752671E-2</v>
      </c>
      <c r="F220" s="17">
        <f t="shared" si="42"/>
        <v>0.20248894033558784</v>
      </c>
    </row>
    <row r="221" spans="1:6" x14ac:dyDescent="0.2">
      <c r="A221" t="str">
        <f>$A$53</f>
        <v>Auxiliary financial services</v>
      </c>
      <c r="B221" s="17">
        <f t="shared" si="44"/>
        <v>1.7726922557390834</v>
      </c>
      <c r="C221" s="17">
        <f t="shared" si="44"/>
        <v>-4.9773755653956915</v>
      </c>
      <c r="D221" s="17">
        <f t="shared" ref="D221:E221" si="53">IF(AND(E$3-D$3 &lt;&gt; 0,D53&lt;&gt;0,E53&lt;&gt;0),(EXP(LN(E53/D53)/(E$3-D$3))-1)*100,0)</f>
        <v>0.78693947483114979</v>
      </c>
      <c r="E221" s="17">
        <f t="shared" si="53"/>
        <v>5.1220754035963267E-2</v>
      </c>
      <c r="F221" s="17">
        <f t="shared" si="42"/>
        <v>0.29586165477399895</v>
      </c>
    </row>
    <row r="222" spans="1:6" x14ac:dyDescent="0.2">
      <c r="A222" t="str">
        <f>$A$54</f>
        <v>Real estate</v>
      </c>
      <c r="B222" s="17">
        <f t="shared" si="44"/>
        <v>3.7756259110830248</v>
      </c>
      <c r="C222" s="17">
        <f t="shared" si="44"/>
        <v>-9.0579710146132975</v>
      </c>
      <c r="D222" s="17">
        <f t="shared" ref="D222:E222" si="54">IF(AND(E$3-D$3 &lt;&gt; 0,D54&lt;&gt;0,E54&lt;&gt;0),(EXP(LN(E54/D54)/(E$3-D$3))-1)*100,0)</f>
        <v>-5.6055055027459666E-2</v>
      </c>
      <c r="E222" s="17">
        <f t="shared" si="54"/>
        <v>1.3581445940184178</v>
      </c>
      <c r="F222" s="17">
        <f t="shared" si="42"/>
        <v>0.88453515462685317</v>
      </c>
    </row>
    <row r="223" spans="1:6" x14ac:dyDescent="0.2">
      <c r="A223" t="str">
        <f>$A$55</f>
        <v>Legal and accounting</v>
      </c>
      <c r="B223" s="17">
        <f t="shared" si="44"/>
        <v>4.5120210148040574</v>
      </c>
      <c r="C223" s="17">
        <f t="shared" si="44"/>
        <v>2.0722067934359822</v>
      </c>
      <c r="D223" s="17">
        <f t="shared" ref="D223:E223" si="55">IF(AND(E$3-D$3 &lt;&gt; 0,D55&lt;&gt;0,E55&lt;&gt;0),(EXP(LN(E55/D55)/(E$3-D$3))-1)*100,0)</f>
        <v>0.51476507621668333</v>
      </c>
      <c r="E223" s="17">
        <f t="shared" si="55"/>
        <v>0.21615247229329615</v>
      </c>
      <c r="F223" s="17">
        <f t="shared" si="42"/>
        <v>0.31559130675469227</v>
      </c>
    </row>
    <row r="224" spans="1:6" x14ac:dyDescent="0.2">
      <c r="A224" t="str">
        <f>$A$56</f>
        <v>Head offices, etc</v>
      </c>
      <c r="B224" s="17">
        <f t="shared" si="44"/>
        <v>-3.494515864395098</v>
      </c>
      <c r="C224" s="17">
        <f t="shared" si="44"/>
        <v>6.953924914613463</v>
      </c>
      <c r="D224" s="17">
        <f t="shared" ref="D224:E224" si="56">IF(AND(E$3-D$3 &lt;&gt; 0,D56&lt;&gt;0,E56&lt;&gt;0),(EXP(LN(E56/D56)/(E$3-D$3))-1)*100,0)</f>
        <v>0.26346644297423616</v>
      </c>
      <c r="E224" s="17">
        <f t="shared" si="56"/>
        <v>0.16645101297039222</v>
      </c>
      <c r="F224" s="17">
        <f t="shared" si="42"/>
        <v>0.19877905485987668</v>
      </c>
    </row>
    <row r="225" spans="1:6" x14ac:dyDescent="0.2">
      <c r="A225" t="str">
        <f>$A$57</f>
        <v>Architectural and related</v>
      </c>
      <c r="B225" s="17">
        <f t="shared" si="44"/>
        <v>-9.7029665424548934</v>
      </c>
      <c r="C225" s="17">
        <f t="shared" si="44"/>
        <v>14.246527626739947</v>
      </c>
      <c r="D225" s="17">
        <f t="shared" ref="D225:E225" si="57">IF(AND(E$3-D$3 &lt;&gt; 0,D57&lt;&gt;0,E57&lt;&gt;0),(EXP(LN(E57/D57)/(E$3-D$3))-1)*100,0)</f>
        <v>-0.93583262699122871</v>
      </c>
      <c r="E225" s="17">
        <f t="shared" si="57"/>
        <v>0.11405689603112279</v>
      </c>
      <c r="F225" s="17">
        <f t="shared" si="42"/>
        <v>-0.23713680275788684</v>
      </c>
    </row>
    <row r="226" spans="1:6" x14ac:dyDescent="0.2">
      <c r="A226" t="str">
        <f>$A$58</f>
        <v>Scientific research and development</v>
      </c>
      <c r="B226" s="17">
        <f t="shared" si="44"/>
        <v>-16.021305373422436</v>
      </c>
      <c r="C226" s="17">
        <f t="shared" si="44"/>
        <v>-7.7155824507290971</v>
      </c>
      <c r="D226" s="17">
        <f t="shared" ref="D226:E226" si="58">IF(AND(E$3-D$3 &lt;&gt; 0,D58&lt;&gt;0,E58&lt;&gt;0),(EXP(LN(E58/D58)/(E$3-D$3))-1)*100,0)</f>
        <v>3.5088944268054645</v>
      </c>
      <c r="E226" s="17">
        <f t="shared" si="58"/>
        <v>1.781711545594411</v>
      </c>
      <c r="F226" s="17">
        <f t="shared" si="42"/>
        <v>2.3542129313743221</v>
      </c>
    </row>
    <row r="227" spans="1:6" x14ac:dyDescent="0.2">
      <c r="A227" t="str">
        <f>$A$59</f>
        <v>Advertising, etc</v>
      </c>
      <c r="B227" s="17">
        <f t="shared" si="44"/>
        <v>-1.6389874154189132</v>
      </c>
      <c r="C227" s="17">
        <f t="shared" si="44"/>
        <v>-14.749536178525746</v>
      </c>
      <c r="D227" s="17">
        <f t="shared" ref="D227:E227" si="59">IF(AND(E$3-D$3 &lt;&gt; 0,D59&lt;&gt;0,E59&lt;&gt;0),(EXP(LN(E59/D59)/(E$3-D$3))-1)*100,0)</f>
        <v>3.5476774280221335</v>
      </c>
      <c r="E227" s="17">
        <f t="shared" si="59"/>
        <v>1.828554282332906</v>
      </c>
      <c r="F227" s="17">
        <f t="shared" si="42"/>
        <v>2.3984004472204168</v>
      </c>
    </row>
    <row r="228" spans="1:6" x14ac:dyDescent="0.2">
      <c r="A228" t="str">
        <f>$A$60</f>
        <v>Other professional</v>
      </c>
      <c r="B228" s="17">
        <f t="shared" si="44"/>
        <v>6.1276428388149062</v>
      </c>
      <c r="C228" s="17">
        <f t="shared" si="44"/>
        <v>-3.5885989013286435</v>
      </c>
      <c r="D228" s="17">
        <f t="shared" ref="D228:E228" si="60">IF(AND(E$3-D$3 &lt;&gt; 0,D60&lt;&gt;0,E60&lt;&gt;0),(EXP(LN(E60/D60)/(E$3-D$3))-1)*100,0)</f>
        <v>3.5345595703565547</v>
      </c>
      <c r="E228" s="17">
        <f t="shared" si="60"/>
        <v>1.7941084204071478</v>
      </c>
      <c r="F228" s="17">
        <f t="shared" si="42"/>
        <v>2.3709834332277913</v>
      </c>
    </row>
    <row r="229" spans="1:6" x14ac:dyDescent="0.2">
      <c r="A229" t="str">
        <f>$A$61</f>
        <v>Veterinary</v>
      </c>
      <c r="B229" s="17">
        <f t="shared" si="44"/>
        <v>6.2760858309022005</v>
      </c>
      <c r="C229" s="17">
        <f t="shared" si="44"/>
        <v>-26.006573539483291</v>
      </c>
      <c r="D229" s="17">
        <f t="shared" ref="D229:E229" si="61">IF(AND(E$3-D$3 &lt;&gt; 0,D61&lt;&gt;0,E61&lt;&gt;0),(EXP(LN(E61/D61)/(E$3-D$3))-1)*100,0)</f>
        <v>3.5577764188704064</v>
      </c>
      <c r="E229" s="17">
        <f t="shared" si="61"/>
        <v>1.8754900811938757</v>
      </c>
      <c r="F229" s="17">
        <f t="shared" si="42"/>
        <v>2.4331935509966041</v>
      </c>
    </row>
    <row r="230" spans="1:6" x14ac:dyDescent="0.2">
      <c r="A230" t="str">
        <f>$A$62</f>
        <v>Rental and leasing</v>
      </c>
      <c r="B230" s="17">
        <f t="shared" si="44"/>
        <v>15.995059445159177</v>
      </c>
      <c r="C230" s="17">
        <f t="shared" si="44"/>
        <v>-4.577203150444209</v>
      </c>
      <c r="D230" s="17">
        <f t="shared" ref="D230:E230" si="62">IF(AND(E$3-D$3 &lt;&gt; 0,D62&lt;&gt;0,E62&lt;&gt;0),(EXP(LN(E62/D62)/(E$3-D$3))-1)*100,0)</f>
        <v>0.40474644984191954</v>
      </c>
      <c r="E230" s="17">
        <f t="shared" si="62"/>
        <v>0.39138597461343405</v>
      </c>
      <c r="F230" s="17">
        <f t="shared" si="42"/>
        <v>0.39583926880821796</v>
      </c>
    </row>
    <row r="231" spans="1:6" x14ac:dyDescent="0.2">
      <c r="A231" t="str">
        <f>$A$63</f>
        <v>Employment activities</v>
      </c>
      <c r="B231" s="17">
        <f t="shared" si="44"/>
        <v>0.34573815747793724</v>
      </c>
      <c r="C231" s="17">
        <f t="shared" si="44"/>
        <v>-2.0603275775042285</v>
      </c>
      <c r="D231" s="17">
        <f t="shared" ref="D231:E231" si="63">IF(AND(E$3-D$3 &lt;&gt; 0,D63&lt;&gt;0,E63&lt;&gt;0),(EXP(LN(E63/D63)/(E$3-D$3))-1)*100,0)</f>
        <v>0.42467878090988176</v>
      </c>
      <c r="E231" s="17">
        <f t="shared" si="63"/>
        <v>0.39446469465609368</v>
      </c>
      <c r="F231" s="17">
        <f t="shared" si="42"/>
        <v>0.40453504657167461</v>
      </c>
    </row>
    <row r="232" spans="1:6" x14ac:dyDescent="0.2">
      <c r="A232" t="str">
        <f>$A$64</f>
        <v>Travel, etc</v>
      </c>
      <c r="B232" s="17">
        <f t="shared" si="44"/>
        <v>-7.4791052000955816</v>
      </c>
      <c r="C232" s="17">
        <f t="shared" si="44"/>
        <v>0.65674255672640847</v>
      </c>
      <c r="D232" s="17">
        <f t="shared" ref="D232:E232" si="64">IF(AND(E$3-D$3 &lt;&gt; 0,D64&lt;&gt;0,E64&lt;&gt;0),(EXP(LN(E64/D64)/(E$3-D$3))-1)*100,0)</f>
        <v>0.43978587996287288</v>
      </c>
      <c r="E232" s="17">
        <f t="shared" si="64"/>
        <v>0.41349704763005146</v>
      </c>
      <c r="F232" s="17">
        <f t="shared" si="42"/>
        <v>0.42225922712244568</v>
      </c>
    </row>
    <row r="233" spans="1:6" x14ac:dyDescent="0.2">
      <c r="A233" t="str">
        <f>$A$65</f>
        <v>Security, etc</v>
      </c>
      <c r="B233" s="17">
        <f t="shared" si="44"/>
        <v>14.524255309868916</v>
      </c>
      <c r="C233" s="17">
        <f t="shared" si="44"/>
        <v>-3.6624700865867998</v>
      </c>
      <c r="D233" s="17">
        <f t="shared" ref="D233:E233" si="65">IF(AND(E$3-D$3 &lt;&gt; 0,D65&lt;&gt;0,E65&lt;&gt;0),(EXP(LN(E65/D65)/(E$3-D$3))-1)*100,0)</f>
        <v>0.35602590957581892</v>
      </c>
      <c r="E233" s="17">
        <f t="shared" si="65"/>
        <v>0.33959082416921138</v>
      </c>
      <c r="F233" s="17">
        <f t="shared" si="42"/>
        <v>0.34506888688989878</v>
      </c>
    </row>
    <row r="234" spans="1:6" x14ac:dyDescent="0.2">
      <c r="A234" t="str">
        <f>$A$66</f>
        <v>Services to buildings</v>
      </c>
      <c r="B234" s="17">
        <f t="shared" si="44"/>
        <v>-2.5936437146699465</v>
      </c>
      <c r="C234" s="17">
        <f t="shared" si="44"/>
        <v>0.41325536056424639</v>
      </c>
      <c r="D234" s="17">
        <f t="shared" ref="D234:E234" si="66">IF(AND(E$3-D$3 &lt;&gt; 0,D66&lt;&gt;0,E66&lt;&gt;0),(EXP(LN(E66/D66)/(E$3-D$3))-1)*100,0)</f>
        <v>0.34778218368962666</v>
      </c>
      <c r="E234" s="17">
        <f t="shared" si="66"/>
        <v>0.32452096234640848</v>
      </c>
      <c r="F234" s="17">
        <f t="shared" si="42"/>
        <v>0.33227410361114096</v>
      </c>
    </row>
    <row r="235" spans="1:6" x14ac:dyDescent="0.2">
      <c r="A235" t="str">
        <f>$A$67</f>
        <v>Office administrative</v>
      </c>
      <c r="B235" s="17">
        <f t="shared" si="44"/>
        <v>-7.522677836544478E-2</v>
      </c>
      <c r="C235" s="17">
        <f t="shared" si="44"/>
        <v>-3.1654756590311806</v>
      </c>
      <c r="D235" s="17">
        <f t="shared" ref="D235:E235" si="67">IF(AND(E$3-D$3 &lt;&gt; 0,D67&lt;&gt;0,E67&lt;&gt;0),(EXP(LN(E67/D67)/(E$3-D$3))-1)*100,0)</f>
        <v>0.40035595937835122</v>
      </c>
      <c r="E235" s="17">
        <f t="shared" si="67"/>
        <v>0.39363188814098837</v>
      </c>
      <c r="F235" s="17">
        <f t="shared" si="42"/>
        <v>0.39587319518212816</v>
      </c>
    </row>
    <row r="236" spans="1:6" x14ac:dyDescent="0.2">
      <c r="A236" t="str">
        <f>$A$68</f>
        <v>Public administration and defence</v>
      </c>
      <c r="B236" s="17">
        <f t="shared" si="44"/>
        <v>0.38761273319132261</v>
      </c>
      <c r="C236" s="17">
        <f t="shared" si="44"/>
        <v>2.8930083201135215</v>
      </c>
      <c r="D236" s="17">
        <f t="shared" ref="D236:E236" si="68">IF(AND(E$3-D$3 &lt;&gt; 0,D68&lt;&gt;0,E68&lt;&gt;0),(EXP(LN(E68/D68)/(E$3-D$3))-1)*100,0)</f>
        <v>-0.4997785897437268</v>
      </c>
      <c r="E236" s="17">
        <f t="shared" si="68"/>
        <v>0.10870623010668101</v>
      </c>
      <c r="F236" s="17">
        <f t="shared" si="42"/>
        <v>-9.4534382869071454E-2</v>
      </c>
    </row>
    <row r="237" spans="1:6" x14ac:dyDescent="0.2">
      <c r="A237" t="str">
        <f>$A$69</f>
        <v xml:space="preserve">Education </v>
      </c>
      <c r="B237" s="17">
        <f t="shared" si="44"/>
        <v>-0.18127577419465579</v>
      </c>
      <c r="C237" s="17">
        <f t="shared" si="44"/>
        <v>-3.149591667895757</v>
      </c>
      <c r="D237" s="17">
        <f t="shared" ref="D237:E237" si="69">IF(AND(E$3-D$3 &lt;&gt; 0,D69&lt;&gt;0,E69&lt;&gt;0),(EXP(LN(E69/D69)/(E$3-D$3))-1)*100,0)</f>
        <v>1.2514392622389625</v>
      </c>
      <c r="E237" s="17">
        <f t="shared" si="69"/>
        <v>0.34053450384337047</v>
      </c>
      <c r="F237" s="17">
        <f t="shared" si="42"/>
        <v>0.64325521662738083</v>
      </c>
    </row>
    <row r="238" spans="1:6" x14ac:dyDescent="0.2">
      <c r="A238" t="str">
        <f>$A$70</f>
        <v>Health</v>
      </c>
      <c r="B238" s="17">
        <f t="shared" si="44"/>
        <v>-1.9957851561000606</v>
      </c>
      <c r="C238" s="17">
        <f t="shared" si="44"/>
        <v>14.173606508848735</v>
      </c>
      <c r="D238" s="17">
        <f t="shared" ref="D238:E238" si="70">IF(AND(E$3-D$3 &lt;&gt; 0,D70&lt;&gt;0,E70&lt;&gt;0),(EXP(LN(E70/D70)/(E$3-D$3))-1)*100,0)</f>
        <v>1.3332558968818242</v>
      </c>
      <c r="E238" s="17">
        <f t="shared" si="70"/>
        <v>0.94635744808062583</v>
      </c>
      <c r="F238" s="17">
        <f t="shared" ref="F238:F249" si="71">IF(AND(F$3-D$3 &lt;&gt; 0,D70&lt;&gt;0,F70&lt;&gt;0),(EXP(LN(F70/D70)/(F$3-D$3))-1)*100,0)</f>
        <v>1.0751591841889896</v>
      </c>
    </row>
    <row r="239" spans="1:6" x14ac:dyDescent="0.2">
      <c r="A239" t="str">
        <f>$A$71</f>
        <v>Residential care</v>
      </c>
      <c r="B239" s="17">
        <f t="shared" ref="B239:C239" si="72">IF(AND(C$3-B$3 &lt;&gt; 0,B71&lt;&gt;0,C71&lt;&gt;0),(EXP(LN(C71/B71)/(C$3-B$3))-1)*100,0)</f>
        <v>-1.2600290824171911</v>
      </c>
      <c r="C239" s="17">
        <f t="shared" si="72"/>
        <v>0.45291881056139793</v>
      </c>
      <c r="D239" s="17">
        <f t="shared" ref="D239:D247" si="73">IF(AND(E$3-D$3 &lt;&gt; 0,D71&lt;&gt;0,E71&lt;&gt;0),(EXP(LN(E71/D71)/(E$3-D$3))-1)*100,0)</f>
        <v>1.2619293612480265</v>
      </c>
      <c r="E239" s="17">
        <f t="shared" ref="E239:E247" si="74">IF(AND(F$3-E$3 &lt;&gt; 0,E71&lt;&gt;0,F71&lt;&gt;0),(EXP(LN(F71/E71)/(F$3-E$3))-1)*100,0)</f>
        <v>0.41511053115999008</v>
      </c>
      <c r="F239" s="17">
        <f t="shared" si="71"/>
        <v>0.69659368501338026</v>
      </c>
    </row>
    <row r="240" spans="1:6" x14ac:dyDescent="0.2">
      <c r="A240" t="str">
        <f>$A$72</f>
        <v>Social work</v>
      </c>
      <c r="B240" s="17">
        <f t="shared" ref="B240:C240" si="75">IF(AND(C$3-B$3 &lt;&gt; 0,B72&lt;&gt;0,C72&lt;&gt;0),(EXP(LN(C72/B72)/(C$3-B$3))-1)*100,0)</f>
        <v>-3.0479892855789559</v>
      </c>
      <c r="C240" s="17">
        <f t="shared" si="75"/>
        <v>1.093626422049998</v>
      </c>
      <c r="D240" s="17">
        <f t="shared" si="73"/>
        <v>1.0663628929811653</v>
      </c>
      <c r="E240" s="17">
        <f t="shared" si="74"/>
        <v>0.2173716810150772</v>
      </c>
      <c r="F240" s="17">
        <f t="shared" si="71"/>
        <v>0.49957335528167945</v>
      </c>
    </row>
    <row r="241" spans="1:6" x14ac:dyDescent="0.2">
      <c r="A241" t="str">
        <f>$A$73</f>
        <v>Arts and entertainment</v>
      </c>
      <c r="B241" s="17">
        <f t="shared" ref="B241:C241" si="76">IF(AND(C$3-B$3 &lt;&gt; 0,B73&lt;&gt;0,C73&lt;&gt;0),(EXP(LN(C73/B73)/(C$3-B$3))-1)*100,0)</f>
        <v>-2.6497671371282672</v>
      </c>
      <c r="C241" s="17">
        <f t="shared" si="76"/>
        <v>-18.613974799353926</v>
      </c>
      <c r="D241" s="17">
        <f t="shared" si="73"/>
        <v>-1.2556284032227194</v>
      </c>
      <c r="E241" s="17">
        <f t="shared" si="74"/>
        <v>0.95719959908227015</v>
      </c>
      <c r="F241" s="17">
        <f t="shared" si="71"/>
        <v>0.21413457687091686</v>
      </c>
    </row>
    <row r="242" spans="1:6" x14ac:dyDescent="0.2">
      <c r="A242" t="str">
        <f>$A$74</f>
        <v>Libraries, etc</v>
      </c>
      <c r="B242" s="17">
        <f t="shared" ref="B242:C242" si="77">IF(AND(C$3-B$3 &lt;&gt; 0,B74&lt;&gt;0,C74&lt;&gt;0),(EXP(LN(C74/B74)/(C$3-B$3))-1)*100,0)</f>
        <v>-6.907556078462207</v>
      </c>
      <c r="C242" s="17">
        <f t="shared" si="77"/>
        <v>-15.399774774943943</v>
      </c>
      <c r="D242" s="17">
        <f t="shared" si="73"/>
        <v>-1.1684177850845967</v>
      </c>
      <c r="E242" s="17">
        <f t="shared" si="74"/>
        <v>0.98564149946283042</v>
      </c>
      <c r="F242" s="17">
        <f t="shared" si="71"/>
        <v>0.26245516153440285</v>
      </c>
    </row>
    <row r="243" spans="1:6" x14ac:dyDescent="0.2">
      <c r="A243" t="str">
        <f>$A$75</f>
        <v>Gambling and betting</v>
      </c>
      <c r="B243" s="17">
        <f t="shared" ref="B243:C243" si="78">IF(AND(C$3-B$3 &lt;&gt; 0,B75&lt;&gt;0,C75&lt;&gt;0),(EXP(LN(C75/B75)/(C$3-B$3))-1)*100,0)</f>
        <v>-8.9301657080033454</v>
      </c>
      <c r="C243" s="17">
        <f t="shared" si="78"/>
        <v>-3.0238500855124029</v>
      </c>
      <c r="D243" s="17">
        <f t="shared" si="73"/>
        <v>1.4504990533575679</v>
      </c>
      <c r="E243" s="17">
        <f t="shared" si="74"/>
        <v>0.87786015256108296</v>
      </c>
      <c r="F243" s="17">
        <f t="shared" si="71"/>
        <v>1.0683797412063045</v>
      </c>
    </row>
    <row r="244" spans="1:6" x14ac:dyDescent="0.2">
      <c r="A244" t="str">
        <f>$A$76</f>
        <v>Sport and recreation</v>
      </c>
      <c r="B244" s="17">
        <f t="shared" ref="B244:C244" si="79">IF(AND(C$3-B$3 &lt;&gt; 0,B76&lt;&gt;0,C76&lt;&gt;0),(EXP(LN(C76/B76)/(C$3-B$3))-1)*100,0)</f>
        <v>12.108813260669793</v>
      </c>
      <c r="C244" s="17">
        <f t="shared" si="79"/>
        <v>0.30897140601524598</v>
      </c>
      <c r="D244" s="17">
        <f t="shared" si="73"/>
        <v>1.4387356401955875</v>
      </c>
      <c r="E244" s="17">
        <f t="shared" si="74"/>
        <v>0.87272672827729547</v>
      </c>
      <c r="F244" s="17">
        <f t="shared" si="71"/>
        <v>1.06104457890277</v>
      </c>
    </row>
    <row r="245" spans="1:6" x14ac:dyDescent="0.2">
      <c r="A245" t="str">
        <f>$A$77</f>
        <v>Membership organisations</v>
      </c>
      <c r="B245" s="17">
        <f t="shared" ref="B245:C245" si="80">IF(AND(C$3-B$3 &lt;&gt; 0,B77&lt;&gt;0,C77&lt;&gt;0),(EXP(LN(C77/B77)/(C$3-B$3))-1)*100,0)</f>
        <v>-9.3572368749178061</v>
      </c>
      <c r="C245" s="17">
        <f t="shared" si="80"/>
        <v>1.7529555638125638</v>
      </c>
      <c r="D245" s="17">
        <f t="shared" si="73"/>
        <v>-3.0912866192646882</v>
      </c>
      <c r="E245" s="17">
        <f t="shared" si="74"/>
        <v>-0.60776153853597803</v>
      </c>
      <c r="F245" s="17">
        <f t="shared" si="71"/>
        <v>-1.4425956972222931</v>
      </c>
    </row>
    <row r="246" spans="1:6" x14ac:dyDescent="0.2">
      <c r="A246" t="str">
        <f>$A$78</f>
        <v>Repair of goods</v>
      </c>
      <c r="B246" s="17">
        <f t="shared" ref="B246:C246" si="81">IF(AND(C$3-B$3 &lt;&gt; 0,B78&lt;&gt;0,C78&lt;&gt;0),(EXP(LN(C78/B78)/(C$3-B$3))-1)*100,0)</f>
        <v>0.83410058655921659</v>
      </c>
      <c r="C246" s="17">
        <f t="shared" si="81"/>
        <v>11.484593836597723</v>
      </c>
      <c r="D246" s="17">
        <f t="shared" si="73"/>
        <v>-2.8740959834174129</v>
      </c>
      <c r="E246" s="17">
        <f t="shared" si="74"/>
        <v>-0.41965877105957228</v>
      </c>
      <c r="F246" s="17">
        <f t="shared" si="71"/>
        <v>-1.2446199256621604</v>
      </c>
    </row>
    <row r="247" spans="1:6" x14ac:dyDescent="0.2">
      <c r="A247" t="str">
        <f>$A$79</f>
        <v>Other personal service</v>
      </c>
      <c r="B247" s="17">
        <f>IF(AND(C$3-B$3 &lt;&gt; 0,B79&lt;&gt;0,C79&lt;&gt;0),(EXP(LN(C79/B79)/(C$3-B$3))-1)*100,0)</f>
        <v>-1.0193399667102643</v>
      </c>
      <c r="C247" s="17">
        <f t="shared" ref="C247" si="82">IF(AND(D$3-C$3 &lt;&gt; 0,C79&lt;&gt;0,D79&lt;&gt;0),(EXP(LN(D79/C79)/(D$3-C$3))-1)*100,0)</f>
        <v>6.2005448161578602</v>
      </c>
      <c r="D247" s="17">
        <f t="shared" si="73"/>
        <v>-2.9971178665532006</v>
      </c>
      <c r="E247" s="17">
        <f t="shared" si="74"/>
        <v>-0.51895724039818791</v>
      </c>
      <c r="F247" s="17">
        <f t="shared" si="71"/>
        <v>-1.3519665570179362</v>
      </c>
    </row>
    <row r="248" spans="1:6" x14ac:dyDescent="0.2">
      <c r="B248" s="17"/>
      <c r="C248" s="17"/>
      <c r="D248" s="17"/>
      <c r="E248" s="17"/>
      <c r="F248" s="17"/>
    </row>
    <row r="249" spans="1:6" x14ac:dyDescent="0.2">
      <c r="A249" s="23" t="str">
        <f>$A$81</f>
        <v>All industries</v>
      </c>
      <c r="B249" s="25">
        <f>IF(AND(C$3-B$3 &lt;&gt; 0,B81&lt;&gt;0,C81&lt;&gt;0),(EXP(LN(C81/B81)/(C$3-B$3))-1)*100,0)</f>
        <v>-0.26675580585351355</v>
      </c>
      <c r="C249" s="25">
        <f t="shared" ref="C249" si="83">IF(AND(D$3-C$3 &lt;&gt; 0,C81&lt;&gt;0,D81&lt;&gt;0),(EXP(LN(D81/C81)/(D$3-C$3))-1)*100,0)</f>
        <v>-0.46272893746293065</v>
      </c>
      <c r="D249" s="25">
        <f>IF(AND(E$3-D$3 &lt;&gt; 0,D81&lt;&gt;0,E81&lt;&gt;0),(EXP(LN(E81/D81)/(E$3-D$3))-1)*100,0)</f>
        <v>0.32473787001079391</v>
      </c>
      <c r="E249" s="25">
        <f>IF(AND(F$3-E$3 &lt;&gt; 0,E81&lt;&gt;0,F81&lt;&gt;0),(EXP(LN(F81/E81)/(F$3-E$3))-1)*100,0)</f>
        <v>0.34391559747728451</v>
      </c>
      <c r="F249" s="25">
        <f t="shared" si="71"/>
        <v>0.33752261436221787</v>
      </c>
    </row>
    <row r="253" spans="1:6" ht="15.75" x14ac:dyDescent="0.25">
      <c r="A253" s="18" t="str">
        <f>CONCATENATE($A$1," (Continued)")</f>
        <v>Industry Table 3  Employment by Industry (SIC 2007), 2015-2035, North East (Continued)</v>
      </c>
    </row>
    <row r="255" spans="1:6" x14ac:dyDescent="0.2">
      <c r="A255" s="21"/>
      <c r="B255" s="24" t="str">
        <f>CONCATENATE(B$3,"-",C$3)</f>
        <v>2015-2019</v>
      </c>
      <c r="C255" s="24" t="str">
        <f>CONCATENATE(C$3,"-",D$3)</f>
        <v>2019-2020</v>
      </c>
      <c r="D255" s="24" t="str">
        <f>CONCATENATE(D$3,"-",E$3)</f>
        <v>2020-2025</v>
      </c>
      <c r="E255" s="24" t="str">
        <f>CONCATENATE(E$3,"-",F$3)</f>
        <v>2025-2035</v>
      </c>
      <c r="F255" s="24" t="str">
        <f>CONCATENATE(D$3,"-",F$3)</f>
        <v>2020-2035</v>
      </c>
    </row>
    <row r="256" spans="1:6" x14ac:dyDescent="0.2">
      <c r="A256" s="27" t="s">
        <v>15</v>
      </c>
    </row>
    <row r="257" spans="1:6" x14ac:dyDescent="0.2">
      <c r="A257" t="str">
        <f>$A$5</f>
        <v>Agriculture, etc</v>
      </c>
      <c r="B257" s="26">
        <f t="shared" ref="B257:E276" si="84">C5-B5</f>
        <v>-1.9110000000220566</v>
      </c>
      <c r="C257" s="26">
        <f t="shared" si="84"/>
        <v>-0.20100000010914076</v>
      </c>
      <c r="D257" s="26">
        <f t="shared" si="84"/>
        <v>0.19099999998985417</v>
      </c>
      <c r="E257" s="26">
        <f t="shared" si="84"/>
        <v>0.15800000000862546</v>
      </c>
      <c r="F257" s="26">
        <f>F5-D5</f>
        <v>0.34899999999847964</v>
      </c>
    </row>
    <row r="258" spans="1:6" x14ac:dyDescent="0.2">
      <c r="A258" t="str">
        <f>$A$6</f>
        <v>Coal, oil &amp; gas; Mining &amp; related</v>
      </c>
      <c r="B258" s="26">
        <f t="shared" si="84"/>
        <v>-0.66200000000270309</v>
      </c>
      <c r="C258" s="26">
        <f t="shared" si="84"/>
        <v>0.35100000000054798</v>
      </c>
      <c r="D258" s="26">
        <f t="shared" si="84"/>
        <v>-0.21100000000482955</v>
      </c>
      <c r="E258" s="26">
        <f t="shared" si="84"/>
        <v>-0.20199999999931118</v>
      </c>
      <c r="F258" s="26">
        <f t="shared" ref="F258:F321" si="85">F6-D6</f>
        <v>-0.41300000000414072</v>
      </c>
    </row>
    <row r="259" spans="1:6" x14ac:dyDescent="0.2">
      <c r="A259" t="str">
        <f>$A$7</f>
        <v>Food products</v>
      </c>
      <c r="B259" s="26">
        <f t="shared" si="84"/>
        <v>1.5139999998633034</v>
      </c>
      <c r="C259" s="26">
        <f t="shared" si="84"/>
        <v>-0.41799999997222947</v>
      </c>
      <c r="D259" s="26">
        <f t="shared" si="84"/>
        <v>7.1000000262783303E-2</v>
      </c>
      <c r="E259" s="26">
        <f t="shared" si="84"/>
        <v>-0.34600000030297728</v>
      </c>
      <c r="F259" s="26">
        <f t="shared" si="85"/>
        <v>-0.27500000004019398</v>
      </c>
    </row>
    <row r="260" spans="1:6" x14ac:dyDescent="0.2">
      <c r="A260" t="str">
        <f>$A$8</f>
        <v>Beverages and tobacco</v>
      </c>
      <c r="B260" s="26">
        <f t="shared" si="84"/>
        <v>-0.15100000000796099</v>
      </c>
      <c r="C260" s="26">
        <f t="shared" si="84"/>
        <v>-6.7999999996727789E-2</v>
      </c>
      <c r="D260" s="26">
        <f t="shared" si="84"/>
        <v>3.3000000022393339E-2</v>
      </c>
      <c r="E260" s="26">
        <f t="shared" si="84"/>
        <v>-1.0000000021738842E-2</v>
      </c>
      <c r="F260" s="26">
        <f t="shared" si="85"/>
        <v>2.3000000000654497E-2</v>
      </c>
    </row>
    <row r="261" spans="1:6" x14ac:dyDescent="0.2">
      <c r="A261" t="str">
        <f>$A$9</f>
        <v>Textiles</v>
      </c>
      <c r="B261" s="26">
        <f t="shared" si="84"/>
        <v>-1.4970000000216883</v>
      </c>
      <c r="C261" s="26">
        <f t="shared" si="84"/>
        <v>0.28100000000221126</v>
      </c>
      <c r="D261" s="26">
        <f t="shared" si="84"/>
        <v>-0.14499999998524049</v>
      </c>
      <c r="E261" s="26">
        <f t="shared" si="84"/>
        <v>-0.16600000000906179</v>
      </c>
      <c r="F261" s="26">
        <f t="shared" si="85"/>
        <v>-0.31099999999430228</v>
      </c>
    </row>
    <row r="262" spans="1:6" x14ac:dyDescent="0.2">
      <c r="A262" t="str">
        <f>$A$10</f>
        <v>Wearing apparel; Leather, etc</v>
      </c>
      <c r="B262" s="26">
        <f t="shared" si="84"/>
        <v>-1.4490000000174896</v>
      </c>
      <c r="C262" s="26">
        <f t="shared" si="84"/>
        <v>2.4000000000185595E-2</v>
      </c>
      <c r="D262" s="26">
        <f t="shared" si="84"/>
        <v>-3.9999999992097635E-2</v>
      </c>
      <c r="E262" s="26">
        <f t="shared" si="84"/>
        <v>-4.1000000003604431E-2</v>
      </c>
      <c r="F262" s="26">
        <f t="shared" si="85"/>
        <v>-8.0999999995702066E-2</v>
      </c>
    </row>
    <row r="263" spans="1:6" x14ac:dyDescent="0.2">
      <c r="A263" t="str">
        <f>$A$11</f>
        <v xml:space="preserve">Wood and cork </v>
      </c>
      <c r="B263" s="26">
        <f t="shared" si="84"/>
        <v>1.3009999999850019</v>
      </c>
      <c r="C263" s="26">
        <f t="shared" si="84"/>
        <v>-1.0329999999988986</v>
      </c>
      <c r="D263" s="26">
        <f t="shared" si="84"/>
        <v>-0.10700000000719312</v>
      </c>
      <c r="E263" s="26">
        <f t="shared" si="84"/>
        <v>-0.14500000002825519</v>
      </c>
      <c r="F263" s="26">
        <f t="shared" si="85"/>
        <v>-0.25200000003544831</v>
      </c>
    </row>
    <row r="264" spans="1:6" x14ac:dyDescent="0.2">
      <c r="A264" t="str">
        <f>$A$12</f>
        <v>Paper, etc</v>
      </c>
      <c r="B264" s="26">
        <f t="shared" si="84"/>
        <v>-2.1100000000210879</v>
      </c>
      <c r="C264" s="26">
        <f t="shared" si="84"/>
        <v>-0.13099999999907941</v>
      </c>
      <c r="D264" s="26">
        <f t="shared" si="84"/>
        <v>-5.5999999993176397E-2</v>
      </c>
      <c r="E264" s="26">
        <f t="shared" si="84"/>
        <v>-7.1000000015338349E-2</v>
      </c>
      <c r="F264" s="26">
        <f t="shared" si="85"/>
        <v>-0.12700000000851475</v>
      </c>
    </row>
    <row r="265" spans="1:6" x14ac:dyDescent="0.2">
      <c r="A265" t="str">
        <f>$A$13</f>
        <v>Printing and recording</v>
      </c>
      <c r="B265" s="26">
        <f t="shared" si="84"/>
        <v>-3.5340000000143417</v>
      </c>
      <c r="C265" s="26">
        <f t="shared" si="84"/>
        <v>-0.55699999999311389</v>
      </c>
      <c r="D265" s="26">
        <f t="shared" si="84"/>
        <v>-0.3199999999640708</v>
      </c>
      <c r="E265" s="26">
        <f t="shared" si="84"/>
        <v>-0.57200000002660856</v>
      </c>
      <c r="F265" s="26">
        <f t="shared" si="85"/>
        <v>-0.89199999999067936</v>
      </c>
    </row>
    <row r="266" spans="1:6" x14ac:dyDescent="0.2">
      <c r="A266" t="str">
        <f>$A$14</f>
        <v>Coke and petroleum; Chemicals, etc</v>
      </c>
      <c r="B266" s="26">
        <f t="shared" si="84"/>
        <v>-0.37700000001825273</v>
      </c>
      <c r="C266" s="26">
        <f t="shared" si="84"/>
        <v>-0.24599999999447064</v>
      </c>
      <c r="D266" s="26">
        <f t="shared" si="84"/>
        <v>-1.4629999998936958</v>
      </c>
      <c r="E266" s="26">
        <f t="shared" si="84"/>
        <v>-1.5820000000782404</v>
      </c>
      <c r="F266" s="26">
        <f t="shared" si="85"/>
        <v>-3.0449999999719362</v>
      </c>
    </row>
    <row r="267" spans="1:6" x14ac:dyDescent="0.2">
      <c r="A267" t="str">
        <f>$A$15</f>
        <v>Pharmaceuticals</v>
      </c>
      <c r="B267" s="26">
        <f t="shared" si="84"/>
        <v>0.81499999999630335</v>
      </c>
      <c r="C267" s="26">
        <f t="shared" si="84"/>
        <v>3.6000000002932797E-2</v>
      </c>
      <c r="D267" s="26">
        <f t="shared" si="84"/>
        <v>0.40600000003545089</v>
      </c>
      <c r="E267" s="26">
        <f t="shared" si="84"/>
        <v>-4.2000000015132599E-2</v>
      </c>
      <c r="F267" s="26">
        <f t="shared" si="85"/>
        <v>0.36400000002031829</v>
      </c>
    </row>
    <row r="268" spans="1:6" x14ac:dyDescent="0.2">
      <c r="A268" t="str">
        <f>$A$16</f>
        <v>Rubber and plastic</v>
      </c>
      <c r="B268" s="26">
        <f t="shared" si="84"/>
        <v>-0.98800000003598498</v>
      </c>
      <c r="C268" s="26">
        <f t="shared" si="84"/>
        <v>0.51199999999831824</v>
      </c>
      <c r="D268" s="26">
        <f t="shared" si="84"/>
        <v>0.39399999999022395</v>
      </c>
      <c r="E268" s="26">
        <f t="shared" si="84"/>
        <v>-0.63000000003984091</v>
      </c>
      <c r="F268" s="26">
        <f t="shared" si="85"/>
        <v>-0.23600000004961696</v>
      </c>
    </row>
    <row r="269" spans="1:6" x14ac:dyDescent="0.2">
      <c r="A269" t="str">
        <f>$A$17</f>
        <v>Other non-metallic</v>
      </c>
      <c r="B269" s="26">
        <f t="shared" si="84"/>
        <v>1.0289999999910027</v>
      </c>
      <c r="C269" s="26">
        <f t="shared" si="84"/>
        <v>0.30200000000050142</v>
      </c>
      <c r="D269" s="26">
        <f t="shared" si="84"/>
        <v>0.21999999999981146</v>
      </c>
      <c r="E269" s="26">
        <f t="shared" si="84"/>
        <v>-0.38400000002330525</v>
      </c>
      <c r="F269" s="26">
        <f t="shared" si="85"/>
        <v>-0.1640000000234938</v>
      </c>
    </row>
    <row r="270" spans="1:6" x14ac:dyDescent="0.2">
      <c r="A270" t="str">
        <f>$A$18</f>
        <v>Basic metals</v>
      </c>
      <c r="B270" s="26">
        <f t="shared" si="84"/>
        <v>1.0769999999987006</v>
      </c>
      <c r="C270" s="26">
        <f t="shared" si="84"/>
        <v>-0.56000000000184746</v>
      </c>
      <c r="D270" s="26">
        <f t="shared" si="84"/>
        <v>-2.1000000007033837E-2</v>
      </c>
      <c r="E270" s="26">
        <f t="shared" si="84"/>
        <v>-0.33600000000312935</v>
      </c>
      <c r="F270" s="26">
        <f t="shared" si="85"/>
        <v>-0.35700000001016319</v>
      </c>
    </row>
    <row r="271" spans="1:6" x14ac:dyDescent="0.2">
      <c r="A271" t="str">
        <f>$A$19</f>
        <v>Metal products</v>
      </c>
      <c r="B271" s="26">
        <f t="shared" si="84"/>
        <v>0.61599999995664945</v>
      </c>
      <c r="C271" s="26">
        <f t="shared" si="84"/>
        <v>-2.784999999992916</v>
      </c>
      <c r="D271" s="26">
        <f t="shared" si="84"/>
        <v>-5.7999999969299054E-2</v>
      </c>
      <c r="E271" s="26">
        <f t="shared" si="84"/>
        <v>-1.6430000000773077</v>
      </c>
      <c r="F271" s="26">
        <f t="shared" si="85"/>
        <v>-1.7010000000466068</v>
      </c>
    </row>
    <row r="272" spans="1:6" x14ac:dyDescent="0.2">
      <c r="A272" t="str">
        <f>$A$20</f>
        <v>Computer, etc</v>
      </c>
      <c r="B272" s="26">
        <f t="shared" si="84"/>
        <v>-0.47800000000166909</v>
      </c>
      <c r="C272" s="26">
        <f t="shared" si="84"/>
        <v>0.13400000000243217</v>
      </c>
      <c r="D272" s="26">
        <f t="shared" si="84"/>
        <v>0.91400000004684312</v>
      </c>
      <c r="E272" s="26">
        <f t="shared" si="84"/>
        <v>0.49099999995690968</v>
      </c>
      <c r="F272" s="26">
        <f t="shared" si="85"/>
        <v>1.4050000000037528</v>
      </c>
    </row>
    <row r="273" spans="1:6" x14ac:dyDescent="0.2">
      <c r="A273" t="str">
        <f>$A$21</f>
        <v>Electrical equipment</v>
      </c>
      <c r="B273" s="26">
        <f t="shared" si="84"/>
        <v>-2.1510000000075848</v>
      </c>
      <c r="C273" s="26">
        <f t="shared" si="84"/>
        <v>-0.50799999999395062</v>
      </c>
      <c r="D273" s="26">
        <f t="shared" si="84"/>
        <v>-0.12299999996374567</v>
      </c>
      <c r="E273" s="26">
        <f t="shared" si="84"/>
        <v>-0.3140000000325438</v>
      </c>
      <c r="F273" s="26">
        <f t="shared" si="85"/>
        <v>-0.43699999999628947</v>
      </c>
    </row>
    <row r="274" spans="1:6" x14ac:dyDescent="0.2">
      <c r="A274" t="str">
        <f>$A$22</f>
        <v>Machinery n.e.c.</v>
      </c>
      <c r="B274" s="26">
        <f t="shared" si="84"/>
        <v>0.25299999998227207</v>
      </c>
      <c r="C274" s="26">
        <f t="shared" si="84"/>
        <v>-0.77299999999345204</v>
      </c>
      <c r="D274" s="26">
        <f t="shared" si="84"/>
        <v>-0.25299999992567379</v>
      </c>
      <c r="E274" s="26">
        <f t="shared" si="84"/>
        <v>-1.5490000000789639</v>
      </c>
      <c r="F274" s="26">
        <f t="shared" si="85"/>
        <v>-1.8020000000046377</v>
      </c>
    </row>
    <row r="275" spans="1:6" x14ac:dyDescent="0.2">
      <c r="A275" t="str">
        <f>$A$23</f>
        <v>Motor vehicles, etc</v>
      </c>
      <c r="B275" s="26">
        <f t="shared" si="84"/>
        <v>2.4189999999461413</v>
      </c>
      <c r="C275" s="26">
        <f t="shared" si="84"/>
        <v>-2.3049999999812361</v>
      </c>
      <c r="D275" s="26">
        <f t="shared" si="84"/>
        <v>-0.67399999996083082</v>
      </c>
      <c r="E275" s="26">
        <f t="shared" si="84"/>
        <v>-1.0710000000684161</v>
      </c>
      <c r="F275" s="26">
        <f t="shared" si="85"/>
        <v>-1.7450000000292469</v>
      </c>
    </row>
    <row r="276" spans="1:6" x14ac:dyDescent="0.2">
      <c r="A276" t="str">
        <f>$A$24</f>
        <v>Other transport equipment</v>
      </c>
      <c r="B276" s="26">
        <f t="shared" si="84"/>
        <v>0.81099999999615369</v>
      </c>
      <c r="C276" s="26">
        <f t="shared" si="84"/>
        <v>-5.199999999934235E-2</v>
      </c>
      <c r="D276" s="26">
        <f t="shared" si="84"/>
        <v>-0.50599999999288636</v>
      </c>
      <c r="E276" s="26">
        <f t="shared" si="84"/>
        <v>-0.52700000000554348</v>
      </c>
      <c r="F276" s="26">
        <f t="shared" si="85"/>
        <v>-1.0329999999984298</v>
      </c>
    </row>
    <row r="277" spans="1:6" x14ac:dyDescent="0.2">
      <c r="A277" t="str">
        <f>$A$25</f>
        <v>Furniture</v>
      </c>
      <c r="B277" s="26">
        <f t="shared" ref="B277:E296" si="86">C25-B25</f>
        <v>-3.1840000000216166</v>
      </c>
      <c r="C277" s="26">
        <f t="shared" si="86"/>
        <v>3.2999999998142737E-2</v>
      </c>
      <c r="D277" s="26">
        <f t="shared" si="86"/>
        <v>-0.28100000000387571</v>
      </c>
      <c r="E277" s="26">
        <f t="shared" si="86"/>
        <v>2.1999999984389618E-2</v>
      </c>
      <c r="F277" s="26">
        <f t="shared" si="85"/>
        <v>-0.25900000001948609</v>
      </c>
    </row>
    <row r="278" spans="1:6" x14ac:dyDescent="0.2">
      <c r="A278" t="str">
        <f>$A$26</f>
        <v>Other manufacturing</v>
      </c>
      <c r="B278" s="26">
        <f t="shared" si="86"/>
        <v>-2.313000000028663</v>
      </c>
      <c r="C278" s="26">
        <f t="shared" si="86"/>
        <v>0.10500000000367038</v>
      </c>
      <c r="D278" s="26">
        <f t="shared" si="86"/>
        <v>-0.30299999995738425</v>
      </c>
      <c r="E278" s="26">
        <f t="shared" si="86"/>
        <v>3.2999999958536197E-2</v>
      </c>
      <c r="F278" s="26">
        <f t="shared" si="85"/>
        <v>-0.26999999999884805</v>
      </c>
    </row>
    <row r="279" spans="1:6" x14ac:dyDescent="0.2">
      <c r="A279" t="str">
        <f>$A$27</f>
        <v>Repair and installation</v>
      </c>
      <c r="B279" s="26">
        <f t="shared" si="86"/>
        <v>-2.6890000000038214</v>
      </c>
      <c r="C279" s="26">
        <f t="shared" si="86"/>
        <v>2.9999999998853388E-2</v>
      </c>
      <c r="D279" s="26">
        <f t="shared" si="86"/>
        <v>-0.17399999999652582</v>
      </c>
      <c r="E279" s="26">
        <f t="shared" si="86"/>
        <v>1.2999999995981559E-2</v>
      </c>
      <c r="F279" s="26">
        <f t="shared" si="85"/>
        <v>-0.16100000000054426</v>
      </c>
    </row>
    <row r="280" spans="1:6" x14ac:dyDescent="0.2">
      <c r="A280" t="str">
        <f>$A$28</f>
        <v>Electricity, gas, etc</v>
      </c>
      <c r="B280" s="26">
        <f t="shared" si="86"/>
        <v>5.7099999999491065</v>
      </c>
      <c r="C280" s="26">
        <f t="shared" si="86"/>
        <v>0.37700000000655898</v>
      </c>
      <c r="D280" s="26">
        <f t="shared" si="86"/>
        <v>-0.16799999974657531</v>
      </c>
      <c r="E280" s="26">
        <f t="shared" si="86"/>
        <v>0.18999999990435157</v>
      </c>
      <c r="F280" s="26">
        <f t="shared" si="85"/>
        <v>2.2000000157776256E-2</v>
      </c>
    </row>
    <row r="281" spans="1:6" x14ac:dyDescent="0.2">
      <c r="A281" t="str">
        <f>$A$29</f>
        <v>Water</v>
      </c>
      <c r="B281" s="26">
        <f t="shared" si="86"/>
        <v>2.3000000005204857E-2</v>
      </c>
      <c r="C281" s="26">
        <f t="shared" si="86"/>
        <v>0.29199999999904902</v>
      </c>
      <c r="D281" s="26">
        <f t="shared" si="86"/>
        <v>7.5000000034044501E-2</v>
      </c>
      <c r="E281" s="26">
        <f t="shared" si="86"/>
        <v>0.10299999999823806</v>
      </c>
      <c r="F281" s="26">
        <f t="shared" si="85"/>
        <v>0.17800000003228256</v>
      </c>
    </row>
    <row r="282" spans="1:6" x14ac:dyDescent="0.2">
      <c r="A282" t="str">
        <f>$A$30</f>
        <v>Sewerage</v>
      </c>
      <c r="B282" s="26">
        <f t="shared" si="86"/>
        <v>-3.7000000001042699E-2</v>
      </c>
      <c r="C282" s="26">
        <f t="shared" si="86"/>
        <v>6.9999999998880957E-3</v>
      </c>
      <c r="D282" s="26">
        <f t="shared" si="86"/>
        <v>3.9999999982973378E-3</v>
      </c>
      <c r="E282" s="26">
        <f t="shared" si="86"/>
        <v>2.9999999996425664E-3</v>
      </c>
      <c r="F282" s="26">
        <f t="shared" si="85"/>
        <v>6.9999999979399041E-3</v>
      </c>
    </row>
    <row r="283" spans="1:6" x14ac:dyDescent="0.2">
      <c r="A283" t="str">
        <f>$A$31</f>
        <v>Waste management</v>
      </c>
      <c r="B283" s="26">
        <f t="shared" si="86"/>
        <v>0.39799999998179558</v>
      </c>
      <c r="C283" s="26">
        <f t="shared" si="86"/>
        <v>0.39799999999452762</v>
      </c>
      <c r="D283" s="26">
        <f t="shared" si="86"/>
        <v>9.499999998128672E-2</v>
      </c>
      <c r="E283" s="26">
        <f t="shared" si="86"/>
        <v>0.1009999999906368</v>
      </c>
      <c r="F283" s="26">
        <f t="shared" si="85"/>
        <v>0.19599999997192352</v>
      </c>
    </row>
    <row r="284" spans="1:6" x14ac:dyDescent="0.2">
      <c r="A284" t="str">
        <f>$A$32</f>
        <v>Construction</v>
      </c>
      <c r="B284" s="26">
        <f t="shared" si="86"/>
        <v>-0.58699999978161443</v>
      </c>
      <c r="C284" s="26">
        <f t="shared" si="86"/>
        <v>-0.65400000035606354</v>
      </c>
      <c r="D284" s="26">
        <f t="shared" si="86"/>
        <v>-0.67400000050698239</v>
      </c>
      <c r="E284" s="26">
        <f t="shared" si="86"/>
        <v>-0.14199999992560919</v>
      </c>
      <c r="F284" s="26">
        <f t="shared" si="85"/>
        <v>-0.81600000043259158</v>
      </c>
    </row>
    <row r="285" spans="1:6" x14ac:dyDescent="0.2">
      <c r="A285" t="str">
        <f>$A$33</f>
        <v>Civil engineering</v>
      </c>
      <c r="B285" s="26">
        <f t="shared" si="86"/>
        <v>0.30400000011221628</v>
      </c>
      <c r="C285" s="26">
        <f t="shared" si="86"/>
        <v>-0.52200000016274473</v>
      </c>
      <c r="D285" s="26">
        <f t="shared" si="86"/>
        <v>-0.28200000024898308</v>
      </c>
      <c r="E285" s="26">
        <f t="shared" si="86"/>
        <v>-5.199999995619109E-2</v>
      </c>
      <c r="F285" s="26">
        <f t="shared" si="85"/>
        <v>-0.33400000020517417</v>
      </c>
    </row>
    <row r="286" spans="1:6" x14ac:dyDescent="0.2">
      <c r="A286" t="str">
        <f>$A$34</f>
        <v>Specialised construction</v>
      </c>
      <c r="B286" s="26">
        <f t="shared" si="86"/>
        <v>5.9670000005007466</v>
      </c>
      <c r="C286" s="26">
        <f t="shared" si="86"/>
        <v>-2.3350000007678346</v>
      </c>
      <c r="D286" s="26">
        <f t="shared" si="86"/>
        <v>-1.3230000011907848</v>
      </c>
      <c r="E286" s="26">
        <f t="shared" si="86"/>
        <v>-0.33599999978884654</v>
      </c>
      <c r="F286" s="26">
        <f t="shared" si="85"/>
        <v>-1.6590000009796313</v>
      </c>
    </row>
    <row r="287" spans="1:6" x14ac:dyDescent="0.2">
      <c r="A287" t="str">
        <f>$A$35</f>
        <v>Motor vehicle trade</v>
      </c>
      <c r="B287" s="26">
        <f t="shared" si="86"/>
        <v>-0.99300000008719636</v>
      </c>
      <c r="C287" s="26">
        <f t="shared" si="86"/>
        <v>-2.9250000000778336</v>
      </c>
      <c r="D287" s="26">
        <f t="shared" si="86"/>
        <v>1.00799999992633</v>
      </c>
      <c r="E287" s="26">
        <f t="shared" si="86"/>
        <v>1.2879999998758329</v>
      </c>
      <c r="F287" s="26">
        <f t="shared" si="85"/>
        <v>2.295999999802163</v>
      </c>
    </row>
    <row r="288" spans="1:6" x14ac:dyDescent="0.2">
      <c r="A288" t="str">
        <f>$A$36</f>
        <v>Wholesale trade</v>
      </c>
      <c r="B288" s="26">
        <f t="shared" si="86"/>
        <v>0.15099999972776246</v>
      </c>
      <c r="C288" s="26">
        <f t="shared" si="86"/>
        <v>0.30600000001511773</v>
      </c>
      <c r="D288" s="26">
        <f t="shared" si="86"/>
        <v>-0.37199999963084807</v>
      </c>
      <c r="E288" s="26">
        <f t="shared" si="86"/>
        <v>-2.7000000541942626E-2</v>
      </c>
      <c r="F288" s="26">
        <f t="shared" si="85"/>
        <v>-0.39900000017279069</v>
      </c>
    </row>
    <row r="289" spans="1:6" x14ac:dyDescent="0.2">
      <c r="A289" t="str">
        <f>$A$37</f>
        <v>Retail trade</v>
      </c>
      <c r="B289" s="26">
        <f t="shared" si="86"/>
        <v>-3.6170000025211664</v>
      </c>
      <c r="C289" s="26">
        <f t="shared" si="86"/>
        <v>2.6910000002183239</v>
      </c>
      <c r="D289" s="26">
        <f t="shared" si="86"/>
        <v>-1.7179999952546581</v>
      </c>
      <c r="E289" s="26">
        <f t="shared" si="86"/>
        <v>-0.21200000630783222</v>
      </c>
      <c r="F289" s="26">
        <f t="shared" si="85"/>
        <v>-1.9300000015624903</v>
      </c>
    </row>
    <row r="290" spans="1:6" x14ac:dyDescent="0.2">
      <c r="A290" t="str">
        <f>$A$38</f>
        <v>Land transport, etc</v>
      </c>
      <c r="B290" s="26">
        <f t="shared" si="86"/>
        <v>8.2499999991520561</v>
      </c>
      <c r="C290" s="26">
        <f t="shared" si="86"/>
        <v>0.57200000076687729</v>
      </c>
      <c r="D290" s="26">
        <f t="shared" si="86"/>
        <v>1.2400000003863312</v>
      </c>
      <c r="E290" s="26">
        <f t="shared" si="86"/>
        <v>-0.11600000030053792</v>
      </c>
      <c r="F290" s="26">
        <f t="shared" si="85"/>
        <v>1.1240000000857933</v>
      </c>
    </row>
    <row r="291" spans="1:6" x14ac:dyDescent="0.2">
      <c r="A291" t="str">
        <f>$A$39</f>
        <v>Water transport</v>
      </c>
      <c r="B291" s="26">
        <f t="shared" si="86"/>
        <v>-0.44900000000518303</v>
      </c>
      <c r="C291" s="26">
        <f t="shared" si="86"/>
        <v>2.0000000000207716E-3</v>
      </c>
      <c r="D291" s="26">
        <f t="shared" si="86"/>
        <v>-1.999999999864702E-3</v>
      </c>
      <c r="E291" s="26">
        <f t="shared" si="86"/>
        <v>-7.5134343191507469E-14</v>
      </c>
      <c r="F291" s="26">
        <f t="shared" si="85"/>
        <v>-1.9999999999398364E-3</v>
      </c>
    </row>
    <row r="292" spans="1:6" x14ac:dyDescent="0.2">
      <c r="A292" t="str">
        <f>$A$40</f>
        <v>Air transport</v>
      </c>
      <c r="B292" s="26">
        <f t="shared" si="86"/>
        <v>6.8999999987487515E-2</v>
      </c>
      <c r="C292" s="26">
        <f t="shared" si="86"/>
        <v>-0.24899999999547862</v>
      </c>
      <c r="D292" s="26">
        <f t="shared" si="86"/>
        <v>0.58700000004600805</v>
      </c>
      <c r="E292" s="26">
        <f t="shared" si="86"/>
        <v>0.22199999995758501</v>
      </c>
      <c r="F292" s="26">
        <f t="shared" si="85"/>
        <v>0.80900000000359307</v>
      </c>
    </row>
    <row r="293" spans="1:6" x14ac:dyDescent="0.2">
      <c r="A293" t="str">
        <f>$A$41</f>
        <v>Warehousing, etc</v>
      </c>
      <c r="B293" s="26">
        <f t="shared" si="86"/>
        <v>1.5289999999235153</v>
      </c>
      <c r="C293" s="26">
        <f t="shared" si="86"/>
        <v>0.43199999999425387</v>
      </c>
      <c r="D293" s="26">
        <f t="shared" si="86"/>
        <v>0.30700000006147476</v>
      </c>
      <c r="E293" s="26">
        <f t="shared" si="86"/>
        <v>2.7999999831690658E-2</v>
      </c>
      <c r="F293" s="26">
        <f t="shared" si="85"/>
        <v>0.33499999989316542</v>
      </c>
    </row>
    <row r="294" spans="1:6" x14ac:dyDescent="0.2">
      <c r="A294" t="str">
        <f>$A$42</f>
        <v>Postal and courier</v>
      </c>
      <c r="B294" s="26">
        <f t="shared" si="86"/>
        <v>-0.58800000010450404</v>
      </c>
      <c r="C294" s="26">
        <f t="shared" si="86"/>
        <v>0.83699999999394592</v>
      </c>
      <c r="D294" s="26">
        <f t="shared" si="86"/>
        <v>0.22100000019009158</v>
      </c>
      <c r="E294" s="26">
        <f t="shared" si="86"/>
        <v>0.15899999974042167</v>
      </c>
      <c r="F294" s="26">
        <f t="shared" si="85"/>
        <v>0.37999999993051325</v>
      </c>
    </row>
    <row r="295" spans="1:6" x14ac:dyDescent="0.2">
      <c r="A295" t="str">
        <f>$A$43</f>
        <v>Accommodation</v>
      </c>
      <c r="B295" s="26">
        <f t="shared" si="86"/>
        <v>-3.9630000002759846</v>
      </c>
      <c r="C295" s="26">
        <f t="shared" si="86"/>
        <v>-1.402000000046824</v>
      </c>
      <c r="D295" s="26">
        <f t="shared" si="86"/>
        <v>-9.7999999528362025E-2</v>
      </c>
      <c r="E295" s="26">
        <f t="shared" si="86"/>
        <v>2.1949999995395277</v>
      </c>
      <c r="F295" s="26">
        <f t="shared" si="85"/>
        <v>2.0970000000111657</v>
      </c>
    </row>
    <row r="296" spans="1:6" x14ac:dyDescent="0.2">
      <c r="A296" t="str">
        <f>$A$44</f>
        <v>Food and beverage services</v>
      </c>
      <c r="B296" s="26">
        <f t="shared" si="86"/>
        <v>14.477999999052955</v>
      </c>
      <c r="C296" s="26">
        <f t="shared" si="86"/>
        <v>-2.1770000002256182</v>
      </c>
      <c r="D296" s="26">
        <f t="shared" si="86"/>
        <v>2.7530000025321897</v>
      </c>
      <c r="E296" s="26">
        <f t="shared" si="86"/>
        <v>13.404999997205152</v>
      </c>
      <c r="F296" s="26">
        <f t="shared" si="85"/>
        <v>16.157999999737342</v>
      </c>
    </row>
    <row r="297" spans="1:6" x14ac:dyDescent="0.2">
      <c r="A297" t="str">
        <f>$A$45</f>
        <v>Publishing activities</v>
      </c>
      <c r="B297" s="26">
        <f t="shared" ref="B297:E297" si="87">C45-B45</f>
        <v>-2.5029999999998047</v>
      </c>
      <c r="C297" s="26">
        <f t="shared" si="87"/>
        <v>0.84299999999454922</v>
      </c>
      <c r="D297" s="26">
        <f t="shared" si="87"/>
        <v>-0.1120000000077277</v>
      </c>
      <c r="E297" s="26">
        <f t="shared" si="87"/>
        <v>-6.3999999947021546E-2</v>
      </c>
      <c r="F297" s="26">
        <f t="shared" si="85"/>
        <v>-0.17599999995474924</v>
      </c>
    </row>
    <row r="298" spans="1:6" x14ac:dyDescent="0.2">
      <c r="A298" t="str">
        <f>$A$46</f>
        <v>Film and music</v>
      </c>
      <c r="B298" s="26">
        <f t="shared" ref="B298:C322" si="88">C46-B46</f>
        <v>3.8089999999977207</v>
      </c>
      <c r="C298" s="26">
        <f t="shared" si="88"/>
        <v>-1.1920000000120714</v>
      </c>
      <c r="D298" s="26">
        <f t="shared" ref="D298:E298" si="89">E46-D46</f>
        <v>-2.4000000030854451E-2</v>
      </c>
      <c r="E298" s="26">
        <f t="shared" si="89"/>
        <v>0.2120000000412503</v>
      </c>
      <c r="F298" s="26">
        <f t="shared" si="85"/>
        <v>0.18800000001039585</v>
      </c>
    </row>
    <row r="299" spans="1:6" x14ac:dyDescent="0.2">
      <c r="A299" t="str">
        <f>$A$47</f>
        <v>Broadcasting</v>
      </c>
      <c r="B299" s="26">
        <f t="shared" si="88"/>
        <v>1.2999999999251721E-2</v>
      </c>
      <c r="C299" s="26">
        <f t="shared" si="88"/>
        <v>9.9999999999573486E-2</v>
      </c>
      <c r="D299" s="26">
        <f t="shared" ref="D299:E299" si="90">E47-D47</f>
        <v>-1.5000000005813197E-2</v>
      </c>
      <c r="E299" s="26">
        <f t="shared" si="90"/>
        <v>-7.999999991367801E-3</v>
      </c>
      <c r="F299" s="26">
        <f t="shared" si="85"/>
        <v>-2.2999999997180998E-2</v>
      </c>
    </row>
    <row r="300" spans="1:6" x14ac:dyDescent="0.2">
      <c r="A300" t="str">
        <f>$A$48</f>
        <v>Telecommunications</v>
      </c>
      <c r="B300" s="26">
        <f t="shared" si="88"/>
        <v>-0.6659999999856705</v>
      </c>
      <c r="C300" s="26">
        <f t="shared" si="88"/>
        <v>-1.5339999999974205</v>
      </c>
      <c r="D300" s="26">
        <f t="shared" ref="D300:E300" si="91">E48-D48</f>
        <v>0.68100000022253848</v>
      </c>
      <c r="E300" s="26">
        <f t="shared" si="91"/>
        <v>0.84299999996066077</v>
      </c>
      <c r="F300" s="26">
        <f t="shared" si="85"/>
        <v>1.5240000001831993</v>
      </c>
    </row>
    <row r="301" spans="1:6" x14ac:dyDescent="0.2">
      <c r="A301" t="str">
        <f>$A$49</f>
        <v>Computing services</v>
      </c>
      <c r="B301" s="26">
        <f t="shared" si="88"/>
        <v>-1.2399999999156446</v>
      </c>
      <c r="C301" s="26">
        <f t="shared" si="88"/>
        <v>-1.8139999999808545</v>
      </c>
      <c r="D301" s="26">
        <f t="shared" ref="D301:E301" si="92">E49-D49</f>
        <v>1.3010000003775968</v>
      </c>
      <c r="E301" s="26">
        <f t="shared" si="92"/>
        <v>1.6299999999702592</v>
      </c>
      <c r="F301" s="26">
        <f t="shared" si="85"/>
        <v>2.931000000347856</v>
      </c>
    </row>
    <row r="302" spans="1:6" x14ac:dyDescent="0.2">
      <c r="A302" t="str">
        <f>$A$50</f>
        <v>Information services</v>
      </c>
      <c r="B302" s="26">
        <f t="shared" si="88"/>
        <v>3.1329999999891314</v>
      </c>
      <c r="C302" s="26">
        <f t="shared" si="88"/>
        <v>-0.60900000000392129</v>
      </c>
      <c r="D302" s="26">
        <f t="shared" ref="D302:E302" si="93">E50-D50</f>
        <v>0.35300000005488474</v>
      </c>
      <c r="E302" s="26">
        <f t="shared" si="93"/>
        <v>0.40599999997902714</v>
      </c>
      <c r="F302" s="26">
        <f t="shared" si="85"/>
        <v>0.75900000003391188</v>
      </c>
    </row>
    <row r="303" spans="1:6" x14ac:dyDescent="0.2">
      <c r="A303" t="str">
        <f>$A$51</f>
        <v>Financial services</v>
      </c>
      <c r="B303" s="26">
        <f t="shared" si="88"/>
        <v>-2.1840000000028859</v>
      </c>
      <c r="C303" s="26">
        <f t="shared" si="88"/>
        <v>-1.1889999999720242</v>
      </c>
      <c r="D303" s="26">
        <f t="shared" ref="D303:E303" si="94">E51-D51</f>
        <v>0.45000000024289832</v>
      </c>
      <c r="E303" s="26">
        <f t="shared" si="94"/>
        <v>1.4999999877039372E-2</v>
      </c>
      <c r="F303" s="26">
        <f t="shared" si="85"/>
        <v>0.4650000001199377</v>
      </c>
    </row>
    <row r="304" spans="1:6" x14ac:dyDescent="0.2">
      <c r="A304" t="str">
        <f>$A$52</f>
        <v>Insurance and pensions</v>
      </c>
      <c r="B304" s="26">
        <f t="shared" si="88"/>
        <v>0.35299999999804754</v>
      </c>
      <c r="C304" s="26">
        <f t="shared" si="88"/>
        <v>-0.19599999999571338</v>
      </c>
      <c r="D304" s="26">
        <f t="shared" ref="D304:E304" si="95">E52-D52</f>
        <v>7.7000000039322281E-2</v>
      </c>
      <c r="E304" s="26">
        <f t="shared" si="95"/>
        <v>-3.0000000231624746E-3</v>
      </c>
      <c r="F304" s="26">
        <f t="shared" si="85"/>
        <v>7.4000000016159806E-2</v>
      </c>
    </row>
    <row r="305" spans="1:6" x14ac:dyDescent="0.2">
      <c r="A305" t="str">
        <f>$A$53</f>
        <v>Auxiliary financial services</v>
      </c>
      <c r="B305" s="26">
        <f t="shared" si="88"/>
        <v>0.49499999999046995</v>
      </c>
      <c r="C305" s="26">
        <f t="shared" si="88"/>
        <v>-0.36299999998142152</v>
      </c>
      <c r="D305" s="26">
        <f t="shared" ref="D305:E305" si="96">E53-D53</f>
        <v>0.27700000015182891</v>
      </c>
      <c r="E305" s="26">
        <f t="shared" si="96"/>
        <v>3.6999999925792615E-2</v>
      </c>
      <c r="F305" s="26">
        <f t="shared" si="85"/>
        <v>0.31400000007762152</v>
      </c>
    </row>
    <row r="306" spans="1:6" x14ac:dyDescent="0.2">
      <c r="A306" t="str">
        <f>$A$54</f>
        <v>Real estate</v>
      </c>
      <c r="B306" s="26">
        <f t="shared" si="88"/>
        <v>2.8139999999639578</v>
      </c>
      <c r="C306" s="26">
        <f t="shared" si="88"/>
        <v>-1.8500000000190511</v>
      </c>
      <c r="D306" s="26">
        <f t="shared" ref="D306:E306" si="97">E54-D54</f>
        <v>-5.1999999659212648E-2</v>
      </c>
      <c r="E306" s="26">
        <f t="shared" si="97"/>
        <v>2.6749999997586222</v>
      </c>
      <c r="F306" s="26">
        <f t="shared" si="85"/>
        <v>2.6230000000994096</v>
      </c>
    </row>
    <row r="307" spans="1:6" x14ac:dyDescent="0.2">
      <c r="A307" t="str">
        <f>$A$55</f>
        <v>Legal and accounting</v>
      </c>
      <c r="B307" s="26">
        <f t="shared" si="88"/>
        <v>3.0300000001378962</v>
      </c>
      <c r="C307" s="26">
        <f t="shared" si="88"/>
        <v>0.38800000000239621</v>
      </c>
      <c r="D307" s="26">
        <f t="shared" ref="D307:E307" si="98">E55-D55</f>
        <v>0.49700000023468149</v>
      </c>
      <c r="E307" s="26">
        <f t="shared" si="98"/>
        <v>0.4279999999743076</v>
      </c>
      <c r="F307" s="26">
        <f t="shared" si="85"/>
        <v>0.92500000020898909</v>
      </c>
    </row>
    <row r="308" spans="1:6" x14ac:dyDescent="0.2">
      <c r="A308" t="str">
        <f>$A$56</f>
        <v>Head offices, etc</v>
      </c>
      <c r="B308" s="26">
        <f t="shared" si="88"/>
        <v>-1.7919999998856273</v>
      </c>
      <c r="C308" s="26">
        <f t="shared" si="88"/>
        <v>0.81499999998974459</v>
      </c>
      <c r="D308" s="26">
        <f t="shared" ref="D308:E308" si="99">E56-D56</f>
        <v>0.1660000001989772</v>
      </c>
      <c r="E308" s="26">
        <f t="shared" si="99"/>
        <v>0.2129999999791341</v>
      </c>
      <c r="F308" s="26">
        <f t="shared" si="85"/>
        <v>0.37900000017811131</v>
      </c>
    </row>
    <row r="309" spans="1:6" x14ac:dyDescent="0.2">
      <c r="A309" t="str">
        <f>$A$57</f>
        <v>Architectural and related</v>
      </c>
      <c r="B309" s="26">
        <f t="shared" si="88"/>
        <v>-11.579999999686621</v>
      </c>
      <c r="C309" s="26">
        <f t="shared" si="88"/>
        <v>3.2720000000073348</v>
      </c>
      <c r="D309" s="26">
        <f t="shared" ref="D309:E309" si="100">E57-D57</f>
        <v>-1.2049999993594405</v>
      </c>
      <c r="E309" s="26">
        <f t="shared" si="100"/>
        <v>0.28699999990314851</v>
      </c>
      <c r="F309" s="26">
        <f t="shared" si="85"/>
        <v>-0.91799999945629196</v>
      </c>
    </row>
    <row r="310" spans="1:6" x14ac:dyDescent="0.2">
      <c r="A310" t="str">
        <f>$A$58</f>
        <v>Scientific research and development</v>
      </c>
      <c r="B310" s="26">
        <f t="shared" si="88"/>
        <v>-3.3399999999501979</v>
      </c>
      <c r="C310" s="26">
        <f t="shared" si="88"/>
        <v>-0.25499999999650491</v>
      </c>
      <c r="D310" s="26">
        <f t="shared" ref="D310:E310" si="101">E58-D58</f>
        <v>0.57400000006557805</v>
      </c>
      <c r="E310" s="26">
        <f t="shared" si="101"/>
        <v>0.7000000000318507</v>
      </c>
      <c r="F310" s="26">
        <f t="shared" si="85"/>
        <v>1.2740000000974288</v>
      </c>
    </row>
    <row r="311" spans="1:6" x14ac:dyDescent="0.2">
      <c r="A311" t="str">
        <f>$A$59</f>
        <v>Advertising, etc</v>
      </c>
      <c r="B311" s="26">
        <f t="shared" si="88"/>
        <v>-0.22099999997804121</v>
      </c>
      <c r="C311" s="26">
        <f t="shared" si="88"/>
        <v>-0.47700000001471965</v>
      </c>
      <c r="D311" s="26">
        <f t="shared" ref="D311:E311" si="102">E59-D59</f>
        <v>0.52500000005189351</v>
      </c>
      <c r="E311" s="26">
        <f t="shared" si="102"/>
        <v>0.65200000000541625</v>
      </c>
      <c r="F311" s="26">
        <f t="shared" si="85"/>
        <v>1.1770000000573098</v>
      </c>
    </row>
    <row r="312" spans="1:6" x14ac:dyDescent="0.2">
      <c r="A312" t="str">
        <f>$A$60</f>
        <v>Other professional</v>
      </c>
      <c r="B312" s="26">
        <f t="shared" si="88"/>
        <v>1.2330000000249743</v>
      </c>
      <c r="C312" s="26">
        <f t="shared" si="88"/>
        <v>-0.20900000001345731</v>
      </c>
      <c r="D312" s="26">
        <f t="shared" ref="D312:E312" si="103">E60-D60</f>
        <v>1.065000000093681</v>
      </c>
      <c r="E312" s="26">
        <f t="shared" si="103"/>
        <v>1.2999999999720018</v>
      </c>
      <c r="F312" s="26">
        <f t="shared" si="85"/>
        <v>2.3650000000656828</v>
      </c>
    </row>
    <row r="313" spans="1:6" x14ac:dyDescent="0.2">
      <c r="A313" t="str">
        <f>$A$61</f>
        <v>Veterinary</v>
      </c>
      <c r="B313" s="26">
        <f t="shared" si="88"/>
        <v>0.52599999999401548</v>
      </c>
      <c r="C313" s="26">
        <f t="shared" si="88"/>
        <v>-0.63299999993760681</v>
      </c>
      <c r="D313" s="26">
        <f t="shared" ref="D313:E313" si="104">E61-D61</f>
        <v>0.34399999999193431</v>
      </c>
      <c r="E313" s="26">
        <f t="shared" si="104"/>
        <v>0.43800000002479145</v>
      </c>
      <c r="F313" s="26">
        <f t="shared" si="85"/>
        <v>0.78200000001672576</v>
      </c>
    </row>
    <row r="314" spans="1:6" x14ac:dyDescent="0.2">
      <c r="A314" t="str">
        <f>$A$62</f>
        <v>Rental and leasing</v>
      </c>
      <c r="B314" s="26">
        <f t="shared" si="88"/>
        <v>3.011999999975647</v>
      </c>
      <c r="C314" s="26">
        <f t="shared" si="88"/>
        <v>-0.30799999999321503</v>
      </c>
      <c r="D314" s="26">
        <f t="shared" ref="D314:E314" si="105">E62-D62</f>
        <v>0.13100000003778423</v>
      </c>
      <c r="E314" s="26">
        <f t="shared" si="105"/>
        <v>0.26099999993888723</v>
      </c>
      <c r="F314" s="26">
        <f t="shared" si="85"/>
        <v>0.39199999997667145</v>
      </c>
    </row>
    <row r="315" spans="1:6" x14ac:dyDescent="0.2">
      <c r="A315" t="str">
        <f>$A$63</f>
        <v>Employment activities</v>
      </c>
      <c r="B315" s="26">
        <f t="shared" si="88"/>
        <v>0.36999999981858167</v>
      </c>
      <c r="C315" s="26">
        <f t="shared" si="88"/>
        <v>-0.55600000006511863</v>
      </c>
      <c r="D315" s="26">
        <f t="shared" ref="D315:E315" si="106">E63-D63</f>
        <v>0.56600000030645958</v>
      </c>
      <c r="E315" s="26">
        <f t="shared" si="106"/>
        <v>1.0839999996424332</v>
      </c>
      <c r="F315" s="26">
        <f t="shared" si="85"/>
        <v>1.6499999999488928</v>
      </c>
    </row>
    <row r="316" spans="1:6" x14ac:dyDescent="0.2">
      <c r="A316" t="str">
        <f>$A$64</f>
        <v>Travel, etc</v>
      </c>
      <c r="B316" s="26">
        <f t="shared" si="88"/>
        <v>-0.83300000002760566</v>
      </c>
      <c r="C316" s="26">
        <f t="shared" si="88"/>
        <v>1.499999999558943E-2</v>
      </c>
      <c r="D316" s="26">
        <f t="shared" ref="D316:E316" si="107">E64-D64</f>
        <v>5.1000000042699334E-2</v>
      </c>
      <c r="E316" s="26">
        <f t="shared" si="107"/>
        <v>9.8999999956985274E-2</v>
      </c>
      <c r="F316" s="26">
        <f t="shared" si="85"/>
        <v>0.14999999999968461</v>
      </c>
    </row>
    <row r="317" spans="1:6" x14ac:dyDescent="0.2">
      <c r="A317" t="str">
        <f>$A$65</f>
        <v>Security, etc</v>
      </c>
      <c r="B317" s="26">
        <f t="shared" si="88"/>
        <v>4.0239999999653788</v>
      </c>
      <c r="C317" s="26">
        <f t="shared" si="88"/>
        <v>-0.35200000002206799</v>
      </c>
      <c r="D317" s="26">
        <f t="shared" ref="D317:E317" si="108">E65-D65</f>
        <v>0.16600000010718752</v>
      </c>
      <c r="E317" s="26">
        <f t="shared" si="108"/>
        <v>0.32499999987274997</v>
      </c>
      <c r="F317" s="26">
        <f t="shared" si="85"/>
        <v>0.49099999997993748</v>
      </c>
    </row>
    <row r="318" spans="1:6" x14ac:dyDescent="0.2">
      <c r="A318" t="str">
        <f>$A$66</f>
        <v>Services to buildings</v>
      </c>
      <c r="B318" s="26">
        <f t="shared" si="88"/>
        <v>-2.8430000002513616</v>
      </c>
      <c r="C318" s="26">
        <f t="shared" si="88"/>
        <v>0.10599999998445142</v>
      </c>
      <c r="D318" s="26">
        <f t="shared" ref="D318:E318" si="109">E66-D66</f>
        <v>0.45100000052823574</v>
      </c>
      <c r="E318" s="26">
        <f t="shared" si="109"/>
        <v>0.86299999949356021</v>
      </c>
      <c r="F318" s="26">
        <f t="shared" si="85"/>
        <v>1.314000000021796</v>
      </c>
    </row>
    <row r="319" spans="1:6" x14ac:dyDescent="0.2">
      <c r="A319" t="str">
        <f>$A$67</f>
        <v>Office administrative</v>
      </c>
      <c r="B319" s="26">
        <f t="shared" si="88"/>
        <v>-5.4000000101265044E-2</v>
      </c>
      <c r="C319" s="26">
        <f t="shared" si="88"/>
        <v>-0.56700000004656559</v>
      </c>
      <c r="D319" s="26">
        <f t="shared" ref="D319:E319" si="110">E67-D67</f>
        <v>0.35000000002129283</v>
      </c>
      <c r="E319" s="26">
        <f t="shared" si="110"/>
        <v>0.708999999889798</v>
      </c>
      <c r="F319" s="26">
        <f t="shared" si="85"/>
        <v>1.0589999999110908</v>
      </c>
    </row>
    <row r="320" spans="1:6" x14ac:dyDescent="0.2">
      <c r="A320" t="str">
        <f>$A$68</f>
        <v>Public administration and defence</v>
      </c>
      <c r="B320" s="26">
        <f t="shared" si="88"/>
        <v>1.0520000003863856</v>
      </c>
      <c r="C320" s="26">
        <f t="shared" si="88"/>
        <v>1.9820000001054723</v>
      </c>
      <c r="D320" s="26">
        <f t="shared" ref="D320:E320" si="111">E68-D68</f>
        <v>-1.7439999999224511</v>
      </c>
      <c r="E320" s="26">
        <f t="shared" si="111"/>
        <v>0.75100000023120117</v>
      </c>
      <c r="F320" s="26">
        <f t="shared" si="85"/>
        <v>-0.99299999969124997</v>
      </c>
    </row>
    <row r="321" spans="1:6" x14ac:dyDescent="0.2">
      <c r="A321" t="str">
        <f>$A$69</f>
        <v xml:space="preserve">Education </v>
      </c>
      <c r="B321" s="26">
        <f t="shared" si="88"/>
        <v>-0.78399999804652509</v>
      </c>
      <c r="C321" s="26">
        <f t="shared" si="88"/>
        <v>-3.3899999999654256</v>
      </c>
      <c r="D321" s="26">
        <f t="shared" ref="D321:E321" si="112">E69-D69</f>
        <v>6.6879999894439095</v>
      </c>
      <c r="E321" s="26">
        <f t="shared" si="112"/>
        <v>3.836000010608231</v>
      </c>
      <c r="F321" s="26">
        <f t="shared" si="85"/>
        <v>10.524000000052141</v>
      </c>
    </row>
    <row r="322" spans="1:6" x14ac:dyDescent="0.2">
      <c r="A322" t="str">
        <f>$A$70</f>
        <v>Health</v>
      </c>
      <c r="B322" s="26">
        <f t="shared" si="88"/>
        <v>-8.7429999991216221</v>
      </c>
      <c r="C322" s="26">
        <f t="shared" si="88"/>
        <v>14.756000000210577</v>
      </c>
      <c r="D322" s="26">
        <f t="shared" ref="D322:E322" si="113">E70-D70</f>
        <v>8.1379999992738732</v>
      </c>
      <c r="E322" s="26">
        <f t="shared" si="113"/>
        <v>12.5440000015587</v>
      </c>
      <c r="F322" s="26">
        <f t="shared" ref="F322:F333" si="114">F70-D70</f>
        <v>20.682000000832574</v>
      </c>
    </row>
    <row r="323" spans="1:6" x14ac:dyDescent="0.2">
      <c r="A323" t="str">
        <f>$A$71</f>
        <v>Residential care</v>
      </c>
      <c r="B323" s="26">
        <f t="shared" ref="B323:C323" si="115">C71-B71</f>
        <v>-1.8609999996864062</v>
      </c>
      <c r="C323" s="26">
        <f t="shared" si="115"/>
        <v>0.16200000016060301</v>
      </c>
      <c r="D323" s="26">
        <f t="shared" ref="D323:D331" si="116">E71-D71</f>
        <v>2.3249999996863622</v>
      </c>
      <c r="E323" s="26">
        <f t="shared" ref="E323:E331" si="117">F71-E71</f>
        <v>1.6180000004265978</v>
      </c>
      <c r="F323" s="26">
        <f t="shared" si="114"/>
        <v>3.9430000001129599</v>
      </c>
    </row>
    <row r="324" spans="1:6" x14ac:dyDescent="0.2">
      <c r="A324" t="str">
        <f>$A$72</f>
        <v>Social work</v>
      </c>
      <c r="B324" s="26">
        <f t="shared" ref="B324:C324" si="118">C72-B72</f>
        <v>-4.832999999652138</v>
      </c>
      <c r="C324" s="26">
        <f t="shared" si="118"/>
        <v>0.40100000016995097</v>
      </c>
      <c r="D324" s="26">
        <f t="shared" si="116"/>
        <v>2.0189999996612613</v>
      </c>
      <c r="E324" s="26">
        <f t="shared" si="117"/>
        <v>0.85800000051723657</v>
      </c>
      <c r="F324" s="26">
        <f t="shared" si="114"/>
        <v>2.8770000001784979</v>
      </c>
    </row>
    <row r="325" spans="1:6" x14ac:dyDescent="0.2">
      <c r="A325" t="str">
        <f>$A$73</f>
        <v>Arts and entertainment</v>
      </c>
      <c r="B325" s="26">
        <f t="shared" ref="B325:C325" si="119">C73-B73</f>
        <v>-0.59400000001355568</v>
      </c>
      <c r="C325" s="26">
        <f t="shared" si="119"/>
        <v>-0.97499999999854836</v>
      </c>
      <c r="D325" s="26">
        <f t="shared" si="116"/>
        <v>-0.26099999990773437</v>
      </c>
      <c r="E325" s="26">
        <f t="shared" si="117"/>
        <v>0.39999999996293933</v>
      </c>
      <c r="F325" s="26">
        <f t="shared" si="114"/>
        <v>0.13900000005520496</v>
      </c>
    </row>
    <row r="326" spans="1:6" x14ac:dyDescent="0.2">
      <c r="A326" t="str">
        <f>$A$74</f>
        <v>Libraries, etc</v>
      </c>
      <c r="B326" s="26">
        <f t="shared" ref="B326:C326" si="120">C74-B74</f>
        <v>-2.3549999999959708</v>
      </c>
      <c r="C326" s="26">
        <f t="shared" si="120"/>
        <v>-1.0940000000235095</v>
      </c>
      <c r="D326" s="26">
        <f t="shared" si="116"/>
        <v>-0.34299999990057106</v>
      </c>
      <c r="E326" s="26">
        <f t="shared" si="117"/>
        <v>0.58399999996073593</v>
      </c>
      <c r="F326" s="26">
        <f t="shared" si="114"/>
        <v>0.24100000006016487</v>
      </c>
    </row>
    <row r="327" spans="1:6" x14ac:dyDescent="0.2">
      <c r="A327" t="str">
        <f>$A$75</f>
        <v>Gambling and betting</v>
      </c>
      <c r="B327" s="26">
        <f t="shared" ref="B327:C327" si="121">C75-B75</f>
        <v>-2.131000000005538</v>
      </c>
      <c r="C327" s="26">
        <f t="shared" si="121"/>
        <v>-0.14200000001633128</v>
      </c>
      <c r="D327" s="26">
        <f t="shared" si="116"/>
        <v>0.34000000002363961</v>
      </c>
      <c r="E327" s="26">
        <f t="shared" si="117"/>
        <v>0.44699999997205886</v>
      </c>
      <c r="F327" s="26">
        <f t="shared" si="114"/>
        <v>0.78699999999569847</v>
      </c>
    </row>
    <row r="328" spans="1:6" x14ac:dyDescent="0.2">
      <c r="A328" t="str">
        <f>$A$76</f>
        <v>Sport and recreation</v>
      </c>
      <c r="B328" s="26">
        <f t="shared" ref="B328:C328" si="122">C76-B76</f>
        <v>6.532000000008491</v>
      </c>
      <c r="C328" s="26">
        <f t="shared" si="122"/>
        <v>5.4999999984961079E-2</v>
      </c>
      <c r="D328" s="26">
        <f t="shared" si="116"/>
        <v>1.3220000001795498</v>
      </c>
      <c r="E328" s="26">
        <f t="shared" si="117"/>
        <v>1.7409999998562355</v>
      </c>
      <c r="F328" s="26">
        <f t="shared" si="114"/>
        <v>3.0630000000357853</v>
      </c>
    </row>
    <row r="329" spans="1:6" x14ac:dyDescent="0.2">
      <c r="A329" t="str">
        <f>$A$77</f>
        <v>Membership organisations</v>
      </c>
      <c r="B329" s="26">
        <f t="shared" ref="B329:C329" si="123">C77-B77</f>
        <v>-7.0849999998133608</v>
      </c>
      <c r="C329" s="26">
        <f t="shared" si="123"/>
        <v>0.25799999988383782</v>
      </c>
      <c r="D329" s="26">
        <f t="shared" si="116"/>
        <v>-2.1760000001464004</v>
      </c>
      <c r="E329" s="26">
        <f t="shared" si="117"/>
        <v>-0.75699999977865495</v>
      </c>
      <c r="F329" s="26">
        <f t="shared" si="114"/>
        <v>-2.9329999999250553</v>
      </c>
    </row>
    <row r="330" spans="1:6" x14ac:dyDescent="0.2">
      <c r="A330" t="str">
        <f>$A$78</f>
        <v>Repair of goods</v>
      </c>
      <c r="B330" s="26">
        <f t="shared" ref="B330:C330" si="124">C78-B78</f>
        <v>7.0000000013100916E-2</v>
      </c>
      <c r="C330" s="26">
        <f t="shared" si="124"/>
        <v>0.2459999999803224</v>
      </c>
      <c r="D330" s="26">
        <f t="shared" si="116"/>
        <v>-0.32399999997042128</v>
      </c>
      <c r="E330" s="26">
        <f t="shared" si="117"/>
        <v>-8.4999999972262152E-2</v>
      </c>
      <c r="F330" s="26">
        <f t="shared" si="114"/>
        <v>-0.40899999994268343</v>
      </c>
    </row>
    <row r="331" spans="1:6" x14ac:dyDescent="0.2">
      <c r="A331" t="str">
        <f>$A$79</f>
        <v>Other personal service</v>
      </c>
      <c r="B331" s="26">
        <f>C79-B79</f>
        <v>-0.64500000012422198</v>
      </c>
      <c r="C331" s="26">
        <f t="shared" ref="C331" si="125">D79-C79</f>
        <v>0.95599999976058747</v>
      </c>
      <c r="D331" s="26">
        <f t="shared" si="116"/>
        <v>-2.310999999763764</v>
      </c>
      <c r="E331" s="26">
        <f t="shared" si="117"/>
        <v>-0.71300000009575726</v>
      </c>
      <c r="F331" s="26">
        <f t="shared" si="114"/>
        <v>-3.0239999998595213</v>
      </c>
    </row>
    <row r="332" spans="1:6" x14ac:dyDescent="0.2">
      <c r="B332" s="26"/>
      <c r="C332" s="26"/>
      <c r="D332" s="26"/>
      <c r="E332" s="26"/>
      <c r="F332" s="26"/>
    </row>
    <row r="333" spans="1:6" x14ac:dyDescent="0.2">
      <c r="A333" s="23" t="str">
        <f>$A$81</f>
        <v>All industries</v>
      </c>
      <c r="B333" s="28">
        <f t="shared" ref="B333" si="126">C81-B81</f>
        <v>-12.835000000874061</v>
      </c>
      <c r="C333" s="28">
        <f t="shared" ref="C333" si="127">D81-C81</f>
        <v>-5.5290000004881676</v>
      </c>
      <c r="D333" s="28">
        <f>E81-D81</f>
        <v>19.437000000142234</v>
      </c>
      <c r="E333" s="28">
        <f>F81-E81</f>
        <v>42.220999999781043</v>
      </c>
      <c r="F333" s="28">
        <f t="shared" si="114"/>
        <v>61.657999999923277</v>
      </c>
    </row>
  </sheetData>
  <pageMargins left="0.7" right="0.7" top="0.75" bottom="0.75" header="0.3" footer="0.3"/>
  <pageSetup paperSize="9" scale="69" orientation="portrait" r:id="rId1"/>
  <rowBreaks count="3" manualBreakCount="3">
    <brk id="81" max="5" man="1"/>
    <brk id="165" max="5" man="1"/>
    <brk id="250" max="5" man="1"/>
  </rowBreaks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L122"/>
  <sheetViews>
    <sheetView showGridLines="0" zoomScale="85" zoomScaleNormal="85" workbookViewId="0"/>
  </sheetViews>
  <sheetFormatPr defaultRowHeight="12.75" x14ac:dyDescent="0.2"/>
  <cols>
    <col min="1" max="1" width="26.7109375" customWidth="1"/>
    <col min="2" max="6" width="11.7109375" customWidth="1"/>
    <col min="7" max="7" width="5.7109375" customWidth="1"/>
    <col min="8" max="12" width="11.7109375" customWidth="1"/>
  </cols>
  <sheetData>
    <row r="1" spans="1:12" ht="15.75" x14ac:dyDescent="0.25">
      <c r="A1" s="18" t="str">
        <f>CONCATENATE("Industry Table 4  Employment by Industry Group in Sector (SIC 2007), ",B$5,"-",F$5,", ",Info!B5)</f>
        <v>Industry Table 4  Employment by Industry Group in Sector (SIC 2007), 2015-2035, North East</v>
      </c>
    </row>
    <row r="2" spans="1:12" ht="12.75" customHeight="1" x14ac:dyDescent="0.2">
      <c r="A2" s="181" t="s">
        <v>534</v>
      </c>
    </row>
    <row r="3" spans="1:12" ht="12.75" customHeight="1" x14ac:dyDescent="0.25">
      <c r="A3" s="18"/>
      <c r="L3" s="37" t="s">
        <v>19</v>
      </c>
    </row>
    <row r="4" spans="1:12" x14ac:dyDescent="0.2">
      <c r="A4" s="35"/>
      <c r="B4" s="27" t="s">
        <v>17</v>
      </c>
      <c r="C4" s="35"/>
      <c r="D4" s="35"/>
      <c r="E4" s="35"/>
      <c r="F4" s="35"/>
      <c r="G4" s="35"/>
      <c r="H4" s="27" t="s">
        <v>18</v>
      </c>
      <c r="I4" s="35"/>
      <c r="J4" s="35"/>
      <c r="K4" s="35"/>
      <c r="L4" s="35"/>
    </row>
    <row r="5" spans="1:12" x14ac:dyDescent="0.2">
      <c r="A5" s="23"/>
      <c r="B5" s="41">
        <f>'Ind T1'!B5</f>
        <v>2015</v>
      </c>
      <c r="C5" s="41">
        <f>'Ind T1'!C5</f>
        <v>2019</v>
      </c>
      <c r="D5" s="41">
        <f>'Ind T1'!D5</f>
        <v>2020</v>
      </c>
      <c r="E5" s="41">
        <f>'Ind T1'!E5</f>
        <v>2025</v>
      </c>
      <c r="F5" s="41">
        <f>'Ind T1'!F5</f>
        <v>2035</v>
      </c>
      <c r="H5" s="36" t="str">
        <f>CONCATENATE(B$5,"-",C$5)</f>
        <v>2015-2019</v>
      </c>
      <c r="I5" s="36" t="str">
        <f>CONCATENATE(C$5,"-",D$5)</f>
        <v>2019-2020</v>
      </c>
      <c r="J5" s="36" t="str">
        <f>CONCATENATE(D$5,"-",E$5)</f>
        <v>2020-2025</v>
      </c>
      <c r="K5" s="36" t="str">
        <f>CONCATENATE(E$5,"-",F$5)</f>
        <v>2025-2035</v>
      </c>
      <c r="L5" s="36" t="str">
        <f>CONCATENATE(D$5,"-",F$5)</f>
        <v>2020-2035</v>
      </c>
    </row>
    <row r="7" spans="1:12" s="29" customFormat="1" x14ac:dyDescent="0.2">
      <c r="A7" s="29" t="str">
        <f>'Ind T1'!A7</f>
        <v>Primary sector and utilities</v>
      </c>
      <c r="B7" s="30">
        <f>'Ind T1'!B7</f>
        <v>20.336000000008575</v>
      </c>
      <c r="C7" s="30">
        <f>'Ind T1'!C7</f>
        <v>23.856999999918884</v>
      </c>
      <c r="D7" s="30">
        <f>'Ind T1'!D7</f>
        <v>25.080999999810309</v>
      </c>
      <c r="E7" s="30">
        <f>'Ind T1'!E7</f>
        <v>25.067000000062393</v>
      </c>
      <c r="F7" s="30">
        <f>'Ind T1'!F7</f>
        <v>25.41999999996457</v>
      </c>
      <c r="H7" s="30">
        <f>C7-B7</f>
        <v>3.520999999910309</v>
      </c>
      <c r="I7" s="30">
        <f>D7-C7</f>
        <v>1.2239999998914257</v>
      </c>
      <c r="J7" s="30">
        <f>E7-D7</f>
        <v>-1.3999999747916547E-2</v>
      </c>
      <c r="K7" s="30">
        <f>F7-E7</f>
        <v>0.35299999990217756</v>
      </c>
      <c r="L7" s="30">
        <f>F7-D7</f>
        <v>0.33900000015426102</v>
      </c>
    </row>
    <row r="8" spans="1:12" x14ac:dyDescent="0.2">
      <c r="A8" t="str">
        <f>'Ind T2'!A5</f>
        <v>Agriculture</v>
      </c>
      <c r="B8" s="31">
        <f>'Ind T2'!B5</f>
        <v>7.5630000000325035</v>
      </c>
      <c r="C8" s="31">
        <f>'Ind T2'!C5</f>
        <v>5.6520000000104469</v>
      </c>
      <c r="D8" s="31">
        <f>'Ind T2'!D5</f>
        <v>5.4509999999013061</v>
      </c>
      <c r="E8" s="31">
        <f>'Ind T2'!E5</f>
        <v>5.6419999998911603</v>
      </c>
      <c r="F8" s="31">
        <f>'Ind T2'!F5</f>
        <v>5.7999999998997858</v>
      </c>
      <c r="H8" s="11">
        <f t="shared" ref="H8:H40" si="0">C8-B8</f>
        <v>-1.9110000000220566</v>
      </c>
      <c r="I8" s="30">
        <f t="shared" ref="I8:I38" si="1">D8-C8</f>
        <v>-0.20100000010914076</v>
      </c>
      <c r="J8" s="11">
        <f t="shared" ref="J8:J38" si="2">E8-D8</f>
        <v>0.19099999998985417</v>
      </c>
      <c r="K8" s="11">
        <f t="shared" ref="K8:K38" si="3">F8-E8</f>
        <v>0.15800000000862546</v>
      </c>
      <c r="L8" s="30">
        <f t="shared" ref="L8:L40" si="4">F8-D8</f>
        <v>0.34899999999847964</v>
      </c>
    </row>
    <row r="9" spans="1:12" x14ac:dyDescent="0.2">
      <c r="A9" t="str">
        <f>'Ind T2'!A6</f>
        <v>Mining and quarrying</v>
      </c>
      <c r="B9" s="31">
        <f>'Ind T2'!B6</f>
        <v>2.1220000000001642</v>
      </c>
      <c r="C9" s="31">
        <f>'Ind T2'!C6</f>
        <v>1.4599999999974611</v>
      </c>
      <c r="D9" s="31">
        <f>'Ind T2'!D6</f>
        <v>1.8109999999980091</v>
      </c>
      <c r="E9" s="31">
        <f>'Ind T2'!E6</f>
        <v>1.5999999999931795</v>
      </c>
      <c r="F9" s="31">
        <f>'Ind T2'!F6</f>
        <v>1.3979999999938684</v>
      </c>
      <c r="H9" s="11">
        <f t="shared" si="0"/>
        <v>-0.66200000000270309</v>
      </c>
      <c r="I9" s="30">
        <f t="shared" si="1"/>
        <v>0.35100000000054798</v>
      </c>
      <c r="J9" s="11">
        <f t="shared" si="2"/>
        <v>-0.21100000000482955</v>
      </c>
      <c r="K9" s="11">
        <f t="shared" si="3"/>
        <v>-0.20199999999931118</v>
      </c>
      <c r="L9" s="30">
        <f t="shared" si="4"/>
        <v>-0.41300000000414072</v>
      </c>
    </row>
    <row r="10" spans="1:12" x14ac:dyDescent="0.2">
      <c r="A10" t="str">
        <f>'Ind T2'!A10</f>
        <v>Electricity and gas</v>
      </c>
      <c r="B10" s="31">
        <f>'Ind T2'!B10</f>
        <v>4.1479999999737878</v>
      </c>
      <c r="C10" s="31">
        <f>'Ind T2'!C10</f>
        <v>9.8579999999228942</v>
      </c>
      <c r="D10" s="31">
        <f>'Ind T2'!D10</f>
        <v>10.234999999929453</v>
      </c>
      <c r="E10" s="31">
        <f>'Ind T2'!E10</f>
        <v>10.067000000182878</v>
      </c>
      <c r="F10" s="31">
        <f>'Ind T2'!F10</f>
        <v>10.257000000087229</v>
      </c>
      <c r="H10" s="11">
        <f t="shared" si="0"/>
        <v>5.7099999999491065</v>
      </c>
      <c r="I10" s="30">
        <f t="shared" si="1"/>
        <v>0.37700000000655898</v>
      </c>
      <c r="J10" s="11">
        <f t="shared" si="2"/>
        <v>-0.16799999974657531</v>
      </c>
      <c r="K10" s="11">
        <f t="shared" si="3"/>
        <v>0.18999999990435157</v>
      </c>
      <c r="L10" s="30">
        <f t="shared" si="4"/>
        <v>2.2000000157776256E-2</v>
      </c>
    </row>
    <row r="11" spans="1:12" x14ac:dyDescent="0.2">
      <c r="A11" t="str">
        <f>'Ind T2'!A11</f>
        <v>Water and sewerage</v>
      </c>
      <c r="B11" s="31">
        <f>'Ind T2'!B11</f>
        <v>6.5030000000021211</v>
      </c>
      <c r="C11" s="31">
        <f>'Ind T2'!C11</f>
        <v>6.8869999999880784</v>
      </c>
      <c r="D11" s="31">
        <f>'Ind T2'!D11</f>
        <v>7.5839999999815433</v>
      </c>
      <c r="E11" s="31">
        <f>'Ind T2'!E11</f>
        <v>7.7579999999951719</v>
      </c>
      <c r="F11" s="31">
        <f>'Ind T2'!F11</f>
        <v>7.9649999999836893</v>
      </c>
      <c r="H11" s="11">
        <f t="shared" ref="H11" si="5">C11-B11</f>
        <v>0.38399999998595735</v>
      </c>
      <c r="I11" s="30">
        <f t="shared" ref="I11" si="6">D11-C11</f>
        <v>0.69699999999346485</v>
      </c>
      <c r="J11" s="11">
        <f t="shared" ref="J11" si="7">E11-D11</f>
        <v>0.17400000001362859</v>
      </c>
      <c r="K11" s="11">
        <f t="shared" ref="K11" si="8">F11-E11</f>
        <v>0.20699999998851748</v>
      </c>
      <c r="L11" s="30">
        <f t="shared" si="4"/>
        <v>0.38100000000214607</v>
      </c>
    </row>
    <row r="12" spans="1:12" x14ac:dyDescent="0.2">
      <c r="B12" s="31"/>
      <c r="C12" s="31"/>
      <c r="D12" s="31"/>
      <c r="E12" s="31"/>
      <c r="F12" s="31"/>
      <c r="H12" s="11"/>
      <c r="I12" s="30"/>
      <c r="J12" s="11"/>
      <c r="K12" s="11"/>
      <c r="L12" s="30"/>
    </row>
    <row r="13" spans="1:12" s="29" customFormat="1" x14ac:dyDescent="0.2">
      <c r="A13" s="29" t="str">
        <f>'Ind T1'!A8</f>
        <v>Manufacturing</v>
      </c>
      <c r="B13" s="30">
        <f>'Ind T1'!B8</f>
        <v>122.03700000012459</v>
      </c>
      <c r="C13" s="30">
        <f>'Ind T1'!C8</f>
        <v>110.95099999963999</v>
      </c>
      <c r="D13" s="30">
        <f>'Ind T1'!D8</f>
        <v>102.97199999972995</v>
      </c>
      <c r="E13" s="30">
        <f>'Ind T1'!E8</f>
        <v>100.48600000047473</v>
      </c>
      <c r="F13" s="30">
        <f>'Ind T1'!F8</f>
        <v>91.615999999540549</v>
      </c>
      <c r="H13" s="30">
        <f t="shared" si="0"/>
        <v>-11.086000000484603</v>
      </c>
      <c r="I13" s="30">
        <f t="shared" si="1"/>
        <v>-7.9789999999100445</v>
      </c>
      <c r="J13" s="30">
        <f t="shared" si="2"/>
        <v>-2.4859999992552133</v>
      </c>
      <c r="K13" s="30">
        <f t="shared" si="3"/>
        <v>-8.8700000009341835</v>
      </c>
      <c r="L13" s="30">
        <f t="shared" si="4"/>
        <v>-11.356000000189397</v>
      </c>
    </row>
    <row r="14" spans="1:12" x14ac:dyDescent="0.2">
      <c r="A14" t="str">
        <f>'Ind T2'!A7</f>
        <v>Food drink and tobacco</v>
      </c>
      <c r="B14" s="31">
        <f>'Ind T2'!B7</f>
        <v>11.212000000066105</v>
      </c>
      <c r="C14" s="31">
        <f>'Ind T2'!C7</f>
        <v>12.574999999921447</v>
      </c>
      <c r="D14" s="31">
        <f>'Ind T2'!D7</f>
        <v>12.08899999995249</v>
      </c>
      <c r="E14" s="31">
        <f>'Ind T2'!E7</f>
        <v>12.193000000237667</v>
      </c>
      <c r="F14" s="31">
        <f>'Ind T2'!F7</f>
        <v>11.836999999912951</v>
      </c>
      <c r="H14" s="11">
        <f t="shared" si="0"/>
        <v>1.3629999998553419</v>
      </c>
      <c r="I14" s="30">
        <f t="shared" si="1"/>
        <v>-0.48599999996895704</v>
      </c>
      <c r="J14" s="11">
        <f t="shared" si="2"/>
        <v>0.10400000028517731</v>
      </c>
      <c r="K14" s="11">
        <f t="shared" si="3"/>
        <v>-0.35600000032471613</v>
      </c>
      <c r="L14" s="30">
        <f t="shared" si="4"/>
        <v>-0.25200000003953882</v>
      </c>
    </row>
    <row r="15" spans="1:12" x14ac:dyDescent="0.2">
      <c r="A15" t="str">
        <f>'Ind T2'!A8</f>
        <v>Engineering</v>
      </c>
      <c r="B15" s="31">
        <f>'Ind T2'!B8</f>
        <v>20.202999999951118</v>
      </c>
      <c r="C15" s="31">
        <f>'Ind T2'!C8</f>
        <v>17.826999999924137</v>
      </c>
      <c r="D15" s="31">
        <f>'Ind T2'!D8</f>
        <v>16.679999999939167</v>
      </c>
      <c r="E15" s="31">
        <f>'Ind T2'!E8</f>
        <v>17.218000000096591</v>
      </c>
      <c r="F15" s="31">
        <f>'Ind T2'!F8</f>
        <v>15.845999999941993</v>
      </c>
      <c r="H15" s="11">
        <f t="shared" si="0"/>
        <v>-2.3760000000269805</v>
      </c>
      <c r="I15" s="30">
        <f t="shared" si="1"/>
        <v>-1.1469999999849705</v>
      </c>
      <c r="J15" s="11">
        <f t="shared" si="2"/>
        <v>0.53800000015742455</v>
      </c>
      <c r="K15" s="11">
        <f t="shared" si="3"/>
        <v>-1.372000000154598</v>
      </c>
      <c r="L15" s="30">
        <f t="shared" si="4"/>
        <v>-0.83399999999717345</v>
      </c>
    </row>
    <row r="16" spans="1:12" x14ac:dyDescent="0.2">
      <c r="A16" t="str">
        <f>'Ind T2'!A9</f>
        <v>Rest of manufacturing</v>
      </c>
      <c r="B16" s="31">
        <f>'Ind T2'!B9</f>
        <v>90.622000000107377</v>
      </c>
      <c r="C16" s="31">
        <f>'Ind T2'!C9</f>
        <v>80.54899999979439</v>
      </c>
      <c r="D16" s="31">
        <f>'Ind T2'!D9</f>
        <v>74.202999999838298</v>
      </c>
      <c r="E16" s="31">
        <f>'Ind T2'!E9</f>
        <v>71.075000000140477</v>
      </c>
      <c r="F16" s="31">
        <f>'Ind T2'!F9</f>
        <v>63.932999999685606</v>
      </c>
      <c r="H16" s="11">
        <f t="shared" si="0"/>
        <v>-10.073000000312987</v>
      </c>
      <c r="I16" s="30">
        <f t="shared" si="1"/>
        <v>-6.3459999999560921</v>
      </c>
      <c r="J16" s="11">
        <f t="shared" si="2"/>
        <v>-3.1279999996978205</v>
      </c>
      <c r="K16" s="11">
        <f t="shared" si="3"/>
        <v>-7.1420000004548712</v>
      </c>
      <c r="L16" s="30">
        <f t="shared" si="4"/>
        <v>-10.270000000152692</v>
      </c>
    </row>
    <row r="17" spans="1:12" x14ac:dyDescent="0.2">
      <c r="B17" s="31"/>
      <c r="C17" s="31"/>
      <c r="D17" s="31"/>
      <c r="E17" s="31"/>
      <c r="F17" s="31"/>
      <c r="H17" s="11"/>
      <c r="I17" s="30">
        <f t="shared" si="1"/>
        <v>0</v>
      </c>
      <c r="J17" s="11"/>
      <c r="K17" s="11"/>
      <c r="L17" s="30"/>
    </row>
    <row r="18" spans="1:12" s="29" customFormat="1" x14ac:dyDescent="0.2">
      <c r="A18" s="29" t="str">
        <f>'Ind T1'!A9</f>
        <v>Construction</v>
      </c>
      <c r="B18" s="30">
        <f>'Ind T1'!B9</f>
        <v>66.990999999728743</v>
      </c>
      <c r="C18" s="30">
        <f>'Ind T1'!C9</f>
        <v>72.67500000056009</v>
      </c>
      <c r="D18" s="30">
        <f>'Ind T1'!D9</f>
        <v>69.163999999273443</v>
      </c>
      <c r="E18" s="30">
        <f>'Ind T1'!E9</f>
        <v>66.884999997326702</v>
      </c>
      <c r="F18" s="30">
        <f>'Ind T1'!F9</f>
        <v>66.354999997656051</v>
      </c>
      <c r="H18" s="30">
        <f t="shared" si="0"/>
        <v>5.6840000008313467</v>
      </c>
      <c r="I18" s="30">
        <f t="shared" si="1"/>
        <v>-3.5110000012866465</v>
      </c>
      <c r="J18" s="30">
        <f t="shared" si="2"/>
        <v>-2.2790000019467413</v>
      </c>
      <c r="K18" s="30">
        <f t="shared" si="3"/>
        <v>-0.52999999967065037</v>
      </c>
      <c r="L18" s="30">
        <f t="shared" si="4"/>
        <v>-2.8090000016173917</v>
      </c>
    </row>
    <row r="19" spans="1:12" x14ac:dyDescent="0.2">
      <c r="A19" s="29"/>
      <c r="B19" s="31"/>
      <c r="C19" s="31"/>
      <c r="D19" s="31"/>
      <c r="E19" s="31"/>
      <c r="F19" s="31"/>
      <c r="H19" s="11"/>
      <c r="I19" s="30"/>
      <c r="J19" s="11"/>
      <c r="K19" s="11"/>
      <c r="L19" s="30"/>
    </row>
    <row r="20" spans="1:12" s="29" customFormat="1" x14ac:dyDescent="0.2">
      <c r="A20" s="29" t="str">
        <f>'Ind T1'!A10</f>
        <v>Trade, accomod. and transport</v>
      </c>
      <c r="B20" s="30">
        <f>'Ind T1'!B10</f>
        <v>311.50100000559627</v>
      </c>
      <c r="C20" s="30">
        <f>'Ind T1'!C10</f>
        <v>326.36800000044593</v>
      </c>
      <c r="D20" s="30">
        <f>'Ind T1'!D10</f>
        <v>324.45500000108876</v>
      </c>
      <c r="E20" s="30">
        <f>'Ind T1'!E10</f>
        <v>328.38100000981746</v>
      </c>
      <c r="F20" s="30">
        <f>'Ind T1'!F10</f>
        <v>345.32299999881729</v>
      </c>
      <c r="H20" s="30">
        <f t="shared" si="0"/>
        <v>14.866999994849664</v>
      </c>
      <c r="I20" s="30">
        <f t="shared" si="1"/>
        <v>-1.9129999993571687</v>
      </c>
      <c r="J20" s="30">
        <f t="shared" si="2"/>
        <v>3.9260000087286926</v>
      </c>
      <c r="K20" s="30">
        <f t="shared" si="3"/>
        <v>16.941999988999839</v>
      </c>
      <c r="L20" s="30">
        <f t="shared" si="4"/>
        <v>20.867999997728532</v>
      </c>
    </row>
    <row r="21" spans="1:12" x14ac:dyDescent="0.2">
      <c r="A21" s="10" t="str">
        <f>'Ind T2'!A13</f>
        <v>Wholesale and retail trade</v>
      </c>
      <c r="B21" s="31">
        <f>'Ind T2'!B13</f>
        <v>174.85700000374186</v>
      </c>
      <c r="C21" s="31">
        <f>'Ind T2'!C13</f>
        <v>170.39800000086126</v>
      </c>
      <c r="D21" s="31">
        <f>'Ind T2'!D13</f>
        <v>170.47000000101687</v>
      </c>
      <c r="E21" s="31">
        <f>'Ind T2'!E13</f>
        <v>169.38800000605769</v>
      </c>
      <c r="F21" s="31">
        <f>'Ind T2'!F13</f>
        <v>170.43699999908375</v>
      </c>
      <c r="H21" s="11">
        <f t="shared" si="0"/>
        <v>-4.4590000028806003</v>
      </c>
      <c r="I21" s="30">
        <f t="shared" si="1"/>
        <v>7.2000000155611588E-2</v>
      </c>
      <c r="J21" s="11">
        <f t="shared" si="2"/>
        <v>-1.0819999949591761</v>
      </c>
      <c r="K21" s="11">
        <f t="shared" si="3"/>
        <v>1.0489999930260581</v>
      </c>
      <c r="L21" s="30">
        <f t="shared" si="4"/>
        <v>-3.3000001933118028E-2</v>
      </c>
    </row>
    <row r="22" spans="1:12" x14ac:dyDescent="0.2">
      <c r="A22" s="10" t="str">
        <f>'Ind T2'!A14</f>
        <v>Transport and storage</v>
      </c>
      <c r="B22" s="31">
        <f>'Ind T2'!B14</f>
        <v>50.688000000389223</v>
      </c>
      <c r="C22" s="31">
        <f>'Ind T2'!C14</f>
        <v>59.498999999342587</v>
      </c>
      <c r="D22" s="31">
        <f>'Ind T2'!D14</f>
        <v>61.093000000102208</v>
      </c>
      <c r="E22" s="31">
        <f>'Ind T2'!E14</f>
        <v>63.446000000786249</v>
      </c>
      <c r="F22" s="31">
        <f>'Ind T2'!F14</f>
        <v>63.739000000015331</v>
      </c>
      <c r="H22" s="11">
        <f t="shared" si="0"/>
        <v>8.8109999989533634</v>
      </c>
      <c r="I22" s="30">
        <f t="shared" si="1"/>
        <v>1.5940000007596211</v>
      </c>
      <c r="J22" s="11">
        <f t="shared" si="2"/>
        <v>2.353000000684041</v>
      </c>
      <c r="K22" s="11">
        <f t="shared" si="3"/>
        <v>0.29299999922908171</v>
      </c>
      <c r="L22" s="30">
        <f t="shared" si="4"/>
        <v>2.6459999999131227</v>
      </c>
    </row>
    <row r="23" spans="1:12" x14ac:dyDescent="0.2">
      <c r="A23" s="10" t="str">
        <f>'Ind T2'!A15</f>
        <v>Accommodation and food</v>
      </c>
      <c r="B23" s="31">
        <f>'Ind T2'!B15</f>
        <v>85.956000001465156</v>
      </c>
      <c r="C23" s="31">
        <f>'Ind T2'!C15</f>
        <v>96.471000000242128</v>
      </c>
      <c r="D23" s="31">
        <f>'Ind T2'!D15</f>
        <v>92.891999999969698</v>
      </c>
      <c r="E23" s="31">
        <f>'Ind T2'!E15</f>
        <v>95.547000002973519</v>
      </c>
      <c r="F23" s="31">
        <f>'Ind T2'!F15</f>
        <v>111.1469999997182</v>
      </c>
      <c r="H23" s="11">
        <f t="shared" si="0"/>
        <v>10.514999998776972</v>
      </c>
      <c r="I23" s="30">
        <f t="shared" si="1"/>
        <v>-3.5790000002724298</v>
      </c>
      <c r="J23" s="11">
        <f t="shared" si="2"/>
        <v>2.6550000030038206</v>
      </c>
      <c r="K23" s="11">
        <f t="shared" si="3"/>
        <v>15.599999996744685</v>
      </c>
      <c r="L23" s="30">
        <f t="shared" si="4"/>
        <v>18.254999999748506</v>
      </c>
    </row>
    <row r="24" spans="1:12" x14ac:dyDescent="0.2">
      <c r="B24" s="31"/>
      <c r="C24" s="31"/>
      <c r="D24" s="31"/>
      <c r="E24" s="31"/>
      <c r="F24" s="31"/>
      <c r="H24" s="11"/>
      <c r="I24" s="30"/>
      <c r="J24" s="11"/>
      <c r="K24" s="11"/>
      <c r="L24" s="30"/>
    </row>
    <row r="25" spans="1:12" s="29" customFormat="1" x14ac:dyDescent="0.2">
      <c r="A25" s="29" t="str">
        <f>'Ind T1'!A11</f>
        <v>Business and other services</v>
      </c>
      <c r="B25" s="30">
        <f>'Ind T1'!B11</f>
        <v>318.98199999946166</v>
      </c>
      <c r="C25" s="30">
        <f>'Ind T1'!C11</f>
        <v>308.32999999960094</v>
      </c>
      <c r="D25" s="30">
        <f>'Ind T1'!D11</f>
        <v>301.06899999909416</v>
      </c>
      <c r="E25" s="30">
        <f>'Ind T1'!E11</f>
        <v>303.93300000331493</v>
      </c>
      <c r="F25" s="30">
        <f>'Ind T1'!F11</f>
        <v>318.65200000145637</v>
      </c>
      <c r="H25" s="30">
        <f t="shared" si="0"/>
        <v>-10.65199999986072</v>
      </c>
      <c r="I25" s="30">
        <f t="shared" si="1"/>
        <v>-7.2610000005067832</v>
      </c>
      <c r="J25" s="30">
        <f t="shared" si="2"/>
        <v>2.8640000042207703</v>
      </c>
      <c r="K25" s="30">
        <f t="shared" si="3"/>
        <v>14.718999998141442</v>
      </c>
      <c r="L25" s="30">
        <f t="shared" si="4"/>
        <v>17.583000002362212</v>
      </c>
    </row>
    <row r="26" spans="1:12" x14ac:dyDescent="0.2">
      <c r="A26" s="10" t="str">
        <f>'Ind T2'!A16</f>
        <v>Media</v>
      </c>
      <c r="B26" s="11">
        <f>'Ind T2'!B16</f>
        <v>7.8250000000005127</v>
      </c>
      <c r="C26" s="11">
        <f>'Ind T2'!C16</f>
        <v>9.1439999999976802</v>
      </c>
      <c r="D26" s="11">
        <f>'Ind T2'!D16</f>
        <v>8.8949999999797313</v>
      </c>
      <c r="E26" s="11">
        <f>'Ind T2'!E16</f>
        <v>8.7439999999353368</v>
      </c>
      <c r="F26" s="11">
        <f>'Ind T2'!F16</f>
        <v>8.8840000000381973</v>
      </c>
      <c r="H26" s="11">
        <f t="shared" si="0"/>
        <v>1.3189999999971675</v>
      </c>
      <c r="I26" s="30">
        <f t="shared" si="1"/>
        <v>-0.24900000001794886</v>
      </c>
      <c r="J26" s="11">
        <f t="shared" si="2"/>
        <v>-0.15100000004439451</v>
      </c>
      <c r="K26" s="11">
        <f t="shared" si="3"/>
        <v>0.14000000010286051</v>
      </c>
      <c r="L26" s="30">
        <f t="shared" si="4"/>
        <v>-1.0999999941534E-2</v>
      </c>
    </row>
    <row r="27" spans="1:12" x14ac:dyDescent="0.2">
      <c r="A27" s="10" t="str">
        <f>'Ind T2'!A17</f>
        <v>Information technology</v>
      </c>
      <c r="B27" s="11">
        <f>'Ind T2'!B17</f>
        <v>28.204999999688198</v>
      </c>
      <c r="C27" s="11">
        <f>'Ind T2'!C17</f>
        <v>29.431999999776014</v>
      </c>
      <c r="D27" s="11">
        <f>'Ind T2'!D17</f>
        <v>25.47499999979382</v>
      </c>
      <c r="E27" s="11">
        <f>'Ind T2'!E17</f>
        <v>27.810000000448838</v>
      </c>
      <c r="F27" s="11">
        <f>'Ind T2'!F17</f>
        <v>30.689000000358785</v>
      </c>
      <c r="H27" s="11">
        <f t="shared" si="0"/>
        <v>1.2270000000878163</v>
      </c>
      <c r="I27" s="30">
        <f t="shared" si="1"/>
        <v>-3.9569999999821945</v>
      </c>
      <c r="J27" s="11">
        <f t="shared" si="2"/>
        <v>2.3350000006550182</v>
      </c>
      <c r="K27" s="11">
        <f t="shared" si="3"/>
        <v>2.8789999999099471</v>
      </c>
      <c r="L27" s="30">
        <f t="shared" si="4"/>
        <v>5.2140000005649654</v>
      </c>
    </row>
    <row r="28" spans="1:12" x14ac:dyDescent="0.2">
      <c r="A28" s="10" t="str">
        <f>'Ind T2'!A18</f>
        <v>Finance and insurance</v>
      </c>
      <c r="B28" s="11">
        <f>'Ind T2'!B18</f>
        <v>26.168999999849355</v>
      </c>
      <c r="C28" s="11">
        <f>'Ind T2'!C18</f>
        <v>24.832999999834982</v>
      </c>
      <c r="D28" s="11">
        <f>'Ind T2'!D18</f>
        <v>23.084999999885824</v>
      </c>
      <c r="E28" s="11">
        <f>'Ind T2'!E18</f>
        <v>23.889000000319875</v>
      </c>
      <c r="F28" s="11">
        <f>'Ind T2'!F18</f>
        <v>23.938000000099546</v>
      </c>
      <c r="H28" s="11">
        <f t="shared" si="0"/>
        <v>-1.3360000000143728</v>
      </c>
      <c r="I28" s="30">
        <f t="shared" si="1"/>
        <v>-1.7479999999491582</v>
      </c>
      <c r="J28" s="11">
        <f t="shared" si="2"/>
        <v>0.80400000043405129</v>
      </c>
      <c r="K28" s="11">
        <f t="shared" si="3"/>
        <v>4.8999999779670844E-2</v>
      </c>
      <c r="L28" s="30">
        <f t="shared" si="4"/>
        <v>0.85300000021372213</v>
      </c>
    </row>
    <row r="29" spans="1:12" x14ac:dyDescent="0.2">
      <c r="A29" s="10" t="str">
        <f>'Ind T2'!A19</f>
        <v>Real estate</v>
      </c>
      <c r="B29" s="11">
        <f>'Ind T2'!B19</f>
        <v>17.609999999974573</v>
      </c>
      <c r="C29" s="11">
        <f>'Ind T2'!C19</f>
        <v>20.42399999993853</v>
      </c>
      <c r="D29" s="11">
        <f>'Ind T2'!D19</f>
        <v>18.573999999919479</v>
      </c>
      <c r="E29" s="11">
        <f>'Ind T2'!E19</f>
        <v>18.522000000260267</v>
      </c>
      <c r="F29" s="11">
        <f>'Ind T2'!F19</f>
        <v>21.197000000018889</v>
      </c>
      <c r="H29" s="11">
        <f t="shared" ref="H29:H31" si="9">C29-B29</f>
        <v>2.8139999999639578</v>
      </c>
      <c r="I29" s="30">
        <f t="shared" ref="I29:I31" si="10">D29-C29</f>
        <v>-1.8500000000190511</v>
      </c>
      <c r="J29" s="11">
        <f t="shared" ref="J29:J31" si="11">E29-D29</f>
        <v>-5.1999999659212648E-2</v>
      </c>
      <c r="K29" s="11">
        <f t="shared" ref="K29:K31" si="12">F29-E29</f>
        <v>2.6749999997586222</v>
      </c>
      <c r="L29" s="30">
        <f t="shared" si="4"/>
        <v>2.6230000000994096</v>
      </c>
    </row>
    <row r="30" spans="1:12" x14ac:dyDescent="0.2">
      <c r="A30" s="10" t="str">
        <f>'Ind T2'!A20</f>
        <v>Professional services</v>
      </c>
      <c r="B30" s="11">
        <f>'Ind T2'!B20</f>
        <v>80.351999999048971</v>
      </c>
      <c r="C30" s="11">
        <f>'Ind T2'!C20</f>
        <v>68.207999999705365</v>
      </c>
      <c r="D30" s="11">
        <f>'Ind T2'!D20</f>
        <v>71.108999999742551</v>
      </c>
      <c r="E30" s="11">
        <f>'Ind T2'!E20</f>
        <v>73.075000001019859</v>
      </c>
      <c r="F30" s="11">
        <f>'Ind T2'!F20</f>
        <v>77.093000000910507</v>
      </c>
      <c r="H30" s="11">
        <f t="shared" si="9"/>
        <v>-12.143999999343606</v>
      </c>
      <c r="I30" s="30">
        <f t="shared" si="10"/>
        <v>2.9010000000371861</v>
      </c>
      <c r="J30" s="11">
        <f t="shared" si="11"/>
        <v>1.9660000012773082</v>
      </c>
      <c r="K30" s="11">
        <f t="shared" si="12"/>
        <v>4.0179999998906482</v>
      </c>
      <c r="L30" s="30">
        <f t="shared" si="4"/>
        <v>5.9840000011679564</v>
      </c>
    </row>
    <row r="31" spans="1:12" x14ac:dyDescent="0.2">
      <c r="A31" s="10" t="str">
        <f>'Ind T2'!A21</f>
        <v>Support services</v>
      </c>
      <c r="B31" s="11">
        <f>'Ind T2'!B21</f>
        <v>85.496000000568486</v>
      </c>
      <c r="C31" s="11">
        <f>'Ind T2'!C21</f>
        <v>89.171999999947857</v>
      </c>
      <c r="D31" s="11">
        <f>'Ind T2'!D21</f>
        <v>87.509999999800939</v>
      </c>
      <c r="E31" s="11">
        <f>'Ind T2'!E21</f>
        <v>89.225000000844602</v>
      </c>
      <c r="F31" s="11">
        <f>'Ind T2'!F21</f>
        <v>92.56599999963899</v>
      </c>
      <c r="H31" s="11">
        <f t="shared" si="9"/>
        <v>3.6759999993793713</v>
      </c>
      <c r="I31" s="30">
        <f t="shared" si="10"/>
        <v>-1.662000000146918</v>
      </c>
      <c r="J31" s="11">
        <f t="shared" si="11"/>
        <v>1.7150000010436628</v>
      </c>
      <c r="K31" s="11">
        <f t="shared" si="12"/>
        <v>3.3409999987943877</v>
      </c>
      <c r="L31" s="30">
        <f t="shared" si="4"/>
        <v>5.0559999998380505</v>
      </c>
    </row>
    <row r="32" spans="1:12" x14ac:dyDescent="0.2">
      <c r="A32" s="10" t="str">
        <f>'Ind T2'!A25</f>
        <v>Arts and entertainment</v>
      </c>
      <c r="B32" s="11">
        <f>'Ind T2'!B25</f>
        <v>33.387000000208353</v>
      </c>
      <c r="C32" s="11">
        <f>'Ind T2'!C25</f>
        <v>34.839000000201779</v>
      </c>
      <c r="D32" s="11">
        <f>'Ind T2'!D25</f>
        <v>32.683000000148354</v>
      </c>
      <c r="E32" s="11">
        <f>'Ind T2'!E25</f>
        <v>33.741000000543238</v>
      </c>
      <c r="F32" s="11">
        <f>'Ind T2'!F25</f>
        <v>36.913000000295206</v>
      </c>
      <c r="H32" s="11">
        <f t="shared" ref="H32" si="13">C32-B32</f>
        <v>1.4519999999934257</v>
      </c>
      <c r="I32" s="30">
        <f t="shared" ref="I32:I33" si="14">D32-C32</f>
        <v>-2.1560000000534245</v>
      </c>
      <c r="J32" s="11">
        <f t="shared" ref="J32:J33" si="15">E32-D32</f>
        <v>1.058000000394884</v>
      </c>
      <c r="K32" s="11">
        <f t="shared" ref="K32:K33" si="16">F32-E32</f>
        <v>3.1719999997519679</v>
      </c>
      <c r="L32" s="30">
        <f t="shared" si="4"/>
        <v>4.2300000001468518</v>
      </c>
    </row>
    <row r="33" spans="1:12" x14ac:dyDescent="0.2">
      <c r="A33" s="10" t="str">
        <f>'Ind T2'!A26</f>
        <v>Other services</v>
      </c>
      <c r="B33" s="11">
        <f>'Ind T2'!B26</f>
        <v>39.938000000123239</v>
      </c>
      <c r="C33" s="11">
        <f>'Ind T2'!C26</f>
        <v>32.278000000198759</v>
      </c>
      <c r="D33" s="11">
        <f>'Ind T2'!D26</f>
        <v>33.737999999823501</v>
      </c>
      <c r="E33" s="11">
        <f>'Ind T2'!E26</f>
        <v>28.926999999942918</v>
      </c>
      <c r="F33" s="11">
        <f>'Ind T2'!F26</f>
        <v>27.372000000096243</v>
      </c>
      <c r="H33" s="11">
        <f>C33-B33</f>
        <v>-7.6599999999244801</v>
      </c>
      <c r="I33" s="30">
        <f t="shared" si="14"/>
        <v>1.4599999996247419</v>
      </c>
      <c r="J33" s="11">
        <f t="shared" si="15"/>
        <v>-4.8109999998805826</v>
      </c>
      <c r="K33" s="11">
        <f t="shared" si="16"/>
        <v>-1.5549999998466753</v>
      </c>
      <c r="L33" s="30">
        <f t="shared" si="4"/>
        <v>-6.3659999997272578</v>
      </c>
    </row>
    <row r="34" spans="1:12" x14ac:dyDescent="0.2">
      <c r="B34" s="31"/>
      <c r="C34" s="31"/>
      <c r="D34" s="31"/>
      <c r="E34" s="31"/>
      <c r="F34" s="31"/>
      <c r="H34" s="11"/>
      <c r="I34" s="30"/>
      <c r="J34" s="11"/>
      <c r="K34" s="11"/>
      <c r="L34" s="30"/>
    </row>
    <row r="35" spans="1:12" s="29" customFormat="1" x14ac:dyDescent="0.2">
      <c r="A35" s="29" t="str">
        <f>'Ind T1'!A12</f>
        <v>Non-marketed services</v>
      </c>
      <c r="B35" s="30">
        <f>'Ind T1'!B12</f>
        <v>367.85599999673241</v>
      </c>
      <c r="C35" s="30">
        <f>'Ind T1'!C12</f>
        <v>352.68700000061204</v>
      </c>
      <c r="D35" s="30">
        <f>'Ind T1'!D12</f>
        <v>366.59800000129326</v>
      </c>
      <c r="E35" s="30">
        <f>'Ind T1'!E12</f>
        <v>384.02399998943628</v>
      </c>
      <c r="F35" s="30">
        <f>'Ind T1'!F12</f>
        <v>403.63100000277814</v>
      </c>
      <c r="H35" s="30">
        <f t="shared" si="0"/>
        <v>-15.168999996120363</v>
      </c>
      <c r="I35" s="30">
        <f t="shared" si="1"/>
        <v>13.911000000681213</v>
      </c>
      <c r="J35" s="30">
        <f t="shared" si="2"/>
        <v>17.425999988143019</v>
      </c>
      <c r="K35" s="30">
        <f t="shared" si="3"/>
        <v>19.60700001334186</v>
      </c>
      <c r="L35" s="30">
        <f t="shared" si="4"/>
        <v>37.033000001484879</v>
      </c>
    </row>
    <row r="36" spans="1:12" x14ac:dyDescent="0.2">
      <c r="A36" s="10" t="str">
        <f>'Ind T2'!A22</f>
        <v>Public admin. and defence</v>
      </c>
      <c r="B36" s="31">
        <f>'Ind T2'!B22</f>
        <v>67.457999999465031</v>
      </c>
      <c r="C36" s="31">
        <f>'Ind T2'!C22</f>
        <v>68.509999999851416</v>
      </c>
      <c r="D36" s="31">
        <f>'Ind T2'!D22</f>
        <v>70.491999999956889</v>
      </c>
      <c r="E36" s="31">
        <f>'Ind T2'!E22</f>
        <v>68.748000000034438</v>
      </c>
      <c r="F36" s="31">
        <f>'Ind T2'!F22</f>
        <v>69.499000000265639</v>
      </c>
      <c r="H36" s="11">
        <f t="shared" si="0"/>
        <v>1.0520000003863856</v>
      </c>
      <c r="I36" s="30">
        <f t="shared" si="1"/>
        <v>1.9820000001054723</v>
      </c>
      <c r="J36" s="11">
        <f t="shared" si="2"/>
        <v>-1.7439999999224511</v>
      </c>
      <c r="K36" s="11">
        <f t="shared" si="3"/>
        <v>0.75100000023120117</v>
      </c>
      <c r="L36" s="30">
        <f t="shared" si="4"/>
        <v>-0.99299999969124997</v>
      </c>
    </row>
    <row r="37" spans="1:12" x14ac:dyDescent="0.2">
      <c r="A37" s="10" t="str">
        <f>'Ind T2'!A23</f>
        <v>Education</v>
      </c>
      <c r="B37" s="31">
        <f>'Ind T2'!B23</f>
        <v>108.41699999992581</v>
      </c>
      <c r="C37" s="31">
        <f>'Ind T2'!C23</f>
        <v>107.63300000187928</v>
      </c>
      <c r="D37" s="31">
        <f>'Ind T2'!D23</f>
        <v>104.24300000191386</v>
      </c>
      <c r="E37" s="31">
        <f>'Ind T2'!E23</f>
        <v>110.93099999135777</v>
      </c>
      <c r="F37" s="31">
        <f>'Ind T2'!F23</f>
        <v>114.767000001966</v>
      </c>
      <c r="H37" s="11">
        <f t="shared" si="0"/>
        <v>-0.78399999804652509</v>
      </c>
      <c r="I37" s="30">
        <f t="shared" si="1"/>
        <v>-3.3899999999654256</v>
      </c>
      <c r="J37" s="11">
        <f t="shared" si="2"/>
        <v>6.6879999894439095</v>
      </c>
      <c r="K37" s="11">
        <f t="shared" si="3"/>
        <v>3.836000010608231</v>
      </c>
      <c r="L37" s="30">
        <f t="shared" si="4"/>
        <v>10.524000000052141</v>
      </c>
    </row>
    <row r="38" spans="1:12" x14ac:dyDescent="0.2">
      <c r="A38" s="10" t="str">
        <f>'Ind T2'!A24</f>
        <v>Health and social work</v>
      </c>
      <c r="B38" s="31">
        <f>'Ind T2'!B24</f>
        <v>191.98099999734154</v>
      </c>
      <c r="C38" s="31">
        <f>'Ind T2'!C24</f>
        <v>176.54399999888139</v>
      </c>
      <c r="D38" s="31">
        <f>'Ind T2'!D24</f>
        <v>191.86299999942253</v>
      </c>
      <c r="E38" s="31">
        <f>'Ind T2'!E24</f>
        <v>204.34499999804405</v>
      </c>
      <c r="F38" s="31">
        <f>'Ind T2'!F24</f>
        <v>219.36500000054656</v>
      </c>
      <c r="H38" s="11">
        <f t="shared" si="0"/>
        <v>-15.436999998460152</v>
      </c>
      <c r="I38" s="30">
        <f t="shared" si="1"/>
        <v>15.319000000541138</v>
      </c>
      <c r="J38" s="11">
        <f t="shared" si="2"/>
        <v>12.481999998621518</v>
      </c>
      <c r="K38" s="11">
        <f t="shared" si="3"/>
        <v>15.020000002502513</v>
      </c>
      <c r="L38" s="30">
        <f t="shared" si="4"/>
        <v>27.502000001124031</v>
      </c>
    </row>
    <row r="39" spans="1:12" x14ac:dyDescent="0.2">
      <c r="B39" s="31"/>
      <c r="C39" s="31"/>
      <c r="D39" s="31"/>
      <c r="E39" s="31"/>
      <c r="F39" s="31"/>
      <c r="H39" s="11"/>
      <c r="I39" s="11"/>
      <c r="J39" s="11"/>
      <c r="K39" s="11"/>
      <c r="L39" s="30"/>
    </row>
    <row r="40" spans="1:12" x14ac:dyDescent="0.2">
      <c r="A40" s="38" t="str">
        <f>'Ind T1'!A14</f>
        <v>All industries</v>
      </c>
      <c r="B40" s="32">
        <f>'Ind T1'!B14</f>
        <v>1207.7030000016521</v>
      </c>
      <c r="C40" s="32">
        <f>'Ind T1'!C14</f>
        <v>1194.8680000007778</v>
      </c>
      <c r="D40" s="32">
        <f>'Ind T1'!D14</f>
        <v>1189.3390000002898</v>
      </c>
      <c r="E40" s="32">
        <f>'Ind T1'!E14</f>
        <v>1208.7760000004325</v>
      </c>
      <c r="F40" s="32">
        <f>'Ind T1'!F14</f>
        <v>1250.9970000002131</v>
      </c>
      <c r="G40" s="23"/>
      <c r="H40" s="33">
        <f t="shared" si="0"/>
        <v>-12.835000000874288</v>
      </c>
      <c r="I40" s="33">
        <f>D40-C40</f>
        <v>-5.5290000004879403</v>
      </c>
      <c r="J40" s="33">
        <f>E40-D40</f>
        <v>19.437000000142689</v>
      </c>
      <c r="K40" s="33">
        <f>F40-E40</f>
        <v>42.220999999780588</v>
      </c>
      <c r="L40" s="205">
        <f t="shared" si="4"/>
        <v>61.657999999923277</v>
      </c>
    </row>
    <row r="44" spans="1:12" ht="15.75" x14ac:dyDescent="0.25">
      <c r="A44" s="18" t="str">
        <f>CONCATENATE(A1," (Continued)")</f>
        <v>Industry Table 4  Employment by Industry Group in Sector (SIC 2007), 2015-2035, North East (Continued)</v>
      </c>
    </row>
    <row r="46" spans="1:12" x14ac:dyDescent="0.2">
      <c r="L46" s="15" t="s">
        <v>20</v>
      </c>
    </row>
    <row r="47" spans="1:12" x14ac:dyDescent="0.2">
      <c r="A47" s="35"/>
      <c r="B47" s="27" t="s">
        <v>14</v>
      </c>
      <c r="C47" s="27"/>
      <c r="D47" s="27"/>
      <c r="E47" s="27"/>
      <c r="F47" s="27"/>
      <c r="G47" s="27"/>
      <c r="H47" s="27" t="s">
        <v>463</v>
      </c>
      <c r="I47" s="27"/>
      <c r="J47" s="27"/>
      <c r="K47" s="27"/>
      <c r="L47" s="27"/>
    </row>
    <row r="48" spans="1:12" x14ac:dyDescent="0.2">
      <c r="A48" s="23"/>
      <c r="B48" s="36" t="str">
        <f>H5</f>
        <v>2015-2019</v>
      </c>
      <c r="C48" s="36" t="str">
        <f>I5</f>
        <v>2019-2020</v>
      </c>
      <c r="D48" s="36" t="str">
        <f>J5</f>
        <v>2020-2025</v>
      </c>
      <c r="E48" s="36" t="str">
        <f>K5</f>
        <v>2025-2035</v>
      </c>
      <c r="F48" s="36" t="str">
        <f>L5</f>
        <v>2020-2035</v>
      </c>
      <c r="G48" s="40"/>
      <c r="H48" s="41">
        <f>B5</f>
        <v>2015</v>
      </c>
      <c r="I48" s="41">
        <f>C5</f>
        <v>2019</v>
      </c>
      <c r="J48" s="41">
        <f>D5</f>
        <v>2020</v>
      </c>
      <c r="K48" s="41">
        <f>E5</f>
        <v>2025</v>
      </c>
      <c r="L48" s="41">
        <f>F5</f>
        <v>2035</v>
      </c>
    </row>
    <row r="50" spans="1:12" s="29" customFormat="1" x14ac:dyDescent="0.2">
      <c r="A50" s="29" t="str">
        <f>A7</f>
        <v>Primary sector and utilities</v>
      </c>
      <c r="B50" s="43">
        <f t="shared" ref="B50:E54" si="17">IF(AND(C$5-B$5 &lt;&gt; 0,B7&lt;&gt;0,C7&lt;&gt;0),(EXP(LN(C7/B7)/(C$5-B$5))-1)*100,0)</f>
        <v>4.0728803389879387</v>
      </c>
      <c r="C50" s="43">
        <f t="shared" si="17"/>
        <v>5.1305696436919401</v>
      </c>
      <c r="D50" s="43">
        <f t="shared" si="17"/>
        <v>-1.1166322449185362E-2</v>
      </c>
      <c r="E50" s="43">
        <f t="shared" si="17"/>
        <v>0.13993807893826204</v>
      </c>
      <c r="F50" s="43">
        <f>IF(AND(F$5-D$5 &lt;&gt; 0,D7&lt;&gt;0,F7&lt;&gt;0),(EXP(LN(F7/D7)/(F$5-D$5))-1)*100,0)</f>
        <v>8.9544589846579647E-2</v>
      </c>
      <c r="H50" s="43">
        <f>(B7/B$40)*100</f>
        <v>1.6838577034238349</v>
      </c>
      <c r="I50" s="43">
        <f>(C7/C$40)*100</f>
        <v>1.9966222210238582</v>
      </c>
      <c r="J50" s="43">
        <f>(D7/D$40)*100</f>
        <v>2.1088184276984272</v>
      </c>
      <c r="K50" s="43">
        <f>(E7/E$40)*100</f>
        <v>2.0737506370124343</v>
      </c>
      <c r="L50" s="43">
        <f>(F7/F$40)*100</f>
        <v>2.0319792933124732</v>
      </c>
    </row>
    <row r="51" spans="1:12" x14ac:dyDescent="0.2">
      <c r="A51" t="str">
        <f>A8</f>
        <v>Agriculture</v>
      </c>
      <c r="B51" s="39">
        <f t="shared" si="17"/>
        <v>-7.0226822751157547</v>
      </c>
      <c r="C51" s="43">
        <f t="shared" si="17"/>
        <v>-3.556263271563509</v>
      </c>
      <c r="D51" s="39">
        <f t="shared" si="17"/>
        <v>0.69116830880651126</v>
      </c>
      <c r="E51" s="39">
        <f t="shared" si="17"/>
        <v>0.27657481413745355</v>
      </c>
      <c r="F51" s="43">
        <f t="shared" ref="F51:F83" si="18">IF(AND(F$5-D$5 &lt;&gt; 0,D8&lt;&gt;0,F8&lt;&gt;0),(EXP(LN(F8/D8)/(F$5-D$5))-1)*100,0)</f>
        <v>0.41458262232376697</v>
      </c>
      <c r="H51" s="39">
        <f t="shared" ref="H51:L54" si="19">(B8/B$7)*100</f>
        <v>37.190204563480108</v>
      </c>
      <c r="I51" s="39">
        <f t="shared" si="19"/>
        <v>23.691159827428699</v>
      </c>
      <c r="J51" s="39">
        <f t="shared" si="19"/>
        <v>21.733583190233773</v>
      </c>
      <c r="K51" s="39">
        <f t="shared" si="19"/>
        <v>22.507679418666442</v>
      </c>
      <c r="L51" s="39">
        <f t="shared" si="19"/>
        <v>22.816679779338589</v>
      </c>
    </row>
    <row r="52" spans="1:12" x14ac:dyDescent="0.2">
      <c r="A52" t="str">
        <f>A9</f>
        <v>Mining and quarrying</v>
      </c>
      <c r="B52" s="39">
        <f t="shared" si="17"/>
        <v>-8.9244360641197122</v>
      </c>
      <c r="C52" s="43">
        <f t="shared" si="17"/>
        <v>24.041095890490304</v>
      </c>
      <c r="D52" s="39">
        <f t="shared" si="17"/>
        <v>-2.4470725793714343</v>
      </c>
      <c r="E52" s="39">
        <f t="shared" si="17"/>
        <v>-1.3405434533920735</v>
      </c>
      <c r="F52" s="43">
        <f t="shared" si="18"/>
        <v>-1.7107740893458234</v>
      </c>
      <c r="H52" s="39">
        <f t="shared" si="19"/>
        <v>10.43469708890278</v>
      </c>
      <c r="I52" s="39">
        <f t="shared" si="19"/>
        <v>6.1197971245438456</v>
      </c>
      <c r="J52" s="39">
        <f t="shared" si="19"/>
        <v>7.2206052390722295</v>
      </c>
      <c r="K52" s="39">
        <f t="shared" si="19"/>
        <v>6.382893844453652</v>
      </c>
      <c r="L52" s="39">
        <f t="shared" si="19"/>
        <v>5.4996066089528597</v>
      </c>
    </row>
    <row r="53" spans="1:12" x14ac:dyDescent="0.2">
      <c r="A53" t="str">
        <f>A10</f>
        <v>Electricity and gas</v>
      </c>
      <c r="B53" s="39">
        <f t="shared" si="17"/>
        <v>24.161661772506804</v>
      </c>
      <c r="C53" s="43">
        <f t="shared" si="17"/>
        <v>3.824305132983441</v>
      </c>
      <c r="D53" s="39">
        <f t="shared" si="17"/>
        <v>-0.33046219457822934</v>
      </c>
      <c r="E53" s="39">
        <f t="shared" si="17"/>
        <v>0.18715142576695154</v>
      </c>
      <c r="F53" s="43">
        <f t="shared" si="18"/>
        <v>1.4315559427879876E-2</v>
      </c>
      <c r="H53" s="39">
        <f t="shared" si="19"/>
        <v>20.397324940853849</v>
      </c>
      <c r="I53" s="39">
        <f t="shared" si="19"/>
        <v>41.321205516017997</v>
      </c>
      <c r="J53" s="39">
        <f t="shared" si="19"/>
        <v>40.807782783807909</v>
      </c>
      <c r="K53" s="39">
        <f t="shared" si="19"/>
        <v>40.160370208472578</v>
      </c>
      <c r="L53" s="39">
        <f t="shared" si="19"/>
        <v>40.350118017708596</v>
      </c>
    </row>
    <row r="54" spans="1:12" x14ac:dyDescent="0.2">
      <c r="A54" t="str">
        <f>A11</f>
        <v>Water and sewerage</v>
      </c>
      <c r="B54" s="39">
        <f t="shared" si="17"/>
        <v>1.4446346172186431</v>
      </c>
      <c r="C54" s="43">
        <f t="shared" si="17"/>
        <v>10.120516915851185</v>
      </c>
      <c r="D54" s="39">
        <f t="shared" si="17"/>
        <v>0.45470674931313848</v>
      </c>
      <c r="E54" s="39">
        <f t="shared" si="17"/>
        <v>0.26367074490962761</v>
      </c>
      <c r="F54" s="43">
        <f t="shared" si="18"/>
        <v>0.32730901270849877</v>
      </c>
      <c r="H54" s="39">
        <f t="shared" si="19"/>
        <v>31.977773406763273</v>
      </c>
      <c r="I54" s="39">
        <f t="shared" si="19"/>
        <v>28.86783753200945</v>
      </c>
      <c r="J54" s="39">
        <f t="shared" si="19"/>
        <v>30.238028786886094</v>
      </c>
      <c r="K54" s="39">
        <f t="shared" si="19"/>
        <v>30.949056528407315</v>
      </c>
      <c r="L54" s="39">
        <f t="shared" si="19"/>
        <v>31.333595593999963</v>
      </c>
    </row>
    <row r="55" spans="1:12" x14ac:dyDescent="0.2">
      <c r="B55" s="39"/>
      <c r="C55" s="43"/>
      <c r="D55" s="39"/>
      <c r="E55" s="39"/>
      <c r="F55" s="43"/>
      <c r="H55" s="39"/>
      <c r="I55" s="39"/>
      <c r="J55" s="39"/>
      <c r="K55" s="39"/>
      <c r="L55" s="39"/>
    </row>
    <row r="56" spans="1:12" s="29" customFormat="1" x14ac:dyDescent="0.2">
      <c r="A56" s="29" t="str">
        <f>A13</f>
        <v>Manufacturing</v>
      </c>
      <c r="B56" s="43">
        <f t="shared" ref="B56:E59" si="20">IF(AND(C$5-B$5 &lt;&gt; 0,B13&lt;&gt;0,C13&lt;&gt;0),(EXP(LN(C13/B13)/(C$5-B$5))-1)*100,0)</f>
        <v>-2.3527707886624616</v>
      </c>
      <c r="C56" s="43">
        <f t="shared" si="20"/>
        <v>-7.1914628979783295</v>
      </c>
      <c r="D56" s="43">
        <f t="shared" si="20"/>
        <v>-0.48758129025030517</v>
      </c>
      <c r="E56" s="43">
        <f t="shared" si="20"/>
        <v>-0.91986794348835055</v>
      </c>
      <c r="F56" s="43">
        <f t="shared" si="18"/>
        <v>-0.77598144890543841</v>
      </c>
      <c r="H56" s="43">
        <f>(B13/B$40)*100</f>
        <v>10.104885058657439</v>
      </c>
      <c r="I56" s="43">
        <f>(C13/C$40)*100</f>
        <v>9.2856282032465316</v>
      </c>
      <c r="J56" s="43">
        <f>(D13/D$40)*100</f>
        <v>8.6579183899380112</v>
      </c>
      <c r="K56" s="43">
        <f>(E13/E$40)*100</f>
        <v>8.3130373204331303</v>
      </c>
      <c r="L56" s="43">
        <f>(F13/F$40)*100</f>
        <v>7.3234388251550513</v>
      </c>
    </row>
    <row r="57" spans="1:12" x14ac:dyDescent="0.2">
      <c r="A57" t="str">
        <f>A14</f>
        <v>Food drink and tobacco</v>
      </c>
      <c r="B57" s="39">
        <f t="shared" si="20"/>
        <v>2.9096796218966769</v>
      </c>
      <c r="C57" s="43">
        <f t="shared" si="20"/>
        <v>-3.8648111329780743</v>
      </c>
      <c r="D57" s="39">
        <f t="shared" si="20"/>
        <v>0.17146820653244355</v>
      </c>
      <c r="E57" s="39">
        <f t="shared" si="20"/>
        <v>-0.29587938792906554</v>
      </c>
      <c r="F57" s="43">
        <f t="shared" si="18"/>
        <v>-0.14033962672496125</v>
      </c>
      <c r="H57" s="39">
        <f t="shared" ref="H57:L59" si="21">(B14/B$13)*100</f>
        <v>9.1873775986419357</v>
      </c>
      <c r="I57" s="39">
        <f t="shared" si="21"/>
        <v>11.333832051952889</v>
      </c>
      <c r="J57" s="39">
        <f t="shared" si="21"/>
        <v>11.740084683199505</v>
      </c>
      <c r="K57" s="39">
        <f t="shared" si="21"/>
        <v>12.134028621081606</v>
      </c>
      <c r="L57" s="39">
        <f t="shared" si="21"/>
        <v>12.920232273808411</v>
      </c>
    </row>
    <row r="58" spans="1:12" x14ac:dyDescent="0.2">
      <c r="A58" t="str">
        <f>A15</f>
        <v>Engineering</v>
      </c>
      <c r="B58" s="39">
        <f t="shared" si="20"/>
        <v>-3.0795102160733001</v>
      </c>
      <c r="C58" s="43">
        <f t="shared" si="20"/>
        <v>-6.4340606943953045</v>
      </c>
      <c r="D58" s="39">
        <f t="shared" si="20"/>
        <v>0.63691878236433741</v>
      </c>
      <c r="E58" s="39">
        <f t="shared" si="20"/>
        <v>-0.82694430508042371</v>
      </c>
      <c r="F58" s="43">
        <f t="shared" si="18"/>
        <v>-0.34137129465912075</v>
      </c>
      <c r="H58" s="39">
        <f t="shared" si="21"/>
        <v>16.554815342830857</v>
      </c>
      <c r="I58" s="39">
        <f t="shared" si="21"/>
        <v>16.067453200045048</v>
      </c>
      <c r="J58" s="39">
        <f t="shared" si="21"/>
        <v>16.198578254266121</v>
      </c>
      <c r="K58" s="39">
        <f t="shared" si="21"/>
        <v>17.134725235371342</v>
      </c>
      <c r="L58" s="39">
        <f t="shared" si="21"/>
        <v>17.296105483781719</v>
      </c>
    </row>
    <row r="59" spans="1:12" x14ac:dyDescent="0.2">
      <c r="A59" t="str">
        <f>A16</f>
        <v>Rest of manufacturing</v>
      </c>
      <c r="B59" s="39">
        <f t="shared" si="20"/>
        <v>-2.9028175953278224</v>
      </c>
      <c r="C59" s="43">
        <f t="shared" si="20"/>
        <v>-7.8784342449593314</v>
      </c>
      <c r="D59" s="39">
        <f t="shared" si="20"/>
        <v>-0.85767922645355599</v>
      </c>
      <c r="E59" s="39">
        <f t="shared" si="20"/>
        <v>-1.0534123125111261</v>
      </c>
      <c r="F59" s="43">
        <f t="shared" si="18"/>
        <v>-0.98821092473546646</v>
      </c>
      <c r="H59" s="39">
        <f t="shared" si="21"/>
        <v>74.25780705852722</v>
      </c>
      <c r="I59" s="39">
        <f t="shared" si="21"/>
        <v>72.598714748002052</v>
      </c>
      <c r="J59" s="39">
        <f t="shared" si="21"/>
        <v>72.061337062534378</v>
      </c>
      <c r="K59" s="39">
        <f t="shared" si="21"/>
        <v>70.731246143547054</v>
      </c>
      <c r="L59" s="39">
        <f t="shared" si="21"/>
        <v>69.783662242409875</v>
      </c>
    </row>
    <row r="60" spans="1:12" x14ac:dyDescent="0.2">
      <c r="B60" s="39"/>
      <c r="C60" s="43"/>
      <c r="D60" s="39"/>
      <c r="E60" s="39"/>
      <c r="F60" s="43"/>
      <c r="H60" s="39"/>
      <c r="I60" s="39"/>
      <c r="J60" s="39"/>
      <c r="K60" s="39"/>
      <c r="L60" s="39"/>
    </row>
    <row r="61" spans="1:12" s="29" customFormat="1" x14ac:dyDescent="0.2">
      <c r="A61" s="29" t="str">
        <f>A18</f>
        <v>Construction</v>
      </c>
      <c r="B61" s="43">
        <f>IF(AND(C$5-B$5 &lt;&gt; 0,B18&lt;&gt;0,C18&lt;&gt;0),(EXP(LN(C18/B18)/(C$5-B$5))-1)*100,0)</f>
        <v>2.0568465441312078</v>
      </c>
      <c r="C61" s="43">
        <f>IF(AND(D$5-C$5 &lt;&gt; 0,C18&lt;&gt;0,D18&lt;&gt;0),(EXP(LN(D18/C18)/(D$5-C$5))-1)*100,0)</f>
        <v>-4.8310973529543721</v>
      </c>
      <c r="D61" s="43">
        <f>IF(AND(E$5-D$5 &lt;&gt; 0,D18&lt;&gt;0,E18&lt;&gt;0),(EXP(LN(E18/D18)/(E$5-D$5))-1)*100,0)</f>
        <v>-0.66787512024921725</v>
      </c>
      <c r="E61" s="43">
        <f>IF(AND(F$5-E$5 &lt;&gt; 0,E18&lt;&gt;0,F18&lt;&gt;0),(EXP(LN(F18/E18)/(F$5-E$5))-1)*100,0)</f>
        <v>-7.9524471055303358E-2</v>
      </c>
      <c r="F61" s="43">
        <f t="shared" si="18"/>
        <v>-0.27602754268255536</v>
      </c>
      <c r="H61" s="43">
        <f>(B18/B$40)*100</f>
        <v>5.5469763675040227</v>
      </c>
      <c r="I61" s="43">
        <f>(C18/C$40)*100</f>
        <v>6.0822618063679652</v>
      </c>
      <c r="J61" s="43">
        <f>(D18/D$40)*100</f>
        <v>5.8153310367571054</v>
      </c>
      <c r="K61" s="43">
        <f>(E18/E$40)*100</f>
        <v>5.5332832549043633</v>
      </c>
      <c r="L61" s="43">
        <f>(F18/F$40)*100</f>
        <v>5.3041693943026837</v>
      </c>
    </row>
    <row r="62" spans="1:12" x14ac:dyDescent="0.2">
      <c r="B62" s="39"/>
      <c r="C62" s="43"/>
      <c r="D62" s="39"/>
      <c r="E62" s="39"/>
      <c r="F62" s="43"/>
      <c r="H62" s="39"/>
      <c r="I62" s="39"/>
      <c r="J62" s="39"/>
      <c r="K62" s="39"/>
      <c r="L62" s="39"/>
    </row>
    <row r="63" spans="1:12" s="29" customFormat="1" x14ac:dyDescent="0.2">
      <c r="A63" s="29" t="str">
        <f>A20</f>
        <v>Trade, accomod. and transport</v>
      </c>
      <c r="B63" s="43">
        <f t="shared" ref="B63:E66" si="22">IF(AND(C$5-B$5 &lt;&gt; 0,B20&lt;&gt;0,C20&lt;&gt;0),(EXP(LN(C20/B20)/(C$5-B$5))-1)*100,0)</f>
        <v>1.1723950671747918</v>
      </c>
      <c r="C63" s="43">
        <f t="shared" si="22"/>
        <v>-0.58614815158182232</v>
      </c>
      <c r="D63" s="43">
        <f t="shared" si="22"/>
        <v>0.24084292202830593</v>
      </c>
      <c r="E63" s="43">
        <f t="shared" si="22"/>
        <v>0.50432436832330563</v>
      </c>
      <c r="F63" s="43">
        <f t="shared" si="18"/>
        <v>0.41642035856557236</v>
      </c>
      <c r="H63" s="43">
        <f>(B20/B$40)*100</f>
        <v>25.792848076486536</v>
      </c>
      <c r="I63" s="43">
        <f>(C20/C$40)*100</f>
        <v>27.314146834648973</v>
      </c>
      <c r="J63" s="43">
        <f>(D20/D$40)*100</f>
        <v>27.280279214001197</v>
      </c>
      <c r="K63" s="43">
        <f>(E20/E$40)*100</f>
        <v>27.166406349042333</v>
      </c>
      <c r="L63" s="43">
        <f>(F20/F$40)*100</f>
        <v>27.603823190523912</v>
      </c>
    </row>
    <row r="64" spans="1:12" x14ac:dyDescent="0.2">
      <c r="A64" t="str">
        <f>A21</f>
        <v>Wholesale and retail trade</v>
      </c>
      <c r="B64" s="39">
        <f t="shared" si="22"/>
        <v>-0.6437097497363542</v>
      </c>
      <c r="C64" s="43">
        <f t="shared" si="22"/>
        <v>4.2254017157028478E-2</v>
      </c>
      <c r="D64" s="39">
        <f t="shared" si="22"/>
        <v>-0.12726668072150504</v>
      </c>
      <c r="E64" s="39">
        <f t="shared" si="22"/>
        <v>6.1756916511335191E-2</v>
      </c>
      <c r="F64" s="43">
        <f t="shared" si="18"/>
        <v>-1.2906663332756807E-3</v>
      </c>
      <c r="H64" s="39">
        <f t="shared" ref="H64:L66" si="23">(B21/B$20)*100</f>
        <v>56.133688174548546</v>
      </c>
      <c r="I64" s="39">
        <f t="shared" si="23"/>
        <v>52.210388273552688</v>
      </c>
      <c r="J64" s="39">
        <f t="shared" si="23"/>
        <v>52.540413925026527</v>
      </c>
      <c r="K64" s="39">
        <f t="shared" si="23"/>
        <v>51.582765142012967</v>
      </c>
      <c r="L64" s="39">
        <f t="shared" si="23"/>
        <v>49.35582049260185</v>
      </c>
    </row>
    <row r="65" spans="1:12" x14ac:dyDescent="0.2">
      <c r="A65" t="str">
        <f>A22</f>
        <v>Transport and storage</v>
      </c>
      <c r="B65" s="39">
        <f>IF(AND(C$5-B$5 &lt;&gt; 0,B22&lt;&gt;0,C22&lt;&gt;0),(EXP(LN(C22/B22)/(C$5-B$5))-1)*100,0)</f>
        <v>4.0881111822977045</v>
      </c>
      <c r="C65" s="43">
        <f t="shared" si="22"/>
        <v>2.6790366237705365</v>
      </c>
      <c r="D65" s="39">
        <f t="shared" si="22"/>
        <v>0.75870080102811155</v>
      </c>
      <c r="E65" s="39">
        <f t="shared" si="22"/>
        <v>4.608531312362274E-2</v>
      </c>
      <c r="F65" s="43">
        <f t="shared" si="18"/>
        <v>0.28306204486863162</v>
      </c>
      <c r="H65" s="39">
        <f t="shared" si="23"/>
        <v>16.272178901344969</v>
      </c>
      <c r="I65" s="39">
        <f t="shared" si="23"/>
        <v>18.230647612284688</v>
      </c>
      <c r="J65" s="39">
        <f t="shared" si="23"/>
        <v>18.829421645496971</v>
      </c>
      <c r="K65" s="39">
        <f t="shared" si="23"/>
        <v>19.320849866127894</v>
      </c>
      <c r="L65" s="39">
        <f t="shared" si="23"/>
        <v>18.457791690745658</v>
      </c>
    </row>
    <row r="66" spans="1:12" x14ac:dyDescent="0.2">
      <c r="A66" t="str">
        <f>A23</f>
        <v>Accommodation and food</v>
      </c>
      <c r="B66" s="39">
        <f t="shared" si="22"/>
        <v>2.9271969817403765</v>
      </c>
      <c r="C66" s="43">
        <f t="shared" si="22"/>
        <v>-3.7099231896253193</v>
      </c>
      <c r="D66" s="39">
        <f t="shared" si="22"/>
        <v>0.56520619777289394</v>
      </c>
      <c r="E66" s="39">
        <f t="shared" si="22"/>
        <v>1.523847703851966</v>
      </c>
      <c r="F66" s="43">
        <f t="shared" si="18"/>
        <v>1.2032894481447398</v>
      </c>
      <c r="H66" s="39">
        <f t="shared" si="23"/>
        <v>27.594132924106475</v>
      </c>
      <c r="I66" s="39">
        <f t="shared" si="23"/>
        <v>29.558964114162638</v>
      </c>
      <c r="J66" s="39">
        <f t="shared" si="23"/>
        <v>28.630164429476501</v>
      </c>
      <c r="K66" s="39">
        <f t="shared" si="23"/>
        <v>29.096384991859146</v>
      </c>
      <c r="L66" s="39">
        <f t="shared" si="23"/>
        <v>32.186387816652491</v>
      </c>
    </row>
    <row r="67" spans="1:12" x14ac:dyDescent="0.2">
      <c r="B67" s="39"/>
      <c r="C67" s="43"/>
      <c r="D67" s="39"/>
      <c r="E67" s="39"/>
      <c r="F67" s="43"/>
      <c r="H67" s="39"/>
      <c r="I67" s="39"/>
      <c r="J67" s="39"/>
      <c r="K67" s="39"/>
      <c r="L67" s="39"/>
    </row>
    <row r="68" spans="1:12" s="29" customFormat="1" x14ac:dyDescent="0.2">
      <c r="A68" s="29" t="str">
        <f>A25</f>
        <v>Business and other services</v>
      </c>
      <c r="B68" s="43">
        <f t="shared" ref="B68:E71" si="24">IF(AND(C$5-B$5 &lt;&gt; 0,B25&lt;&gt;0,C25&lt;&gt;0),(EXP(LN(C25/B25)/(C$5-B$5))-1)*100,0)</f>
        <v>-0.84550624159713816</v>
      </c>
      <c r="C68" s="43">
        <f t="shared" si="24"/>
        <v>-2.3549443779444679</v>
      </c>
      <c r="D68" s="43">
        <f t="shared" si="24"/>
        <v>0.18953555267122724</v>
      </c>
      <c r="E68" s="43">
        <f t="shared" si="24"/>
        <v>0.47404320486830187</v>
      </c>
      <c r="F68" s="43">
        <f t="shared" si="18"/>
        <v>0.37911766560443372</v>
      </c>
      <c r="H68" s="43">
        <f>(B25/B$40)*100</f>
        <v>26.412288451633003</v>
      </c>
      <c r="I68" s="43">
        <f>(C25/C$40)*100</f>
        <v>25.80452401431792</v>
      </c>
      <c r="J68" s="43">
        <f>(D25/D$40)*100</f>
        <v>25.313976923233895</v>
      </c>
      <c r="K68" s="43">
        <f>(E25/E$40)*100</f>
        <v>25.143864537615418</v>
      </c>
      <c r="L68" s="43">
        <f>(F25/F$40)*100</f>
        <v>25.471843657610854</v>
      </c>
    </row>
    <row r="69" spans="1:12" x14ac:dyDescent="0.2">
      <c r="A69" t="str">
        <f>A26</f>
        <v>Media</v>
      </c>
      <c r="B69" s="39">
        <f t="shared" si="24"/>
        <v>3.9711787680861033</v>
      </c>
      <c r="C69" s="43">
        <f t="shared" si="24"/>
        <v>-2.7230971130578707</v>
      </c>
      <c r="D69" s="39">
        <f t="shared" si="24"/>
        <v>-0.34184577728639809</v>
      </c>
      <c r="E69" s="39">
        <f t="shared" si="24"/>
        <v>0.1589677717102056</v>
      </c>
      <c r="F69" s="43">
        <f t="shared" si="18"/>
        <v>-8.2490936038182028E-3</v>
      </c>
      <c r="H69" s="39">
        <f t="shared" ref="H69:L71" si="25">(B26/B$25)*100</f>
        <v>2.4531164767960947</v>
      </c>
      <c r="I69" s="39">
        <f t="shared" si="25"/>
        <v>2.9656536827456019</v>
      </c>
      <c r="J69" s="39">
        <f t="shared" si="25"/>
        <v>2.9544722306203872</v>
      </c>
      <c r="K69" s="39">
        <f t="shared" si="25"/>
        <v>2.8769498540270284</v>
      </c>
      <c r="L69" s="39">
        <f t="shared" si="25"/>
        <v>2.7879944265209677</v>
      </c>
    </row>
    <row r="70" spans="1:12" x14ac:dyDescent="0.2">
      <c r="A70" t="str">
        <f>A27</f>
        <v>Information technology</v>
      </c>
      <c r="B70" s="39">
        <f t="shared" si="24"/>
        <v>1.0702680940908982</v>
      </c>
      <c r="C70" s="43">
        <f t="shared" si="24"/>
        <v>-13.444550149538969</v>
      </c>
      <c r="D70" s="39">
        <f t="shared" si="24"/>
        <v>1.7694340195765212</v>
      </c>
      <c r="E70" s="39">
        <f t="shared" si="24"/>
        <v>0.98995410453093236</v>
      </c>
      <c r="F70" s="43">
        <f t="shared" si="18"/>
        <v>1.2491151134933931</v>
      </c>
      <c r="H70" s="39">
        <f t="shared" si="25"/>
        <v>8.8421917223341122</v>
      </c>
      <c r="I70" s="39">
        <f t="shared" si="25"/>
        <v>9.5456167093095399</v>
      </c>
      <c r="J70" s="39">
        <f t="shared" si="25"/>
        <v>8.4615154665111554</v>
      </c>
      <c r="K70" s="39">
        <f t="shared" si="25"/>
        <v>9.1500429371425671</v>
      </c>
      <c r="L70" s="39">
        <f t="shared" si="25"/>
        <v>9.6308825929912647</v>
      </c>
    </row>
    <row r="71" spans="1:12" x14ac:dyDescent="0.2">
      <c r="A71" t="str">
        <f>A28</f>
        <v>Finance and insurance</v>
      </c>
      <c r="B71" s="39">
        <f t="shared" si="24"/>
        <v>-1.3015084234586416</v>
      </c>
      <c r="C71" s="43">
        <f t="shared" si="24"/>
        <v>-7.0390206578374475</v>
      </c>
      <c r="D71" s="39">
        <f t="shared" si="24"/>
        <v>0.68705035594771591</v>
      </c>
      <c r="E71" s="39">
        <f t="shared" si="24"/>
        <v>2.0492624436752038E-2</v>
      </c>
      <c r="F71" s="43">
        <f t="shared" si="18"/>
        <v>0.24218678956147155</v>
      </c>
      <c r="H71" s="39">
        <f t="shared" si="25"/>
        <v>8.2039111924476984</v>
      </c>
      <c r="I71" s="39">
        <f t="shared" si="25"/>
        <v>8.054033016530056</v>
      </c>
      <c r="J71" s="39">
        <f t="shared" si="25"/>
        <v>7.667677509127568</v>
      </c>
      <c r="K71" s="39">
        <f t="shared" si="25"/>
        <v>7.8599559771592169</v>
      </c>
      <c r="L71" s="39">
        <f t="shared" si="25"/>
        <v>7.5122704392221422</v>
      </c>
    </row>
    <row r="72" spans="1:12" x14ac:dyDescent="0.2">
      <c r="A72" t="str">
        <f t="shared" ref="A72:A76" si="26">A29</f>
        <v>Real estate</v>
      </c>
      <c r="B72" s="39">
        <f t="shared" ref="B72:E72" si="27">IF(AND(C$5-B$5 &lt;&gt; 0,B29&lt;&gt;0,C29&lt;&gt;0),(EXP(LN(C29/B29)/(C$5-B$5))-1)*100,0)</f>
        <v>3.7756259110830248</v>
      </c>
      <c r="C72" s="43">
        <f t="shared" si="27"/>
        <v>-9.0579710146132975</v>
      </c>
      <c r="D72" s="39">
        <f t="shared" si="27"/>
        <v>-5.6055055027459666E-2</v>
      </c>
      <c r="E72" s="39">
        <f t="shared" si="27"/>
        <v>1.3581445940184178</v>
      </c>
      <c r="F72" s="43">
        <f t="shared" si="18"/>
        <v>0.88453515462685317</v>
      </c>
      <c r="H72" s="39">
        <f t="shared" ref="H72:L72" si="28">(B29/B$25)*100</f>
        <v>5.5206876877078619</v>
      </c>
      <c r="I72" s="39">
        <f t="shared" si="28"/>
        <v>6.6240716115736271</v>
      </c>
      <c r="J72" s="39">
        <f t="shared" si="28"/>
        <v>6.1693498832411722</v>
      </c>
      <c r="K72" s="39">
        <f t="shared" si="28"/>
        <v>6.0941062668608712</v>
      </c>
      <c r="L72" s="39">
        <f t="shared" si="28"/>
        <v>6.6520844055339392</v>
      </c>
    </row>
    <row r="73" spans="1:12" x14ac:dyDescent="0.2">
      <c r="A73" t="str">
        <f t="shared" si="26"/>
        <v>Professional services</v>
      </c>
      <c r="B73" s="39">
        <f t="shared" ref="B73:E73" si="29">IF(AND(C$5-B$5 &lt;&gt; 0,B30&lt;&gt;0,C30&lt;&gt;0),(EXP(LN(C30/B30)/(C$5-B$5))-1)*100,0)</f>
        <v>-4.0136105118165126</v>
      </c>
      <c r="C73" s="43">
        <f t="shared" si="29"/>
        <v>4.2531667840278509</v>
      </c>
      <c r="D73" s="39">
        <f t="shared" si="29"/>
        <v>0.54693827468619283</v>
      </c>
      <c r="E73" s="39">
        <f t="shared" si="29"/>
        <v>0.53669682768811011</v>
      </c>
      <c r="F73" s="43">
        <f t="shared" si="18"/>
        <v>0.54011052744145083</v>
      </c>
      <c r="H73" s="39">
        <f t="shared" ref="H73:L73" si="30">(B30/B$25)*100</f>
        <v>25.190136120277817</v>
      </c>
      <c r="I73" s="39">
        <f t="shared" si="30"/>
        <v>22.121752667529478</v>
      </c>
      <c r="J73" s="39">
        <f t="shared" si="30"/>
        <v>23.618838206509636</v>
      </c>
      <c r="K73" s="39">
        <f t="shared" si="30"/>
        <v>24.043127926293902</v>
      </c>
      <c r="L73" s="39">
        <f t="shared" si="30"/>
        <v>24.193477524245306</v>
      </c>
    </row>
    <row r="74" spans="1:12" x14ac:dyDescent="0.2">
      <c r="A74" t="str">
        <f t="shared" si="26"/>
        <v>Support services</v>
      </c>
      <c r="B74" s="39">
        <f t="shared" ref="B74:E74" si="31">IF(AND(C$5-B$5 &lt;&gt; 0,B31&lt;&gt;0,C31&lt;&gt;0),(EXP(LN(C31/B31)/(C$5-B$5))-1)*100,0)</f>
        <v>1.0579950458502685</v>
      </c>
      <c r="C74" s="43">
        <f t="shared" si="31"/>
        <v>-1.8638137533619203</v>
      </c>
      <c r="D74" s="39">
        <f t="shared" si="31"/>
        <v>0.3889182687127013</v>
      </c>
      <c r="E74" s="39">
        <f t="shared" si="31"/>
        <v>0.36828284293870528</v>
      </c>
      <c r="F74" s="43">
        <f t="shared" si="18"/>
        <v>0.37516084685238482</v>
      </c>
      <c r="H74" s="39">
        <f>(B31/B$25)*100</f>
        <v>26.802766300516261</v>
      </c>
      <c r="I74" s="39">
        <f t="shared" ref="I74:L74" si="32">(C31/C$25)*100</f>
        <v>28.920961307710328</v>
      </c>
      <c r="J74" s="39">
        <f t="shared" si="32"/>
        <v>29.066426633118731</v>
      </c>
      <c r="K74" s="39">
        <f t="shared" si="32"/>
        <v>29.356799031323167</v>
      </c>
      <c r="L74" s="39">
        <f t="shared" si="32"/>
        <v>29.04924494408192</v>
      </c>
    </row>
    <row r="75" spans="1:12" x14ac:dyDescent="0.2">
      <c r="A75" t="str">
        <f t="shared" si="26"/>
        <v>Arts and entertainment</v>
      </c>
      <c r="B75" s="39">
        <f t="shared" ref="B75:E75" si="33">IF(AND(C$5-B$5 &lt;&gt; 0,B32&lt;&gt;0,C32&lt;&gt;0),(EXP(LN(C32/B32)/(C$5-B$5))-1)*100,0)</f>
        <v>1.0699546670316362</v>
      </c>
      <c r="C75" s="43">
        <f t="shared" si="33"/>
        <v>-6.1884669480781191</v>
      </c>
      <c r="D75" s="39">
        <f t="shared" si="33"/>
        <v>0.63920726661748084</v>
      </c>
      <c r="E75" s="39">
        <f t="shared" si="33"/>
        <v>0.90254940906500103</v>
      </c>
      <c r="F75" s="43">
        <f t="shared" si="18"/>
        <v>0.81469221869561181</v>
      </c>
      <c r="H75" s="39">
        <f t="shared" ref="H75:L75" si="34">(B32/B$25)*100</f>
        <v>10.466734800165746</v>
      </c>
      <c r="I75" s="39">
        <f t="shared" si="34"/>
        <v>11.299257289348057</v>
      </c>
      <c r="J75" s="39">
        <f t="shared" si="34"/>
        <v>10.855651030244459</v>
      </c>
      <c r="K75" s="39">
        <f t="shared" si="34"/>
        <v>11.101459861277069</v>
      </c>
      <c r="L75" s="39">
        <f t="shared" si="34"/>
        <v>11.584110565797955</v>
      </c>
    </row>
    <row r="76" spans="1:12" x14ac:dyDescent="0.2">
      <c r="A76" t="str">
        <f t="shared" si="26"/>
        <v>Other services</v>
      </c>
      <c r="B76" s="39">
        <f t="shared" ref="B76:E76" si="35">IF(AND(C$5-B$5 &lt;&gt; 0,B33&lt;&gt;0,C33&lt;&gt;0),(EXP(LN(C33/B33)/(C$5-B$5))-1)*100,0)</f>
        <v>-5.1843391945487376</v>
      </c>
      <c r="C76" s="43">
        <f t="shared" si="35"/>
        <v>4.5232046583299823</v>
      </c>
      <c r="D76" s="39">
        <f t="shared" si="35"/>
        <v>-3.0301302335023816</v>
      </c>
      <c r="E76" s="39">
        <f t="shared" si="35"/>
        <v>-0.5510244794087793</v>
      </c>
      <c r="F76" s="43">
        <f t="shared" si="18"/>
        <v>-1.3843564590900193</v>
      </c>
      <c r="H76" s="39">
        <f t="shared" ref="H76:L76" si="36">(B33/B$25)*100</f>
        <v>12.520455699754418</v>
      </c>
      <c r="I76" s="39">
        <f t="shared" si="36"/>
        <v>10.468653715253311</v>
      </c>
      <c r="J76" s="39">
        <f t="shared" si="36"/>
        <v>11.206069040626902</v>
      </c>
      <c r="K76" s="39">
        <f t="shared" si="36"/>
        <v>9.517558145916178</v>
      </c>
      <c r="L76" s="39">
        <f t="shared" si="36"/>
        <v>8.5899351016064998</v>
      </c>
    </row>
    <row r="77" spans="1:12" x14ac:dyDescent="0.2">
      <c r="B77" s="39"/>
      <c r="C77" s="43"/>
      <c r="D77" s="39"/>
      <c r="E77" s="39"/>
      <c r="F77" s="43"/>
      <c r="H77" s="39"/>
      <c r="I77" s="39"/>
      <c r="J77" s="39"/>
      <c r="K77" s="39"/>
      <c r="L77" s="39"/>
    </row>
    <row r="78" spans="1:12" s="29" customFormat="1" x14ac:dyDescent="0.2">
      <c r="A78" s="29" t="str">
        <f>A35</f>
        <v>Non-marketed services</v>
      </c>
      <c r="B78" s="43">
        <f t="shared" ref="B78:E79" si="37">IF(AND(C$5-B$5 &lt;&gt; 0,B35&lt;&gt;0,C35&lt;&gt;0),(EXP(LN(C35/B35)/(C$5-B$5))-1)*100,0)</f>
        <v>-1.047242309926788</v>
      </c>
      <c r="C78" s="43">
        <f t="shared" ref="C78:C83" si="38">IF(AND(D$5-C$5 &lt;&gt; 0,C35&lt;&gt;0,D35&lt;&gt;0),(EXP(LN(D35/C35)/(D$5-C$5))-1)*100,0)</f>
        <v>3.9442905467615974</v>
      </c>
      <c r="D78" s="43">
        <f t="shared" si="37"/>
        <v>0.93310999263715999</v>
      </c>
      <c r="E78" s="43">
        <f t="shared" si="37"/>
        <v>0.49920231999907028</v>
      </c>
      <c r="F78" s="43">
        <f t="shared" si="18"/>
        <v>0.64363055244627265</v>
      </c>
      <c r="H78" s="43">
        <f>(B35/B$40)*100</f>
        <v>30.459144342295186</v>
      </c>
      <c r="I78" s="43">
        <f>(C35/C$40)*100</f>
        <v>29.51681692039476</v>
      </c>
      <c r="J78" s="43">
        <f>(D35/D$40)*100</f>
        <v>30.823676008371365</v>
      </c>
      <c r="K78" s="43">
        <f>(E35/E$40)*100</f>
        <v>31.769657900992314</v>
      </c>
      <c r="L78" s="43">
        <f>(F35/F$40)*100</f>
        <v>32.264745639095011</v>
      </c>
    </row>
    <row r="79" spans="1:12" x14ac:dyDescent="0.2">
      <c r="A79" t="str">
        <f>A36</f>
        <v>Public admin. and defence</v>
      </c>
      <c r="B79" s="39">
        <f t="shared" si="37"/>
        <v>0.38761273319132261</v>
      </c>
      <c r="C79" s="43">
        <f t="shared" si="38"/>
        <v>2.8930083201135215</v>
      </c>
      <c r="D79" s="39">
        <f t="shared" si="37"/>
        <v>-0.4997785897437268</v>
      </c>
      <c r="E79" s="39">
        <f t="shared" si="37"/>
        <v>0.10870623010668101</v>
      </c>
      <c r="F79" s="43">
        <f t="shared" si="18"/>
        <v>-9.4534382869071454E-2</v>
      </c>
      <c r="H79" s="39">
        <f>(B36/B$35)*100</f>
        <v>18.338154060301925</v>
      </c>
      <c r="I79" s="39">
        <f t="shared" ref="I79:L81" si="39">(C36/C$35)*100</f>
        <v>19.425156016448728</v>
      </c>
      <c r="J79" s="39">
        <f t="shared" si="39"/>
        <v>19.228691918588812</v>
      </c>
      <c r="K79" s="39">
        <f t="shared" si="39"/>
        <v>17.902006125118628</v>
      </c>
      <c r="L79" s="39">
        <f t="shared" si="39"/>
        <v>17.218449524389179</v>
      </c>
    </row>
    <row r="80" spans="1:12" x14ac:dyDescent="0.2">
      <c r="A80" t="str">
        <f>A37</f>
        <v>Education</v>
      </c>
      <c r="B80" s="39">
        <f t="shared" ref="B80:E81" si="40">IF(AND(C$5-B$5 &lt;&gt; 0,B37&lt;&gt;0,C37&lt;&gt;0),(EXP(LN(C37/B37)/(C$5-B$5))-1)*100,0)</f>
        <v>-0.18127577419465579</v>
      </c>
      <c r="C80" s="43">
        <f t="shared" si="38"/>
        <v>-3.149591667895757</v>
      </c>
      <c r="D80" s="39">
        <f t="shared" si="40"/>
        <v>1.2514392622389625</v>
      </c>
      <c r="E80" s="39">
        <f t="shared" si="40"/>
        <v>0.34053450384337047</v>
      </c>
      <c r="F80" s="43">
        <f t="shared" si="18"/>
        <v>0.64325521662738083</v>
      </c>
      <c r="H80" s="39">
        <f>(B37/B$35)*100</f>
        <v>29.472674090102878</v>
      </c>
      <c r="I80" s="39">
        <f t="shared" si="39"/>
        <v>30.517994709669622</v>
      </c>
      <c r="J80" s="39">
        <f t="shared" si="39"/>
        <v>28.435234235196621</v>
      </c>
      <c r="K80" s="39">
        <f t="shared" si="39"/>
        <v>28.886475843803836</v>
      </c>
      <c r="L80" s="39">
        <f t="shared" si="39"/>
        <v>28.433643600510383</v>
      </c>
    </row>
    <row r="81" spans="1:12" x14ac:dyDescent="0.2">
      <c r="A81" t="str">
        <f>A38</f>
        <v>Health and social work</v>
      </c>
      <c r="B81" s="39">
        <f>IF(AND(C$5-B$5 &lt;&gt; 0,B38&lt;&gt;0,C38&lt;&gt;0),(EXP(LN(C38/B38)/(C$5-B$5))-1)*100,0)</f>
        <v>-2.0738504995497231</v>
      </c>
      <c r="C81" s="43">
        <f t="shared" si="38"/>
        <v>8.6771569697289053</v>
      </c>
      <c r="D81" s="39">
        <f t="shared" si="40"/>
        <v>1.26854191349135</v>
      </c>
      <c r="E81" s="39">
        <f t="shared" si="40"/>
        <v>0.71179396866518641</v>
      </c>
      <c r="F81" s="43">
        <f t="shared" si="18"/>
        <v>0.89703568831791536</v>
      </c>
      <c r="H81" s="39">
        <f>(B38/B$35)*100</f>
        <v>52.189171849595184</v>
      </c>
      <c r="I81" s="39">
        <f t="shared" si="39"/>
        <v>50.056849273881667</v>
      </c>
      <c r="J81" s="39">
        <f t="shared" si="39"/>
        <v>52.336073846214568</v>
      </c>
      <c r="K81" s="39">
        <f t="shared" si="39"/>
        <v>53.211518031077532</v>
      </c>
      <c r="L81" s="39">
        <f t="shared" si="39"/>
        <v>54.347906875100449</v>
      </c>
    </row>
    <row r="82" spans="1:12" x14ac:dyDescent="0.2">
      <c r="B82" s="39"/>
      <c r="C82" s="43"/>
      <c r="D82" s="39"/>
      <c r="E82" s="39"/>
      <c r="F82" s="43"/>
      <c r="H82" s="39"/>
      <c r="I82" s="39"/>
      <c r="J82" s="39"/>
      <c r="K82" s="39"/>
      <c r="L82" s="39"/>
    </row>
    <row r="83" spans="1:12" x14ac:dyDescent="0.2">
      <c r="A83" s="23" t="str">
        <f>A40</f>
        <v>All industries</v>
      </c>
      <c r="B83" s="42">
        <f>IF(AND(C$5-B$5 &lt;&gt; 0,B40&lt;&gt;0,C40&lt;&gt;0),(EXP(LN(C40/B40)/(C$5-B$5))-1)*100,0)</f>
        <v>-0.26675580585351355</v>
      </c>
      <c r="C83" s="206">
        <f t="shared" si="38"/>
        <v>-0.46272893746290844</v>
      </c>
      <c r="D83" s="42">
        <f>IF(AND(E$5-D$5 &lt;&gt; 0,D40&lt;&gt;0,E40&lt;&gt;0),(EXP(LN(E40/D40)/(E$5-D$5))-1)*100,0)</f>
        <v>0.32473787001081611</v>
      </c>
      <c r="E83" s="42">
        <f>IF(AND(F$5-E$5 &lt;&gt; 0,E40&lt;&gt;0,F40&lt;&gt;0),(EXP(LN(F40/E40)/(F$5-E$5))-1)*100,0)</f>
        <v>0.34391559747728451</v>
      </c>
      <c r="F83" s="206">
        <f t="shared" si="18"/>
        <v>0.33752261436221787</v>
      </c>
      <c r="G83" s="23"/>
      <c r="H83" s="42">
        <f>(B40/B$40)*100</f>
        <v>100</v>
      </c>
      <c r="I83" s="42">
        <f>(C40/C$40)*100</f>
        <v>100</v>
      </c>
      <c r="J83" s="42">
        <f>(D40/D$40)*100</f>
        <v>100</v>
      </c>
      <c r="K83" s="42">
        <f>(E40/E$40)*100</f>
        <v>100</v>
      </c>
      <c r="L83" s="42">
        <f>(F40/F$40)*100</f>
        <v>100</v>
      </c>
    </row>
    <row r="86" spans="1:12" x14ac:dyDescent="0.2">
      <c r="A86" s="35"/>
      <c r="B86" s="27" t="s">
        <v>14</v>
      </c>
      <c r="C86" s="27"/>
    </row>
    <row r="87" spans="1:12" x14ac:dyDescent="0.2">
      <c r="A87" s="23"/>
      <c r="B87" s="36" t="str">
        <f>B5&amp;"-"&amp;D5</f>
        <v>2015-2020</v>
      </c>
      <c r="C87" s="36" t="str">
        <f>F48</f>
        <v>2020-2035</v>
      </c>
    </row>
    <row r="89" spans="1:12" x14ac:dyDescent="0.2">
      <c r="A89" s="29" t="str">
        <f>A7</f>
        <v>Primary sector and utilities</v>
      </c>
      <c r="B89" s="43">
        <f>IF(AND(D$5-B$5 &lt;&gt; 0,B7&lt;&gt;0,D7&lt;&gt;0),(EXP(LN(D7/B7)/(D$5-B$5))-1)*100,0)</f>
        <v>4.2835634656757993</v>
      </c>
      <c r="C89" s="43">
        <f>IF(AND(F$5-D$5 &lt;&gt; 0,D7&lt;&gt;0,F7&lt;&gt;0),(EXP(LN(F7/D7)/(F$5-D$5))-1)*100,0)</f>
        <v>8.9544589846579647E-2</v>
      </c>
    </row>
    <row r="90" spans="1:12" x14ac:dyDescent="0.2">
      <c r="A90" s="29" t="str">
        <f t="shared" ref="A90:A122" si="41">A8</f>
        <v>Agriculture</v>
      </c>
      <c r="B90" s="43">
        <f t="shared" ref="B90:B122" si="42">IF(AND(D$5-B$5 &lt;&gt; 0,B8&lt;&gt;0,D8&lt;&gt;0),(EXP(LN(D8/B8)/(D$5-B$5))-1)*100,0)</f>
        <v>-6.3395119861210265</v>
      </c>
      <c r="C90" s="43">
        <f t="shared" ref="C90:C122" si="43">IF(AND(F$5-D$5 &lt;&gt; 0,D8&lt;&gt;0,F8&lt;&gt;0),(EXP(LN(F8/D8)/(F$5-D$5))-1)*100,0)</f>
        <v>0.41458262232376697</v>
      </c>
    </row>
    <row r="91" spans="1:12" x14ac:dyDescent="0.2">
      <c r="A91" s="29" t="str">
        <f t="shared" si="41"/>
        <v>Mining and quarrying</v>
      </c>
      <c r="B91" s="43">
        <f t="shared" si="42"/>
        <v>-3.119892028641158</v>
      </c>
      <c r="C91" s="43">
        <f t="shared" si="43"/>
        <v>-1.7107740893458234</v>
      </c>
    </row>
    <row r="92" spans="1:12" x14ac:dyDescent="0.2">
      <c r="A92" s="29" t="str">
        <f t="shared" si="41"/>
        <v>Electricity and gas</v>
      </c>
      <c r="B92" s="43">
        <f t="shared" si="42"/>
        <v>19.798069565040976</v>
      </c>
      <c r="C92" s="43">
        <f t="shared" si="43"/>
        <v>1.4315559427879876E-2</v>
      </c>
    </row>
    <row r="93" spans="1:12" x14ac:dyDescent="0.2">
      <c r="A93" s="29" t="str">
        <f t="shared" si="41"/>
        <v>Water and sewerage</v>
      </c>
      <c r="B93" s="43">
        <f t="shared" si="42"/>
        <v>3.1233265573671787</v>
      </c>
      <c r="C93" s="43">
        <f t="shared" si="43"/>
        <v>0.32730901270849877</v>
      </c>
    </row>
    <row r="94" spans="1:12" x14ac:dyDescent="0.2">
      <c r="A94" s="29"/>
      <c r="B94" s="43"/>
      <c r="C94" s="43"/>
    </row>
    <row r="95" spans="1:12" x14ac:dyDescent="0.2">
      <c r="A95" s="29" t="str">
        <f t="shared" si="41"/>
        <v>Manufacturing</v>
      </c>
      <c r="B95" s="43">
        <f t="shared" si="42"/>
        <v>-3.3402817243805893</v>
      </c>
      <c r="C95" s="43">
        <f t="shared" si="43"/>
        <v>-0.77598144890543841</v>
      </c>
    </row>
    <row r="96" spans="1:12" x14ac:dyDescent="0.2">
      <c r="A96" s="29" t="str">
        <f t="shared" si="41"/>
        <v>Food drink and tobacco</v>
      </c>
      <c r="B96" s="43">
        <f t="shared" si="42"/>
        <v>1.5176270549353443</v>
      </c>
      <c r="C96" s="43">
        <f t="shared" si="43"/>
        <v>-0.14033962672496125</v>
      </c>
    </row>
    <row r="97" spans="1:3" x14ac:dyDescent="0.2">
      <c r="A97" s="29" t="str">
        <f t="shared" si="41"/>
        <v>Engineering</v>
      </c>
      <c r="B97" s="43">
        <f t="shared" si="42"/>
        <v>-3.759906448778727</v>
      </c>
      <c r="C97" s="43">
        <f t="shared" si="43"/>
        <v>-0.34137129465912075</v>
      </c>
    </row>
    <row r="98" spans="1:3" x14ac:dyDescent="0.2">
      <c r="A98" s="29" t="str">
        <f t="shared" si="41"/>
        <v>Rest of manufacturing</v>
      </c>
      <c r="B98" s="43">
        <f t="shared" si="42"/>
        <v>-3.9189889924450272</v>
      </c>
      <c r="C98" s="43">
        <f t="shared" si="43"/>
        <v>-0.98821092473546646</v>
      </c>
    </row>
    <row r="99" spans="1:3" x14ac:dyDescent="0.2">
      <c r="A99" s="29"/>
      <c r="B99" s="43"/>
      <c r="C99" s="43"/>
    </row>
    <row r="100" spans="1:3" x14ac:dyDescent="0.2">
      <c r="A100" s="29" t="str">
        <f t="shared" si="41"/>
        <v>Construction</v>
      </c>
      <c r="B100" s="43">
        <f t="shared" si="42"/>
        <v>0.64048668023506394</v>
      </c>
      <c r="C100" s="43">
        <f t="shared" si="43"/>
        <v>-0.27602754268255536</v>
      </c>
    </row>
    <row r="101" spans="1:3" x14ac:dyDescent="0.2">
      <c r="A101" s="29"/>
      <c r="B101" s="43"/>
      <c r="C101" s="43"/>
    </row>
    <row r="102" spans="1:3" x14ac:dyDescent="0.2">
      <c r="A102" s="29" t="str">
        <f t="shared" si="41"/>
        <v>Trade, accomod. and transport</v>
      </c>
      <c r="B102" s="43">
        <f t="shared" si="42"/>
        <v>0.81821529615699884</v>
      </c>
      <c r="C102" s="43">
        <f t="shared" si="43"/>
        <v>0.41642035856557236</v>
      </c>
    </row>
    <row r="103" spans="1:3" x14ac:dyDescent="0.2">
      <c r="A103" s="29" t="str">
        <f t="shared" si="41"/>
        <v>Wholesale and retail trade</v>
      </c>
      <c r="B103" s="43">
        <f t="shared" si="42"/>
        <v>-0.50689431032212573</v>
      </c>
      <c r="C103" s="43">
        <f t="shared" si="43"/>
        <v>-1.2906663332756807E-3</v>
      </c>
    </row>
    <row r="104" spans="1:3" x14ac:dyDescent="0.2">
      <c r="A104" s="29" t="str">
        <f t="shared" si="41"/>
        <v>Transport and storage</v>
      </c>
      <c r="B104" s="43">
        <f t="shared" si="42"/>
        <v>3.8047577490901041</v>
      </c>
      <c r="C104" s="43">
        <f t="shared" si="43"/>
        <v>0.28306204486863162</v>
      </c>
    </row>
    <row r="105" spans="1:3" x14ac:dyDescent="0.2">
      <c r="A105" s="29" t="str">
        <f t="shared" si="41"/>
        <v>Accommodation and food</v>
      </c>
      <c r="B105" s="43">
        <f t="shared" si="42"/>
        <v>1.5641465017990352</v>
      </c>
      <c r="C105" s="43">
        <f t="shared" si="43"/>
        <v>1.2032894481447398</v>
      </c>
    </row>
    <row r="106" spans="1:3" x14ac:dyDescent="0.2">
      <c r="A106" s="29"/>
      <c r="B106" s="43"/>
      <c r="C106" s="43"/>
    </row>
    <row r="107" spans="1:3" x14ac:dyDescent="0.2">
      <c r="A107" s="29" t="str">
        <f t="shared" si="41"/>
        <v>Business and other services</v>
      </c>
      <c r="B107" s="43">
        <f t="shared" si="42"/>
        <v>-1.1492491057750742</v>
      </c>
      <c r="C107" s="43">
        <f t="shared" si="43"/>
        <v>0.37911766560443372</v>
      </c>
    </row>
    <row r="108" spans="1:3" x14ac:dyDescent="0.2">
      <c r="A108" s="29" t="str">
        <f t="shared" si="41"/>
        <v>Media</v>
      </c>
      <c r="B108" s="43">
        <f t="shared" si="42"/>
        <v>2.5964470429385322</v>
      </c>
      <c r="C108" s="43">
        <f t="shared" si="43"/>
        <v>-8.2490936038182028E-3</v>
      </c>
    </row>
    <row r="109" spans="1:3" x14ac:dyDescent="0.2">
      <c r="A109" s="29" t="str">
        <f t="shared" si="41"/>
        <v>Information technology</v>
      </c>
      <c r="B109" s="43">
        <f t="shared" si="42"/>
        <v>-2.0154465518005371</v>
      </c>
      <c r="C109" s="43">
        <f t="shared" si="43"/>
        <v>1.2491151134933931</v>
      </c>
    </row>
    <row r="110" spans="1:3" x14ac:dyDescent="0.2">
      <c r="A110" s="29" t="str">
        <f t="shared" si="41"/>
        <v>Finance and insurance</v>
      </c>
      <c r="B110" s="43">
        <f t="shared" si="42"/>
        <v>-2.4766636683457466</v>
      </c>
      <c r="C110" s="43">
        <f t="shared" si="43"/>
        <v>0.24218678956147155</v>
      </c>
    </row>
    <row r="111" spans="1:3" x14ac:dyDescent="0.2">
      <c r="A111" s="29" t="str">
        <f t="shared" si="41"/>
        <v>Real estate</v>
      </c>
      <c r="B111" s="43">
        <f t="shared" si="42"/>
        <v>1.0716177464500598</v>
      </c>
      <c r="C111" s="43">
        <f t="shared" si="43"/>
        <v>0.88453515462685317</v>
      </c>
    </row>
    <row r="112" spans="1:3" x14ac:dyDescent="0.2">
      <c r="A112" s="29" t="str">
        <f t="shared" si="41"/>
        <v>Professional services</v>
      </c>
      <c r="B112" s="43">
        <f t="shared" si="42"/>
        <v>-2.4144361008234583</v>
      </c>
      <c r="C112" s="43">
        <f t="shared" si="43"/>
        <v>0.54011052744145083</v>
      </c>
    </row>
    <row r="113" spans="1:3" x14ac:dyDescent="0.2">
      <c r="A113" s="29" t="str">
        <f t="shared" si="41"/>
        <v>Support services</v>
      </c>
      <c r="B113" s="43">
        <f t="shared" si="42"/>
        <v>0.46675555228361532</v>
      </c>
      <c r="C113" s="43">
        <f t="shared" si="43"/>
        <v>0.37516084685238482</v>
      </c>
    </row>
    <row r="114" spans="1:3" x14ac:dyDescent="0.2">
      <c r="A114" s="29" t="str">
        <f t="shared" si="41"/>
        <v>Arts and entertainment</v>
      </c>
      <c r="B114" s="43">
        <f t="shared" si="42"/>
        <v>-0.4253236782690184</v>
      </c>
      <c r="C114" s="43">
        <f t="shared" si="43"/>
        <v>0.81469221869561181</v>
      </c>
    </row>
    <row r="115" spans="1:3" x14ac:dyDescent="0.2">
      <c r="A115" s="29" t="str">
        <f t="shared" si="41"/>
        <v>Other services</v>
      </c>
      <c r="B115" s="43">
        <f t="shared" si="42"/>
        <v>-3.317782180363904</v>
      </c>
      <c r="C115" s="43">
        <f t="shared" si="43"/>
        <v>-1.3843564590900193</v>
      </c>
    </row>
    <row r="116" spans="1:3" x14ac:dyDescent="0.2">
      <c r="A116" s="29"/>
      <c r="B116" s="43"/>
      <c r="C116" s="43"/>
    </row>
    <row r="117" spans="1:3" x14ac:dyDescent="0.2">
      <c r="A117" s="29" t="str">
        <f t="shared" si="41"/>
        <v>Non-marketed services</v>
      </c>
      <c r="B117" s="43">
        <f t="shared" si="42"/>
        <v>-6.8490082344629943E-2</v>
      </c>
      <c r="C117" s="43">
        <f t="shared" si="43"/>
        <v>0.64363055244627265</v>
      </c>
    </row>
    <row r="118" spans="1:3" x14ac:dyDescent="0.2">
      <c r="A118" s="29" t="str">
        <f t="shared" si="41"/>
        <v>Public admin. and defence</v>
      </c>
      <c r="B118" s="43">
        <f t="shared" si="42"/>
        <v>0.88376325475427731</v>
      </c>
      <c r="C118" s="43">
        <f t="shared" si="43"/>
        <v>-9.4534382869071454E-2</v>
      </c>
    </row>
    <row r="119" spans="1:3" x14ac:dyDescent="0.2">
      <c r="A119" s="29" t="str">
        <f t="shared" si="41"/>
        <v>Education</v>
      </c>
      <c r="B119" s="43">
        <f t="shared" si="42"/>
        <v>-0.7821291498766425</v>
      </c>
      <c r="C119" s="43">
        <f t="shared" si="43"/>
        <v>0.64325521662738083</v>
      </c>
    </row>
    <row r="120" spans="1:3" x14ac:dyDescent="0.2">
      <c r="A120" s="29" t="str">
        <f t="shared" si="41"/>
        <v>Health and social work</v>
      </c>
      <c r="B120" s="43">
        <f t="shared" si="42"/>
        <v>-1.2295906347747909E-2</v>
      </c>
      <c r="C120" s="43">
        <f t="shared" si="43"/>
        <v>0.89703568831791536</v>
      </c>
    </row>
    <row r="121" spans="1:3" x14ac:dyDescent="0.2">
      <c r="A121" s="29"/>
      <c r="B121" s="43"/>
      <c r="C121" s="43"/>
    </row>
    <row r="122" spans="1:3" x14ac:dyDescent="0.2">
      <c r="A122" s="344" t="str">
        <f t="shared" si="41"/>
        <v>All industries</v>
      </c>
      <c r="B122" s="206">
        <f t="shared" si="42"/>
        <v>-0.30598127509877671</v>
      </c>
      <c r="C122" s="206">
        <f t="shared" si="43"/>
        <v>0.33752261436221787</v>
      </c>
    </row>
  </sheetData>
  <phoneticPr fontId="4" type="noConversion"/>
  <pageMargins left="0.75" right="0.75" top="1" bottom="1" header="0.5" footer="0.5"/>
  <pageSetup paperSize="9" scale="83" orientation="landscape" r:id="rId1"/>
  <headerFooter alignWithMargins="0"/>
  <rowBreaks count="2" manualBreakCount="2">
    <brk id="43" max="11" man="1"/>
    <brk id="84" max="11" man="1"/>
  </rowBreaks>
  <ignoredErrors>
    <ignoredError sqref="I6 I39" formula="1"/>
  </ignoredErrors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60"/>
  <dimension ref="A1:Q577"/>
  <sheetViews>
    <sheetView showGridLines="0" zoomScale="85" zoomScaleNormal="85" workbookViewId="0"/>
  </sheetViews>
  <sheetFormatPr defaultColWidth="9.140625" defaultRowHeight="12.75" x14ac:dyDescent="0.2"/>
  <cols>
    <col min="1" max="1" width="22.140625" style="282" customWidth="1"/>
    <col min="2" max="2" width="9.140625" style="283"/>
    <col min="3" max="3" width="9.28515625" style="282" customWidth="1"/>
    <col min="4" max="4" width="9.140625" style="283"/>
    <col min="5" max="5" width="9.28515625" style="282" customWidth="1"/>
    <col min="6" max="6" width="9.140625" style="283"/>
    <col min="7" max="7" width="9.28515625" style="282" customWidth="1"/>
    <col min="8" max="8" width="9.140625" style="283"/>
    <col min="9" max="9" width="9.28515625" style="282" customWidth="1"/>
    <col min="10" max="10" width="5.5703125" style="282" customWidth="1"/>
    <col min="11" max="14" width="9.28515625" style="283" customWidth="1"/>
    <col min="15" max="16384" width="9.140625" style="282"/>
  </cols>
  <sheetData>
    <row r="1" spans="1:17" ht="15.75" x14ac:dyDescent="0.25">
      <c r="A1" s="18" t="str">
        <f>CONCATENATE("Industry Table 5  Employment status by Industry (SIC 2007) and Gender, ",A$8,"-",A$18,", ",Info!B5)</f>
        <v>Industry Table 5  Employment status by Industry (SIC 2007) and Gender, 2020-2035, North East</v>
      </c>
    </row>
    <row r="2" spans="1:17" x14ac:dyDescent="0.2">
      <c r="A2" s="1" t="s">
        <v>532</v>
      </c>
    </row>
    <row r="5" spans="1:17" x14ac:dyDescent="0.2">
      <c r="A5" s="288"/>
      <c r="B5" s="289" t="s">
        <v>379</v>
      </c>
      <c r="C5" s="288"/>
      <c r="D5" s="289"/>
      <c r="E5" s="288"/>
      <c r="F5" s="289" t="str">
        <f>name!B3</f>
        <v>All industries</v>
      </c>
      <c r="G5" s="288"/>
      <c r="H5" s="291"/>
      <c r="I5" s="288"/>
      <c r="J5" s="290"/>
      <c r="K5" s="291"/>
      <c r="L5" s="291"/>
      <c r="M5" s="291"/>
      <c r="N5" s="291"/>
    </row>
    <row r="6" spans="1:17" x14ac:dyDescent="0.2">
      <c r="N6" s="287" t="s">
        <v>377</v>
      </c>
    </row>
    <row r="7" spans="1:17" x14ac:dyDescent="0.2">
      <c r="A7" s="296" t="s">
        <v>378</v>
      </c>
      <c r="B7" s="370" t="s">
        <v>376</v>
      </c>
      <c r="C7" s="370"/>
      <c r="D7" s="370" t="s">
        <v>375</v>
      </c>
      <c r="E7" s="370"/>
      <c r="F7" s="370" t="s">
        <v>374</v>
      </c>
      <c r="G7" s="370"/>
      <c r="H7" s="370" t="s">
        <v>32</v>
      </c>
      <c r="I7" s="370"/>
      <c r="J7" s="296"/>
      <c r="K7" s="297" t="s">
        <v>339</v>
      </c>
      <c r="L7" s="297" t="s">
        <v>341</v>
      </c>
      <c r="M7" s="297" t="s">
        <v>337</v>
      </c>
      <c r="N7" s="297" t="s">
        <v>32</v>
      </c>
    </row>
    <row r="8" spans="1:17" x14ac:dyDescent="0.2">
      <c r="A8" s="286">
        <f>'Ind T6'!L5</f>
        <v>2020</v>
      </c>
      <c r="B8" s="287" t="s">
        <v>60</v>
      </c>
      <c r="C8" s="19" t="s">
        <v>373</v>
      </c>
      <c r="D8" s="287" t="s">
        <v>60</v>
      </c>
      <c r="E8" s="19" t="s">
        <v>373</v>
      </c>
      <c r="F8" s="287" t="s">
        <v>60</v>
      </c>
      <c r="G8" s="19" t="s">
        <v>373</v>
      </c>
      <c r="H8" s="287" t="s">
        <v>60</v>
      </c>
      <c r="I8" s="19" t="s">
        <v>373</v>
      </c>
      <c r="J8" s="181"/>
      <c r="K8" s="286" t="str">
        <f>CONCATENATE(A8," - ",A13)</f>
        <v>2020 - 2025</v>
      </c>
      <c r="L8" s="285"/>
      <c r="M8" s="285"/>
    </row>
    <row r="9" spans="1:17" x14ac:dyDescent="0.2">
      <c r="A9" s="282" t="s">
        <v>355</v>
      </c>
      <c r="B9" s="249">
        <f>SUM(B30,B51,B72,B93,B114,B135,B156,B177,B198,B219,B240,B261,B282,B303,B324,B345,B366,B387,B408,B429,B450,B471)</f>
        <v>428.20199999962961</v>
      </c>
      <c r="C9" s="299" t="str">
        <f>CONCATENATE("(",ROUND((B9/$H11)*100,1),")")</f>
        <v>(36)</v>
      </c>
      <c r="D9" s="249">
        <f>SUM(D30,D51,D72,D93,D114,D135,D156,D177,D198,D219,D240,D261,D282,D303,D324,D345,D366,D387,D408,D429,D450,D471)</f>
        <v>94.407000000011536</v>
      </c>
      <c r="E9" s="299" t="str">
        <f>CONCATENATE("(",ROUND((D9/$H11)*100,1),")")</f>
        <v>(7.9)</v>
      </c>
      <c r="F9" s="249">
        <f>SUM(F30,F51,F72,F93,F114,F135,F156,F177,F198,F219,F240,F261,F282,F303,F324,F345,F366,F387,F408,F429,F450,F471)</f>
        <v>68.816999999826308</v>
      </c>
      <c r="G9" s="299" t="str">
        <f>CONCATENATE("(",ROUND((F9/$H11)*100,1),")")</f>
        <v>(5.8)</v>
      </c>
      <c r="H9" s="249">
        <f>SUM(H30,H51,H72,H93,H114,H135,H156,H177,H198,H219,H240,H261,H282,H303,H324,H345,H366,H387,H408,H429,H450,H471)</f>
        <v>591.42599999946742</v>
      </c>
      <c r="I9" s="299" t="str">
        <f>CONCATENATE("(",ROUND((H9/$H11)*100,1),")")</f>
        <v>(49.7)</v>
      </c>
      <c r="K9" s="249">
        <f>B14-B9</f>
        <v>1.489000000868657</v>
      </c>
      <c r="L9" s="249">
        <f>D14-D9</f>
        <v>2.2109999996337422</v>
      </c>
      <c r="M9" s="249">
        <f>F14-F9</f>
        <v>0.92499999967652968</v>
      </c>
      <c r="N9" s="249">
        <f>SUM(K9:M9)</f>
        <v>4.6250000001789289</v>
      </c>
      <c r="O9" s="298"/>
      <c r="P9" s="298"/>
      <c r="Q9" s="298"/>
    </row>
    <row r="10" spans="1:17" x14ac:dyDescent="0.2">
      <c r="A10" s="282" t="s">
        <v>356</v>
      </c>
      <c r="B10" s="249">
        <f t="shared" ref="B10:B21" si="0">SUM(B31,B52,B73,B94,B115,B136,B157,B178,B199,B220,B241,B262,B283,B304,B325,B346,B367,B388,B409,B430,B451,B472)</f>
        <v>288.15000000067306</v>
      </c>
      <c r="C10" s="299" t="str">
        <f>CONCATENATE("(",ROUND((B10/$H11)*100,1),")")</f>
        <v>(24.2)</v>
      </c>
      <c r="D10" s="249">
        <f t="shared" ref="D10" si="1">SUM(D31,D52,D73,D94,D115,D136,D157,D178,D199,D220,D241,D262,D283,D304,D325,D346,D367,D388,D409,D430,D451,D472)</f>
        <v>258.79700000015578</v>
      </c>
      <c r="E10" s="299" t="str">
        <f>CONCATENATE("(",ROUND((D10/$H11)*100,1),")")</f>
        <v>(21.8)</v>
      </c>
      <c r="F10" s="249">
        <f t="shared" ref="F10" si="2">SUM(F31,F52,F73,F94,F115,F136,F157,F178,F199,F220,F241,F262,F283,F304,F325,F346,F367,F388,F409,F430,F451,F472)</f>
        <v>50.965999999993826</v>
      </c>
      <c r="G10" s="299" t="str">
        <f>CONCATENATE("(",ROUND((F10/$H11)*100,1),")")</f>
        <v>(4.3)</v>
      </c>
      <c r="H10" s="249">
        <f t="shared" ref="H10" si="3">SUM(H31,H52,H73,H94,H115,H136,H157,H178,H199,H220,H241,H262,H283,H304,H325,H346,H367,H388,H409,H430,H451,H472)</f>
        <v>597.91300000082265</v>
      </c>
      <c r="I10" s="299" t="str">
        <f>CONCATENATE("(",ROUND((H10/$H11)*100,1),")")</f>
        <v>(50.3)</v>
      </c>
      <c r="K10" s="249">
        <f t="shared" ref="K10:K11" si="4">B15-B10</f>
        <v>13.181999997219805</v>
      </c>
      <c r="L10" s="249">
        <f t="shared" ref="L10:L11" si="5">D15-D10</f>
        <v>1.9090000030675469</v>
      </c>
      <c r="M10" s="249">
        <f t="shared" ref="M10:M11" si="6">F15-F10</f>
        <v>-0.27900000032390437</v>
      </c>
      <c r="N10" s="249">
        <f t="shared" ref="N10:N11" si="7">SUM(K10:M10)</f>
        <v>14.811999999963447</v>
      </c>
      <c r="O10" s="298"/>
      <c r="P10" s="298"/>
      <c r="Q10" s="298"/>
    </row>
    <row r="11" spans="1:17" x14ac:dyDescent="0.2">
      <c r="A11" s="282" t="s">
        <v>354</v>
      </c>
      <c r="B11" s="249">
        <f t="shared" si="0"/>
        <v>716.35200000030261</v>
      </c>
      <c r="C11" s="299" t="str">
        <f>CONCATENATE("(",ROUND((B11/$H11)*100,1),")")</f>
        <v>(60.2)</v>
      </c>
      <c r="D11" s="249">
        <f t="shared" ref="D11" si="8">SUM(D32,D53,D74,D95,D116,D137,D158,D179,D200,D221,D242,D263,D284,D305,D326,D347,D368,D389,D410,D431,D452,D473)</f>
        <v>353.20400000016724</v>
      </c>
      <c r="E11" s="299" t="str">
        <f>CONCATENATE("(",ROUND((D11/$H11)*100,1),")")</f>
        <v>(29.7)</v>
      </c>
      <c r="F11" s="249">
        <f t="shared" ref="F11" si="9">SUM(F32,F53,F74,F95,F116,F137,F158,F179,F200,F221,F242,F263,F284,F305,F326,F347,F368,F389,F410,F431,F452,F473)</f>
        <v>119.78299999982015</v>
      </c>
      <c r="G11" s="299" t="str">
        <f>CONCATENATE("(",ROUND((F11/$H11)*100,1),")")</f>
        <v>(10.1)</v>
      </c>
      <c r="H11" s="249">
        <f t="shared" ref="H11" si="10">SUM(H32,H53,H74,H95,H116,H137,H158,H179,H200,H221,H242,H263,H284,H305,H326,H347,H368,H389,H410,H431,H452,H473)</f>
        <v>1189.3390000002901</v>
      </c>
      <c r="I11" s="299" t="str">
        <f>CONCATENATE("(",ROUND((H11/$H11)*100,1),")")</f>
        <v>(100)</v>
      </c>
      <c r="K11" s="249">
        <f t="shared" si="4"/>
        <v>14.670999998088405</v>
      </c>
      <c r="L11" s="249">
        <f t="shared" si="5"/>
        <v>4.1200000027013175</v>
      </c>
      <c r="M11" s="249">
        <f t="shared" si="6"/>
        <v>0.6459999993526111</v>
      </c>
      <c r="N11" s="249">
        <f t="shared" si="7"/>
        <v>19.437000000142334</v>
      </c>
      <c r="O11" s="298"/>
      <c r="P11" s="298"/>
      <c r="Q11" s="298"/>
    </row>
    <row r="12" spans="1:17" x14ac:dyDescent="0.2">
      <c r="B12" s="249"/>
      <c r="C12" s="284"/>
      <c r="D12" s="249"/>
      <c r="E12" s="284"/>
      <c r="F12" s="249"/>
      <c r="G12" s="284"/>
      <c r="H12" s="249"/>
      <c r="I12" s="284"/>
    </row>
    <row r="13" spans="1:17" x14ac:dyDescent="0.2">
      <c r="A13" s="286">
        <f>'Ind T6'!Q5</f>
        <v>2025</v>
      </c>
      <c r="B13" s="249"/>
      <c r="C13" s="284"/>
      <c r="D13" s="249"/>
      <c r="E13" s="284"/>
      <c r="F13" s="249"/>
      <c r="G13" s="284"/>
      <c r="H13" s="249"/>
      <c r="I13" s="284"/>
      <c r="K13" s="286" t="str">
        <f>CONCATENATE(A13," - ",A18)</f>
        <v>2025 - 2035</v>
      </c>
    </row>
    <row r="14" spans="1:17" x14ac:dyDescent="0.2">
      <c r="A14" s="282" t="s">
        <v>355</v>
      </c>
      <c r="B14" s="249">
        <f>SUM(B35,B56,B77,B98,B119,B140,B161,B182,B203,B224,B245,B266,B287,B308,B329,B350,B371,B392,B413,B434,B455,B476)</f>
        <v>429.69100000049826</v>
      </c>
      <c r="C14" s="299" t="str">
        <f>CONCATENATE("(",ROUND((B14/$H16)*100,1),")")</f>
        <v>(35.5)</v>
      </c>
      <c r="D14" s="249">
        <f t="shared" ref="D14" si="11">SUM(D35,D56,D77,D98,D119,D140,D161,D182,D203,D224,D245,D266,D287,D308,D329,D350,D371,D392,D413,D434,D455,D476)</f>
        <v>96.617999999645278</v>
      </c>
      <c r="E14" s="299" t="str">
        <f>CONCATENATE("(",ROUND((D14/$H16)*100,1),")")</f>
        <v>(8)</v>
      </c>
      <c r="F14" s="249">
        <f t="shared" ref="F14" si="12">SUM(F35,F56,F77,F98,F119,F140,F161,F182,F203,F224,F245,F266,F287,F308,F329,F350,F371,F392,F413,F434,F455,F476)</f>
        <v>69.741999999502838</v>
      </c>
      <c r="G14" s="299" t="str">
        <f>CONCATENATE("(",ROUND((F14/$H16)*100,1),")")</f>
        <v>(5.8)</v>
      </c>
      <c r="H14" s="249">
        <f t="shared" ref="H14" si="13">SUM(H35,H56,H77,H98,H119,H140,H161,H182,H203,H224,H245,H266,H287,H308,H329,H350,H371,H392,H413,H434,H455,H476)</f>
        <v>596.05099999964625</v>
      </c>
      <c r="I14" s="299" t="str">
        <f>CONCATENATE("(",ROUND((H14/$H16)*100,1),")")</f>
        <v>(49.3)</v>
      </c>
      <c r="K14" s="249">
        <f>B19-B14</f>
        <v>3.1869999998437493</v>
      </c>
      <c r="L14" s="249">
        <f>D19-D14</f>
        <v>6.6620000001866089</v>
      </c>
      <c r="M14" s="249">
        <f>F19-F14</f>
        <v>3.2030000001729348</v>
      </c>
      <c r="N14" s="249">
        <f>SUM(K14:M14)</f>
        <v>13.052000000203293</v>
      </c>
    </row>
    <row r="15" spans="1:17" x14ac:dyDescent="0.2">
      <c r="A15" s="282" t="s">
        <v>356</v>
      </c>
      <c r="B15" s="249">
        <f t="shared" si="0"/>
        <v>301.33199999789286</v>
      </c>
      <c r="C15" s="299" t="str">
        <f>CONCATENATE("(",ROUND((B15/$H16)*100,1),")")</f>
        <v>(24.9)</v>
      </c>
      <c r="D15" s="249">
        <f t="shared" ref="D15" si="14">SUM(D36,D57,D78,D99,D120,D141,D162,D183,D204,D225,D246,D267,D288,D309,D330,D351,D372,D393,D414,D435,D456,D477)</f>
        <v>260.70600000322332</v>
      </c>
      <c r="E15" s="299" t="str">
        <f>CONCATENATE("(",ROUND((D15/$H16)*100,1),")")</f>
        <v>(21.6)</v>
      </c>
      <c r="F15" s="249">
        <f t="shared" ref="F15" si="15">SUM(F36,F57,F78,F99,F120,F141,F162,F183,F204,F225,F246,F267,F288,F309,F330,F351,F372,F393,F414,F435,F456,F477)</f>
        <v>50.686999999669922</v>
      </c>
      <c r="G15" s="299" t="str">
        <f>CONCATENATE("(",ROUND((F15/$H16)*100,1),")")</f>
        <v>(4.2)</v>
      </c>
      <c r="H15" s="249">
        <f t="shared" ref="H15" si="16">SUM(H36,H57,H78,H99,H120,H141,H162,H183,H204,H225,H246,H267,H288,H309,H330,H351,H372,H393,H414,H435,H456,H477)</f>
        <v>612.72500000078594</v>
      </c>
      <c r="I15" s="299" t="str">
        <f>CONCATENATE("(",ROUND((H15/$H16)*100,1),")")</f>
        <v>(50.7)</v>
      </c>
      <c r="K15" s="249">
        <f t="shared" ref="K15:K16" si="17">B20-B15</f>
        <v>23.453000002525584</v>
      </c>
      <c r="L15" s="249">
        <f t="shared" ref="L15:L16" si="18">D20-D15</f>
        <v>3.0749999962210381</v>
      </c>
      <c r="M15" s="249">
        <f t="shared" ref="M15:M16" si="19">F20-F15</f>
        <v>2.6410000008310419</v>
      </c>
      <c r="N15" s="249">
        <f t="shared" ref="N15:N16" si="20">SUM(K15:M15)</f>
        <v>29.168999999577665</v>
      </c>
    </row>
    <row r="16" spans="1:17" x14ac:dyDescent="0.2">
      <c r="A16" s="282" t="s">
        <v>354</v>
      </c>
      <c r="B16" s="249">
        <f t="shared" si="0"/>
        <v>731.02299999839101</v>
      </c>
      <c r="C16" s="299" t="str">
        <f>CONCATENATE("(",ROUND((B16/$H16)*100,1),")")</f>
        <v>(60.5)</v>
      </c>
      <c r="D16" s="249">
        <f t="shared" ref="D16" si="21">SUM(D37,D58,D79,D100,D121,D142,D163,D184,D205,D226,D247,D268,D289,D310,D331,D352,D373,D394,D415,D436,D457,D478)</f>
        <v>357.32400000286856</v>
      </c>
      <c r="E16" s="299" t="str">
        <f>CONCATENATE("(",ROUND((D16/$H16)*100,1),")")</f>
        <v>(29.6)</v>
      </c>
      <c r="F16" s="249">
        <f t="shared" ref="F16" si="22">SUM(F37,F58,F79,F100,F121,F142,F163,F184,F205,F226,F247,F268,F289,F310,F331,F352,F373,F394,F415,F436,F457,F478)</f>
        <v>120.42899999917276</v>
      </c>
      <c r="G16" s="299" t="str">
        <f>CONCATENATE("(",ROUND((F16/$H16)*100,1),")")</f>
        <v>(10)</v>
      </c>
      <c r="H16" s="249">
        <f t="shared" ref="H16" si="23">SUM(H37,H58,H79,H100,H121,H142,H163,H184,H205,H226,H247,H268,H289,H310,H331,H352,H373,H394,H415,H436,H457,H478)</f>
        <v>1208.7760000004323</v>
      </c>
      <c r="I16" s="299" t="str">
        <f>CONCATENATE("(",ROUND((H16/$H16)*100,1),")")</f>
        <v>(100)</v>
      </c>
      <c r="K16" s="249">
        <f t="shared" si="17"/>
        <v>26.640000002369106</v>
      </c>
      <c r="L16" s="249">
        <f t="shared" si="18"/>
        <v>9.7369999964076897</v>
      </c>
      <c r="M16" s="249">
        <f t="shared" si="19"/>
        <v>5.844000001003991</v>
      </c>
      <c r="N16" s="249">
        <f t="shared" si="20"/>
        <v>42.220999999780787</v>
      </c>
    </row>
    <row r="17" spans="1:14" x14ac:dyDescent="0.2">
      <c r="B17" s="249"/>
      <c r="C17" s="284"/>
      <c r="D17" s="249"/>
      <c r="E17" s="284"/>
      <c r="F17" s="249"/>
      <c r="G17" s="284"/>
      <c r="H17" s="249"/>
      <c r="I17" s="284"/>
    </row>
    <row r="18" spans="1:14" x14ac:dyDescent="0.2">
      <c r="A18" s="286">
        <f>'Ind T6'!V5</f>
        <v>2035</v>
      </c>
      <c r="B18" s="249"/>
      <c r="C18" s="284"/>
      <c r="D18" s="249"/>
      <c r="E18" s="284"/>
      <c r="F18" s="249"/>
      <c r="G18" s="284"/>
      <c r="H18" s="249"/>
      <c r="I18" s="284"/>
      <c r="K18" s="286" t="str">
        <f>CONCATENATE(A8," - ",A18)</f>
        <v>2020 - 2035</v>
      </c>
    </row>
    <row r="19" spans="1:14" x14ac:dyDescent="0.2">
      <c r="A19" s="282" t="s">
        <v>355</v>
      </c>
      <c r="B19" s="249">
        <f t="shared" si="0"/>
        <v>432.87800000034201</v>
      </c>
      <c r="C19" s="299" t="str">
        <f>CONCATENATE("(",ROUND((B19/$H21)*100,1),")")</f>
        <v>(34.6)</v>
      </c>
      <c r="D19" s="249">
        <f t="shared" ref="D19" si="24">SUM(D40,D61,D82,D103,D124,D145,D166,D187,D208,D229,D250,D271,D292,D313,D334,D355,D376,D397,D418,D439,D460,D481)</f>
        <v>103.27999999983189</v>
      </c>
      <c r="E19" s="299" t="str">
        <f>CONCATENATE("(",ROUND((D19/$H21)*100,1),")")</f>
        <v>(8.3)</v>
      </c>
      <c r="F19" s="249">
        <f t="shared" ref="F19" si="25">SUM(F40,F61,F82,F103,F124,F145,F166,F187,F208,F229,F250,F271,F292,F313,F334,F355,F376,F397,F418,F439,F460,F481)</f>
        <v>72.944999999675773</v>
      </c>
      <c r="G19" s="299" t="str">
        <f>CONCATENATE("(",ROUND((F19/$H21)*100,1),")")</f>
        <v>(5.8)</v>
      </c>
      <c r="H19" s="249">
        <f t="shared" ref="H19" si="26">SUM(H40,H61,H82,H103,H124,H145,H166,H187,H208,H229,H250,H271,H292,H313,H334,H355,H376,H397,H418,H439,H460,H481)</f>
        <v>609.10299999984966</v>
      </c>
      <c r="I19" s="299" t="str">
        <f>CONCATENATE("(",ROUND((H19/$H21)*100,1),")")</f>
        <v>(48.7)</v>
      </c>
      <c r="K19" s="249">
        <f>B19-B9</f>
        <v>4.6760000007124063</v>
      </c>
      <c r="L19" s="249">
        <f>D19-D9</f>
        <v>8.872999999820351</v>
      </c>
      <c r="M19" s="249">
        <f>F19-F9</f>
        <v>4.1279999998494645</v>
      </c>
      <c r="N19" s="249">
        <f>SUM(K19:M19)</f>
        <v>17.677000000382222</v>
      </c>
    </row>
    <row r="20" spans="1:14" x14ac:dyDescent="0.2">
      <c r="A20" s="282" t="s">
        <v>356</v>
      </c>
      <c r="B20" s="249">
        <f t="shared" si="0"/>
        <v>324.78500000041845</v>
      </c>
      <c r="C20" s="299" t="str">
        <f>CONCATENATE("(",ROUND((B20/$H21)*100,1),")")</f>
        <v>(26)</v>
      </c>
      <c r="D20" s="249">
        <f t="shared" ref="D20" si="27">SUM(D41,D62,D83,D104,D125,D146,D167,D188,D209,D230,D251,D272,D293,D314,D335,D356,D377,D398,D419,D440,D461,D482)</f>
        <v>263.78099999944436</v>
      </c>
      <c r="E20" s="299" t="str">
        <f>CONCATENATE("(",ROUND((D20/$H21)*100,1),")")</f>
        <v>(21.1)</v>
      </c>
      <c r="F20" s="249">
        <f t="shared" ref="F20" si="28">SUM(F41,F62,F83,F104,F125,F146,F167,F188,F209,F230,F251,F272,F293,F314,F335,F356,F377,F398,F419,F440,F461,F482)</f>
        <v>53.328000000500964</v>
      </c>
      <c r="G20" s="299" t="str">
        <f>CONCATENATE("(",ROUND((F20/$H21)*100,1),")")</f>
        <v>(4.3)</v>
      </c>
      <c r="H20" s="249">
        <f t="shared" ref="H20" si="29">SUM(H41,H62,H83,H104,H125,H146,H167,H188,H209,H230,H251,H272,H293,H314,H335,H356,H377,H398,H419,H440,H461,H482)</f>
        <v>641.89400000036369</v>
      </c>
      <c r="I20" s="299" t="str">
        <f>CONCATENATE("(",ROUND((H20/$H21)*100,1),")")</f>
        <v>(51.3)</v>
      </c>
      <c r="K20" s="249">
        <f t="shared" ref="K20:K21" si="30">B20-B10</f>
        <v>36.634999999745389</v>
      </c>
      <c r="L20" s="249">
        <f t="shared" ref="L20:L21" si="31">D20-D10</f>
        <v>4.9839999992885851</v>
      </c>
      <c r="M20" s="249">
        <f t="shared" ref="M20:M21" si="32">F20-F10</f>
        <v>2.3620000005071375</v>
      </c>
      <c r="N20" s="249">
        <f t="shared" ref="N20:N21" si="33">SUM(K20:M20)</f>
        <v>43.980999999541112</v>
      </c>
    </row>
    <row r="21" spans="1:14" x14ac:dyDescent="0.2">
      <c r="A21" s="282" t="s">
        <v>354</v>
      </c>
      <c r="B21" s="249">
        <f t="shared" si="0"/>
        <v>757.66300000076012</v>
      </c>
      <c r="C21" s="299" t="str">
        <f>CONCATENATE("(",ROUND((B21/$H21)*100,1),")")</f>
        <v>(60.6)</v>
      </c>
      <c r="D21" s="249">
        <f t="shared" ref="D21" si="34">SUM(D42,D63,D84,D105,D126,D147,D168,D189,D210,D231,D252,D273,D294,D315,D336,D357,D378,D399,D420,D441,D462,D483)</f>
        <v>367.06099999927625</v>
      </c>
      <c r="E21" s="299" t="str">
        <f>CONCATENATE("(",ROUND((D21/$H21)*100,1),")")</f>
        <v>(29.3)</v>
      </c>
      <c r="F21" s="249">
        <f>SUM(F42,F63,F84,F105,F126,F147,F168,F189,F210,F231,F252,F273,F294,F315,F336,F357,F378,F399,F420,F441,F462,F483)</f>
        <v>126.27300000017675</v>
      </c>
      <c r="G21" s="299" t="str">
        <f>CONCATENATE("(",ROUND((F21/$H21)*100,1),")")</f>
        <v>(10.1)</v>
      </c>
      <c r="H21" s="249">
        <f t="shared" ref="H21" si="35">SUM(H42,H63,H84,H105,H126,H147,H168,H189,H210,H231,H252,H273,H294,H315,H336,H357,H378,H399,H420,H441,H462,H483)</f>
        <v>1250.9970000002133</v>
      </c>
      <c r="I21" s="299" t="str">
        <f>CONCATENATE("(",ROUND((H21/$H21)*100,1),")")</f>
        <v>(100)</v>
      </c>
      <c r="K21" s="249">
        <f t="shared" si="30"/>
        <v>41.311000000457511</v>
      </c>
      <c r="L21" s="249">
        <f t="shared" si="31"/>
        <v>13.856999999109007</v>
      </c>
      <c r="M21" s="249">
        <f t="shared" si="32"/>
        <v>6.4900000003566021</v>
      </c>
      <c r="N21" s="249">
        <f t="shared" si="33"/>
        <v>61.657999999923121</v>
      </c>
    </row>
    <row r="22" spans="1:14" x14ac:dyDescent="0.2">
      <c r="A22" s="293"/>
      <c r="B22" s="294"/>
      <c r="C22" s="293"/>
      <c r="D22" s="294"/>
      <c r="E22" s="293"/>
      <c r="F22" s="294"/>
      <c r="G22" s="293"/>
      <c r="H22" s="294"/>
      <c r="I22" s="293"/>
      <c r="J22" s="293"/>
      <c r="K22" s="294"/>
      <c r="L22" s="294"/>
      <c r="M22" s="294"/>
      <c r="N22" s="294"/>
    </row>
    <row r="26" spans="1:14" x14ac:dyDescent="0.2">
      <c r="A26" s="288"/>
      <c r="B26" s="289" t="s">
        <v>379</v>
      </c>
      <c r="C26" s="288"/>
      <c r="D26" s="289"/>
      <c r="E26" s="288"/>
      <c r="F26" s="289" t="str">
        <f>name!B4</f>
        <v>Agriculture</v>
      </c>
      <c r="G26" s="288"/>
      <c r="H26" s="291"/>
      <c r="I26" s="288"/>
      <c r="J26" s="290"/>
      <c r="K26" s="291"/>
      <c r="L26" s="291"/>
      <c r="M26" s="291"/>
      <c r="N26" s="291"/>
    </row>
    <row r="27" spans="1:14" x14ac:dyDescent="0.2">
      <c r="N27" s="287" t="s">
        <v>377</v>
      </c>
    </row>
    <row r="28" spans="1:14" x14ac:dyDescent="0.2">
      <c r="A28" s="296" t="s">
        <v>378</v>
      </c>
      <c r="B28" s="370" t="s">
        <v>376</v>
      </c>
      <c r="C28" s="370"/>
      <c r="D28" s="370" t="s">
        <v>375</v>
      </c>
      <c r="E28" s="370"/>
      <c r="F28" s="370" t="s">
        <v>374</v>
      </c>
      <c r="G28" s="370"/>
      <c r="H28" s="370" t="s">
        <v>32</v>
      </c>
      <c r="I28" s="370"/>
      <c r="J28" s="296"/>
      <c r="K28" s="297" t="s">
        <v>339</v>
      </c>
      <c r="L28" s="297" t="s">
        <v>341</v>
      </c>
      <c r="M28" s="297" t="s">
        <v>337</v>
      </c>
      <c r="N28" s="297" t="s">
        <v>32</v>
      </c>
    </row>
    <row r="29" spans="1:14" x14ac:dyDescent="0.2">
      <c r="A29" s="292">
        <f>$A$8</f>
        <v>2020</v>
      </c>
      <c r="B29" s="287" t="s">
        <v>60</v>
      </c>
      <c r="C29" s="19" t="s">
        <v>373</v>
      </c>
      <c r="D29" s="287" t="s">
        <v>60</v>
      </c>
      <c r="E29" s="19" t="s">
        <v>373</v>
      </c>
      <c r="F29" s="287" t="s">
        <v>60</v>
      </c>
      <c r="G29" s="19" t="s">
        <v>373</v>
      </c>
      <c r="H29" s="287" t="s">
        <v>60</v>
      </c>
      <c r="I29" s="19" t="s">
        <v>373</v>
      </c>
      <c r="J29" s="181"/>
      <c r="K29" s="286" t="str">
        <f>CONCATENATE(A29," - ",A34)</f>
        <v>2020 - 2025</v>
      </c>
      <c r="L29" s="285"/>
      <c r="M29" s="285"/>
    </row>
    <row r="30" spans="1:14" x14ac:dyDescent="0.2">
      <c r="A30" s="282" t="s">
        <v>355</v>
      </c>
      <c r="B30" s="302">
        <f>'Ind T6'!L10</f>
        <v>1.4080000000012955</v>
      </c>
      <c r="C30" s="299" t="str">
        <f>CONCATENATE("(",ROUND((B30/$H32)*100,1),")")</f>
        <v>(25.8)</v>
      </c>
      <c r="D30" s="302">
        <f>'Ind T6'!M10</f>
        <v>3.1000000000012622E-2</v>
      </c>
      <c r="E30" s="299" t="str">
        <f>CONCATENATE("(",ROUND((D30/$H32)*100,1),")")</f>
        <v>(0.6)</v>
      </c>
      <c r="F30" s="302">
        <f>'Ind T6'!N10</f>
        <v>2.3089999999543296</v>
      </c>
      <c r="G30" s="299" t="str">
        <f>CONCATENATE("(",ROUND((F30/$H32)*100,1),")")</f>
        <v>(42.4)</v>
      </c>
      <c r="H30" s="302">
        <f>SUM(B30,D30,F30)</f>
        <v>3.7479999999556375</v>
      </c>
      <c r="I30" s="299" t="str">
        <f>CONCATENATE("(",ROUND((H30/$H32)*100,1),")")</f>
        <v>(68.8)</v>
      </c>
      <c r="K30" s="302">
        <f>B35-B30</f>
        <v>9.7999999988061637E-2</v>
      </c>
      <c r="L30" s="302">
        <f>D35-D30</f>
        <v>1.9999999998738111E-3</v>
      </c>
      <c r="M30" s="302">
        <f>F35-F30</f>
        <v>9.9999999236799475E-3</v>
      </c>
      <c r="N30" s="302">
        <f>SUM(K30:M30)</f>
        <v>0.1099999999116154</v>
      </c>
    </row>
    <row r="31" spans="1:14" x14ac:dyDescent="0.2">
      <c r="A31" s="282" t="s">
        <v>356</v>
      </c>
      <c r="B31" s="302">
        <f>'Ind T6'!L9</f>
        <v>0.10499999999855732</v>
      </c>
      <c r="C31" s="299" t="str">
        <f>CONCATENATE("(",ROUND((B31/$H32)*100,1),")")</f>
        <v>(1.9)</v>
      </c>
      <c r="D31" s="302">
        <f>'Ind T6'!M9</f>
        <v>5.6000000000182536E-2</v>
      </c>
      <c r="E31" s="299" t="str">
        <f>CONCATENATE("(",ROUND((D31/$H32)*100,1),")")</f>
        <v>(1)</v>
      </c>
      <c r="F31" s="302">
        <f>'Ind T6'!N9</f>
        <v>1.5419999999469218</v>
      </c>
      <c r="G31" s="299" t="str">
        <f>CONCATENATE("(",ROUND((F31/$H32)*100,1),")")</f>
        <v>(28.3)</v>
      </c>
      <c r="H31" s="302">
        <f t="shared" ref="H31" si="36">SUM(B31,D31,F31)</f>
        <v>1.7029999999456618</v>
      </c>
      <c r="I31" s="299" t="str">
        <f>CONCATENATE("(",ROUND((H31/$H32)*100,1),")")</f>
        <v>(31.2)</v>
      </c>
      <c r="K31" s="302">
        <f t="shared" ref="K31:K32" si="37">B36-B31</f>
        <v>3.0000000054355019E-3</v>
      </c>
      <c r="L31" s="302">
        <f t="shared" ref="L31:L32" si="38">D36-D31</f>
        <v>1.806610416821286E-12</v>
      </c>
      <c r="M31" s="302">
        <f t="shared" ref="M31:M32" si="39">F36-F31</f>
        <v>7.8000000071006159E-2</v>
      </c>
      <c r="N31" s="302">
        <f t="shared" ref="N31:N32" si="40">SUM(K31:M31)</f>
        <v>8.1000000078248272E-2</v>
      </c>
    </row>
    <row r="32" spans="1:14" x14ac:dyDescent="0.2">
      <c r="A32" s="282" t="s">
        <v>354</v>
      </c>
      <c r="B32" s="302">
        <f>SUM(B30:B31)</f>
        <v>1.5129999999998529</v>
      </c>
      <c r="C32" s="299" t="str">
        <f>CONCATENATE("(",ROUND((B32/$H32)*100,1),")")</f>
        <v>(27.8)</v>
      </c>
      <c r="D32" s="302">
        <f>SUM(D30:D31)</f>
        <v>8.7000000000195157E-2</v>
      </c>
      <c r="E32" s="299" t="str">
        <f>CONCATENATE("(",ROUND((D32/$H32)*100,1),")")</f>
        <v>(1.6)</v>
      </c>
      <c r="F32" s="302">
        <f>SUM(F30:F31)</f>
        <v>3.8509999999012514</v>
      </c>
      <c r="G32" s="299" t="str">
        <f>CONCATENATE("(",ROUND((F32/$H32)*100,1),")")</f>
        <v>(70.6)</v>
      </c>
      <c r="H32" s="302">
        <f>SUM(H30:H31)</f>
        <v>5.450999999901299</v>
      </c>
      <c r="I32" s="299" t="str">
        <f>CONCATENATE("(",ROUND((H32/$H32)*100,1),")")</f>
        <v>(100)</v>
      </c>
      <c r="K32" s="302">
        <f t="shared" si="37"/>
        <v>0.10099999999349718</v>
      </c>
      <c r="L32" s="302">
        <f t="shared" si="38"/>
        <v>2.0000000016804215E-3</v>
      </c>
      <c r="M32" s="302">
        <f t="shared" si="39"/>
        <v>8.7999999994686107E-2</v>
      </c>
      <c r="N32" s="302">
        <f t="shared" si="40"/>
        <v>0.19099999998986372</v>
      </c>
    </row>
    <row r="33" spans="1:14" x14ac:dyDescent="0.2">
      <c r="B33" s="302"/>
      <c r="C33" s="284"/>
      <c r="D33" s="302"/>
      <c r="E33" s="284"/>
      <c r="F33" s="302"/>
      <c r="G33" s="284"/>
      <c r="H33" s="302"/>
      <c r="I33" s="284"/>
    </row>
    <row r="34" spans="1:14" x14ac:dyDescent="0.2">
      <c r="A34" s="292">
        <f>$A$13</f>
        <v>2025</v>
      </c>
      <c r="B34" s="302"/>
      <c r="C34" s="284"/>
      <c r="D34" s="302"/>
      <c r="E34" s="284"/>
      <c r="F34" s="302"/>
      <c r="G34" s="284"/>
      <c r="H34" s="302"/>
      <c r="I34" s="284"/>
      <c r="K34" s="286" t="str">
        <f>CONCATENATE(A34," - ",A39)</f>
        <v>2025 - 2035</v>
      </c>
    </row>
    <row r="35" spans="1:14" x14ac:dyDescent="0.2">
      <c r="A35" s="282" t="s">
        <v>355</v>
      </c>
      <c r="B35" s="302">
        <f>'Ind T6'!Q10</f>
        <v>1.5059999999893572</v>
      </c>
      <c r="C35" s="299" t="str">
        <f>CONCATENATE("(",ROUND((B35/$H37)*100,1),")")</f>
        <v>(26.7)</v>
      </c>
      <c r="D35" s="302">
        <f>'Ind T6'!R10</f>
        <v>3.2999999999886433E-2</v>
      </c>
      <c r="E35" s="299" t="str">
        <f>CONCATENATE("(",ROUND((D35/$H37)*100,1),")")</f>
        <v>(0.6)</v>
      </c>
      <c r="F35" s="302">
        <f>'Ind T6'!S10</f>
        <v>2.3189999998780095</v>
      </c>
      <c r="G35" s="299" t="str">
        <f>CONCATENATE("(",ROUND((F35/$H37)*100,1),")")</f>
        <v>(41.1)</v>
      </c>
      <c r="H35" s="302">
        <f>SUM(B35,D35,F35)</f>
        <v>3.8579999998672534</v>
      </c>
      <c r="I35" s="299" t="str">
        <f>CONCATENATE("(",ROUND((H35/$H37)*100,1),")")</f>
        <v>(68.4)</v>
      </c>
      <c r="K35" s="302">
        <f>B40-B35</f>
        <v>0.17299999999605209</v>
      </c>
      <c r="L35" s="302">
        <f>D40-D35</f>
        <v>9.9999999999604572E-4</v>
      </c>
      <c r="M35" s="302">
        <f>F40-F35</f>
        <v>-0.11199999996108945</v>
      </c>
      <c r="N35" s="302">
        <f>SUM(K35:M35)</f>
        <v>6.2000000034958702E-2</v>
      </c>
    </row>
    <row r="36" spans="1:14" x14ac:dyDescent="0.2">
      <c r="A36" s="282" t="s">
        <v>356</v>
      </c>
      <c r="B36" s="302">
        <f>'Ind T6'!Q9</f>
        <v>0.10800000000399282</v>
      </c>
      <c r="C36" s="299" t="str">
        <f>CONCATENATE("(",ROUND((B36/$H37)*100,1),")")</f>
        <v>(1.9)</v>
      </c>
      <c r="D36" s="302">
        <f>'Ind T6'!R9</f>
        <v>5.6000000001989146E-2</v>
      </c>
      <c r="E36" s="299" t="str">
        <f>CONCATENATE("(",ROUND((D36/$H37)*100,1),")")</f>
        <v>(1)</v>
      </c>
      <c r="F36" s="302">
        <f>'Ind T6'!S9</f>
        <v>1.620000000017928</v>
      </c>
      <c r="G36" s="299" t="str">
        <f>CONCATENATE("(",ROUND((F36/$H37)*100,1),")")</f>
        <v>(28.7)</v>
      </c>
      <c r="H36" s="302">
        <f t="shared" ref="H36" si="41">SUM(B36,D36,F36)</f>
        <v>1.78400000002391</v>
      </c>
      <c r="I36" s="299" t="str">
        <f>CONCATENATE("(",ROUND((H36/$H37)*100,1),")")</f>
        <v>(31.6)</v>
      </c>
      <c r="K36" s="302">
        <f t="shared" ref="K36:K37" si="42">B41-B36</f>
        <v>2.9999999967665059E-3</v>
      </c>
      <c r="L36" s="302">
        <f t="shared" ref="L36:L37" si="43">D41-D36</f>
        <v>-2.00000000220589E-3</v>
      </c>
      <c r="M36" s="302">
        <f t="shared" ref="M36:M37" si="44">F41-F36</f>
        <v>9.4999999979110683E-2</v>
      </c>
      <c r="N36" s="302">
        <f t="shared" ref="N36:N37" si="45">SUM(K36:M36)</f>
        <v>9.5999999973671299E-2</v>
      </c>
    </row>
    <row r="37" spans="1:14" x14ac:dyDescent="0.2">
      <c r="A37" s="282" t="s">
        <v>354</v>
      </c>
      <c r="B37" s="302">
        <f>SUM(B35:B36)</f>
        <v>1.6139999999933501</v>
      </c>
      <c r="C37" s="299" t="str">
        <f>CONCATENATE("(",ROUND((B37/$H37)*100,1),")")</f>
        <v>(28.6)</v>
      </c>
      <c r="D37" s="302">
        <f>SUM(D35:D36)</f>
        <v>8.9000000001875579E-2</v>
      </c>
      <c r="E37" s="299" t="str">
        <f>CONCATENATE("(",ROUND((D37/$H37)*100,1),")")</f>
        <v>(1.6)</v>
      </c>
      <c r="F37" s="302">
        <f>SUM(F35:F36)</f>
        <v>3.9389999998959375</v>
      </c>
      <c r="G37" s="299" t="str">
        <f>CONCATENATE("(",ROUND((F37/$H37)*100,1),")")</f>
        <v>(69.8)</v>
      </c>
      <c r="H37" s="302">
        <f>SUM(H35:H36)</f>
        <v>5.6419999998911639</v>
      </c>
      <c r="I37" s="299" t="str">
        <f>CONCATENATE("(",ROUND((H37/$H37)*100,1),")")</f>
        <v>(100)</v>
      </c>
      <c r="K37" s="302">
        <f t="shared" si="42"/>
        <v>0.17599999999281857</v>
      </c>
      <c r="L37" s="302">
        <f t="shared" si="43"/>
        <v>-1.0000000022098443E-3</v>
      </c>
      <c r="M37" s="302">
        <f t="shared" si="44"/>
        <v>-1.6999999981978764E-2</v>
      </c>
      <c r="N37" s="302">
        <f t="shared" si="45"/>
        <v>0.15800000000862996</v>
      </c>
    </row>
    <row r="38" spans="1:14" x14ac:dyDescent="0.2">
      <c r="B38" s="302"/>
      <c r="C38" s="284"/>
      <c r="D38" s="302"/>
      <c r="E38" s="284"/>
      <c r="F38" s="302"/>
      <c r="G38" s="284"/>
      <c r="H38" s="302"/>
      <c r="I38" s="284"/>
    </row>
    <row r="39" spans="1:14" x14ac:dyDescent="0.2">
      <c r="A39" s="292">
        <f>$A$18</f>
        <v>2035</v>
      </c>
      <c r="B39" s="302"/>
      <c r="C39" s="284"/>
      <c r="D39" s="302"/>
      <c r="E39" s="284"/>
      <c r="F39" s="302"/>
      <c r="G39" s="284"/>
      <c r="H39" s="302"/>
      <c r="I39" s="284"/>
      <c r="K39" s="286" t="str">
        <f>CONCATENATE(A29," - ",A39)</f>
        <v>2020 - 2035</v>
      </c>
    </row>
    <row r="40" spans="1:14" x14ac:dyDescent="0.2">
      <c r="A40" s="282" t="s">
        <v>355</v>
      </c>
      <c r="B40" s="302">
        <f>'Ind T6'!V10</f>
        <v>1.6789999999854093</v>
      </c>
      <c r="C40" s="299" t="str">
        <f>CONCATENATE("(",ROUND((B40/$H42)*100,1),")")</f>
        <v>(28.9)</v>
      </c>
      <c r="D40" s="302">
        <f>'Ind T6'!W10</f>
        <v>3.3999999999882478E-2</v>
      </c>
      <c r="E40" s="299" t="str">
        <f>CONCATENATE("(",ROUND((D40/$H42)*100,1),")")</f>
        <v>(0.6)</v>
      </c>
      <c r="F40" s="302">
        <f>'Ind T6'!X10</f>
        <v>2.2069999999169201</v>
      </c>
      <c r="G40" s="299" t="str">
        <f>CONCATENATE("(",ROUND((F40/$H42)*100,1),")")</f>
        <v>(38.1)</v>
      </c>
      <c r="H40" s="302">
        <f>SUM(B40,D40,F40)</f>
        <v>3.9199999999022119</v>
      </c>
      <c r="I40" s="299" t="str">
        <f>CONCATENATE("(",ROUND((H40/$H42)*100,1),")")</f>
        <v>(67.6)</v>
      </c>
      <c r="K40" s="302">
        <f>B40-B30</f>
        <v>0.27099999998411373</v>
      </c>
      <c r="L40" s="302">
        <f>D40-D30</f>
        <v>2.9999999998698568E-3</v>
      </c>
      <c r="M40" s="302">
        <f>F40-F30</f>
        <v>-0.1020000000374095</v>
      </c>
      <c r="N40" s="302">
        <f>SUM(K40:M40)</f>
        <v>0.17199999994657411</v>
      </c>
    </row>
    <row r="41" spans="1:14" x14ac:dyDescent="0.2">
      <c r="A41" s="282" t="s">
        <v>356</v>
      </c>
      <c r="B41" s="302">
        <f>'Ind T6'!V9</f>
        <v>0.11100000000075932</v>
      </c>
      <c r="C41" s="299" t="str">
        <f>CONCATENATE("(",ROUND((B41/$H42)*100,1),")")</f>
        <v>(1.9)</v>
      </c>
      <c r="D41" s="302">
        <f>'Ind T6'!W9</f>
        <v>5.3999999999783256E-2</v>
      </c>
      <c r="E41" s="299" t="str">
        <f>CONCATENATE("(",ROUND((D41/$H42)*100,1),")")</f>
        <v>(0.9)</v>
      </c>
      <c r="F41" s="302">
        <f>'Ind T6'!X9</f>
        <v>1.7149999999970387</v>
      </c>
      <c r="G41" s="299" t="str">
        <f>CONCATENATE("(",ROUND((F41/$H42)*100,1),")")</f>
        <v>(29.6)</v>
      </c>
      <c r="H41" s="302">
        <f t="shared" ref="H41" si="46">SUM(B41,D41,F41)</f>
        <v>1.8799999999975812</v>
      </c>
      <c r="I41" s="299" t="str">
        <f>CONCATENATE("(",ROUND((H41/$H42)*100,1),")")</f>
        <v>(32.4)</v>
      </c>
      <c r="K41" s="302">
        <f t="shared" ref="K41:K42" si="47">B41-B31</f>
        <v>6.0000000022020078E-3</v>
      </c>
      <c r="L41" s="302">
        <f t="shared" ref="L41:L42" si="48">D41-D31</f>
        <v>-2.0000000003992796E-3</v>
      </c>
      <c r="M41" s="302">
        <f t="shared" ref="M41:M42" si="49">F41-F31</f>
        <v>0.17300000005011684</v>
      </c>
      <c r="N41" s="302">
        <f t="shared" ref="N41:N42" si="50">SUM(K41:M41)</f>
        <v>0.17700000005191957</v>
      </c>
    </row>
    <row r="42" spans="1:14" x14ac:dyDescent="0.2">
      <c r="A42" s="282" t="s">
        <v>354</v>
      </c>
      <c r="B42" s="302">
        <f>SUM(B40:B41)</f>
        <v>1.7899999999861687</v>
      </c>
      <c r="C42" s="299" t="str">
        <f>CONCATENATE("(",ROUND((B42/$H42)*100,1),")")</f>
        <v>(30.9)</v>
      </c>
      <c r="D42" s="302">
        <f>SUM(D40:D41)</f>
        <v>8.7999999999665734E-2</v>
      </c>
      <c r="E42" s="299" t="str">
        <f>CONCATENATE("(",ROUND((D42/$H42)*100,1),")")</f>
        <v>(1.5)</v>
      </c>
      <c r="F42" s="302">
        <f>SUM(F40:F41)</f>
        <v>3.9219999999139588</v>
      </c>
      <c r="G42" s="299" t="str">
        <f>CONCATENATE("(",ROUND((F42/$H42)*100,1),")")</f>
        <v>(67.6)</v>
      </c>
      <c r="H42" s="302">
        <f>SUM(H40:H41)</f>
        <v>5.7999999998997929</v>
      </c>
      <c r="I42" s="299" t="str">
        <f>CONCATENATE("(",ROUND((H42/$H42)*100,1),")")</f>
        <v>(100)</v>
      </c>
      <c r="K42" s="302">
        <f t="shared" si="47"/>
        <v>0.27699999998631575</v>
      </c>
      <c r="L42" s="302">
        <f t="shared" si="48"/>
        <v>9.9999999947057716E-4</v>
      </c>
      <c r="M42" s="302">
        <f t="shared" si="49"/>
        <v>7.1000000012707343E-2</v>
      </c>
      <c r="N42" s="302">
        <f t="shared" si="50"/>
        <v>0.34899999999849368</v>
      </c>
    </row>
    <row r="43" spans="1:14" x14ac:dyDescent="0.2">
      <c r="A43" s="293"/>
      <c r="B43" s="294"/>
      <c r="C43" s="293"/>
      <c r="D43" s="294"/>
      <c r="E43" s="293"/>
      <c r="F43" s="294"/>
      <c r="G43" s="293"/>
      <c r="H43" s="294"/>
      <c r="I43" s="293"/>
      <c r="J43" s="293"/>
      <c r="K43" s="294"/>
      <c r="L43" s="294"/>
      <c r="M43" s="294"/>
      <c r="N43" s="294"/>
    </row>
    <row r="46" spans="1:14" x14ac:dyDescent="0.2">
      <c r="C46" s="181"/>
      <c r="E46" s="181"/>
      <c r="G46" s="181"/>
      <c r="I46" s="181"/>
    </row>
    <row r="47" spans="1:14" x14ac:dyDescent="0.2">
      <c r="A47" s="288"/>
      <c r="B47" s="289" t="s">
        <v>379</v>
      </c>
      <c r="C47" s="288"/>
      <c r="D47" s="289"/>
      <c r="E47" s="288"/>
      <c r="F47" s="289" t="str">
        <f>name!B5</f>
        <v>Mining and quarrying</v>
      </c>
      <c r="G47" s="288"/>
      <c r="H47" s="291"/>
      <c r="I47" s="288"/>
      <c r="J47" s="290"/>
      <c r="K47" s="291"/>
      <c r="L47" s="291"/>
      <c r="M47" s="291"/>
      <c r="N47" s="291"/>
    </row>
    <row r="48" spans="1:14" x14ac:dyDescent="0.2">
      <c r="N48" s="287" t="s">
        <v>377</v>
      </c>
    </row>
    <row r="49" spans="1:14" x14ac:dyDescent="0.2">
      <c r="A49" s="181" t="s">
        <v>378</v>
      </c>
      <c r="B49" s="369" t="s">
        <v>376</v>
      </c>
      <c r="C49" s="369"/>
      <c r="D49" s="369" t="s">
        <v>375</v>
      </c>
      <c r="E49" s="369"/>
      <c r="F49" s="369" t="s">
        <v>374</v>
      </c>
      <c r="G49" s="369"/>
      <c r="H49" s="369" t="s">
        <v>32</v>
      </c>
      <c r="I49" s="369"/>
      <c r="J49" s="181"/>
      <c r="K49" s="297" t="s">
        <v>339</v>
      </c>
      <c r="L49" s="297" t="s">
        <v>341</v>
      </c>
      <c r="M49" s="297" t="s">
        <v>337</v>
      </c>
      <c r="N49" s="297" t="s">
        <v>32</v>
      </c>
    </row>
    <row r="50" spans="1:14" x14ac:dyDescent="0.2">
      <c r="A50" s="292">
        <f>$A$8</f>
        <v>2020</v>
      </c>
      <c r="B50" s="287" t="s">
        <v>60</v>
      </c>
      <c r="C50" s="19" t="s">
        <v>373</v>
      </c>
      <c r="D50" s="287" t="s">
        <v>60</v>
      </c>
      <c r="E50" s="19" t="s">
        <v>373</v>
      </c>
      <c r="F50" s="287" t="s">
        <v>60</v>
      </c>
      <c r="G50" s="19" t="s">
        <v>373</v>
      </c>
      <c r="H50" s="287" t="s">
        <v>60</v>
      </c>
      <c r="I50" s="19" t="s">
        <v>373</v>
      </c>
      <c r="J50" s="181"/>
      <c r="K50" s="286" t="str">
        <f>CONCATENATE(A50," - ",A55)</f>
        <v>2020 - 2025</v>
      </c>
      <c r="L50" s="285"/>
      <c r="M50" s="285"/>
    </row>
    <row r="51" spans="1:14" x14ac:dyDescent="0.2">
      <c r="A51" s="282" t="s">
        <v>355</v>
      </c>
      <c r="B51" s="302">
        <f>'Ind T6'!L20</f>
        <v>1.4609999999992331</v>
      </c>
      <c r="C51" s="299" t="str">
        <f>CONCATENATE("(",ROUND((B51/$H53)*100,1),")")</f>
        <v>(80.7)</v>
      </c>
      <c r="D51" s="302">
        <f>'Ind T6'!M20</f>
        <v>7.899999999994764E-2</v>
      </c>
      <c r="E51" s="299" t="str">
        <f>CONCATENATE("(",ROUND((D51/$H53)*100,1),")")</f>
        <v>(4.4)</v>
      </c>
      <c r="F51" s="302">
        <f>'Ind T6'!N20</f>
        <v>0</v>
      </c>
      <c r="G51" s="299" t="str">
        <f>CONCATENATE("(",ROUND((F51/$H53)*100,1),")")</f>
        <v>(0)</v>
      </c>
      <c r="H51" s="302">
        <f>SUM(B51,D51,F51)</f>
        <v>1.5399999999991807</v>
      </c>
      <c r="I51" s="299" t="str">
        <f>CONCATENATE("(",ROUND((H51/$H53)*100,1),")")</f>
        <v>(85)</v>
      </c>
      <c r="K51" s="302">
        <f>B56-B51</f>
        <v>-0.17300000000574256</v>
      </c>
      <c r="L51" s="302">
        <f>D56-D51</f>
        <v>-5.9999999999169329E-3</v>
      </c>
      <c r="M51" s="302">
        <f>F56-F51</f>
        <v>0</v>
      </c>
      <c r="N51" s="302">
        <f>SUM(K51:M51)</f>
        <v>-0.17900000000565949</v>
      </c>
    </row>
    <row r="52" spans="1:14" x14ac:dyDescent="0.2">
      <c r="A52" s="282" t="s">
        <v>356</v>
      </c>
      <c r="B52" s="302">
        <f>'Ind T6'!L19</f>
        <v>0.19899999999850154</v>
      </c>
      <c r="C52" s="299" t="str">
        <f>CONCATENATE("(",ROUND((B52/$H53)*100,1),")")</f>
        <v>(11)</v>
      </c>
      <c r="D52" s="302">
        <f>'Ind T6'!M19</f>
        <v>7.2000000000324985E-2</v>
      </c>
      <c r="E52" s="299" t="str">
        <f>CONCATENATE("(",ROUND((D52/$H53)*100,1),")")</f>
        <v>(4)</v>
      </c>
      <c r="F52" s="302">
        <f>'Ind T6'!N19</f>
        <v>0</v>
      </c>
      <c r="G52" s="299" t="str">
        <f>CONCATENATE("(",ROUND((F52/$H53)*100,1),")")</f>
        <v>(0)</v>
      </c>
      <c r="H52" s="302">
        <f t="shared" ref="H52" si="51">SUM(B52,D52,F52)</f>
        <v>0.27099999999882651</v>
      </c>
      <c r="I52" s="299" t="str">
        <f>CONCATENATE("(",ROUND((H52/$H53)*100,1),")")</f>
        <v>(15)</v>
      </c>
      <c r="K52" s="302">
        <f t="shared" ref="K52:K53" si="52">B57-B52</f>
        <v>-2.4000000000536287E-2</v>
      </c>
      <c r="L52" s="302">
        <f t="shared" ref="L52:L53" si="53">D57-D52</f>
        <v>-7.9999999986307829E-3</v>
      </c>
      <c r="M52" s="302">
        <f t="shared" ref="M52:M53" si="54">F57-F52</f>
        <v>0</v>
      </c>
      <c r="N52" s="302">
        <f t="shared" ref="N52:N53" si="55">SUM(K52:M52)</f>
        <v>-3.199999999916707E-2</v>
      </c>
    </row>
    <row r="53" spans="1:14" x14ac:dyDescent="0.2">
      <c r="A53" s="282" t="s">
        <v>354</v>
      </c>
      <c r="B53" s="302">
        <f>SUM(B51:B52)</f>
        <v>1.6599999999977346</v>
      </c>
      <c r="C53" s="299" t="str">
        <f>CONCATENATE("(",ROUND((B53/$H53)*100,1),")")</f>
        <v>(91.7)</v>
      </c>
      <c r="D53" s="302">
        <f>SUM(D51:D52)</f>
        <v>0.15100000000027264</v>
      </c>
      <c r="E53" s="299" t="str">
        <f>CONCATENATE("(",ROUND((D53/$H53)*100,1),")")</f>
        <v>(8.3)</v>
      </c>
      <c r="F53" s="302">
        <f>SUM(F51:F52)</f>
        <v>0</v>
      </c>
      <c r="G53" s="299" t="str">
        <f>CONCATENATE("(",ROUND((F53/$H53)*100,1),")")</f>
        <v>(0)</v>
      </c>
      <c r="H53" s="302">
        <f>SUM(H51:H52)</f>
        <v>1.8109999999980073</v>
      </c>
      <c r="I53" s="299" t="str">
        <f>CONCATENATE("(",ROUND((H53/$H53)*100,1),")")</f>
        <v>(100)</v>
      </c>
      <c r="K53" s="302">
        <f t="shared" si="52"/>
        <v>-0.19700000000627882</v>
      </c>
      <c r="L53" s="302">
        <f t="shared" si="53"/>
        <v>-1.399999999854773E-2</v>
      </c>
      <c r="M53" s="302">
        <f t="shared" si="54"/>
        <v>0</v>
      </c>
      <c r="N53" s="302">
        <f t="shared" si="55"/>
        <v>-0.21100000000482655</v>
      </c>
    </row>
    <row r="54" spans="1:14" x14ac:dyDescent="0.2">
      <c r="B54" s="302"/>
      <c r="C54" s="284"/>
      <c r="D54" s="302"/>
      <c r="E54" s="284"/>
      <c r="F54" s="302"/>
      <c r="G54" s="284"/>
      <c r="H54" s="302"/>
      <c r="I54" s="284"/>
    </row>
    <row r="55" spans="1:14" x14ac:dyDescent="0.2">
      <c r="A55" s="292">
        <f>$A$13</f>
        <v>2025</v>
      </c>
      <c r="B55" s="302"/>
      <c r="C55" s="284"/>
      <c r="D55" s="302"/>
      <c r="E55" s="284"/>
      <c r="F55" s="302"/>
      <c r="G55" s="284"/>
      <c r="H55" s="302"/>
      <c r="I55" s="284"/>
      <c r="K55" s="286" t="str">
        <f>CONCATENATE(A55," - ",A60)</f>
        <v>2025 - 2035</v>
      </c>
    </row>
    <row r="56" spans="1:14" x14ac:dyDescent="0.2">
      <c r="A56" s="282" t="s">
        <v>355</v>
      </c>
      <c r="B56" s="302">
        <f>'Ind T6'!Q20</f>
        <v>1.2879999999934906</v>
      </c>
      <c r="C56" s="299" t="str">
        <f>CONCATENATE("(",ROUND((B56/$H58)*100,1),")")</f>
        <v>(80.5)</v>
      </c>
      <c r="D56" s="302">
        <f>'Ind T6'!R20</f>
        <v>7.3000000000030707E-2</v>
      </c>
      <c r="E56" s="299" t="str">
        <f>CONCATENATE("(",ROUND((D56/$H58)*100,1),")")</f>
        <v>(4.6)</v>
      </c>
      <c r="F56" s="302">
        <f>'Ind T6'!S20</f>
        <v>0</v>
      </c>
      <c r="G56" s="299" t="str">
        <f>CONCATENATE("(",ROUND((F56/$H58)*100,1),")")</f>
        <v>(0)</v>
      </c>
      <c r="H56" s="302">
        <f>SUM(B56,D56,F56)</f>
        <v>1.3609999999935214</v>
      </c>
      <c r="I56" s="299" t="str">
        <f>CONCATENATE("(",ROUND((H56/$H58)*100,1),")")</f>
        <v>(85.1)</v>
      </c>
      <c r="K56" s="302">
        <f>B61-B56</f>
        <v>-0.16300000000146686</v>
      </c>
      <c r="L56" s="302">
        <f>D61-D56</f>
        <v>-5.0000000000797185E-3</v>
      </c>
      <c r="M56" s="302">
        <f>F61-F56</f>
        <v>0</v>
      </c>
      <c r="N56" s="302">
        <f>SUM(K56:M56)</f>
        <v>-0.16800000000154658</v>
      </c>
    </row>
    <row r="57" spans="1:14" x14ac:dyDescent="0.2">
      <c r="A57" s="282" t="s">
        <v>356</v>
      </c>
      <c r="B57" s="302">
        <f>'Ind T6'!Q19</f>
        <v>0.17499999999796526</v>
      </c>
      <c r="C57" s="299" t="str">
        <f>CONCATENATE("(",ROUND((B57/$H58)*100,1),")")</f>
        <v>(10.9)</v>
      </c>
      <c r="D57" s="302">
        <f>'Ind T6'!R19</f>
        <v>6.4000000001694202E-2</v>
      </c>
      <c r="E57" s="299" t="str">
        <f>CONCATENATE("(",ROUND((D57/$H58)*100,1),")")</f>
        <v>(4)</v>
      </c>
      <c r="F57" s="302">
        <f>'Ind T6'!S19</f>
        <v>0</v>
      </c>
      <c r="G57" s="299" t="str">
        <f>CONCATENATE("(",ROUND((F57/$H58)*100,1),")")</f>
        <v>(0)</v>
      </c>
      <c r="H57" s="302">
        <f t="shared" ref="H57" si="56">SUM(B57,D57,F57)</f>
        <v>0.23899999999965946</v>
      </c>
      <c r="I57" s="299" t="str">
        <f>CONCATENATE("(",ROUND((H57/$H58)*100,1),")")</f>
        <v>(14.9)</v>
      </c>
      <c r="K57" s="302">
        <f t="shared" ref="K57:K58" si="57">B62-B57</f>
        <v>-2.7999999996779767E-2</v>
      </c>
      <c r="L57" s="302">
        <f t="shared" ref="L57:L58" si="58">D62-D57</f>
        <v>-6.0000000009850021E-3</v>
      </c>
      <c r="M57" s="302">
        <f t="shared" ref="M57:M58" si="59">F62-F57</f>
        <v>0</v>
      </c>
      <c r="N57" s="302">
        <f t="shared" ref="N57:N58" si="60">SUM(K57:M57)</f>
        <v>-3.399999999776477E-2</v>
      </c>
    </row>
    <row r="58" spans="1:14" x14ac:dyDescent="0.2">
      <c r="A58" s="282" t="s">
        <v>354</v>
      </c>
      <c r="B58" s="302">
        <f>SUM(B56:B57)</f>
        <v>1.4629999999914558</v>
      </c>
      <c r="C58" s="299" t="str">
        <f>CONCATENATE("(",ROUND((B58/$H58)*100,1),")")</f>
        <v>(91.4)</v>
      </c>
      <c r="D58" s="302">
        <f>SUM(D56:D57)</f>
        <v>0.13700000000172491</v>
      </c>
      <c r="E58" s="299" t="str">
        <f>CONCATENATE("(",ROUND((D58/$H58)*100,1),")")</f>
        <v>(8.6)</v>
      </c>
      <c r="F58" s="302">
        <f>SUM(F56:F57)</f>
        <v>0</v>
      </c>
      <c r="G58" s="299" t="str">
        <f>CONCATENATE("(",ROUND((F58/$H58)*100,1),")")</f>
        <v>(0)</v>
      </c>
      <c r="H58" s="302">
        <f>SUM(H56:H57)</f>
        <v>1.5999999999931809</v>
      </c>
      <c r="I58" s="299" t="str">
        <f>CONCATENATE("(",ROUND((H58/$H58)*100,1),")")</f>
        <v>(100)</v>
      </c>
      <c r="K58" s="302">
        <f t="shared" si="57"/>
        <v>-0.19099999999824657</v>
      </c>
      <c r="L58" s="302">
        <f t="shared" si="58"/>
        <v>-1.1000000001064714E-2</v>
      </c>
      <c r="M58" s="302">
        <f t="shared" si="59"/>
        <v>0</v>
      </c>
      <c r="N58" s="302">
        <f t="shared" si="60"/>
        <v>-0.20199999999931129</v>
      </c>
    </row>
    <row r="59" spans="1:14" x14ac:dyDescent="0.2">
      <c r="B59" s="302"/>
      <c r="C59" s="284"/>
      <c r="D59" s="302"/>
      <c r="E59" s="284"/>
      <c r="F59" s="302"/>
      <c r="G59" s="284"/>
      <c r="H59" s="302"/>
      <c r="I59" s="284"/>
    </row>
    <row r="60" spans="1:14" x14ac:dyDescent="0.2">
      <c r="A60" s="292">
        <f>$A$18</f>
        <v>2035</v>
      </c>
      <c r="B60" s="302"/>
      <c r="C60" s="284"/>
      <c r="D60" s="302"/>
      <c r="E60" s="284"/>
      <c r="F60" s="302"/>
      <c r="G60" s="284"/>
      <c r="H60" s="302"/>
      <c r="I60" s="284"/>
      <c r="K60" s="286" t="str">
        <f>CONCATENATE(A50," - ",A60)</f>
        <v>2020 - 2035</v>
      </c>
    </row>
    <row r="61" spans="1:14" x14ac:dyDescent="0.2">
      <c r="A61" s="282" t="s">
        <v>355</v>
      </c>
      <c r="B61" s="302">
        <f>'Ind T6'!V20</f>
        <v>1.1249999999920237</v>
      </c>
      <c r="C61" s="299" t="str">
        <f>CONCATENATE("(",ROUND((B61/$H63)*100,1),")")</f>
        <v>(80.5)</v>
      </c>
      <c r="D61" s="302">
        <f>'Ind T6'!W20</f>
        <v>6.7999999999950989E-2</v>
      </c>
      <c r="E61" s="299" t="str">
        <f>CONCATENATE("(",ROUND((D61/$H63)*100,1),")")</f>
        <v>(4.9)</v>
      </c>
      <c r="F61" s="302">
        <f>'Ind T6'!X20</f>
        <v>0</v>
      </c>
      <c r="G61" s="299" t="str">
        <f>CONCATENATE("(",ROUND((F61/$H63)*100,1),")")</f>
        <v>(0)</v>
      </c>
      <c r="H61" s="302">
        <f>SUM(B61,D61,F61)</f>
        <v>1.1929999999919747</v>
      </c>
      <c r="I61" s="299" t="str">
        <f>CONCATENATE("(",ROUND((H61/$H63)*100,1),")")</f>
        <v>(85.3)</v>
      </c>
      <c r="K61" s="302">
        <f>B61-B51</f>
        <v>-0.33600000000720942</v>
      </c>
      <c r="L61" s="302">
        <f>D61-D51</f>
        <v>-1.0999999999996651E-2</v>
      </c>
      <c r="M61" s="302">
        <f>F61-F51</f>
        <v>0</v>
      </c>
      <c r="N61" s="302">
        <f>SUM(K61:M61)</f>
        <v>-0.3470000000072061</v>
      </c>
    </row>
    <row r="62" spans="1:14" x14ac:dyDescent="0.2">
      <c r="A62" s="282" t="s">
        <v>356</v>
      </c>
      <c r="B62" s="302">
        <f>'Ind T6'!V19</f>
        <v>0.14700000000118549</v>
      </c>
      <c r="C62" s="299" t="str">
        <f>CONCATENATE("(",ROUND((B62/$H63)*100,1),")")</f>
        <v>(10.5)</v>
      </c>
      <c r="D62" s="302">
        <f>'Ind T6'!W19</f>
        <v>5.80000000007092E-2</v>
      </c>
      <c r="E62" s="299" t="str">
        <f>CONCATENATE("(",ROUND((D62/$H63)*100,1),")")</f>
        <v>(4.1)</v>
      </c>
      <c r="F62" s="302">
        <f>'Ind T6'!X19</f>
        <v>0</v>
      </c>
      <c r="G62" s="299" t="str">
        <f>CONCATENATE("(",ROUND((F62/$H63)*100,1),")")</f>
        <v>(0)</v>
      </c>
      <c r="H62" s="302">
        <f t="shared" ref="H62" si="61">SUM(B62,D62,F62)</f>
        <v>0.20500000000189469</v>
      </c>
      <c r="I62" s="299" t="str">
        <f>CONCATENATE("(",ROUND((H62/$H63)*100,1),")")</f>
        <v>(14.7)</v>
      </c>
      <c r="K62" s="302">
        <f t="shared" ref="K62:K63" si="62">B62-B52</f>
        <v>-5.1999999997316054E-2</v>
      </c>
      <c r="L62" s="302">
        <f t="shared" ref="L62:L63" si="63">D62-D52</f>
        <v>-1.3999999999615785E-2</v>
      </c>
      <c r="M62" s="302">
        <f t="shared" ref="M62:M63" si="64">F62-F52</f>
        <v>0</v>
      </c>
      <c r="N62" s="302">
        <f t="shared" ref="N62:N63" si="65">SUM(K62:M62)</f>
        <v>-6.5999999996931846E-2</v>
      </c>
    </row>
    <row r="63" spans="1:14" x14ac:dyDescent="0.2">
      <c r="A63" s="282" t="s">
        <v>354</v>
      </c>
      <c r="B63" s="302">
        <f>SUM(B61:B62)</f>
        <v>1.2719999999932092</v>
      </c>
      <c r="C63" s="299" t="str">
        <f>CONCATENATE("(",ROUND((B63/$H63)*100,1),")")</f>
        <v>(91)</v>
      </c>
      <c r="D63" s="302">
        <f>SUM(D61:D62)</f>
        <v>0.1260000000006602</v>
      </c>
      <c r="E63" s="299" t="str">
        <f>CONCATENATE("(",ROUND((D63/$H63)*100,1),")")</f>
        <v>(9)</v>
      </c>
      <c r="F63" s="302">
        <f>SUM(F61:F62)</f>
        <v>0</v>
      </c>
      <c r="G63" s="299" t="str">
        <f>CONCATENATE("(",ROUND((F63/$H63)*100,1),")")</f>
        <v>(0)</v>
      </c>
      <c r="H63" s="302">
        <f>SUM(H61:H62)</f>
        <v>1.3979999999938695</v>
      </c>
      <c r="I63" s="299" t="str">
        <f>CONCATENATE("(",ROUND((H63/$H63)*100,1),")")</f>
        <v>(100)</v>
      </c>
      <c r="K63" s="302">
        <f t="shared" si="62"/>
        <v>-0.38800000000452539</v>
      </c>
      <c r="L63" s="302">
        <f t="shared" si="63"/>
        <v>-2.4999999999612443E-2</v>
      </c>
      <c r="M63" s="302">
        <f t="shared" si="64"/>
        <v>0</v>
      </c>
      <c r="N63" s="302">
        <f t="shared" si="65"/>
        <v>-0.41300000000413783</v>
      </c>
    </row>
    <row r="64" spans="1:14" x14ac:dyDescent="0.2">
      <c r="A64" s="293"/>
      <c r="B64" s="294"/>
      <c r="C64" s="293"/>
      <c r="D64" s="294"/>
      <c r="E64" s="293"/>
      <c r="F64" s="294"/>
      <c r="G64" s="293"/>
      <c r="H64" s="294"/>
      <c r="I64" s="293"/>
      <c r="J64" s="293"/>
      <c r="K64" s="294"/>
      <c r="L64" s="294"/>
      <c r="M64" s="294"/>
      <c r="N64" s="294"/>
    </row>
    <row r="68" spans="1:14" x14ac:dyDescent="0.2">
      <c r="A68" s="288"/>
      <c r="B68" s="289" t="s">
        <v>379</v>
      </c>
      <c r="C68" s="288"/>
      <c r="D68" s="289"/>
      <c r="E68" s="288"/>
      <c r="F68" s="289" t="str">
        <f>name!B6</f>
        <v>Food drink and tobacco</v>
      </c>
      <c r="G68" s="288"/>
      <c r="H68" s="291"/>
      <c r="I68" s="288"/>
      <c r="J68" s="290"/>
      <c r="K68" s="291"/>
      <c r="L68" s="291"/>
      <c r="M68" s="291"/>
      <c r="N68" s="291"/>
    </row>
    <row r="69" spans="1:14" x14ac:dyDescent="0.2">
      <c r="N69" s="287" t="s">
        <v>377</v>
      </c>
    </row>
    <row r="70" spans="1:14" x14ac:dyDescent="0.2">
      <c r="A70" s="181" t="s">
        <v>378</v>
      </c>
      <c r="B70" s="369" t="s">
        <v>376</v>
      </c>
      <c r="C70" s="369"/>
      <c r="D70" s="369" t="s">
        <v>375</v>
      </c>
      <c r="E70" s="369"/>
      <c r="F70" s="369" t="s">
        <v>374</v>
      </c>
      <c r="G70" s="369"/>
      <c r="H70" s="369" t="s">
        <v>32</v>
      </c>
      <c r="I70" s="369"/>
      <c r="J70" s="181"/>
      <c r="K70" s="297" t="s">
        <v>339</v>
      </c>
      <c r="L70" s="297" t="s">
        <v>341</v>
      </c>
      <c r="M70" s="297" t="s">
        <v>337</v>
      </c>
      <c r="N70" s="297" t="s">
        <v>32</v>
      </c>
    </row>
    <row r="71" spans="1:14" x14ac:dyDescent="0.2">
      <c r="A71" s="292">
        <f>$A$8</f>
        <v>2020</v>
      </c>
      <c r="B71" s="287" t="s">
        <v>60</v>
      </c>
      <c r="C71" s="19" t="s">
        <v>373</v>
      </c>
      <c r="D71" s="287" t="s">
        <v>60</v>
      </c>
      <c r="E71" s="19" t="s">
        <v>373</v>
      </c>
      <c r="F71" s="287" t="s">
        <v>60</v>
      </c>
      <c r="G71" s="19" t="s">
        <v>373</v>
      </c>
      <c r="H71" s="287" t="s">
        <v>60</v>
      </c>
      <c r="I71" s="19" t="s">
        <v>373</v>
      </c>
      <c r="J71" s="181"/>
      <c r="K71" s="286" t="str">
        <f>CONCATENATE(A71," - ",A76)</f>
        <v>2020 - 2025</v>
      </c>
      <c r="L71" s="285"/>
      <c r="M71" s="285"/>
    </row>
    <row r="72" spans="1:14" x14ac:dyDescent="0.2">
      <c r="A72" s="282" t="s">
        <v>355</v>
      </c>
      <c r="B72" s="302">
        <f>'Ind T6'!L40</f>
        <v>6.8050000000116198</v>
      </c>
      <c r="C72" s="299" t="str">
        <f>CONCATENATE("(",ROUND((B72/$H74)*100,1),")")</f>
        <v>(56.3)</v>
      </c>
      <c r="D72" s="302">
        <f>'Ind T6'!M40</f>
        <v>0.37799999999742634</v>
      </c>
      <c r="E72" s="299" t="str">
        <f>CONCATENATE("(",ROUND((D72/$H74)*100,1),")")</f>
        <v>(3.1)</v>
      </c>
      <c r="F72" s="302">
        <f>'Ind T6'!N40</f>
        <v>0</v>
      </c>
      <c r="G72" s="299" t="str">
        <f>CONCATENATE("(",ROUND((F72/$H74)*100,1),")")</f>
        <v>(0)</v>
      </c>
      <c r="H72" s="302">
        <f>SUM(B72,D72,F72)</f>
        <v>7.1830000000090459</v>
      </c>
      <c r="I72" s="299" t="str">
        <f>CONCATENATE("(",ROUND((H72/$H74)*100,1),")")</f>
        <v>(59.4)</v>
      </c>
      <c r="K72" s="302">
        <f>B77-B72</f>
        <v>-5.0000000082516038E-2</v>
      </c>
      <c r="L72" s="302">
        <f>D77-D72</f>
        <v>1.0000000046039292E-3</v>
      </c>
      <c r="M72" s="302">
        <f>F77-F72</f>
        <v>0</v>
      </c>
      <c r="N72" s="302">
        <f>SUM(K72:M72)</f>
        <v>-4.9000000077912109E-2</v>
      </c>
    </row>
    <row r="73" spans="1:14" x14ac:dyDescent="0.2">
      <c r="A73" s="282" t="s">
        <v>356</v>
      </c>
      <c r="B73" s="302">
        <f>'Ind T6'!L39</f>
        <v>3.5869999999268765</v>
      </c>
      <c r="C73" s="299" t="str">
        <f>CONCATENATE("(",ROUND((B73/$H74)*100,1),")")</f>
        <v>(29.7)</v>
      </c>
      <c r="D73" s="302">
        <f>'Ind T6'!M39</f>
        <v>1.2130000000192593</v>
      </c>
      <c r="E73" s="299" t="str">
        <f>CONCATENATE("(",ROUND((D73/$H74)*100,1),")")</f>
        <v>(10)</v>
      </c>
      <c r="F73" s="302">
        <f>'Ind T6'!N39</f>
        <v>0.10599999999729713</v>
      </c>
      <c r="G73" s="299" t="str">
        <f>CONCATENATE("(",ROUND((F73/$H74)*100,1),")")</f>
        <v>(0.9)</v>
      </c>
      <c r="H73" s="302">
        <f t="shared" ref="H73" si="66">SUM(B73,D73,F73)</f>
        <v>4.9059999999434334</v>
      </c>
      <c r="I73" s="299" t="str">
        <f>CONCATENATE("(",ROUND((H73/$H74)*100,1),")")</f>
        <v>(40.6)</v>
      </c>
      <c r="K73" s="302">
        <f t="shared" ref="K73:K74" si="67">B78-B73</f>
        <v>0.14700000028329141</v>
      </c>
      <c r="L73" s="302">
        <f t="shared" ref="L73:L74" si="68">D78-D73</f>
        <v>2.0000000751898561E-3</v>
      </c>
      <c r="M73" s="302">
        <f t="shared" ref="M73:M74" si="69">F78-F73</f>
        <v>4.0000000046040984E-3</v>
      </c>
      <c r="N73" s="302">
        <f t="shared" ref="N73:N74" si="70">SUM(K73:M73)</f>
        <v>0.15300000036308536</v>
      </c>
    </row>
    <row r="74" spans="1:14" x14ac:dyDescent="0.2">
      <c r="A74" s="282" t="s">
        <v>354</v>
      </c>
      <c r="B74" s="302">
        <f>SUM(B72:B73)</f>
        <v>10.391999999938497</v>
      </c>
      <c r="C74" s="299" t="str">
        <f>CONCATENATE("(",ROUND((B74/$H74)*100,1),")")</f>
        <v>(86)</v>
      </c>
      <c r="D74" s="302">
        <f>SUM(D72:D73)</f>
        <v>1.5910000000166857</v>
      </c>
      <c r="E74" s="299" t="str">
        <f>CONCATENATE("(",ROUND((D74/$H74)*100,1),")")</f>
        <v>(13.2)</v>
      </c>
      <c r="F74" s="302">
        <f>SUM(F72:F73)</f>
        <v>0.10599999999729713</v>
      </c>
      <c r="G74" s="299" t="str">
        <f>CONCATENATE("(",ROUND((F74/$H74)*100,1),")")</f>
        <v>(0.9)</v>
      </c>
      <c r="H74" s="302">
        <f>SUM(H72:H73)</f>
        <v>12.088999999952479</v>
      </c>
      <c r="I74" s="299" t="str">
        <f>CONCATENATE("(",ROUND((H74/$H74)*100,1),")")</f>
        <v>(100)</v>
      </c>
      <c r="K74" s="302">
        <f t="shared" si="67"/>
        <v>9.7000000200774039E-2</v>
      </c>
      <c r="L74" s="302">
        <f t="shared" si="68"/>
        <v>3.0000000797938409E-3</v>
      </c>
      <c r="M74" s="302">
        <f t="shared" si="69"/>
        <v>4.0000000046040984E-3</v>
      </c>
      <c r="N74" s="302">
        <f t="shared" si="70"/>
        <v>0.10400000028517198</v>
      </c>
    </row>
    <row r="75" spans="1:14" x14ac:dyDescent="0.2">
      <c r="B75" s="302"/>
      <c r="C75" s="284"/>
      <c r="D75" s="302"/>
      <c r="E75" s="284"/>
      <c r="F75" s="302"/>
      <c r="G75" s="284"/>
      <c r="H75" s="302"/>
      <c r="I75" s="284"/>
    </row>
    <row r="76" spans="1:14" x14ac:dyDescent="0.2">
      <c r="A76" s="292">
        <f>$A$13</f>
        <v>2025</v>
      </c>
      <c r="B76" s="302"/>
      <c r="C76" s="284"/>
      <c r="D76" s="302"/>
      <c r="E76" s="284"/>
      <c r="F76" s="302"/>
      <c r="G76" s="284"/>
      <c r="H76" s="302"/>
      <c r="I76" s="284"/>
      <c r="K76" s="286" t="str">
        <f>CONCATENATE(A76," - ",A81)</f>
        <v>2025 - 2035</v>
      </c>
    </row>
    <row r="77" spans="1:14" x14ac:dyDescent="0.2">
      <c r="A77" s="282" t="s">
        <v>355</v>
      </c>
      <c r="B77" s="302">
        <f>'Ind T6'!Q40</f>
        <v>6.7549999999291037</v>
      </c>
      <c r="C77" s="299" t="str">
        <f>CONCATENATE("(",ROUND((B77/$H79)*100,1),")")</f>
        <v>(55.4)</v>
      </c>
      <c r="D77" s="302">
        <f>'Ind T6'!R40</f>
        <v>0.37900000000203027</v>
      </c>
      <c r="E77" s="299" t="str">
        <f>CONCATENATE("(",ROUND((D77/$H79)*100,1),")")</f>
        <v>(3.1)</v>
      </c>
      <c r="F77" s="302">
        <f>'Ind T6'!S40</f>
        <v>0</v>
      </c>
      <c r="G77" s="299" t="str">
        <f>CONCATENATE("(",ROUND((F77/$H79)*100,1),")")</f>
        <v>(0)</v>
      </c>
      <c r="H77" s="302">
        <f>SUM(B77,D77,F77)</f>
        <v>7.1339999999311337</v>
      </c>
      <c r="I77" s="299" t="str">
        <f>CONCATENATE("(",ROUND((H77/$H79)*100,1),")")</f>
        <v>(58.5)</v>
      </c>
      <c r="K77" s="302">
        <f>B82-B77</f>
        <v>-0.39500000000010438</v>
      </c>
      <c r="L77" s="302">
        <f>D82-D77</f>
        <v>-1.3999999999111223E-2</v>
      </c>
      <c r="M77" s="302">
        <f>F82-F77</f>
        <v>0</v>
      </c>
      <c r="N77" s="302">
        <f>SUM(K77:M77)</f>
        <v>-0.4089999999992156</v>
      </c>
    </row>
    <row r="78" spans="1:14" x14ac:dyDescent="0.2">
      <c r="A78" s="282" t="s">
        <v>356</v>
      </c>
      <c r="B78" s="302">
        <f>'Ind T6'!Q39</f>
        <v>3.7340000002101679</v>
      </c>
      <c r="C78" s="299" t="str">
        <f>CONCATENATE("(",ROUND((B78/$H79)*100,1),")")</f>
        <v>(30.6)</v>
      </c>
      <c r="D78" s="302">
        <f>'Ind T6'!R39</f>
        <v>1.2150000000944492</v>
      </c>
      <c r="E78" s="299" t="str">
        <f>CONCATENATE("(",ROUND((D78/$H79)*100,1),")")</f>
        <v>(10)</v>
      </c>
      <c r="F78" s="302">
        <f>'Ind T6'!S39</f>
        <v>0.11000000000190123</v>
      </c>
      <c r="G78" s="299" t="str">
        <f>CONCATENATE("(",ROUND((F78/$H79)*100,1),")")</f>
        <v>(0.9)</v>
      </c>
      <c r="H78" s="302">
        <f t="shared" ref="H78" si="71">SUM(B78,D78,F78)</f>
        <v>5.0590000003065176</v>
      </c>
      <c r="I78" s="299" t="str">
        <f>CONCATENATE("(",ROUND((H78/$H79)*100,1),")")</f>
        <v>(41.5)</v>
      </c>
      <c r="K78" s="302">
        <f t="shared" ref="K78:K79" si="72">B83-B78</f>
        <v>0.10499999977733498</v>
      </c>
      <c r="L78" s="302">
        <f t="shared" ref="L78:L79" si="73">D83-D78</f>
        <v>-5.300000010083461E-2</v>
      </c>
      <c r="M78" s="302">
        <f t="shared" ref="M78:M79" si="74">F83-F78</f>
        <v>9.9999999801737849E-4</v>
      </c>
      <c r="N78" s="302">
        <f t="shared" ref="N78:N79" si="75">SUM(K78:M78)</f>
        <v>5.2999999674517753E-2</v>
      </c>
    </row>
    <row r="79" spans="1:14" x14ac:dyDescent="0.2">
      <c r="A79" s="282" t="s">
        <v>354</v>
      </c>
      <c r="B79" s="302">
        <f>SUM(B77:B78)</f>
        <v>10.489000000139271</v>
      </c>
      <c r="C79" s="299" t="str">
        <f>CONCATENATE("(",ROUND((B79/$H79)*100,1),")")</f>
        <v>(86)</v>
      </c>
      <c r="D79" s="302">
        <f>SUM(D77:D78)</f>
        <v>1.5940000000964796</v>
      </c>
      <c r="E79" s="299" t="str">
        <f>CONCATENATE("(",ROUND((D79/$H79)*100,1),")")</f>
        <v>(13.1)</v>
      </c>
      <c r="F79" s="302">
        <f>SUM(F77:F78)</f>
        <v>0.11000000000190123</v>
      </c>
      <c r="G79" s="299" t="str">
        <f>CONCATENATE("(",ROUND((F79/$H79)*100,1),")")</f>
        <v>(0.9)</v>
      </c>
      <c r="H79" s="302">
        <f>SUM(H77:H78)</f>
        <v>12.193000000237651</v>
      </c>
      <c r="I79" s="299" t="str">
        <f>CONCATENATE("(",ROUND((H79/$H79)*100,1),")")</f>
        <v>(100)</v>
      </c>
      <c r="K79" s="302">
        <f t="shared" si="72"/>
        <v>-0.29000000022276851</v>
      </c>
      <c r="L79" s="302">
        <f t="shared" si="73"/>
        <v>-6.7000000099946E-2</v>
      </c>
      <c r="M79" s="302">
        <f t="shared" si="74"/>
        <v>9.9999999801737849E-4</v>
      </c>
      <c r="N79" s="302">
        <f t="shared" si="75"/>
        <v>-0.35600000032469714</v>
      </c>
    </row>
    <row r="80" spans="1:14" x14ac:dyDescent="0.2">
      <c r="B80" s="302"/>
      <c r="C80" s="284"/>
      <c r="D80" s="302"/>
      <c r="E80" s="284"/>
      <c r="F80" s="302"/>
      <c r="G80" s="284"/>
      <c r="H80" s="302"/>
      <c r="I80" s="284"/>
    </row>
    <row r="81" spans="1:14" x14ac:dyDescent="0.2">
      <c r="A81" s="292">
        <f>$A$18</f>
        <v>2035</v>
      </c>
      <c r="B81" s="302"/>
      <c r="C81" s="284"/>
      <c r="D81" s="302"/>
      <c r="E81" s="284"/>
      <c r="F81" s="302"/>
      <c r="G81" s="284"/>
      <c r="H81" s="302"/>
      <c r="I81" s="284"/>
      <c r="K81" s="286" t="str">
        <f>CONCATENATE(A71," - ",A81)</f>
        <v>2020 - 2035</v>
      </c>
    </row>
    <row r="82" spans="1:14" x14ac:dyDescent="0.2">
      <c r="A82" s="282" t="s">
        <v>355</v>
      </c>
      <c r="B82" s="302">
        <f>'Ind T6'!V40</f>
        <v>6.3599999999289993</v>
      </c>
      <c r="C82" s="299" t="str">
        <f>CONCATENATE("(",ROUND((B82/$H84)*100,1),")")</f>
        <v>(53.7)</v>
      </c>
      <c r="D82" s="302">
        <f>'Ind T6'!W40</f>
        <v>0.36500000000291905</v>
      </c>
      <c r="E82" s="299" t="str">
        <f>CONCATENATE("(",ROUND((D82/$H84)*100,1),")")</f>
        <v>(3.1)</v>
      </c>
      <c r="F82" s="302">
        <f>'Ind T6'!X40</f>
        <v>0</v>
      </c>
      <c r="G82" s="299" t="str">
        <f>CONCATENATE("(",ROUND((F82/$H84)*100,1),")")</f>
        <v>(0)</v>
      </c>
      <c r="H82" s="302">
        <f>SUM(B82,D82,F82)</f>
        <v>6.7249999999319181</v>
      </c>
      <c r="I82" s="299" t="str">
        <f>CONCATENATE("(",ROUND((H82/$H84)*100,1),")")</f>
        <v>(56.8)</v>
      </c>
      <c r="K82" s="302">
        <f>B82-B72</f>
        <v>-0.44500000008262042</v>
      </c>
      <c r="L82" s="302">
        <f>D82-D72</f>
        <v>-1.2999999994507294E-2</v>
      </c>
      <c r="M82" s="302">
        <f>F82-F72</f>
        <v>0</v>
      </c>
      <c r="N82" s="302">
        <f>SUM(K82:M82)</f>
        <v>-0.45800000007712771</v>
      </c>
    </row>
    <row r="83" spans="1:14" x14ac:dyDescent="0.2">
      <c r="A83" s="282" t="s">
        <v>356</v>
      </c>
      <c r="B83" s="302">
        <f>'Ind T6'!V39</f>
        <v>3.8389999999875029</v>
      </c>
      <c r="C83" s="299" t="str">
        <f>CONCATENATE("(",ROUND((B83/$H84)*100,1),")")</f>
        <v>(32.4)</v>
      </c>
      <c r="D83" s="302">
        <f>'Ind T6'!W39</f>
        <v>1.1619999999936146</v>
      </c>
      <c r="E83" s="299" t="str">
        <f>CONCATENATE("(",ROUND((D83/$H84)*100,1),")")</f>
        <v>(9.8)</v>
      </c>
      <c r="F83" s="302">
        <f>'Ind T6'!X39</f>
        <v>0.11099999999991861</v>
      </c>
      <c r="G83" s="299" t="str">
        <f>CONCATENATE("(",ROUND((F83/$H84)*100,1),")")</f>
        <v>(0.9)</v>
      </c>
      <c r="H83" s="302">
        <f t="shared" ref="H83" si="76">SUM(B83,D83,F83)</f>
        <v>5.1119999999810366</v>
      </c>
      <c r="I83" s="299" t="str">
        <f>CONCATENATE("(",ROUND((H83/$H84)*100,1),")")</f>
        <v>(43.2)</v>
      </c>
      <c r="K83" s="302">
        <f t="shared" ref="K83:K84" si="77">B83-B73</f>
        <v>0.25200000006062639</v>
      </c>
      <c r="L83" s="302">
        <f t="shared" ref="L83:L84" si="78">D83-D73</f>
        <v>-5.1000000025644754E-2</v>
      </c>
      <c r="M83" s="302">
        <f t="shared" ref="M83:M84" si="79">F83-F73</f>
        <v>5.0000000026214769E-3</v>
      </c>
      <c r="N83" s="302">
        <f t="shared" ref="N83:N84" si="80">SUM(K83:M83)</f>
        <v>0.2060000000376031</v>
      </c>
    </row>
    <row r="84" spans="1:14" x14ac:dyDescent="0.2">
      <c r="A84" s="282" t="s">
        <v>354</v>
      </c>
      <c r="B84" s="302">
        <f>SUM(B82:B83)</f>
        <v>10.198999999916502</v>
      </c>
      <c r="C84" s="299" t="str">
        <f>CONCATENATE("(",ROUND((B84/$H84)*100,1),")")</f>
        <v>(86.2)</v>
      </c>
      <c r="D84" s="302">
        <f>SUM(D82:D83)</f>
        <v>1.5269999999965336</v>
      </c>
      <c r="E84" s="299" t="str">
        <f>CONCATENATE("(",ROUND((D84/$H84)*100,1),")")</f>
        <v>(12.9)</v>
      </c>
      <c r="F84" s="302">
        <f>SUM(F82:F83)</f>
        <v>0.11099999999991861</v>
      </c>
      <c r="G84" s="299" t="str">
        <f>CONCATENATE("(",ROUND((F84/$H84)*100,1),")")</f>
        <v>(0.9)</v>
      </c>
      <c r="H84" s="302">
        <f>SUM(H82:H83)</f>
        <v>11.836999999912955</v>
      </c>
      <c r="I84" s="299" t="str">
        <f>CONCATENATE("(",ROUND((H84/$H84)*100,1),")")</f>
        <v>(100)</v>
      </c>
      <c r="K84" s="302">
        <f t="shared" si="77"/>
        <v>-0.19300000002199447</v>
      </c>
      <c r="L84" s="302">
        <f t="shared" si="78"/>
        <v>-6.4000000020152159E-2</v>
      </c>
      <c r="M84" s="302">
        <f t="shared" si="79"/>
        <v>5.0000000026214769E-3</v>
      </c>
      <c r="N84" s="302">
        <f t="shared" si="80"/>
        <v>-0.25200000003952516</v>
      </c>
    </row>
    <row r="85" spans="1:14" x14ac:dyDescent="0.2">
      <c r="A85" s="293"/>
      <c r="B85" s="294"/>
      <c r="C85" s="293"/>
      <c r="D85" s="294"/>
      <c r="E85" s="293"/>
      <c r="F85" s="294"/>
      <c r="G85" s="293"/>
      <c r="H85" s="294"/>
      <c r="I85" s="293"/>
      <c r="J85" s="293"/>
      <c r="K85" s="294"/>
      <c r="L85" s="294"/>
      <c r="M85" s="294"/>
      <c r="N85" s="294"/>
    </row>
    <row r="89" spans="1:14" x14ac:dyDescent="0.2">
      <c r="A89" s="288"/>
      <c r="B89" s="289" t="s">
        <v>379</v>
      </c>
      <c r="C89" s="288"/>
      <c r="D89" s="289"/>
      <c r="E89" s="288"/>
      <c r="F89" s="289" t="str">
        <f>name!B7</f>
        <v>Engineering</v>
      </c>
      <c r="G89" s="288"/>
      <c r="H89" s="291"/>
      <c r="I89" s="288"/>
      <c r="J89" s="290"/>
      <c r="K89" s="291"/>
      <c r="L89" s="291"/>
      <c r="M89" s="291"/>
      <c r="N89" s="291"/>
    </row>
    <row r="90" spans="1:14" x14ac:dyDescent="0.2">
      <c r="N90" s="287" t="s">
        <v>377</v>
      </c>
    </row>
    <row r="91" spans="1:14" x14ac:dyDescent="0.2">
      <c r="A91" s="181" t="s">
        <v>378</v>
      </c>
      <c r="B91" s="369" t="s">
        <v>376</v>
      </c>
      <c r="C91" s="369"/>
      <c r="D91" s="369" t="s">
        <v>375</v>
      </c>
      <c r="E91" s="369"/>
      <c r="F91" s="369" t="s">
        <v>374</v>
      </c>
      <c r="G91" s="369"/>
      <c r="H91" s="369" t="s">
        <v>32</v>
      </c>
      <c r="I91" s="369"/>
      <c r="J91" s="181"/>
      <c r="K91" s="297" t="s">
        <v>339</v>
      </c>
      <c r="L91" s="297" t="s">
        <v>341</v>
      </c>
      <c r="M91" s="297" t="s">
        <v>337</v>
      </c>
      <c r="N91" s="297" t="s">
        <v>32</v>
      </c>
    </row>
    <row r="92" spans="1:14" x14ac:dyDescent="0.2">
      <c r="A92" s="292">
        <f>$A$8</f>
        <v>2020</v>
      </c>
      <c r="B92" s="287" t="s">
        <v>60</v>
      </c>
      <c r="C92" s="19" t="s">
        <v>373</v>
      </c>
      <c r="D92" s="287" t="s">
        <v>60</v>
      </c>
      <c r="E92" s="19" t="s">
        <v>373</v>
      </c>
      <c r="F92" s="287" t="s">
        <v>60</v>
      </c>
      <c r="G92" s="19" t="s">
        <v>373</v>
      </c>
      <c r="H92" s="287" t="s">
        <v>60</v>
      </c>
      <c r="I92" s="19" t="s">
        <v>373</v>
      </c>
      <c r="J92" s="181"/>
      <c r="K92" s="286" t="str">
        <f>CONCATENATE(A92," - ",A97)</f>
        <v>2020 - 2025</v>
      </c>
      <c r="L92" s="285"/>
      <c r="M92" s="285"/>
    </row>
    <row r="93" spans="1:14" x14ac:dyDescent="0.2">
      <c r="A93" s="282" t="s">
        <v>355</v>
      </c>
      <c r="B93" s="302">
        <f>'Ind T6'!L65</f>
        <v>12.382999999983113</v>
      </c>
      <c r="C93" s="299" t="str">
        <f>CONCATENATE("(",ROUND((B93/$H95)*100,1),")")</f>
        <v>(74.2)</v>
      </c>
      <c r="D93" s="302">
        <f>'Ind T6'!M65</f>
        <v>0.22000000000045519</v>
      </c>
      <c r="E93" s="299" t="str">
        <f>CONCATENATE("(",ROUND((D93/$H95)*100,1),")")</f>
        <v>(1.3)</v>
      </c>
      <c r="F93" s="302">
        <f>'Ind T6'!N65</f>
        <v>2.9999999999880248E-3</v>
      </c>
      <c r="G93" s="299" t="str">
        <f>CONCATENATE("(",ROUND((F93/$H95)*100,1),")")</f>
        <v>(0)</v>
      </c>
      <c r="H93" s="302">
        <f>SUM(B93,D93,F93)</f>
        <v>12.605999999983556</v>
      </c>
      <c r="I93" s="299" t="str">
        <f>CONCATENATE("(",ROUND((H93/$H95)*100,1),")")</f>
        <v>(75.6)</v>
      </c>
      <c r="K93" s="302">
        <f>B98-B93</f>
        <v>0.26799999998347701</v>
      </c>
      <c r="L93" s="302">
        <f>D98-D93</f>
        <v>3.1999999999432344E-2</v>
      </c>
      <c r="M93" s="302">
        <f>F98-F93</f>
        <v>-4.6883504023487177E-14</v>
      </c>
      <c r="N93" s="302">
        <f>SUM(K93:M93)</f>
        <v>0.29999999998286248</v>
      </c>
    </row>
    <row r="94" spans="1:14" x14ac:dyDescent="0.2">
      <c r="A94" s="282" t="s">
        <v>356</v>
      </c>
      <c r="B94" s="302">
        <f>'Ind T6'!L64</f>
        <v>3.5209999999583856</v>
      </c>
      <c r="C94" s="299" t="str">
        <f>CONCATENATE("(",ROUND((B94/$H95)*100,1),")")</f>
        <v>(21.1)</v>
      </c>
      <c r="D94" s="302">
        <f>'Ind T6'!M64</f>
        <v>0.3749999999998786</v>
      </c>
      <c r="E94" s="299" t="str">
        <f>CONCATENATE("(",ROUND((D94/$H95)*100,1),")")</f>
        <v>(2.2)</v>
      </c>
      <c r="F94" s="302">
        <f>'Ind T6'!N64</f>
        <v>0.17799999999737187</v>
      </c>
      <c r="G94" s="299" t="str">
        <f>CONCATENATE("(",ROUND((F94/$H95)*100,1),")")</f>
        <v>(1.1)</v>
      </c>
      <c r="H94" s="302">
        <f t="shared" ref="H94" si="81">SUM(B94,D94,F94)</f>
        <v>4.0739999999556362</v>
      </c>
      <c r="I94" s="299" t="str">
        <f>CONCATENATE("(",ROUND((H94/$H95)*100,1),")")</f>
        <v>(24.4)</v>
      </c>
      <c r="K94" s="302">
        <f t="shared" ref="K94:K95" si="82">B99-B94</f>
        <v>0.19200000015178187</v>
      </c>
      <c r="L94" s="302">
        <f t="shared" ref="L94:L95" si="83">D99-D94</f>
        <v>3.9000000018874381E-2</v>
      </c>
      <c r="M94" s="302">
        <f t="shared" ref="M94:M95" si="84">F99-F94</f>
        <v>7.0000000038429877E-3</v>
      </c>
      <c r="N94" s="302">
        <f t="shared" ref="N94:N95" si="85">SUM(K94:M94)</f>
        <v>0.23800000017449924</v>
      </c>
    </row>
    <row r="95" spans="1:14" x14ac:dyDescent="0.2">
      <c r="A95" s="282" t="s">
        <v>354</v>
      </c>
      <c r="B95" s="302">
        <f>SUM(B93:B94)</f>
        <v>15.903999999941499</v>
      </c>
      <c r="C95" s="299" t="str">
        <f>CONCATENATE("(",ROUND((B95/$H95)*100,1),")")</f>
        <v>(95.3)</v>
      </c>
      <c r="D95" s="302">
        <f>SUM(D93:D94)</f>
        <v>0.59500000000033382</v>
      </c>
      <c r="E95" s="299" t="str">
        <f>CONCATENATE("(",ROUND((D95/$H95)*100,1),")")</f>
        <v>(3.6)</v>
      </c>
      <c r="F95" s="302">
        <f>SUM(F93:F94)</f>
        <v>0.18099999999735988</v>
      </c>
      <c r="G95" s="299" t="str">
        <f>CONCATENATE("(",ROUND((F95/$H95)*100,1),")")</f>
        <v>(1.1)</v>
      </c>
      <c r="H95" s="302">
        <f>SUM(H93:H94)</f>
        <v>16.679999999939191</v>
      </c>
      <c r="I95" s="299" t="str">
        <f>CONCATENATE("(",ROUND((H95/$H95)*100,1),")")</f>
        <v>(100)</v>
      </c>
      <c r="K95" s="302">
        <f t="shared" si="82"/>
        <v>0.46000000013525799</v>
      </c>
      <c r="L95" s="302">
        <f t="shared" si="83"/>
        <v>7.1000000018306753E-2</v>
      </c>
      <c r="M95" s="302">
        <f t="shared" si="84"/>
        <v>7.0000000037961085E-3</v>
      </c>
      <c r="N95" s="302">
        <f t="shared" si="85"/>
        <v>0.53800000015736082</v>
      </c>
    </row>
    <row r="96" spans="1:14" x14ac:dyDescent="0.2">
      <c r="B96" s="302"/>
      <c r="C96" s="284"/>
      <c r="D96" s="302"/>
      <c r="E96" s="284"/>
      <c r="F96" s="302"/>
      <c r="G96" s="284"/>
      <c r="H96" s="302"/>
      <c r="I96" s="284"/>
    </row>
    <row r="97" spans="1:14" x14ac:dyDescent="0.2">
      <c r="A97" s="292">
        <f>$A$13</f>
        <v>2025</v>
      </c>
      <c r="B97" s="302"/>
      <c r="C97" s="284"/>
      <c r="D97" s="302"/>
      <c r="E97" s="284"/>
      <c r="F97" s="302"/>
      <c r="G97" s="284"/>
      <c r="H97" s="302"/>
      <c r="I97" s="284"/>
      <c r="K97" s="286" t="str">
        <f>CONCATENATE(A97," - ",A102)</f>
        <v>2025 - 2035</v>
      </c>
    </row>
    <row r="98" spans="1:14" x14ac:dyDescent="0.2">
      <c r="A98" s="282" t="s">
        <v>355</v>
      </c>
      <c r="B98" s="302">
        <f>'Ind T6'!Q65</f>
        <v>12.65099999996659</v>
      </c>
      <c r="C98" s="299" t="str">
        <f>CONCATENATE("(",ROUND((B98/$H100)*100,1),")")</f>
        <v>(73.5)</v>
      </c>
      <c r="D98" s="302">
        <f>'Ind T6'!R65</f>
        <v>0.25199999999988754</v>
      </c>
      <c r="E98" s="299" t="str">
        <f>CONCATENATE("(",ROUND((D98/$H100)*100,1),")")</f>
        <v>(1.5)</v>
      </c>
      <c r="F98" s="302">
        <f>'Ind T6'!S65</f>
        <v>2.9999999999411413E-3</v>
      </c>
      <c r="G98" s="299" t="str">
        <f>CONCATENATE("(",ROUND((F98/$H100)*100,1),")")</f>
        <v>(0)</v>
      </c>
      <c r="H98" s="302">
        <f>SUM(B98,D98,F98)</f>
        <v>12.905999999966419</v>
      </c>
      <c r="I98" s="299" t="str">
        <f>CONCATENATE("(",ROUND((H98/$H100)*100,1),")")</f>
        <v>(75)</v>
      </c>
      <c r="K98" s="302">
        <f>B103-B98</f>
        <v>-1.0900000000217993</v>
      </c>
      <c r="L98" s="302">
        <f>D103-D98</f>
        <v>1.6000000000369718E-2</v>
      </c>
      <c r="M98" s="302">
        <f>F103-F98</f>
        <v>1.2022934731126256E-14</v>
      </c>
      <c r="N98" s="302">
        <f>SUM(K98:M98)</f>
        <v>-1.0740000000214176</v>
      </c>
    </row>
    <row r="99" spans="1:14" x14ac:dyDescent="0.2">
      <c r="A99" s="282" t="s">
        <v>356</v>
      </c>
      <c r="B99" s="302">
        <f>'Ind T6'!Q64</f>
        <v>3.7130000001101675</v>
      </c>
      <c r="C99" s="299" t="str">
        <f>CONCATENATE("(",ROUND((B99/$H100)*100,1),")")</f>
        <v>(21.6)</v>
      </c>
      <c r="D99" s="302">
        <f>'Ind T6'!R64</f>
        <v>0.41400000001875298</v>
      </c>
      <c r="E99" s="299" t="str">
        <f>CONCATENATE("(",ROUND((D99/$H100)*100,1),")")</f>
        <v>(2.4)</v>
      </c>
      <c r="F99" s="302">
        <f>'Ind T6'!S64</f>
        <v>0.18500000000121486</v>
      </c>
      <c r="G99" s="299" t="str">
        <f>CONCATENATE("(",ROUND((F99/$H100)*100,1),")")</f>
        <v>(1.1)</v>
      </c>
      <c r="H99" s="302">
        <f t="shared" ref="H99" si="86">SUM(B99,D99,F99)</f>
        <v>4.3120000001301353</v>
      </c>
      <c r="I99" s="299" t="str">
        <f>CONCATENATE("(",ROUND((H99/$H100)*100,1),")")</f>
        <v>(25)</v>
      </c>
      <c r="K99" s="302">
        <f t="shared" ref="K99:K100" si="87">B104-B99</f>
        <v>-0.28100000011189241</v>
      </c>
      <c r="L99" s="302">
        <f t="shared" ref="L99:L100" si="88">D104-D99</f>
        <v>-1.000000001965734E-2</v>
      </c>
      <c r="M99" s="302">
        <f t="shared" ref="M99:M100" si="89">F104-F99</f>
        <v>-7.0000000015808805E-3</v>
      </c>
      <c r="N99" s="302">
        <f t="shared" ref="N99:N100" si="90">SUM(K99:M99)</f>
        <v>-0.29800000013313066</v>
      </c>
    </row>
    <row r="100" spans="1:14" x14ac:dyDescent="0.2">
      <c r="A100" s="282" t="s">
        <v>354</v>
      </c>
      <c r="B100" s="302">
        <f>SUM(B98:B99)</f>
        <v>16.364000000076757</v>
      </c>
      <c r="C100" s="299" t="str">
        <f>CONCATENATE("(",ROUND((B100/$H100)*100,1),")")</f>
        <v>(95)</v>
      </c>
      <c r="D100" s="302">
        <f>SUM(D98:D99)</f>
        <v>0.66600000001864057</v>
      </c>
      <c r="E100" s="299" t="str">
        <f>CONCATENATE("(",ROUND((D100/$H100)*100,1),")")</f>
        <v>(3.9)</v>
      </c>
      <c r="F100" s="302">
        <f>SUM(F98:F99)</f>
        <v>0.18800000000115599</v>
      </c>
      <c r="G100" s="299" t="str">
        <f>CONCATENATE("(",ROUND((F100/$H100)*100,1),")")</f>
        <v>(1.1)</v>
      </c>
      <c r="H100" s="302">
        <f>SUM(H98:H99)</f>
        <v>17.218000000096552</v>
      </c>
      <c r="I100" s="299" t="str">
        <f>CONCATENATE("(",ROUND((H100/$H100)*100,1),")")</f>
        <v>(100)</v>
      </c>
      <c r="K100" s="302">
        <f t="shared" si="87"/>
        <v>-1.3710000001336908</v>
      </c>
      <c r="L100" s="302">
        <f t="shared" si="88"/>
        <v>5.9999999807123228E-3</v>
      </c>
      <c r="M100" s="302">
        <f t="shared" si="89"/>
        <v>-7.0000000015688624E-3</v>
      </c>
      <c r="N100" s="302">
        <f t="shared" si="90"/>
        <v>-1.3720000001545474</v>
      </c>
    </row>
    <row r="101" spans="1:14" x14ac:dyDescent="0.2">
      <c r="B101" s="302"/>
      <c r="C101" s="284"/>
      <c r="D101" s="302"/>
      <c r="E101" s="284"/>
      <c r="F101" s="302"/>
      <c r="G101" s="284"/>
      <c r="H101" s="302"/>
      <c r="I101" s="284"/>
    </row>
    <row r="102" spans="1:14" x14ac:dyDescent="0.2">
      <c r="A102" s="292">
        <f>$A$18</f>
        <v>2035</v>
      </c>
      <c r="B102" s="302"/>
      <c r="C102" s="284"/>
      <c r="D102" s="302"/>
      <c r="E102" s="284"/>
      <c r="F102" s="302"/>
      <c r="G102" s="284"/>
      <c r="H102" s="302"/>
      <c r="I102" s="284"/>
      <c r="K102" s="286" t="str">
        <f>CONCATENATE(A92," - ",A102)</f>
        <v>2020 - 2035</v>
      </c>
    </row>
    <row r="103" spans="1:14" x14ac:dyDescent="0.2">
      <c r="A103" s="282" t="s">
        <v>355</v>
      </c>
      <c r="B103" s="302">
        <f>'Ind T6'!V65</f>
        <v>11.560999999944791</v>
      </c>
      <c r="C103" s="299" t="str">
        <f>CONCATENATE("(",ROUND((B103/$H105)*100,1),")")</f>
        <v>(73)</v>
      </c>
      <c r="D103" s="302">
        <f>'Ind T6'!W65</f>
        <v>0.26800000000025725</v>
      </c>
      <c r="E103" s="299" t="str">
        <f>CONCATENATE("(",ROUND((D103/$H105)*100,1),")")</f>
        <v>(1.7)</v>
      </c>
      <c r="F103" s="302">
        <f>'Ind T6'!X65</f>
        <v>2.9999999999531643E-3</v>
      </c>
      <c r="G103" s="299" t="str">
        <f>CONCATENATE("(",ROUND((F103/$H105)*100,1),")")</f>
        <v>(0)</v>
      </c>
      <c r="H103" s="302">
        <f>SUM(B103,D103,F103)</f>
        <v>11.831999999945001</v>
      </c>
      <c r="I103" s="299" t="str">
        <f>CONCATENATE("(",ROUND((H103/$H105)*100,1),")")</f>
        <v>(74.7)</v>
      </c>
      <c r="K103" s="302">
        <f>B103-B93</f>
        <v>-0.8220000000383223</v>
      </c>
      <c r="L103" s="302">
        <f>D103-D93</f>
        <v>4.7999999999802062E-2</v>
      </c>
      <c r="M103" s="302">
        <f>F103-F93</f>
        <v>-3.4860569292360921E-14</v>
      </c>
      <c r="N103" s="302">
        <f>SUM(K103:M103)</f>
        <v>-0.77400000003855507</v>
      </c>
    </row>
    <row r="104" spans="1:14" x14ac:dyDescent="0.2">
      <c r="A104" s="282" t="s">
        <v>356</v>
      </c>
      <c r="B104" s="302">
        <f>'Ind T6'!V64</f>
        <v>3.4319999999982751</v>
      </c>
      <c r="C104" s="299" t="str">
        <f>CONCATENATE("(",ROUND((B104/$H105)*100,1),")")</f>
        <v>(21.7)</v>
      </c>
      <c r="D104" s="302">
        <f>'Ind T6'!W64</f>
        <v>0.40399999999909564</v>
      </c>
      <c r="E104" s="299" t="str">
        <f>CONCATENATE("(",ROUND((D104/$H105)*100,1),")")</f>
        <v>(2.5)</v>
      </c>
      <c r="F104" s="302">
        <f>'Ind T6'!X64</f>
        <v>0.17799999999963398</v>
      </c>
      <c r="G104" s="299" t="str">
        <f>CONCATENATE("(",ROUND((F104/$H105)*100,1),")")</f>
        <v>(1.1)</v>
      </c>
      <c r="H104" s="302">
        <f t="shared" ref="H104" si="91">SUM(B104,D104,F104)</f>
        <v>4.0139999999970044</v>
      </c>
      <c r="I104" s="299" t="str">
        <f>CONCATENATE("(",ROUND((H104/$H105)*100,1),")")</f>
        <v>(25.3)</v>
      </c>
      <c r="K104" s="302">
        <f t="shared" ref="K104:K105" si="92">B104-B94</f>
        <v>-8.8999999960110543E-2</v>
      </c>
      <c r="L104" s="302">
        <f t="shared" ref="L104:L105" si="93">D104-D94</f>
        <v>2.8999999999217041E-2</v>
      </c>
      <c r="M104" s="302">
        <f t="shared" ref="M104:M105" si="94">F104-F94</f>
        <v>2.2621071682493721E-12</v>
      </c>
      <c r="N104" s="302">
        <f t="shared" ref="N104:N105" si="95">SUM(K104:M104)</f>
        <v>-5.9999999958631395E-2</v>
      </c>
    </row>
    <row r="105" spans="1:14" x14ac:dyDescent="0.2">
      <c r="A105" s="282" t="s">
        <v>354</v>
      </c>
      <c r="B105" s="302">
        <f>SUM(B103:B104)</f>
        <v>14.992999999943066</v>
      </c>
      <c r="C105" s="299" t="str">
        <f>CONCATENATE("(",ROUND((B105/$H105)*100,1),")")</f>
        <v>(94.6)</v>
      </c>
      <c r="D105" s="302">
        <f>SUM(D103:D104)</f>
        <v>0.67199999999935289</v>
      </c>
      <c r="E105" s="299" t="str">
        <f>CONCATENATE("(",ROUND((D105/$H105)*100,1),")")</f>
        <v>(4.2)</v>
      </c>
      <c r="F105" s="302">
        <f>SUM(F103:F104)</f>
        <v>0.18099999999958713</v>
      </c>
      <c r="G105" s="299" t="str">
        <f>CONCATENATE("(",ROUND((F105/$H105)*100,1),")")</f>
        <v>(1.1)</v>
      </c>
      <c r="H105" s="302">
        <f>SUM(H103:H104)</f>
        <v>15.845999999942006</v>
      </c>
      <c r="I105" s="299" t="str">
        <f>CONCATENATE("(",ROUND((H105/$H105)*100,1),")")</f>
        <v>(100)</v>
      </c>
      <c r="K105" s="302">
        <f t="shared" si="92"/>
        <v>-0.91099999999843284</v>
      </c>
      <c r="L105" s="302">
        <f t="shared" si="93"/>
        <v>7.6999999999019075E-2</v>
      </c>
      <c r="M105" s="302">
        <f t="shared" si="94"/>
        <v>2.2272461652761422E-12</v>
      </c>
      <c r="N105" s="302">
        <f t="shared" si="95"/>
        <v>-0.83399999999718655</v>
      </c>
    </row>
    <row r="106" spans="1:14" x14ac:dyDescent="0.2">
      <c r="A106" s="293"/>
      <c r="B106" s="294"/>
      <c r="C106" s="293"/>
      <c r="D106" s="294"/>
      <c r="E106" s="293"/>
      <c r="F106" s="294"/>
      <c r="G106" s="293"/>
      <c r="H106" s="294"/>
      <c r="I106" s="293"/>
      <c r="J106" s="293"/>
      <c r="K106" s="294"/>
      <c r="L106" s="294"/>
      <c r="M106" s="294"/>
      <c r="N106" s="294"/>
    </row>
    <row r="107" spans="1:14" x14ac:dyDescent="0.2">
      <c r="A107" s="295"/>
    </row>
    <row r="109" spans="1:14" x14ac:dyDescent="0.2">
      <c r="C109" s="181"/>
      <c r="E109" s="181"/>
      <c r="G109" s="181"/>
      <c r="I109" s="181"/>
    </row>
    <row r="110" spans="1:14" x14ac:dyDescent="0.2">
      <c r="A110" s="288"/>
      <c r="B110" s="289" t="s">
        <v>379</v>
      </c>
      <c r="C110" s="288"/>
      <c r="D110" s="289"/>
      <c r="E110" s="288"/>
      <c r="F110" s="289" t="str">
        <f>name!B8</f>
        <v>Rest of manufacturing</v>
      </c>
      <c r="G110" s="288"/>
      <c r="H110" s="291"/>
      <c r="I110" s="288"/>
      <c r="J110" s="290"/>
      <c r="K110" s="291"/>
      <c r="L110" s="291"/>
      <c r="M110" s="291"/>
      <c r="N110" s="291"/>
    </row>
    <row r="111" spans="1:14" x14ac:dyDescent="0.2">
      <c r="N111" s="287" t="s">
        <v>377</v>
      </c>
    </row>
    <row r="112" spans="1:14" x14ac:dyDescent="0.2">
      <c r="A112" s="181" t="s">
        <v>378</v>
      </c>
      <c r="B112" s="369" t="s">
        <v>376</v>
      </c>
      <c r="C112" s="369"/>
      <c r="D112" s="369" t="s">
        <v>375</v>
      </c>
      <c r="E112" s="369"/>
      <c r="F112" s="369" t="s">
        <v>374</v>
      </c>
      <c r="G112" s="369"/>
      <c r="H112" s="369" t="s">
        <v>32</v>
      </c>
      <c r="I112" s="369"/>
      <c r="J112" s="181"/>
      <c r="K112" s="297" t="s">
        <v>339</v>
      </c>
      <c r="L112" s="297" t="s">
        <v>341</v>
      </c>
      <c r="M112" s="297" t="s">
        <v>337</v>
      </c>
      <c r="N112" s="297" t="s">
        <v>32</v>
      </c>
    </row>
    <row r="113" spans="1:14" x14ac:dyDescent="0.2">
      <c r="A113" s="292">
        <f>$A$8</f>
        <v>2020</v>
      </c>
      <c r="B113" s="287" t="s">
        <v>60</v>
      </c>
      <c r="C113" s="19" t="s">
        <v>373</v>
      </c>
      <c r="D113" s="287" t="s">
        <v>60</v>
      </c>
      <c r="E113" s="19" t="s">
        <v>373</v>
      </c>
      <c r="F113" s="287" t="s">
        <v>60</v>
      </c>
      <c r="G113" s="19" t="s">
        <v>373</v>
      </c>
      <c r="H113" s="287" t="s">
        <v>60</v>
      </c>
      <c r="I113" s="19" t="s">
        <v>373</v>
      </c>
      <c r="J113" s="181"/>
      <c r="K113" s="286" t="str">
        <f>CONCATENATE(A113," - ",A118)</f>
        <v>2020 - 2025</v>
      </c>
      <c r="L113" s="285"/>
      <c r="M113" s="285"/>
    </row>
    <row r="114" spans="1:14" x14ac:dyDescent="0.2">
      <c r="A114" s="282" t="s">
        <v>355</v>
      </c>
      <c r="B114" s="302">
        <f>'Ind T6'!L155</f>
        <v>59.033999999959569</v>
      </c>
      <c r="C114" s="299" t="str">
        <f>CONCATENATE("(",ROUND((B114/$H116)*100,1),")")</f>
        <v>(79.6)</v>
      </c>
      <c r="D114" s="302">
        <f>'Ind T6'!M155</f>
        <v>1.4490000000022554</v>
      </c>
      <c r="E114" s="299" t="str">
        <f>CONCATENATE("(",ROUND((D114/$H116)*100,1),")")</f>
        <v>(2)</v>
      </c>
      <c r="F114" s="302">
        <f>'Ind T6'!N155</f>
        <v>4.0000000000148216E-3</v>
      </c>
      <c r="G114" s="299" t="str">
        <f>CONCATENATE("(",ROUND((F114/$H116)*100,1),")")</f>
        <v>(0)</v>
      </c>
      <c r="H114" s="302">
        <f>SUM(B114,D114,F114)</f>
        <v>60.486999999961839</v>
      </c>
      <c r="I114" s="299" t="str">
        <f>CONCATENATE("(",ROUND((H114/$H116)*100,1),")")</f>
        <v>(81.5)</v>
      </c>
      <c r="K114" s="302">
        <f>B119-B114</f>
        <v>-2.5150000002173201</v>
      </c>
      <c r="L114" s="302">
        <f>D119-D114</f>
        <v>-6.7000000010057459E-2</v>
      </c>
      <c r="M114" s="302">
        <f>F119-F114</f>
        <v>-7.2398684269892044E-15</v>
      </c>
      <c r="N114" s="302">
        <f>SUM(K114:M114)</f>
        <v>-2.5820000002273846</v>
      </c>
    </row>
    <row r="115" spans="1:14" x14ac:dyDescent="0.2">
      <c r="A115" s="282" t="s">
        <v>356</v>
      </c>
      <c r="B115" s="302">
        <f>'Ind T6'!L154</f>
        <v>10.617999999882597</v>
      </c>
      <c r="C115" s="299" t="str">
        <f>CONCATENATE("(",ROUND((B115/$H116)*100,1),")")</f>
        <v>(14.3)</v>
      </c>
      <c r="D115" s="302">
        <f>'Ind T6'!M154</f>
        <v>2.3150000000047215</v>
      </c>
      <c r="E115" s="299" t="str">
        <f>CONCATENATE("(",ROUND((D115/$H116)*100,1),")")</f>
        <v>(3.1)</v>
      </c>
      <c r="F115" s="302">
        <f>'Ind T6'!N154</f>
        <v>0.78299999998914083</v>
      </c>
      <c r="G115" s="299" t="str">
        <f>CONCATENATE("(",ROUND((F115/$H116)*100,1),")")</f>
        <v>(1.1)</v>
      </c>
      <c r="H115" s="302">
        <f t="shared" ref="H115" si="96">SUM(B115,D115,F115)</f>
        <v>13.715999999876459</v>
      </c>
      <c r="I115" s="299" t="str">
        <f>CONCATENATE("(",ROUND((H115/$H116)*100,1),")")</f>
        <v>(18.5)</v>
      </c>
      <c r="K115" s="302">
        <f t="shared" ref="K115:K116" si="97">B120-B115</f>
        <v>-0.36699999959114393</v>
      </c>
      <c r="L115" s="302">
        <f t="shared" ref="L115:L116" si="98">D120-D115</f>
        <v>-9.2999999896692387E-2</v>
      </c>
      <c r="M115" s="302">
        <f t="shared" ref="M115:M116" si="99">F120-F115</f>
        <v>-8.5999999982560138E-2</v>
      </c>
      <c r="N115" s="302">
        <f t="shared" ref="N115:N116" si="100">SUM(K115:M115)</f>
        <v>-0.54599999947039646</v>
      </c>
    </row>
    <row r="116" spans="1:14" x14ac:dyDescent="0.2">
      <c r="A116" s="282" t="s">
        <v>354</v>
      </c>
      <c r="B116" s="302">
        <f>SUM(B114:B115)</f>
        <v>69.651999999842161</v>
      </c>
      <c r="C116" s="299" t="str">
        <f>CONCATENATE("(",ROUND((B116/$H116)*100,1),")")</f>
        <v>(93.9)</v>
      </c>
      <c r="D116" s="302">
        <f>SUM(D114:D115)</f>
        <v>3.7640000000069769</v>
      </c>
      <c r="E116" s="299" t="str">
        <f>CONCATENATE("(",ROUND((D116/$H116)*100,1),")")</f>
        <v>(5.1)</v>
      </c>
      <c r="F116" s="302">
        <f>SUM(F114:F115)</f>
        <v>0.7869999999891556</v>
      </c>
      <c r="G116" s="299" t="str">
        <f>CONCATENATE("(",ROUND((F116/$H116)*100,1),")")</f>
        <v>(1.1)</v>
      </c>
      <c r="H116" s="302">
        <f>SUM(H114:H115)</f>
        <v>74.202999999838298</v>
      </c>
      <c r="I116" s="299" t="str">
        <f>CONCATENATE("(",ROUND((H116/$H116)*100,1),")")</f>
        <v>(100)</v>
      </c>
      <c r="K116" s="302">
        <f t="shared" si="97"/>
        <v>-2.8819999998084569</v>
      </c>
      <c r="L116" s="302">
        <f t="shared" si="98"/>
        <v>-0.15999999990674985</v>
      </c>
      <c r="M116" s="302">
        <f t="shared" si="99"/>
        <v>-8.5999999982567354E-2</v>
      </c>
      <c r="N116" s="302">
        <f t="shared" si="100"/>
        <v>-3.1279999996977743</v>
      </c>
    </row>
    <row r="117" spans="1:14" x14ac:dyDescent="0.2">
      <c r="B117" s="302"/>
      <c r="C117" s="284"/>
      <c r="D117" s="302"/>
      <c r="E117" s="284"/>
      <c r="F117" s="302"/>
      <c r="G117" s="284"/>
      <c r="H117" s="302"/>
      <c r="I117" s="284"/>
    </row>
    <row r="118" spans="1:14" x14ac:dyDescent="0.2">
      <c r="A118" s="292">
        <f>$A$13</f>
        <v>2025</v>
      </c>
      <c r="B118" s="302"/>
      <c r="C118" s="284"/>
      <c r="D118" s="302"/>
      <c r="E118" s="284"/>
      <c r="F118" s="302"/>
      <c r="G118" s="284"/>
      <c r="H118" s="302"/>
      <c r="I118" s="284"/>
      <c r="K118" s="286" t="str">
        <f>CONCATENATE(A118," - ",A123)</f>
        <v>2025 - 2035</v>
      </c>
    </row>
    <row r="119" spans="1:14" x14ac:dyDescent="0.2">
      <c r="A119" s="282" t="s">
        <v>355</v>
      </c>
      <c r="B119" s="302">
        <f>'Ind T6'!Q155</f>
        <v>56.518999999742249</v>
      </c>
      <c r="C119" s="299" t="str">
        <f>CONCATENATE("(",ROUND((B119/$H121)*100,1),")")</f>
        <v>(79.5)</v>
      </c>
      <c r="D119" s="302">
        <f>'Ind T6'!R155</f>
        <v>1.3819999999921979</v>
      </c>
      <c r="E119" s="299" t="str">
        <f>CONCATENATE("(",ROUND((D119/$H121)*100,1),")")</f>
        <v>(1.9)</v>
      </c>
      <c r="F119" s="302">
        <f>'Ind T6'!S155</f>
        <v>4.0000000000075817E-3</v>
      </c>
      <c r="G119" s="299" t="str">
        <f>CONCATENATE("(",ROUND((F119/$H121)*100,1),")")</f>
        <v>(0)</v>
      </c>
      <c r="H119" s="302">
        <f>SUM(B119,D119,F119)</f>
        <v>57.90499999973445</v>
      </c>
      <c r="I119" s="299" t="str">
        <f>CONCATENATE("(",ROUND((H119/$H121)*100,1),")")</f>
        <v>(81.5)</v>
      </c>
      <c r="K119" s="302">
        <f>B124-B119</f>
        <v>-5.9430000000580137</v>
      </c>
      <c r="L119" s="302">
        <f>D124-D119</f>
        <v>-0.1289999999961966</v>
      </c>
      <c r="M119" s="302">
        <f>F124-F119</f>
        <v>1.8501693233030636E-14</v>
      </c>
      <c r="N119" s="302">
        <f>SUM(K119:M119)</f>
        <v>-6.0720000000541914</v>
      </c>
    </row>
    <row r="120" spans="1:14" x14ac:dyDescent="0.2">
      <c r="A120" s="282" t="s">
        <v>356</v>
      </c>
      <c r="B120" s="302">
        <f>'Ind T6'!Q154</f>
        <v>10.251000000291453</v>
      </c>
      <c r="C120" s="299" t="str">
        <f>CONCATENATE("(",ROUND((B120/$H121)*100,1),")")</f>
        <v>(14.4)</v>
      </c>
      <c r="D120" s="302">
        <f>'Ind T6'!R154</f>
        <v>2.2220000001080291</v>
      </c>
      <c r="E120" s="299" t="str">
        <f>CONCATENATE("(",ROUND((D120/$H121)*100,1),")")</f>
        <v>(3.1)</v>
      </c>
      <c r="F120" s="302">
        <f>'Ind T6'!S154</f>
        <v>0.69700000000658069</v>
      </c>
      <c r="G120" s="299" t="str">
        <f>CONCATENATE("(",ROUND((F120/$H121)*100,1),")")</f>
        <v>(1)</v>
      </c>
      <c r="H120" s="302">
        <f t="shared" ref="H120" si="101">SUM(B120,D120,F120)</f>
        <v>13.170000000406063</v>
      </c>
      <c r="I120" s="299" t="str">
        <f>CONCATENATE("(",ROUND((H120/$H121)*100,1),")")</f>
        <v>(18.5)</v>
      </c>
      <c r="K120" s="302">
        <f t="shared" ref="K120:K121" si="102">B125-B120</f>
        <v>-0.79500000029448969</v>
      </c>
      <c r="L120" s="302">
        <f t="shared" ref="L120:L121" si="103">D125-D120</f>
        <v>-0.19100000010544083</v>
      </c>
      <c r="M120" s="302">
        <f t="shared" ref="M120:M121" si="104">F125-F120</f>
        <v>-8.400000000079022E-2</v>
      </c>
      <c r="N120" s="302">
        <f t="shared" ref="N120:N121" si="105">SUM(K120:M120)</f>
        <v>-1.0700000004007206</v>
      </c>
    </row>
    <row r="121" spans="1:14" x14ac:dyDescent="0.2">
      <c r="A121" s="282" t="s">
        <v>354</v>
      </c>
      <c r="B121" s="302">
        <f>SUM(B119:B120)</f>
        <v>66.770000000033704</v>
      </c>
      <c r="C121" s="299" t="str">
        <f>CONCATENATE("(",ROUND((B121/$H121)*100,1),")")</f>
        <v>(93.9)</v>
      </c>
      <c r="D121" s="302">
        <f>SUM(D119:D120)</f>
        <v>3.604000000100227</v>
      </c>
      <c r="E121" s="299" t="str">
        <f>CONCATENATE("(",ROUND((D121/$H121)*100,1),")")</f>
        <v>(5.1)</v>
      </c>
      <c r="F121" s="302">
        <f>SUM(F119:F120)</f>
        <v>0.70100000000658824</v>
      </c>
      <c r="G121" s="299" t="str">
        <f>CONCATENATE("(",ROUND((F121/$H121)*100,1),")")</f>
        <v>(1)</v>
      </c>
      <c r="H121" s="302">
        <f>SUM(H119:H120)</f>
        <v>71.075000000140506</v>
      </c>
      <c r="I121" s="299" t="str">
        <f>CONCATENATE("(",ROUND((H121/$H121)*100,1),")")</f>
        <v>(100)</v>
      </c>
      <c r="K121" s="302">
        <f t="shared" si="102"/>
        <v>-6.7380000003525069</v>
      </c>
      <c r="L121" s="302">
        <f t="shared" si="103"/>
        <v>-0.32000000010163765</v>
      </c>
      <c r="M121" s="302">
        <f t="shared" si="104"/>
        <v>-8.400000000077168E-2</v>
      </c>
      <c r="N121" s="302">
        <f t="shared" si="105"/>
        <v>-7.1420000004549165</v>
      </c>
    </row>
    <row r="122" spans="1:14" x14ac:dyDescent="0.2">
      <c r="B122" s="302"/>
      <c r="C122" s="284"/>
      <c r="D122" s="302"/>
      <c r="E122" s="284"/>
      <c r="F122" s="302"/>
      <c r="G122" s="284"/>
      <c r="H122" s="302"/>
      <c r="I122" s="284"/>
    </row>
    <row r="123" spans="1:14" x14ac:dyDescent="0.2">
      <c r="A123" s="292">
        <f>$A$18</f>
        <v>2035</v>
      </c>
      <c r="B123" s="302"/>
      <c r="C123" s="284"/>
      <c r="D123" s="302"/>
      <c r="E123" s="284"/>
      <c r="F123" s="302"/>
      <c r="G123" s="284"/>
      <c r="H123" s="302"/>
      <c r="I123" s="284"/>
      <c r="K123" s="286" t="str">
        <f>CONCATENATE(A113," - ",A123)</f>
        <v>2020 - 2035</v>
      </c>
    </row>
    <row r="124" spans="1:14" x14ac:dyDescent="0.2">
      <c r="A124" s="282" t="s">
        <v>355</v>
      </c>
      <c r="B124" s="302">
        <f>'Ind T6'!V155</f>
        <v>50.575999999684235</v>
      </c>
      <c r="C124" s="299" t="str">
        <f>CONCATENATE("(",ROUND((B124/$H126)*100,1),")")</f>
        <v>(79.1)</v>
      </c>
      <c r="D124" s="302">
        <f>'Ind T6'!W155</f>
        <v>1.2529999999960013</v>
      </c>
      <c r="E124" s="299" t="str">
        <f>CONCATENATE("(",ROUND((D124/$H126)*100,1),")")</f>
        <v>(2)</v>
      </c>
      <c r="F124" s="302">
        <f>'Ind T6'!X155</f>
        <v>4.0000000000260834E-3</v>
      </c>
      <c r="G124" s="299" t="str">
        <f>CONCATENATE("(",ROUND((F124/$H126)*100,1),")")</f>
        <v>(0)</v>
      </c>
      <c r="H124" s="302">
        <f>SUM(B124,D124,F124)</f>
        <v>51.832999999680261</v>
      </c>
      <c r="I124" s="299" t="str">
        <f>CONCATENATE("(",ROUND((H124/$H126)*100,1),")")</f>
        <v>(81.1)</v>
      </c>
      <c r="K124" s="302">
        <f>B124-B114</f>
        <v>-8.4580000002753337</v>
      </c>
      <c r="L124" s="302">
        <f>D124-D114</f>
        <v>-0.19600000000625406</v>
      </c>
      <c r="M124" s="302">
        <f>F124-F114</f>
        <v>1.1261824806041432E-14</v>
      </c>
      <c r="N124" s="302">
        <f>SUM(K124:M124)</f>
        <v>-8.6540000002815773</v>
      </c>
    </row>
    <row r="125" spans="1:14" x14ac:dyDescent="0.2">
      <c r="A125" s="282" t="s">
        <v>356</v>
      </c>
      <c r="B125" s="302">
        <f>'Ind T6'!V154</f>
        <v>9.4559999999969637</v>
      </c>
      <c r="C125" s="299" t="str">
        <f>CONCATENATE("(",ROUND((B125/$H126)*100,1),")")</f>
        <v>(14.8)</v>
      </c>
      <c r="D125" s="302">
        <f>'Ind T6'!W154</f>
        <v>2.0310000000025883</v>
      </c>
      <c r="E125" s="299" t="str">
        <f>CONCATENATE("(",ROUND((D125/$H126)*100,1),")")</f>
        <v>(3.2)</v>
      </c>
      <c r="F125" s="302">
        <f>'Ind T6'!X154</f>
        <v>0.61300000000579047</v>
      </c>
      <c r="G125" s="299" t="str">
        <f>CONCATENATE("(",ROUND((F125/$H126)*100,1),")")</f>
        <v>(1)</v>
      </c>
      <c r="H125" s="302">
        <f t="shared" ref="H125" si="106">SUM(B125,D125,F125)</f>
        <v>12.100000000005343</v>
      </c>
      <c r="I125" s="299" t="str">
        <f>CONCATENATE("(",ROUND((H125/$H126)*100,1),")")</f>
        <v>(18.9)</v>
      </c>
      <c r="K125" s="302">
        <f t="shared" ref="K125:K126" si="107">B125-B115</f>
        <v>-1.1619999998856336</v>
      </c>
      <c r="L125" s="302">
        <f t="shared" ref="L125:L126" si="108">D125-D115</f>
        <v>-0.28400000000213321</v>
      </c>
      <c r="M125" s="302">
        <f t="shared" ref="M125:M126" si="109">F125-F115</f>
        <v>-0.16999999998335036</v>
      </c>
      <c r="N125" s="302">
        <f t="shared" ref="N125:N126" si="110">SUM(K125:M125)</f>
        <v>-1.6159999998711172</v>
      </c>
    </row>
    <row r="126" spans="1:14" x14ac:dyDescent="0.2">
      <c r="A126" s="282" t="s">
        <v>354</v>
      </c>
      <c r="B126" s="302">
        <f>SUM(B124:B125)</f>
        <v>60.031999999681197</v>
      </c>
      <c r="C126" s="299" t="str">
        <f>CONCATENATE("(",ROUND((B126/$H126)*100,1),")")</f>
        <v>(93.9)</v>
      </c>
      <c r="D126" s="302">
        <f>SUM(D124:D125)</f>
        <v>3.2839999999985894</v>
      </c>
      <c r="E126" s="299" t="str">
        <f>CONCATENATE("(",ROUND((D126/$H126)*100,1),")")</f>
        <v>(5.1)</v>
      </c>
      <c r="F126" s="302">
        <f>SUM(F124:F125)</f>
        <v>0.61700000000581656</v>
      </c>
      <c r="G126" s="299" t="str">
        <f>CONCATENATE("(",ROUND((F126/$H126)*100,1),")")</f>
        <v>(1)</v>
      </c>
      <c r="H126" s="302">
        <f>SUM(H124:H125)</f>
        <v>63.932999999685606</v>
      </c>
      <c r="I126" s="299" t="str">
        <f>CONCATENATE("(",ROUND((H126/$H126)*100,1),")")</f>
        <v>(100)</v>
      </c>
      <c r="K126" s="302">
        <f t="shared" si="107"/>
        <v>-9.6200000001609638</v>
      </c>
      <c r="L126" s="302">
        <f t="shared" si="108"/>
        <v>-0.4800000000083875</v>
      </c>
      <c r="M126" s="302">
        <f t="shared" si="109"/>
        <v>-0.16999999998333903</v>
      </c>
      <c r="N126" s="302">
        <f t="shared" si="110"/>
        <v>-10.270000000152692</v>
      </c>
    </row>
    <row r="127" spans="1:14" x14ac:dyDescent="0.2">
      <c r="A127" s="293"/>
      <c r="B127" s="294"/>
      <c r="C127" s="293"/>
      <c r="D127" s="294"/>
      <c r="E127" s="293"/>
      <c r="F127" s="294"/>
      <c r="G127" s="293"/>
      <c r="H127" s="294"/>
      <c r="I127" s="293"/>
      <c r="J127" s="293"/>
      <c r="K127" s="294"/>
      <c r="L127" s="294"/>
      <c r="M127" s="294"/>
      <c r="N127" s="294"/>
    </row>
    <row r="131" spans="1:14" x14ac:dyDescent="0.2">
      <c r="A131" s="288"/>
      <c r="B131" s="289" t="s">
        <v>379</v>
      </c>
      <c r="C131" s="288"/>
      <c r="D131" s="289"/>
      <c r="E131" s="288"/>
      <c r="F131" s="289" t="str">
        <f>name!B9</f>
        <v>Electricity and gas</v>
      </c>
      <c r="G131" s="288"/>
      <c r="H131" s="291"/>
      <c r="I131" s="288"/>
      <c r="J131" s="290"/>
      <c r="K131" s="291"/>
      <c r="L131" s="291"/>
      <c r="M131" s="291"/>
      <c r="N131" s="291"/>
    </row>
    <row r="132" spans="1:14" x14ac:dyDescent="0.2">
      <c r="N132" s="287" t="s">
        <v>377</v>
      </c>
    </row>
    <row r="133" spans="1:14" x14ac:dyDescent="0.2">
      <c r="A133" s="181" t="s">
        <v>378</v>
      </c>
      <c r="B133" s="369" t="s">
        <v>376</v>
      </c>
      <c r="C133" s="369"/>
      <c r="D133" s="369" t="s">
        <v>375</v>
      </c>
      <c r="E133" s="369"/>
      <c r="F133" s="369" t="s">
        <v>374</v>
      </c>
      <c r="G133" s="369"/>
      <c r="H133" s="369" t="s">
        <v>32</v>
      </c>
      <c r="I133" s="369"/>
      <c r="J133" s="181"/>
      <c r="K133" s="297" t="s">
        <v>339</v>
      </c>
      <c r="L133" s="297" t="s">
        <v>341</v>
      </c>
      <c r="M133" s="297" t="s">
        <v>337</v>
      </c>
      <c r="N133" s="297" t="s">
        <v>32</v>
      </c>
    </row>
    <row r="134" spans="1:14" x14ac:dyDescent="0.2">
      <c r="A134" s="292">
        <f>$A$8</f>
        <v>2020</v>
      </c>
      <c r="B134" s="287" t="s">
        <v>60</v>
      </c>
      <c r="C134" s="19" t="s">
        <v>373</v>
      </c>
      <c r="D134" s="287" t="s">
        <v>60</v>
      </c>
      <c r="E134" s="19" t="s">
        <v>373</v>
      </c>
      <c r="F134" s="287" t="s">
        <v>60</v>
      </c>
      <c r="G134" s="19" t="s">
        <v>373</v>
      </c>
      <c r="H134" s="287" t="s">
        <v>60</v>
      </c>
      <c r="I134" s="19" t="s">
        <v>373</v>
      </c>
      <c r="J134" s="181"/>
      <c r="K134" s="286" t="str">
        <f>CONCATENATE(A134," - ",A139)</f>
        <v>2020 - 2025</v>
      </c>
      <c r="L134" s="285"/>
      <c r="M134" s="285"/>
    </row>
    <row r="135" spans="1:14" x14ac:dyDescent="0.2">
      <c r="A135" s="282" t="s">
        <v>355</v>
      </c>
      <c r="B135" s="302">
        <f>'Ind T6'!L165</f>
        <v>6.4179999999541106</v>
      </c>
      <c r="C135" s="299" t="str">
        <f>CONCATENATE("(",ROUND((B135/$H137)*100,1),")")</f>
        <v>(62.7)</v>
      </c>
      <c r="D135" s="302">
        <f>'Ind T6'!M165</f>
        <v>8.6999999999911926E-2</v>
      </c>
      <c r="E135" s="299" t="str">
        <f>CONCATENATE("(",ROUND((D135/$H137)*100,1),")")</f>
        <v>(0.9)</v>
      </c>
      <c r="F135" s="302">
        <f>'Ind T6'!N165</f>
        <v>0.7159999999940766</v>
      </c>
      <c r="G135" s="299" t="str">
        <f>CONCATENATE("(",ROUND((F135/$H137)*100,1),")")</f>
        <v>(7)</v>
      </c>
      <c r="H135" s="302">
        <f>SUM(B135,D135,F135)</f>
        <v>7.2209999999480994</v>
      </c>
      <c r="I135" s="299" t="str">
        <f>CONCATENATE("(",ROUND((H135/$H137)*100,1),")")</f>
        <v>(70.6)</v>
      </c>
      <c r="K135" s="302">
        <f>B140-B135</f>
        <v>-0.13599999988281208</v>
      </c>
      <c r="L135" s="302">
        <f>D140-D135</f>
        <v>2.940286902841649E-13</v>
      </c>
      <c r="M135" s="302">
        <f>F140-F135</f>
        <v>-7.9999999734710059E-3</v>
      </c>
      <c r="N135" s="302">
        <f>SUM(K135:M135)</f>
        <v>-0.14399999985598905</v>
      </c>
    </row>
    <row r="136" spans="1:14" x14ac:dyDescent="0.2">
      <c r="A136" s="282" t="s">
        <v>356</v>
      </c>
      <c r="B136" s="302">
        <f>'Ind T6'!L164</f>
        <v>2.3949999999792668</v>
      </c>
      <c r="C136" s="299" t="str">
        <f>CONCATENATE("(",ROUND((B136/$H137)*100,1),")")</f>
        <v>(23.4)</v>
      </c>
      <c r="D136" s="302">
        <f>'Ind T6'!M164</f>
        <v>0.61900000000207867</v>
      </c>
      <c r="E136" s="299" t="str">
        <f>CONCATENATE("(",ROUND((D136/$H137)*100,1),")")</f>
        <v>(6)</v>
      </c>
      <c r="F136" s="302">
        <f>'Ind T6'!N164</f>
        <v>0</v>
      </c>
      <c r="G136" s="299" t="str">
        <f>CONCATENATE("(",ROUND((F136/$H137)*100,1),")")</f>
        <v>(0)</v>
      </c>
      <c r="H136" s="302">
        <f t="shared" ref="H136" si="111">SUM(B136,D136,F136)</f>
        <v>3.0139999999813454</v>
      </c>
      <c r="I136" s="299" t="str">
        <f>CONCATENATE("(",ROUND((H136/$H137)*100,1),")")</f>
        <v>(29.4)</v>
      </c>
      <c r="K136" s="302">
        <f t="shared" ref="K136:K137" si="112">B141-B136</f>
        <v>-1.3999999914508177E-2</v>
      </c>
      <c r="L136" s="302">
        <f t="shared" ref="L136:L137" si="113">D141-D136</f>
        <v>-9.9999999760818081E-3</v>
      </c>
      <c r="M136" s="302">
        <f t="shared" ref="M136:M137" si="114">F141-F136</f>
        <v>0</v>
      </c>
      <c r="N136" s="302">
        <f t="shared" ref="N136:N137" si="115">SUM(K136:M136)</f>
        <v>-2.3999999890589985E-2</v>
      </c>
    </row>
    <row r="137" spans="1:14" x14ac:dyDescent="0.2">
      <c r="A137" s="282" t="s">
        <v>354</v>
      </c>
      <c r="B137" s="302">
        <f>SUM(B135:B136)</f>
        <v>8.8129999999333783</v>
      </c>
      <c r="C137" s="299" t="str">
        <f>CONCATENATE("(",ROUND((B137/$H137)*100,1),")")</f>
        <v>(86.1)</v>
      </c>
      <c r="D137" s="302">
        <f>SUM(D135:D136)</f>
        <v>0.70600000000199059</v>
      </c>
      <c r="E137" s="299" t="str">
        <f>CONCATENATE("(",ROUND((D137/$H137)*100,1),")")</f>
        <v>(6.9)</v>
      </c>
      <c r="F137" s="302">
        <f>SUM(F135:F136)</f>
        <v>0.7159999999940766</v>
      </c>
      <c r="G137" s="299" t="str">
        <f>CONCATENATE("(",ROUND((F137/$H137)*100,1),")")</f>
        <v>(7)</v>
      </c>
      <c r="H137" s="302">
        <f>SUM(H135:H136)</f>
        <v>10.234999999929444</v>
      </c>
      <c r="I137" s="299" t="str">
        <f>CONCATENATE("(",ROUND((H137/$H137)*100,1),")")</f>
        <v>(100)</v>
      </c>
      <c r="K137" s="302">
        <f t="shared" si="112"/>
        <v>-0.14999999979732159</v>
      </c>
      <c r="L137" s="302">
        <f t="shared" si="113"/>
        <v>-9.9999999757878211E-3</v>
      </c>
      <c r="M137" s="302">
        <f t="shared" si="114"/>
        <v>-7.9999999734710059E-3</v>
      </c>
      <c r="N137" s="302">
        <f t="shared" si="115"/>
        <v>-0.16799999974658042</v>
      </c>
    </row>
    <row r="138" spans="1:14" x14ac:dyDescent="0.2">
      <c r="B138" s="302"/>
      <c r="C138" s="284"/>
      <c r="D138" s="302"/>
      <c r="E138" s="284"/>
      <c r="F138" s="302"/>
      <c r="G138" s="284"/>
      <c r="H138" s="302"/>
      <c r="I138" s="284"/>
    </row>
    <row r="139" spans="1:14" x14ac:dyDescent="0.2">
      <c r="A139" s="292">
        <f>$A$13</f>
        <v>2025</v>
      </c>
      <c r="B139" s="302"/>
      <c r="C139" s="284"/>
      <c r="D139" s="302"/>
      <c r="E139" s="284"/>
      <c r="F139" s="302"/>
      <c r="G139" s="284"/>
      <c r="H139" s="302"/>
      <c r="I139" s="284"/>
      <c r="K139" s="286" t="str">
        <f>CONCATENATE(A139," - ",A144)</f>
        <v>2025 - 2035</v>
      </c>
    </row>
    <row r="140" spans="1:14" x14ac:dyDescent="0.2">
      <c r="A140" s="282" t="s">
        <v>355</v>
      </c>
      <c r="B140" s="302">
        <f>'Ind T6'!Q165</f>
        <v>6.2820000000712986</v>
      </c>
      <c r="C140" s="299" t="str">
        <f>CONCATENATE("(",ROUND((B140/$H142)*100,1),")")</f>
        <v>(62.4)</v>
      </c>
      <c r="D140" s="302">
        <f>'Ind T6'!R165</f>
        <v>8.7000000000205954E-2</v>
      </c>
      <c r="E140" s="299" t="str">
        <f>CONCATENATE("(",ROUND((D140/$H142)*100,1),")")</f>
        <v>(0.9)</v>
      </c>
      <c r="F140" s="302">
        <f>'Ind T6'!S165</f>
        <v>0.70800000002060559</v>
      </c>
      <c r="G140" s="299" t="str">
        <f>CONCATENATE("(",ROUND((F140/$H142)*100,1),")")</f>
        <v>(7)</v>
      </c>
      <c r="H140" s="302">
        <f>SUM(B140,D140,F140)</f>
        <v>7.0770000000921103</v>
      </c>
      <c r="I140" s="299" t="str">
        <f>CONCATENATE("(",ROUND((H140/$H142)*100,1),")")</f>
        <v>(70.3)</v>
      </c>
      <c r="K140" s="302">
        <f>B145-B140</f>
        <v>5.1999999994615465E-2</v>
      </c>
      <c r="L140" s="302">
        <f>D145-D140</f>
        <v>5.0000000002040079E-3</v>
      </c>
      <c r="M140" s="302">
        <f>F145-F140</f>
        <v>2.300000000193092E-2</v>
      </c>
      <c r="N140" s="302">
        <f>SUM(K140:M140)</f>
        <v>7.9999999996750393E-2</v>
      </c>
    </row>
    <row r="141" spans="1:14" x14ac:dyDescent="0.2">
      <c r="A141" s="282" t="s">
        <v>356</v>
      </c>
      <c r="B141" s="302">
        <f>'Ind T6'!Q164</f>
        <v>2.3810000000647586</v>
      </c>
      <c r="C141" s="299" t="str">
        <f>CONCATENATE("(",ROUND((B141/$H142)*100,1),")")</f>
        <v>(23.7)</v>
      </c>
      <c r="D141" s="302">
        <f>'Ind T6'!R164</f>
        <v>0.60900000002599686</v>
      </c>
      <c r="E141" s="299" t="str">
        <f>CONCATENATE("(",ROUND((D141/$H142)*100,1),")")</f>
        <v>(6)</v>
      </c>
      <c r="F141" s="302">
        <f>'Ind T6'!S164</f>
        <v>0</v>
      </c>
      <c r="G141" s="299" t="str">
        <f>CONCATENATE("(",ROUND((F141/$H142)*100,1),")")</f>
        <v>(0)</v>
      </c>
      <c r="H141" s="302">
        <f t="shared" ref="H141" si="116">SUM(B141,D141,F141)</f>
        <v>2.9900000000907556</v>
      </c>
      <c r="I141" s="299" t="str">
        <f>CONCATENATE("(",ROUND((H141/$H142)*100,1),")")</f>
        <v>(29.7)</v>
      </c>
      <c r="K141" s="302">
        <f t="shared" ref="K141:K142" si="117">B146-B141</f>
        <v>9.699999993619679E-2</v>
      </c>
      <c r="L141" s="302">
        <f t="shared" ref="L141:L142" si="118">D146-D141</f>
        <v>1.2999999971429532E-2</v>
      </c>
      <c r="M141" s="302">
        <f t="shared" ref="M141:M142" si="119">F146-F141</f>
        <v>0</v>
      </c>
      <c r="N141" s="302">
        <f t="shared" ref="N141:N142" si="120">SUM(K141:M141)</f>
        <v>0.10999999990762632</v>
      </c>
    </row>
    <row r="142" spans="1:14" x14ac:dyDescent="0.2">
      <c r="A142" s="282" t="s">
        <v>354</v>
      </c>
      <c r="B142" s="302">
        <f>SUM(B140:B141)</f>
        <v>8.6630000001360568</v>
      </c>
      <c r="C142" s="299" t="str">
        <f>CONCATENATE("(",ROUND((B142/$H142)*100,1),")")</f>
        <v>(86.1)</v>
      </c>
      <c r="D142" s="302">
        <f>SUM(D140:D141)</f>
        <v>0.69600000002620277</v>
      </c>
      <c r="E142" s="299" t="str">
        <f>CONCATENATE("(",ROUND((D142/$H142)*100,1),")")</f>
        <v>(6.9)</v>
      </c>
      <c r="F142" s="302">
        <f>SUM(F140:F141)</f>
        <v>0.70800000002060559</v>
      </c>
      <c r="G142" s="299" t="str">
        <f>CONCATENATE("(",ROUND((F142/$H142)*100,1),")")</f>
        <v>(7)</v>
      </c>
      <c r="H142" s="302">
        <f>SUM(H140:H141)</f>
        <v>10.067000000182865</v>
      </c>
      <c r="I142" s="299" t="str">
        <f>CONCATENATE("(",ROUND((H142/$H142)*100,1),")")</f>
        <v>(100)</v>
      </c>
      <c r="K142" s="302">
        <f t="shared" si="117"/>
        <v>0.14899999993081359</v>
      </c>
      <c r="L142" s="302">
        <f t="shared" si="118"/>
        <v>1.7999999971633596E-2</v>
      </c>
      <c r="M142" s="302">
        <f t="shared" si="119"/>
        <v>2.300000000193092E-2</v>
      </c>
      <c r="N142" s="302">
        <f t="shared" si="120"/>
        <v>0.1899999999043781</v>
      </c>
    </row>
    <row r="143" spans="1:14" x14ac:dyDescent="0.2">
      <c r="B143" s="302"/>
      <c r="C143" s="284"/>
      <c r="D143" s="302"/>
      <c r="E143" s="284"/>
      <c r="F143" s="302"/>
      <c r="G143" s="284"/>
      <c r="H143" s="302"/>
      <c r="I143" s="284"/>
    </row>
    <row r="144" spans="1:14" x14ac:dyDescent="0.2">
      <c r="A144" s="292">
        <f>$A$18</f>
        <v>2035</v>
      </c>
      <c r="B144" s="302"/>
      <c r="C144" s="284"/>
      <c r="D144" s="302"/>
      <c r="E144" s="284"/>
      <c r="F144" s="302"/>
      <c r="G144" s="284"/>
      <c r="H144" s="302"/>
      <c r="I144" s="284"/>
      <c r="K144" s="286" t="str">
        <f>CONCATENATE(A134," - ",A144)</f>
        <v>2020 - 2035</v>
      </c>
    </row>
    <row r="145" spans="1:14" x14ac:dyDescent="0.2">
      <c r="A145" s="282" t="s">
        <v>355</v>
      </c>
      <c r="B145" s="302">
        <f>'Ind T6'!V165</f>
        <v>6.334000000065914</v>
      </c>
      <c r="C145" s="299" t="str">
        <f>CONCATENATE("(",ROUND((B145/$H147)*100,1),")")</f>
        <v>(61.8)</v>
      </c>
      <c r="D145" s="302">
        <f>'Ind T6'!W165</f>
        <v>9.2000000000409962E-2</v>
      </c>
      <c r="E145" s="299" t="str">
        <f>CONCATENATE("(",ROUND((D145/$H147)*100,1),")")</f>
        <v>(0.9)</v>
      </c>
      <c r="F145" s="302">
        <f>'Ind T6'!X165</f>
        <v>0.73100000002253651</v>
      </c>
      <c r="G145" s="299" t="str">
        <f>CONCATENATE("(",ROUND((F145/$H147)*100,1),")")</f>
        <v>(7.1)</v>
      </c>
      <c r="H145" s="302">
        <f>SUM(B145,D145,F145)</f>
        <v>7.1570000000888605</v>
      </c>
      <c r="I145" s="299" t="str">
        <f>CONCATENATE("(",ROUND((H145/$H147)*100,1),")")</f>
        <v>(69.8)</v>
      </c>
      <c r="K145" s="302">
        <f>B145-B135</f>
        <v>-8.3999999888196619E-2</v>
      </c>
      <c r="L145" s="302">
        <f>D145-D135</f>
        <v>5.0000000004980366E-3</v>
      </c>
      <c r="M145" s="302">
        <f>F145-F135</f>
        <v>1.5000000028459914E-2</v>
      </c>
      <c r="N145" s="302">
        <f>SUM(K145:M145)</f>
        <v>-6.3999999859238668E-2</v>
      </c>
    </row>
    <row r="146" spans="1:14" x14ac:dyDescent="0.2">
      <c r="A146" s="282" t="s">
        <v>356</v>
      </c>
      <c r="B146" s="302">
        <f>'Ind T6'!V164</f>
        <v>2.4780000000009554</v>
      </c>
      <c r="C146" s="299" t="str">
        <f>CONCATENATE("(",ROUND((B146/$H147)*100,1),")")</f>
        <v>(24.2)</v>
      </c>
      <c r="D146" s="302">
        <f>'Ind T6'!W164</f>
        <v>0.62199999999742639</v>
      </c>
      <c r="E146" s="299" t="str">
        <f>CONCATENATE("(",ROUND((D146/$H147)*100,1),")")</f>
        <v>(6.1)</v>
      </c>
      <c r="F146" s="302">
        <f>'Ind T6'!X164</f>
        <v>0</v>
      </c>
      <c r="G146" s="299" t="str">
        <f>CONCATENATE("(",ROUND((F146/$H147)*100,1),")")</f>
        <v>(0)</v>
      </c>
      <c r="H146" s="302">
        <f t="shared" ref="H146" si="121">SUM(B146,D146,F146)</f>
        <v>3.0999999999983818</v>
      </c>
      <c r="I146" s="299" t="str">
        <f>CONCATENATE("(",ROUND((H146/$H147)*100,1),")")</f>
        <v>(30.2)</v>
      </c>
      <c r="K146" s="302">
        <f t="shared" ref="K146:K147" si="122">B146-B136</f>
        <v>8.3000000021688614E-2</v>
      </c>
      <c r="L146" s="302">
        <f t="shared" ref="L146:L147" si="123">D146-D136</f>
        <v>2.9999999953477241E-3</v>
      </c>
      <c r="M146" s="302">
        <f t="shared" ref="M146:M147" si="124">F146-F136</f>
        <v>0</v>
      </c>
      <c r="N146" s="302">
        <f t="shared" ref="N146:N147" si="125">SUM(K146:M146)</f>
        <v>8.6000000017036338E-2</v>
      </c>
    </row>
    <row r="147" spans="1:14" x14ac:dyDescent="0.2">
      <c r="A147" s="282" t="s">
        <v>354</v>
      </c>
      <c r="B147" s="302">
        <f>SUM(B145:B146)</f>
        <v>8.8120000000668703</v>
      </c>
      <c r="C147" s="299" t="str">
        <f>CONCATENATE("(",ROUND((B147/$H147)*100,1),")")</f>
        <v>(85.9)</v>
      </c>
      <c r="D147" s="302">
        <f>SUM(D145:D146)</f>
        <v>0.71399999999783637</v>
      </c>
      <c r="E147" s="299" t="str">
        <f>CONCATENATE("(",ROUND((D147/$H147)*100,1),")")</f>
        <v>(7)</v>
      </c>
      <c r="F147" s="302">
        <f>SUM(F145:F146)</f>
        <v>0.73100000002253651</v>
      </c>
      <c r="G147" s="299" t="str">
        <f>CONCATENATE("(",ROUND((F147/$H147)*100,1),")")</f>
        <v>(7.1)</v>
      </c>
      <c r="H147" s="302">
        <f>SUM(H145:H146)</f>
        <v>10.257000000087242</v>
      </c>
      <c r="I147" s="299" t="str">
        <f>CONCATENATE("(",ROUND((H147/$H147)*100,1),")")</f>
        <v>(100)</v>
      </c>
      <c r="K147" s="302">
        <f t="shared" si="122"/>
        <v>-9.9999986650800565E-4</v>
      </c>
      <c r="L147" s="302">
        <f t="shared" si="123"/>
        <v>7.9999999958457746E-3</v>
      </c>
      <c r="M147" s="302">
        <f t="shared" si="124"/>
        <v>1.5000000028459914E-2</v>
      </c>
      <c r="N147" s="302">
        <f t="shared" si="125"/>
        <v>2.2000000157797683E-2</v>
      </c>
    </row>
    <row r="148" spans="1:14" x14ac:dyDescent="0.2">
      <c r="A148" s="293"/>
      <c r="B148" s="294"/>
      <c r="C148" s="293"/>
      <c r="D148" s="294"/>
      <c r="E148" s="293"/>
      <c r="F148" s="294"/>
      <c r="G148" s="293"/>
      <c r="H148" s="294"/>
      <c r="I148" s="293"/>
      <c r="J148" s="293"/>
      <c r="K148" s="294"/>
      <c r="L148" s="294"/>
      <c r="M148" s="294"/>
      <c r="N148" s="294"/>
    </row>
    <row r="151" spans="1:14" x14ac:dyDescent="0.2">
      <c r="C151" s="181"/>
      <c r="E151" s="181"/>
      <c r="G151" s="181"/>
      <c r="I151" s="181"/>
    </row>
    <row r="152" spans="1:14" x14ac:dyDescent="0.2">
      <c r="A152" s="288"/>
      <c r="B152" s="289" t="s">
        <v>379</v>
      </c>
      <c r="C152" s="288"/>
      <c r="D152" s="289"/>
      <c r="E152" s="288"/>
      <c r="F152" s="289" t="str">
        <f>name!B10</f>
        <v>Water and sewerage</v>
      </c>
      <c r="G152" s="288"/>
      <c r="H152" s="291"/>
      <c r="I152" s="288"/>
      <c r="J152" s="290"/>
      <c r="K152" s="291"/>
      <c r="L152" s="291"/>
      <c r="M152" s="291"/>
      <c r="N152" s="291"/>
    </row>
    <row r="153" spans="1:14" x14ac:dyDescent="0.2">
      <c r="N153" s="287" t="s">
        <v>377</v>
      </c>
    </row>
    <row r="154" spans="1:14" x14ac:dyDescent="0.2">
      <c r="A154" s="181" t="s">
        <v>378</v>
      </c>
      <c r="B154" s="369" t="s">
        <v>376</v>
      </c>
      <c r="C154" s="369"/>
      <c r="D154" s="369" t="s">
        <v>375</v>
      </c>
      <c r="E154" s="369"/>
      <c r="F154" s="369" t="s">
        <v>374</v>
      </c>
      <c r="G154" s="369"/>
      <c r="H154" s="369" t="s">
        <v>32</v>
      </c>
      <c r="I154" s="369"/>
      <c r="J154" s="181"/>
      <c r="K154" s="297" t="s">
        <v>339</v>
      </c>
      <c r="L154" s="297" t="s">
        <v>341</v>
      </c>
      <c r="M154" s="297" t="s">
        <v>337</v>
      </c>
      <c r="N154" s="297" t="s">
        <v>32</v>
      </c>
    </row>
    <row r="155" spans="1:14" x14ac:dyDescent="0.2">
      <c r="A155" s="292">
        <f>$A$8</f>
        <v>2020</v>
      </c>
      <c r="B155" s="287" t="s">
        <v>60</v>
      </c>
      <c r="C155" s="19" t="s">
        <v>373</v>
      </c>
      <c r="D155" s="287" t="s">
        <v>60</v>
      </c>
      <c r="E155" s="19" t="s">
        <v>373</v>
      </c>
      <c r="F155" s="287" t="s">
        <v>60</v>
      </c>
      <c r="G155" s="19" t="s">
        <v>373</v>
      </c>
      <c r="H155" s="287" t="s">
        <v>60</v>
      </c>
      <c r="I155" s="19" t="s">
        <v>373</v>
      </c>
      <c r="J155" s="181"/>
      <c r="K155" s="286" t="str">
        <f>CONCATENATE(A155," - ",A160)</f>
        <v>2020 - 2025</v>
      </c>
      <c r="L155" s="285"/>
      <c r="M155" s="285"/>
    </row>
    <row r="156" spans="1:14" x14ac:dyDescent="0.2">
      <c r="A156" s="282" t="s">
        <v>355</v>
      </c>
      <c r="B156" s="302">
        <f>'Ind T6'!L190</f>
        <v>4.6059999999971302</v>
      </c>
      <c r="C156" s="299" t="str">
        <f>CONCATENATE("(",ROUND((B156/$H158)*100,1),")")</f>
        <v>(60.7)</v>
      </c>
      <c r="D156" s="302">
        <f>'Ind T6'!M190</f>
        <v>0.10299999999984441</v>
      </c>
      <c r="E156" s="299" t="str">
        <f>CONCATENATE("(",ROUND((D156/$H158)*100,1),")")</f>
        <v>(1.4)</v>
      </c>
      <c r="F156" s="302">
        <f>'Ind T6'!N190</f>
        <v>0.82599999998994911</v>
      </c>
      <c r="G156" s="299" t="str">
        <f>CONCATENATE("(",ROUND((F156/$H158)*100,1),")")</f>
        <v>(10.9)</v>
      </c>
      <c r="H156" s="302">
        <f>SUM(B156,D156,F156)</f>
        <v>5.5349999999869235</v>
      </c>
      <c r="I156" s="299" t="str">
        <f>CONCATENATE("(",ROUND((H156/$H158)*100,1),")")</f>
        <v>(73)</v>
      </c>
      <c r="K156" s="302">
        <f>B161-B156</f>
        <v>7.5999999979192268E-2</v>
      </c>
      <c r="L156" s="302">
        <f>D161-D156</f>
        <v>3.9999999998814179E-3</v>
      </c>
      <c r="M156" s="302">
        <f>F161-F156</f>
        <v>-1.1000000004813271E-2</v>
      </c>
      <c r="N156" s="302">
        <f>SUM(K156:M156)</f>
        <v>6.8999999974260415E-2</v>
      </c>
    </row>
    <row r="157" spans="1:14" x14ac:dyDescent="0.2">
      <c r="A157" s="282" t="s">
        <v>356</v>
      </c>
      <c r="B157" s="302">
        <f>'Ind T6'!L189</f>
        <v>1.2089999999929366</v>
      </c>
      <c r="C157" s="299" t="str">
        <f>CONCATENATE("(",ROUND((B157/$H158)*100,1),")")</f>
        <v>(15.9)</v>
      </c>
      <c r="D157" s="302">
        <f>'Ind T6'!M189</f>
        <v>0.76000000000205714</v>
      </c>
      <c r="E157" s="299" t="str">
        <f>CONCATENATE("(",ROUND((D157/$H158)*100,1),")")</f>
        <v>(10)</v>
      </c>
      <c r="F157" s="302">
        <f>'Ind T6'!N189</f>
        <v>7.9999999999622678E-2</v>
      </c>
      <c r="G157" s="299" t="str">
        <f>CONCATENATE("(",ROUND((F157/$H158)*100,1),")")</f>
        <v>(1.1)</v>
      </c>
      <c r="H157" s="302">
        <f t="shared" ref="H157" si="126">SUM(B157,D157,F157)</f>
        <v>2.0489999999946162</v>
      </c>
      <c r="I157" s="299" t="str">
        <f>CONCATENATE("(",ROUND((H157/$H158)*100,1),")")</f>
        <v>(27)</v>
      </c>
      <c r="K157" s="302">
        <f t="shared" ref="K157:K158" si="127">B162-B157</f>
        <v>7.7000000029743942E-2</v>
      </c>
      <c r="L157" s="302">
        <f t="shared" ref="L157:L158" si="128">D162-D157</f>
        <v>2.7000000009484326E-2</v>
      </c>
      <c r="M157" s="302">
        <f t="shared" ref="M157:M158" si="129">F162-F157</f>
        <v>1.000000000135351E-3</v>
      </c>
      <c r="N157" s="302">
        <f t="shared" ref="N157:N158" si="130">SUM(K157:M157)</f>
        <v>0.10500000003936362</v>
      </c>
    </row>
    <row r="158" spans="1:14" x14ac:dyDescent="0.2">
      <c r="A158" s="282" t="s">
        <v>354</v>
      </c>
      <c r="B158" s="302">
        <f>SUM(B156:B157)</f>
        <v>5.814999999990067</v>
      </c>
      <c r="C158" s="299" t="str">
        <f>CONCATENATE("(",ROUND((B158/$H158)*100,1),")")</f>
        <v>(76.7)</v>
      </c>
      <c r="D158" s="302">
        <f>SUM(D156:D157)</f>
        <v>0.86300000000190158</v>
      </c>
      <c r="E158" s="299" t="str">
        <f>CONCATENATE("(",ROUND((D158/$H158)*100,1),")")</f>
        <v>(11.4)</v>
      </c>
      <c r="F158" s="302">
        <f>SUM(F156:F157)</f>
        <v>0.90599999998957181</v>
      </c>
      <c r="G158" s="299" t="str">
        <f>CONCATENATE("(",ROUND((F158/$H158)*100,1),")")</f>
        <v>(11.9)</v>
      </c>
      <c r="H158" s="302">
        <f>SUM(H156:H157)</f>
        <v>7.5839999999815397</v>
      </c>
      <c r="I158" s="299" t="str">
        <f>CONCATENATE("(",ROUND((H158/$H158)*100,1),")")</f>
        <v>(100)</v>
      </c>
      <c r="K158" s="302">
        <f t="shared" si="127"/>
        <v>0.15300000000893643</v>
      </c>
      <c r="L158" s="302">
        <f t="shared" si="128"/>
        <v>3.1000000009365758E-2</v>
      </c>
      <c r="M158" s="302">
        <f t="shared" si="129"/>
        <v>-1.0000000004677934E-2</v>
      </c>
      <c r="N158" s="302">
        <f t="shared" si="130"/>
        <v>0.17400000001362426</v>
      </c>
    </row>
    <row r="159" spans="1:14" x14ac:dyDescent="0.2">
      <c r="B159" s="302"/>
      <c r="C159" s="284"/>
      <c r="D159" s="302"/>
      <c r="E159" s="284"/>
      <c r="F159" s="302"/>
      <c r="G159" s="284"/>
      <c r="H159" s="302"/>
      <c r="I159" s="284"/>
    </row>
    <row r="160" spans="1:14" x14ac:dyDescent="0.2">
      <c r="A160" s="292">
        <f>$A$13</f>
        <v>2025</v>
      </c>
      <c r="B160" s="302"/>
      <c r="C160" s="284"/>
      <c r="D160" s="302"/>
      <c r="E160" s="284"/>
      <c r="F160" s="302"/>
      <c r="G160" s="284"/>
      <c r="H160" s="302"/>
      <c r="I160" s="284"/>
      <c r="K160" s="286" t="str">
        <f>CONCATENATE(A160," - ",A165)</f>
        <v>2025 - 2035</v>
      </c>
    </row>
    <row r="161" spans="1:14" x14ac:dyDescent="0.2">
      <c r="A161" s="282" t="s">
        <v>355</v>
      </c>
      <c r="B161" s="302">
        <f>'Ind T6'!Q190</f>
        <v>4.6819999999763224</v>
      </c>
      <c r="C161" s="299" t="str">
        <f>CONCATENATE("(",ROUND((B161/$H163)*100,1),")")</f>
        <v>(60.4)</v>
      </c>
      <c r="D161" s="302">
        <f>'Ind T6'!R190</f>
        <v>0.10699999999972583</v>
      </c>
      <c r="E161" s="299" t="str">
        <f>CONCATENATE("(",ROUND((D161/$H163)*100,1),")")</f>
        <v>(1.4)</v>
      </c>
      <c r="F161" s="302">
        <f>'Ind T6'!S190</f>
        <v>0.81499999998513584</v>
      </c>
      <c r="G161" s="299" t="str">
        <f>CONCATENATE("(",ROUND((F161/$H163)*100,1),")")</f>
        <v>(10.5)</v>
      </c>
      <c r="H161" s="302">
        <f>SUM(B161,D161,F161)</f>
        <v>5.603999999961184</v>
      </c>
      <c r="I161" s="299" t="str">
        <f>CONCATENATE("(",ROUND((H161/$H163)*100,1),")")</f>
        <v>(72.2)</v>
      </c>
      <c r="K161" s="302">
        <f>B166-B161</f>
        <v>6.4999999996884661E-2</v>
      </c>
      <c r="L161" s="302">
        <f>D166-D161</f>
        <v>1.9999999999570778E-3</v>
      </c>
      <c r="M161" s="302">
        <f>F166-F161</f>
        <v>-3.8999999989072665E-2</v>
      </c>
      <c r="N161" s="302">
        <f>SUM(K161:M161)</f>
        <v>2.8000000007769074E-2</v>
      </c>
    </row>
    <row r="162" spans="1:14" x14ac:dyDescent="0.2">
      <c r="A162" s="282" t="s">
        <v>356</v>
      </c>
      <c r="B162" s="302">
        <f>'Ind T6'!Q189</f>
        <v>1.2860000000226806</v>
      </c>
      <c r="C162" s="299" t="str">
        <f>CONCATENATE("(",ROUND((B162/$H163)*100,1),")")</f>
        <v>(16.6)</v>
      </c>
      <c r="D162" s="302">
        <f>'Ind T6'!R189</f>
        <v>0.78700000001154147</v>
      </c>
      <c r="E162" s="299" t="str">
        <f>CONCATENATE("(",ROUND((D162/$H163)*100,1),")")</f>
        <v>(10.1)</v>
      </c>
      <c r="F162" s="302">
        <f>'Ind T6'!S189</f>
        <v>8.0999999999758029E-2</v>
      </c>
      <c r="G162" s="299" t="str">
        <f>CONCATENATE("(",ROUND((F162/$H163)*100,1),")")</f>
        <v>(1)</v>
      </c>
      <c r="H162" s="302">
        <f t="shared" ref="H162" si="131">SUM(B162,D162,F162)</f>
        <v>2.1540000000339798</v>
      </c>
      <c r="I162" s="299" t="str">
        <f>CONCATENATE("(",ROUND((H162/$H163)*100,1),")")</f>
        <v>(27.8)</v>
      </c>
      <c r="K162" s="302">
        <f t="shared" ref="K162:K163" si="132">B167-B162</f>
        <v>0.13699999998606227</v>
      </c>
      <c r="L162" s="302">
        <f t="shared" ref="L162:L163" si="133">D167-D162</f>
        <v>4.0999999992786029E-2</v>
      </c>
      <c r="M162" s="302">
        <f t="shared" ref="M162:M163" si="134">F167-F162</f>
        <v>1.0000000019026317E-3</v>
      </c>
      <c r="N162" s="302">
        <f t="shared" ref="N162:N163" si="135">SUM(K162:M162)</f>
        <v>0.17899999998075095</v>
      </c>
    </row>
    <row r="163" spans="1:14" x14ac:dyDescent="0.2">
      <c r="A163" s="282" t="s">
        <v>354</v>
      </c>
      <c r="B163" s="302">
        <f>SUM(B161:B162)</f>
        <v>5.9679999999990034</v>
      </c>
      <c r="C163" s="299" t="str">
        <f>CONCATENATE("(",ROUND((B163/$H163)*100,1),")")</f>
        <v>(76.9)</v>
      </c>
      <c r="D163" s="302">
        <f>SUM(D161:D162)</f>
        <v>0.89400000001126734</v>
      </c>
      <c r="E163" s="299" t="str">
        <f>CONCATENATE("(",ROUND((D163/$H163)*100,1),")")</f>
        <v>(11.5)</v>
      </c>
      <c r="F163" s="302">
        <f>SUM(F161:F162)</f>
        <v>0.89599999998489388</v>
      </c>
      <c r="G163" s="299" t="str">
        <f>CONCATENATE("(",ROUND((F163/$H163)*100,1),")")</f>
        <v>(11.5)</v>
      </c>
      <c r="H163" s="302">
        <f>SUM(H161:H162)</f>
        <v>7.7579999999951639</v>
      </c>
      <c r="I163" s="299" t="str">
        <f>CONCATENATE("(",ROUND((H163/$H163)*100,1),")")</f>
        <v>(100)</v>
      </c>
      <c r="K163" s="302">
        <f t="shared" si="132"/>
        <v>0.20199999998294693</v>
      </c>
      <c r="L163" s="302">
        <f t="shared" si="133"/>
        <v>4.2999999992743065E-2</v>
      </c>
      <c r="M163" s="302">
        <f t="shared" si="134"/>
        <v>-3.7999999987170074E-2</v>
      </c>
      <c r="N163" s="302">
        <f t="shared" si="135"/>
        <v>0.20699999998851992</v>
      </c>
    </row>
    <row r="164" spans="1:14" x14ac:dyDescent="0.2">
      <c r="B164" s="302"/>
      <c r="C164" s="284"/>
      <c r="D164" s="302"/>
      <c r="E164" s="284"/>
      <c r="F164" s="302"/>
      <c r="G164" s="284"/>
      <c r="H164" s="302"/>
      <c r="I164" s="284"/>
    </row>
    <row r="165" spans="1:14" x14ac:dyDescent="0.2">
      <c r="A165" s="292">
        <f>$A$18</f>
        <v>2035</v>
      </c>
      <c r="B165" s="302"/>
      <c r="C165" s="284"/>
      <c r="D165" s="302"/>
      <c r="E165" s="284"/>
      <c r="F165" s="302"/>
      <c r="G165" s="284"/>
      <c r="H165" s="302"/>
      <c r="I165" s="284"/>
      <c r="K165" s="286" t="str">
        <f>CONCATENATE(A155," - ",A165)</f>
        <v>2020 - 2035</v>
      </c>
    </row>
    <row r="166" spans="1:14" x14ac:dyDescent="0.2">
      <c r="A166" s="282" t="s">
        <v>355</v>
      </c>
      <c r="B166" s="302">
        <f>'Ind T6'!V190</f>
        <v>4.7469999999732071</v>
      </c>
      <c r="C166" s="299" t="str">
        <f>CONCATENATE("(",ROUND((B166/$H168)*100,1),")")</f>
        <v>(59.6)</v>
      </c>
      <c r="D166" s="302">
        <f>'Ind T6'!W190</f>
        <v>0.10899999999968291</v>
      </c>
      <c r="E166" s="299" t="str">
        <f>CONCATENATE("(",ROUND((D166/$H168)*100,1),")")</f>
        <v>(1.4)</v>
      </c>
      <c r="F166" s="302">
        <f>'Ind T6'!X190</f>
        <v>0.77599999999606317</v>
      </c>
      <c r="G166" s="299" t="str">
        <f>CONCATENATE("(",ROUND((F166/$H168)*100,1),")")</f>
        <v>(9.7)</v>
      </c>
      <c r="H166" s="302">
        <f>SUM(B166,D166,F166)</f>
        <v>5.6319999999689534</v>
      </c>
      <c r="I166" s="299" t="str">
        <f>CONCATENATE("(",ROUND((H166/$H168)*100,1),")")</f>
        <v>(70.7)</v>
      </c>
      <c r="K166" s="302">
        <f>B166-B156</f>
        <v>0.14099999997607693</v>
      </c>
      <c r="L166" s="302">
        <f>D166-D156</f>
        <v>5.9999999998384956E-3</v>
      </c>
      <c r="M166" s="302">
        <f>F166-F156</f>
        <v>-4.9999999993885935E-2</v>
      </c>
      <c r="N166" s="302">
        <f>SUM(K166:M166)</f>
        <v>9.6999999982029489E-2</v>
      </c>
    </row>
    <row r="167" spans="1:14" x14ac:dyDescent="0.2">
      <c r="A167" s="282" t="s">
        <v>356</v>
      </c>
      <c r="B167" s="302">
        <f>'Ind T6'!V189</f>
        <v>1.4230000000087428</v>
      </c>
      <c r="C167" s="299" t="str">
        <f>CONCATENATE("(",ROUND((B167/$H168)*100,1),")")</f>
        <v>(17.9)</v>
      </c>
      <c r="D167" s="302">
        <f>'Ind T6'!W189</f>
        <v>0.8280000000043275</v>
      </c>
      <c r="E167" s="299" t="str">
        <f>CONCATENATE("(",ROUND((D167/$H168)*100,1),")")</f>
        <v>(10.4)</v>
      </c>
      <c r="F167" s="302">
        <f>'Ind T6'!X189</f>
        <v>8.2000000001660661E-2</v>
      </c>
      <c r="G167" s="299" t="str">
        <f>CONCATENATE("(",ROUND((F167/$H168)*100,1),")")</f>
        <v>(1)</v>
      </c>
      <c r="H167" s="302">
        <f t="shared" ref="H167" si="136">SUM(B167,D167,F167)</f>
        <v>2.3330000000147311</v>
      </c>
      <c r="I167" s="299" t="str">
        <f>CONCATENATE("(",ROUND((H167/$H168)*100,1),")")</f>
        <v>(29.3)</v>
      </c>
      <c r="K167" s="302">
        <f t="shared" ref="K167:K168" si="137">B167-B157</f>
        <v>0.21400000001580621</v>
      </c>
      <c r="L167" s="302">
        <f t="shared" ref="L167:L168" si="138">D167-D157</f>
        <v>6.8000000002270355E-2</v>
      </c>
      <c r="M167" s="302">
        <f t="shared" ref="M167:M168" si="139">F167-F157</f>
        <v>2.0000000020379827E-3</v>
      </c>
      <c r="N167" s="302">
        <f t="shared" ref="N167:N168" si="140">SUM(K167:M167)</f>
        <v>0.28400000002011455</v>
      </c>
    </row>
    <row r="168" spans="1:14" x14ac:dyDescent="0.2">
      <c r="A168" s="282" t="s">
        <v>354</v>
      </c>
      <c r="B168" s="302">
        <f>SUM(B166:B167)</f>
        <v>6.1699999999819504</v>
      </c>
      <c r="C168" s="299" t="str">
        <f>CONCATENATE("(",ROUND((B168/$H168)*100,1),")")</f>
        <v>(77.5)</v>
      </c>
      <c r="D168" s="302">
        <f>SUM(D166:D167)</f>
        <v>0.9370000000040104</v>
      </c>
      <c r="E168" s="299" t="str">
        <f>CONCATENATE("(",ROUND((D168/$H168)*100,1),")")</f>
        <v>(11.8)</v>
      </c>
      <c r="F168" s="302">
        <f>SUM(F166:F167)</f>
        <v>0.85799999999772381</v>
      </c>
      <c r="G168" s="299" t="str">
        <f>CONCATENATE("(",ROUND((F168/$H168)*100,1),")")</f>
        <v>(10.8)</v>
      </c>
      <c r="H168" s="302">
        <f>SUM(H166:H167)</f>
        <v>7.964999999983684</v>
      </c>
      <c r="I168" s="299" t="str">
        <f>CONCATENATE("(",ROUND((H168/$H168)*100,1),")")</f>
        <v>(100)</v>
      </c>
      <c r="K168" s="302">
        <f t="shared" si="137"/>
        <v>0.35499999999188336</v>
      </c>
      <c r="L168" s="302">
        <f t="shared" si="138"/>
        <v>7.4000000002108823E-2</v>
      </c>
      <c r="M168" s="302">
        <f t="shared" si="139"/>
        <v>-4.7999999991848008E-2</v>
      </c>
      <c r="N168" s="302">
        <f t="shared" si="140"/>
        <v>0.38100000000214418</v>
      </c>
    </row>
    <row r="169" spans="1:14" x14ac:dyDescent="0.2">
      <c r="A169" s="293"/>
      <c r="B169" s="294"/>
      <c r="C169" s="293"/>
      <c r="D169" s="294"/>
      <c r="E169" s="293"/>
      <c r="F169" s="294"/>
      <c r="G169" s="293"/>
      <c r="H169" s="294"/>
      <c r="I169" s="293"/>
      <c r="J169" s="293"/>
      <c r="K169" s="294"/>
      <c r="L169" s="294"/>
      <c r="M169" s="294"/>
      <c r="N169" s="294"/>
    </row>
    <row r="173" spans="1:14" x14ac:dyDescent="0.2">
      <c r="A173" s="288"/>
      <c r="B173" s="289" t="s">
        <v>379</v>
      </c>
      <c r="C173" s="288"/>
      <c r="D173" s="289"/>
      <c r="E173" s="288"/>
      <c r="F173" s="289" t="str">
        <f>name!B11</f>
        <v>Construction</v>
      </c>
      <c r="G173" s="288"/>
      <c r="H173" s="291"/>
      <c r="I173" s="288"/>
      <c r="J173" s="290"/>
      <c r="K173" s="291"/>
      <c r="L173" s="291"/>
      <c r="M173" s="291"/>
      <c r="N173" s="291"/>
    </row>
    <row r="174" spans="1:14" x14ac:dyDescent="0.2">
      <c r="N174" s="287" t="s">
        <v>377</v>
      </c>
    </row>
    <row r="175" spans="1:14" x14ac:dyDescent="0.2">
      <c r="A175" s="181" t="s">
        <v>378</v>
      </c>
      <c r="B175" s="369" t="s">
        <v>376</v>
      </c>
      <c r="C175" s="369"/>
      <c r="D175" s="369" t="s">
        <v>375</v>
      </c>
      <c r="E175" s="369"/>
      <c r="F175" s="369" t="s">
        <v>374</v>
      </c>
      <c r="G175" s="369"/>
      <c r="H175" s="369" t="s">
        <v>32</v>
      </c>
      <c r="I175" s="369"/>
      <c r="J175" s="181"/>
      <c r="K175" s="297" t="s">
        <v>339</v>
      </c>
      <c r="L175" s="297" t="s">
        <v>341</v>
      </c>
      <c r="M175" s="297" t="s">
        <v>337</v>
      </c>
      <c r="N175" s="297" t="s">
        <v>32</v>
      </c>
    </row>
    <row r="176" spans="1:14" x14ac:dyDescent="0.2">
      <c r="A176" s="292">
        <f>$A$8</f>
        <v>2020</v>
      </c>
      <c r="B176" s="287" t="s">
        <v>60</v>
      </c>
      <c r="C176" s="19" t="s">
        <v>373</v>
      </c>
      <c r="D176" s="287" t="s">
        <v>60</v>
      </c>
      <c r="E176" s="19" t="s">
        <v>373</v>
      </c>
      <c r="F176" s="287" t="s">
        <v>60</v>
      </c>
      <c r="G176" s="19" t="s">
        <v>373</v>
      </c>
      <c r="H176" s="287" t="s">
        <v>60</v>
      </c>
      <c r="I176" s="19" t="s">
        <v>373</v>
      </c>
      <c r="J176" s="181"/>
      <c r="K176" s="286" t="str">
        <f>CONCATENATE(A176," - ",A181)</f>
        <v>2020 - 2025</v>
      </c>
      <c r="L176" s="285"/>
      <c r="M176" s="285"/>
    </row>
    <row r="177" spans="1:14" x14ac:dyDescent="0.2">
      <c r="A177" s="282" t="s">
        <v>355</v>
      </c>
      <c r="B177" s="302">
        <f>'Ind T6'!L215</f>
        <v>38.184000000053118</v>
      </c>
      <c r="C177" s="299" t="str">
        <f>CONCATENATE("(",ROUND((B177/$H179)*100,1),")")</f>
        <v>(55.2)</v>
      </c>
      <c r="D177" s="302">
        <f>'Ind T6'!M215</f>
        <v>1.8330000000012947</v>
      </c>
      <c r="E177" s="299" t="str">
        <f>CONCATENATE("(",ROUND((D177/$H179)*100,1),")")</f>
        <v>(2.7)</v>
      </c>
      <c r="F177" s="302">
        <f>'Ind T6'!N215</f>
        <v>20.086999999265913</v>
      </c>
      <c r="G177" s="299" t="str">
        <f>CONCATENATE("(",ROUND((F177/$H179)*100,1),")")</f>
        <v>(29)</v>
      </c>
      <c r="H177" s="302">
        <f>SUM(B177,D177,F177)</f>
        <v>60.103999999320322</v>
      </c>
      <c r="I177" s="299" t="str">
        <f>CONCATENATE("(",ROUND((H177/$H179)*100,1),")")</f>
        <v>(86.9)</v>
      </c>
      <c r="K177" s="302">
        <f>B182-B177</f>
        <v>-1.6280000004540014</v>
      </c>
      <c r="L177" s="302">
        <f>D182-D177</f>
        <v>-2.1000000009897324E-2</v>
      </c>
      <c r="M177" s="302">
        <f>F182-F177</f>
        <v>-0.41700000172265206</v>
      </c>
      <c r="N177" s="302">
        <f>SUM(K177:M177)</f>
        <v>-2.0660000021865508</v>
      </c>
    </row>
    <row r="178" spans="1:14" x14ac:dyDescent="0.2">
      <c r="A178" s="282" t="s">
        <v>356</v>
      </c>
      <c r="B178" s="302">
        <f>'Ind T6'!L214</f>
        <v>5.1139999999697086</v>
      </c>
      <c r="C178" s="299" t="str">
        <f>CONCATENATE("(",ROUND((B178/$H179)*100,1),")")</f>
        <v>(7.4)</v>
      </c>
      <c r="D178" s="302">
        <f>'Ind T6'!M214</f>
        <v>3.0010000000075268</v>
      </c>
      <c r="E178" s="299" t="str">
        <f>CONCATENATE("(",ROUND((D178/$H179)*100,1),")")</f>
        <v>(4.3)</v>
      </c>
      <c r="F178" s="302">
        <f>'Ind T6'!N214</f>
        <v>0.9449999999758828</v>
      </c>
      <c r="G178" s="299" t="str">
        <f>CONCATENATE("(",ROUND((F178/$H179)*100,1),")")</f>
        <v>(1.4)</v>
      </c>
      <c r="H178" s="302">
        <f t="shared" ref="H178" si="141">SUM(B178,D178,F178)</f>
        <v>9.0599999999531189</v>
      </c>
      <c r="I178" s="299" t="str">
        <f>CONCATENATE("(",ROUND((H178/$H179)*100,1),")")</f>
        <v>(13.1)</v>
      </c>
      <c r="K178" s="302">
        <f t="shared" ref="K178:K179" si="142">B183-B178</f>
        <v>-0.13399999989440659</v>
      </c>
      <c r="L178" s="302">
        <f t="shared" ref="L178:L179" si="143">D183-D178</f>
        <v>-5.8999999910293255E-2</v>
      </c>
      <c r="M178" s="302">
        <f t="shared" ref="M178:M179" si="144">F183-F178</f>
        <v>-1.9999999955450209E-2</v>
      </c>
      <c r="N178" s="302">
        <f t="shared" ref="N178:N179" si="145">SUM(K178:M178)</f>
        <v>-0.21299999976015005</v>
      </c>
    </row>
    <row r="179" spans="1:14" x14ac:dyDescent="0.2">
      <c r="A179" s="282" t="s">
        <v>354</v>
      </c>
      <c r="B179" s="302">
        <f>SUM(B177:B178)</f>
        <v>43.298000000022824</v>
      </c>
      <c r="C179" s="299" t="str">
        <f>CONCATENATE("(",ROUND((B179/$H179)*100,1),")")</f>
        <v>(62.6)</v>
      </c>
      <c r="D179" s="302">
        <f>SUM(D177:D178)</f>
        <v>4.834000000008821</v>
      </c>
      <c r="E179" s="299" t="str">
        <f>CONCATENATE("(",ROUND((D179/$H179)*100,1),")")</f>
        <v>(7)</v>
      </c>
      <c r="F179" s="302">
        <f>SUM(F177:F178)</f>
        <v>21.031999999241798</v>
      </c>
      <c r="G179" s="299" t="str">
        <f>CONCATENATE("(",ROUND((F179/$H179)*100,1),")")</f>
        <v>(30.4)</v>
      </c>
      <c r="H179" s="302">
        <f>SUM(H177:H178)</f>
        <v>69.163999999273443</v>
      </c>
      <c r="I179" s="299" t="str">
        <f>CONCATENATE("(",ROUND((H179/$H179)*100,1),")")</f>
        <v>(100)</v>
      </c>
      <c r="K179" s="302">
        <f t="shared" si="142"/>
        <v>-1.762000000348408</v>
      </c>
      <c r="L179" s="302">
        <f t="shared" si="143"/>
        <v>-7.9999999920190135E-2</v>
      </c>
      <c r="M179" s="302">
        <f t="shared" si="144"/>
        <v>-0.43700000167810416</v>
      </c>
      <c r="N179" s="302">
        <f t="shared" si="145"/>
        <v>-2.2790000019467023</v>
      </c>
    </row>
    <row r="180" spans="1:14" x14ac:dyDescent="0.2">
      <c r="B180" s="302"/>
      <c r="C180" s="284"/>
      <c r="D180" s="302"/>
      <c r="E180" s="284"/>
      <c r="F180" s="302"/>
      <c r="G180" s="284"/>
      <c r="H180" s="302"/>
      <c r="I180" s="284"/>
    </row>
    <row r="181" spans="1:14" x14ac:dyDescent="0.2">
      <c r="A181" s="292">
        <f>$A$13</f>
        <v>2025</v>
      </c>
      <c r="B181" s="302"/>
      <c r="C181" s="284"/>
      <c r="D181" s="302"/>
      <c r="E181" s="284"/>
      <c r="F181" s="302"/>
      <c r="G181" s="284"/>
      <c r="H181" s="302"/>
      <c r="I181" s="284"/>
      <c r="K181" s="286" t="str">
        <f>CONCATENATE(A181," - ",A186)</f>
        <v>2025 - 2035</v>
      </c>
    </row>
    <row r="182" spans="1:14" x14ac:dyDescent="0.2">
      <c r="A182" s="282" t="s">
        <v>355</v>
      </c>
      <c r="B182" s="302">
        <f>'Ind T6'!Q215</f>
        <v>36.555999999599116</v>
      </c>
      <c r="C182" s="299" t="str">
        <f>CONCATENATE("(",ROUND((B182/$H184)*100,1),")")</f>
        <v>(54.7)</v>
      </c>
      <c r="D182" s="302">
        <f>'Ind T6'!R215</f>
        <v>1.8119999999913974</v>
      </c>
      <c r="E182" s="299" t="str">
        <f>CONCATENATE("(",ROUND((D182/$H184)*100,1),")")</f>
        <v>(2.7)</v>
      </c>
      <c r="F182" s="302">
        <f>'Ind T6'!S215</f>
        <v>19.669999997543261</v>
      </c>
      <c r="G182" s="299" t="str">
        <f>CONCATENATE("(",ROUND((F182/$H184)*100,1),")")</f>
        <v>(29.4)</v>
      </c>
      <c r="H182" s="302">
        <f>SUM(B182,D182,F182)</f>
        <v>58.037999997133781</v>
      </c>
      <c r="I182" s="299" t="str">
        <f>CONCATENATE("(",ROUND((H182/$H184)*100,1),")")</f>
        <v>(86.8)</v>
      </c>
      <c r="K182" s="302">
        <f>B187-B182</f>
        <v>-1.1840000000619995</v>
      </c>
      <c r="L182" s="302">
        <f>D187-D182</f>
        <v>6.3000000003655021E-2</v>
      </c>
      <c r="M182" s="302">
        <f>F187-F182</f>
        <v>0.41900000057215436</v>
      </c>
      <c r="N182" s="302">
        <f>SUM(K182:M182)</f>
        <v>-0.70199999948619007</v>
      </c>
    </row>
    <row r="183" spans="1:14" x14ac:dyDescent="0.2">
      <c r="A183" s="282" t="s">
        <v>356</v>
      </c>
      <c r="B183" s="302">
        <f>'Ind T6'!Q214</f>
        <v>4.980000000075302</v>
      </c>
      <c r="C183" s="299" t="str">
        <f>CONCATENATE("(",ROUND((B183/$H184)*100,1),")")</f>
        <v>(7.4)</v>
      </c>
      <c r="D183" s="302">
        <f>'Ind T6'!R214</f>
        <v>2.9420000000972335</v>
      </c>
      <c r="E183" s="299" t="str">
        <f>CONCATENATE("(",ROUND((D183/$H184)*100,1),")")</f>
        <v>(4.4)</v>
      </c>
      <c r="F183" s="302">
        <f>'Ind T6'!S214</f>
        <v>0.92500000002043259</v>
      </c>
      <c r="G183" s="299" t="str">
        <f>CONCATENATE("(",ROUND((F183/$H184)*100,1),")")</f>
        <v>(1.4)</v>
      </c>
      <c r="H183" s="302">
        <f t="shared" ref="H183" si="146">SUM(B183,D183,F183)</f>
        <v>8.8470000001929687</v>
      </c>
      <c r="I183" s="299" t="str">
        <f>CONCATENATE("(",ROUND((H183/$H184)*100,1),")")</f>
        <v>(13.2)</v>
      </c>
      <c r="K183" s="302">
        <f t="shared" ref="K183:K184" si="147">B188-B183</f>
        <v>6.3999999939673202E-2</v>
      </c>
      <c r="L183" s="302">
        <f t="shared" ref="L183:L184" si="148">D188-D183</f>
        <v>6.9999999900845822E-2</v>
      </c>
      <c r="M183" s="302">
        <f t="shared" ref="M183:M184" si="149">F188-F183</f>
        <v>3.7999999974958509E-2</v>
      </c>
      <c r="N183" s="302">
        <f t="shared" ref="N183:N184" si="150">SUM(K183:M183)</f>
        <v>0.17199999981547753</v>
      </c>
    </row>
    <row r="184" spans="1:14" x14ac:dyDescent="0.2">
      <c r="A184" s="282" t="s">
        <v>354</v>
      </c>
      <c r="B184" s="302">
        <f>SUM(B182:B183)</f>
        <v>41.535999999674416</v>
      </c>
      <c r="C184" s="299" t="str">
        <f>CONCATENATE("(",ROUND((B184/$H184)*100,1),")")</f>
        <v>(62.1)</v>
      </c>
      <c r="D184" s="302">
        <f>SUM(D182:D183)</f>
        <v>4.7540000000886309</v>
      </c>
      <c r="E184" s="299" t="str">
        <f>CONCATENATE("(",ROUND((D184/$H184)*100,1),")")</f>
        <v>(7.1)</v>
      </c>
      <c r="F184" s="302">
        <f>SUM(F182:F183)</f>
        <v>20.594999997563693</v>
      </c>
      <c r="G184" s="299" t="str">
        <f>CONCATENATE("(",ROUND((F184/$H184)*100,1),")")</f>
        <v>(30.8)</v>
      </c>
      <c r="H184" s="302">
        <f>SUM(H182:H183)</f>
        <v>66.884999997326744</v>
      </c>
      <c r="I184" s="299" t="str">
        <f>CONCATENATE("(",ROUND((H184/$H184)*100,1),")")</f>
        <v>(100)</v>
      </c>
      <c r="K184" s="302">
        <f t="shared" si="147"/>
        <v>-1.1200000001223245</v>
      </c>
      <c r="L184" s="302">
        <f t="shared" si="148"/>
        <v>0.1329999999045004</v>
      </c>
      <c r="M184" s="302">
        <f t="shared" si="149"/>
        <v>0.45700000054711154</v>
      </c>
      <c r="N184" s="302">
        <f t="shared" si="150"/>
        <v>-0.52999999967071254</v>
      </c>
    </row>
    <row r="185" spans="1:14" x14ac:dyDescent="0.2">
      <c r="B185" s="302"/>
      <c r="C185" s="284"/>
      <c r="D185" s="302"/>
      <c r="E185" s="284"/>
      <c r="F185" s="302"/>
      <c r="G185" s="284"/>
      <c r="H185" s="302"/>
      <c r="I185" s="284"/>
    </row>
    <row r="186" spans="1:14" x14ac:dyDescent="0.2">
      <c r="A186" s="292">
        <f>$A$18</f>
        <v>2035</v>
      </c>
      <c r="B186" s="302"/>
      <c r="C186" s="284"/>
      <c r="D186" s="302"/>
      <c r="E186" s="284"/>
      <c r="F186" s="302"/>
      <c r="G186" s="284"/>
      <c r="H186" s="302"/>
      <c r="I186" s="284"/>
      <c r="K186" s="286" t="str">
        <f>CONCATENATE(A176," - ",A186)</f>
        <v>2020 - 2035</v>
      </c>
    </row>
    <row r="187" spans="1:14" x14ac:dyDescent="0.2">
      <c r="A187" s="282" t="s">
        <v>355</v>
      </c>
      <c r="B187" s="302">
        <f>'Ind T6'!V215</f>
        <v>35.371999999537117</v>
      </c>
      <c r="C187" s="299" t="str">
        <f>CONCATENATE("(",ROUND((B187/$H189)*100,1),")")</f>
        <v>(53.3)</v>
      </c>
      <c r="D187" s="302">
        <f>'Ind T6'!W215</f>
        <v>1.8749999999950524</v>
      </c>
      <c r="E187" s="299" t="str">
        <f>CONCATENATE("(",ROUND((D187/$H189)*100,1),")")</f>
        <v>(2.8)</v>
      </c>
      <c r="F187" s="302">
        <f>'Ind T6'!X215</f>
        <v>20.088999998115415</v>
      </c>
      <c r="G187" s="299" t="str">
        <f>CONCATENATE("(",ROUND((F187/$H189)*100,1),")")</f>
        <v>(30.3)</v>
      </c>
      <c r="H187" s="302">
        <f>SUM(B187,D187,F187)</f>
        <v>57.33599999764759</v>
      </c>
      <c r="I187" s="299" t="str">
        <f>CONCATENATE("(",ROUND((H187/$H189)*100,1),")")</f>
        <v>(86.4)</v>
      </c>
      <c r="K187" s="302">
        <f>B187-B177</f>
        <v>-2.8120000005160009</v>
      </c>
      <c r="L187" s="302">
        <f>D187-D177</f>
        <v>4.1999999993757697E-2</v>
      </c>
      <c r="M187" s="302">
        <f>F187-F177</f>
        <v>1.9999988495023047E-3</v>
      </c>
      <c r="N187" s="302">
        <f>SUM(K187:M187)</f>
        <v>-2.7680000016727409</v>
      </c>
    </row>
    <row r="188" spans="1:14" x14ac:dyDescent="0.2">
      <c r="A188" s="282" t="s">
        <v>356</v>
      </c>
      <c r="B188" s="302">
        <f>'Ind T6'!V214</f>
        <v>5.0440000000149752</v>
      </c>
      <c r="C188" s="299" t="str">
        <f>CONCATENATE("(",ROUND((B188/$H189)*100,1),")")</f>
        <v>(7.6)</v>
      </c>
      <c r="D188" s="302">
        <f>'Ind T6'!W214</f>
        <v>3.0119999999980793</v>
      </c>
      <c r="E188" s="299" t="str">
        <f>CONCATENATE("(",ROUND((D188/$H189)*100,1),")")</f>
        <v>(4.5)</v>
      </c>
      <c r="F188" s="302">
        <f>'Ind T6'!X214</f>
        <v>0.9629999999953911</v>
      </c>
      <c r="G188" s="299" t="str">
        <f>CONCATENATE("(",ROUND((F188/$H189)*100,1),")")</f>
        <v>(1.5)</v>
      </c>
      <c r="H188" s="302">
        <f t="shared" ref="H188" si="151">SUM(B188,D188,F188)</f>
        <v>9.0190000000084449</v>
      </c>
      <c r="I188" s="299" t="str">
        <f>CONCATENATE("(",ROUND((H188/$H189)*100,1),")")</f>
        <v>(13.6)</v>
      </c>
      <c r="K188" s="302">
        <f t="shared" ref="K188:K189" si="152">B188-B178</f>
        <v>-6.9999999954733383E-2</v>
      </c>
      <c r="L188" s="302">
        <f t="shared" ref="L188:L189" si="153">D188-D178</f>
        <v>1.0999999990552567E-2</v>
      </c>
      <c r="M188" s="302">
        <f t="shared" ref="M188:M189" si="154">F188-F178</f>
        <v>1.80000000195083E-2</v>
      </c>
      <c r="N188" s="302">
        <f t="shared" ref="N188:N189" si="155">SUM(K188:M188)</f>
        <v>-4.0999999944672516E-2</v>
      </c>
    </row>
    <row r="189" spans="1:14" x14ac:dyDescent="0.2">
      <c r="A189" s="282" t="s">
        <v>354</v>
      </c>
      <c r="B189" s="302">
        <f>SUM(B187:B188)</f>
        <v>40.415999999552092</v>
      </c>
      <c r="C189" s="299" t="str">
        <f>CONCATENATE("(",ROUND((B189/$H189)*100,1),")")</f>
        <v>(60.9)</v>
      </c>
      <c r="D189" s="302">
        <f>SUM(D187:D188)</f>
        <v>4.8869999999931313</v>
      </c>
      <c r="E189" s="299" t="str">
        <f>CONCATENATE("(",ROUND((D189/$H189)*100,1),")")</f>
        <v>(7.4)</v>
      </c>
      <c r="F189" s="302">
        <f>SUM(F187:F188)</f>
        <v>21.051999998110805</v>
      </c>
      <c r="G189" s="299" t="str">
        <f>CONCATENATE("(",ROUND((F189/$H189)*100,1),")")</f>
        <v>(31.7)</v>
      </c>
      <c r="H189" s="302">
        <f>SUM(H187:H188)</f>
        <v>66.354999997656037</v>
      </c>
      <c r="I189" s="299" t="str">
        <f>CONCATENATE("(",ROUND((H189/$H189)*100,1),")")</f>
        <v>(100)</v>
      </c>
      <c r="K189" s="302">
        <f t="shared" si="152"/>
        <v>-2.8820000004707325</v>
      </c>
      <c r="L189" s="302">
        <f t="shared" si="153"/>
        <v>5.2999999984310264E-2</v>
      </c>
      <c r="M189" s="302">
        <f t="shared" si="154"/>
        <v>1.9999998869007385E-2</v>
      </c>
      <c r="N189" s="302">
        <f t="shared" si="155"/>
        <v>-2.8090000016174148</v>
      </c>
    </row>
    <row r="190" spans="1:14" x14ac:dyDescent="0.2">
      <c r="A190" s="293"/>
      <c r="B190" s="294"/>
      <c r="C190" s="293"/>
      <c r="D190" s="294"/>
      <c r="E190" s="293"/>
      <c r="F190" s="294"/>
      <c r="G190" s="293"/>
      <c r="H190" s="294"/>
      <c r="I190" s="293"/>
      <c r="J190" s="293"/>
      <c r="K190" s="294"/>
      <c r="L190" s="294"/>
      <c r="M190" s="294"/>
      <c r="N190" s="294"/>
    </row>
    <row r="194" spans="1:14" x14ac:dyDescent="0.2">
      <c r="A194" s="288"/>
      <c r="B194" s="289" t="s">
        <v>379</v>
      </c>
      <c r="C194" s="288"/>
      <c r="D194" s="289"/>
      <c r="E194" s="288"/>
      <c r="F194" s="289" t="str">
        <f>name!B12</f>
        <v>Wholesale and retail trade</v>
      </c>
      <c r="G194" s="288"/>
      <c r="H194" s="291"/>
      <c r="I194" s="288"/>
      <c r="J194" s="290"/>
      <c r="K194" s="291"/>
      <c r="L194" s="291"/>
      <c r="M194" s="291"/>
      <c r="N194" s="291"/>
    </row>
    <row r="195" spans="1:14" x14ac:dyDescent="0.2">
      <c r="N195" s="287" t="s">
        <v>377</v>
      </c>
    </row>
    <row r="196" spans="1:14" x14ac:dyDescent="0.2">
      <c r="A196" s="181" t="s">
        <v>378</v>
      </c>
      <c r="B196" s="369" t="s">
        <v>376</v>
      </c>
      <c r="C196" s="369"/>
      <c r="D196" s="369" t="s">
        <v>375</v>
      </c>
      <c r="E196" s="369"/>
      <c r="F196" s="369" t="s">
        <v>374</v>
      </c>
      <c r="G196" s="369"/>
      <c r="H196" s="369" t="s">
        <v>32</v>
      </c>
      <c r="I196" s="369"/>
      <c r="J196" s="181"/>
      <c r="K196" s="297" t="s">
        <v>339</v>
      </c>
      <c r="L196" s="297" t="s">
        <v>341</v>
      </c>
      <c r="M196" s="297" t="s">
        <v>337</v>
      </c>
      <c r="N196" s="297" t="s">
        <v>32</v>
      </c>
    </row>
    <row r="197" spans="1:14" x14ac:dyDescent="0.2">
      <c r="A197" s="292">
        <f>$A$8</f>
        <v>2020</v>
      </c>
      <c r="B197" s="287" t="s">
        <v>60</v>
      </c>
      <c r="C197" s="19" t="s">
        <v>373</v>
      </c>
      <c r="D197" s="287" t="s">
        <v>60</v>
      </c>
      <c r="E197" s="19" t="s">
        <v>373</v>
      </c>
      <c r="F197" s="287" t="s">
        <v>60</v>
      </c>
      <c r="G197" s="19" t="s">
        <v>373</v>
      </c>
      <c r="H197" s="287" t="s">
        <v>60</v>
      </c>
      <c r="I197" s="19" t="s">
        <v>373</v>
      </c>
      <c r="J197" s="181"/>
      <c r="K197" s="286" t="str">
        <f>CONCATENATE(A197," - ",A202)</f>
        <v>2020 - 2025</v>
      </c>
      <c r="L197" s="285"/>
      <c r="M197" s="285"/>
    </row>
    <row r="198" spans="1:14" x14ac:dyDescent="0.2">
      <c r="A198" s="282" t="s">
        <v>355</v>
      </c>
      <c r="B198" s="302">
        <f>'Ind T6'!L240</f>
        <v>57.604000000082451</v>
      </c>
      <c r="C198" s="299" t="str">
        <f>CONCATENATE("(",ROUND((B198/$H200)*100,1),")")</f>
        <v>(33.8)</v>
      </c>
      <c r="D198" s="302">
        <f>'Ind T6'!M240</f>
        <v>21.613999999937548</v>
      </c>
      <c r="E198" s="299" t="str">
        <f>CONCATENATE("(",ROUND((D198/$H200)*100,1),")")</f>
        <v>(12.7)</v>
      </c>
      <c r="F198" s="302">
        <f>'Ind T6'!N240</f>
        <v>7.553000000063145</v>
      </c>
      <c r="G198" s="299" t="str">
        <f>CONCATENATE("(",ROUND((F198/$H200)*100,1),")")</f>
        <v>(4.4)</v>
      </c>
      <c r="H198" s="302">
        <f>SUM(B198,D198,F198)</f>
        <v>86.771000000083149</v>
      </c>
      <c r="I198" s="299" t="str">
        <f>CONCATENATE("(",ROUND((H198/$H200)*100,1),")")</f>
        <v>(50.9)</v>
      </c>
      <c r="K198" s="302">
        <f>B203-B198</f>
        <v>0.60399999943527405</v>
      </c>
      <c r="L198" s="302">
        <f>D203-D198</f>
        <v>-0.21200000013667974</v>
      </c>
      <c r="M198" s="302">
        <f>F203-F198</f>
        <v>5.1999999970712807E-2</v>
      </c>
      <c r="N198" s="302">
        <f>SUM(K198:M198)</f>
        <v>0.44399999926930711</v>
      </c>
    </row>
    <row r="199" spans="1:14" x14ac:dyDescent="0.2">
      <c r="A199" s="282" t="s">
        <v>356</v>
      </c>
      <c r="B199" s="302">
        <f>'Ind T6'!L239</f>
        <v>30.922999999381211</v>
      </c>
      <c r="C199" s="299" t="str">
        <f>CONCATENATE("(",ROUND((B199/$H200)*100,1),")")</f>
        <v>(18.1)</v>
      </c>
      <c r="D199" s="302">
        <f>'Ind T6'!M239</f>
        <v>48.958000001618117</v>
      </c>
      <c r="E199" s="299" t="str">
        <f>CONCATENATE("(",ROUND((D199/$H200)*100,1),")")</f>
        <v>(28.7)</v>
      </c>
      <c r="F199" s="302">
        <f>'Ind T6'!N239</f>
        <v>3.817999999934377</v>
      </c>
      <c r="G199" s="299" t="str">
        <f>CONCATENATE("(",ROUND((F199/$H200)*100,1),")")</f>
        <v>(2.2)</v>
      </c>
      <c r="H199" s="302">
        <f t="shared" ref="H199" si="156">SUM(B199,D199,F199)</f>
        <v>83.699000000933708</v>
      </c>
      <c r="I199" s="299" t="str">
        <f>CONCATENATE("(",ROUND((H199/$H200)*100,1),")")</f>
        <v>(49.1)</v>
      </c>
      <c r="K199" s="302">
        <f t="shared" ref="K199:K200" si="157">B204-B199</f>
        <v>0.72000000225823513</v>
      </c>
      <c r="L199" s="302">
        <f t="shared" ref="L199:L200" si="158">D204-D199</f>
        <v>-2.3369999965641881</v>
      </c>
      <c r="M199" s="302">
        <f t="shared" ref="M199:M200" si="159">F204-F199</f>
        <v>9.1000000077592347E-2</v>
      </c>
      <c r="N199" s="302">
        <f t="shared" ref="N199:N200" si="160">SUM(K199:M199)</f>
        <v>-1.5259999942283606</v>
      </c>
    </row>
    <row r="200" spans="1:14" x14ac:dyDescent="0.2">
      <c r="A200" s="282" t="s">
        <v>354</v>
      </c>
      <c r="B200" s="302">
        <f>SUM(B198:B199)</f>
        <v>88.526999999463669</v>
      </c>
      <c r="C200" s="299" t="str">
        <f>CONCATENATE("(",ROUND((B200/$H200)*100,1),")")</f>
        <v>(51.9)</v>
      </c>
      <c r="D200" s="302">
        <f>SUM(D198:D199)</f>
        <v>70.572000001555665</v>
      </c>
      <c r="E200" s="299" t="str">
        <f>CONCATENATE("(",ROUND((D200/$H200)*100,1),")")</f>
        <v>(41.4)</v>
      </c>
      <c r="F200" s="302">
        <f>SUM(F198:F199)</f>
        <v>11.370999999997522</v>
      </c>
      <c r="G200" s="299" t="str">
        <f>CONCATENATE("(",ROUND((F200/$H200)*100,1),")")</f>
        <v>(6.7)</v>
      </c>
      <c r="H200" s="302">
        <f>SUM(H198:H199)</f>
        <v>170.47000000101684</v>
      </c>
      <c r="I200" s="299" t="str">
        <f>CONCATENATE("(",ROUND((H200/$H200)*100,1),")")</f>
        <v>(100)</v>
      </c>
      <c r="K200" s="302">
        <f t="shared" si="157"/>
        <v>1.3240000016935056</v>
      </c>
      <c r="L200" s="302">
        <f t="shared" si="158"/>
        <v>-2.5489999967008714</v>
      </c>
      <c r="M200" s="302">
        <f t="shared" si="159"/>
        <v>0.14300000004830515</v>
      </c>
      <c r="N200" s="302">
        <f t="shared" si="160"/>
        <v>-1.0819999949590606</v>
      </c>
    </row>
    <row r="201" spans="1:14" x14ac:dyDescent="0.2">
      <c r="B201" s="302"/>
      <c r="C201" s="284"/>
      <c r="D201" s="302"/>
      <c r="E201" s="284"/>
      <c r="F201" s="302"/>
      <c r="G201" s="284"/>
      <c r="H201" s="302"/>
      <c r="I201" s="284"/>
    </row>
    <row r="202" spans="1:14" x14ac:dyDescent="0.2">
      <c r="A202" s="292">
        <f>$A$13</f>
        <v>2025</v>
      </c>
      <c r="B202" s="302"/>
      <c r="C202" s="284"/>
      <c r="D202" s="302"/>
      <c r="E202" s="284"/>
      <c r="F202" s="302"/>
      <c r="G202" s="284"/>
      <c r="H202" s="302"/>
      <c r="I202" s="284"/>
      <c r="K202" s="286" t="str">
        <f>CONCATENATE(A202," - ",A207)</f>
        <v>2025 - 2035</v>
      </c>
    </row>
    <row r="203" spans="1:14" x14ac:dyDescent="0.2">
      <c r="A203" s="282" t="s">
        <v>355</v>
      </c>
      <c r="B203" s="302">
        <f>'Ind T6'!Q240</f>
        <v>58.207999999517725</v>
      </c>
      <c r="C203" s="299" t="str">
        <f>CONCATENATE("(",ROUND((B203/$H205)*100,1),")")</f>
        <v>(34.4)</v>
      </c>
      <c r="D203" s="302">
        <f>'Ind T6'!R240</f>
        <v>21.401999999800868</v>
      </c>
      <c r="E203" s="299" t="str">
        <f>CONCATENATE("(",ROUND((D203/$H205)*100,1),")")</f>
        <v>(12.6)</v>
      </c>
      <c r="F203" s="302">
        <f>'Ind T6'!S240</f>
        <v>7.6050000000338578</v>
      </c>
      <c r="G203" s="299" t="str">
        <f>CONCATENATE("(",ROUND((F203/$H205)*100,1),")")</f>
        <v>(4.5)</v>
      </c>
      <c r="H203" s="302">
        <f>SUM(B203,D203,F203)</f>
        <v>87.214999999352443</v>
      </c>
      <c r="I203" s="299" t="str">
        <f>CONCATENATE("(",ROUND((H203/$H205)*100,1),")")</f>
        <v>(51.5)</v>
      </c>
      <c r="K203" s="302">
        <f>B208-B203</f>
        <v>1.8399999999638723</v>
      </c>
      <c r="L203" s="302">
        <f>D208-D203</f>
        <v>7.6000000093063846E-2</v>
      </c>
      <c r="M203" s="302">
        <f>F208-F203</f>
        <v>0.18799999999700834</v>
      </c>
      <c r="N203" s="302">
        <f>SUM(K203:M203)</f>
        <v>2.1040000000539445</v>
      </c>
    </row>
    <row r="204" spans="1:14" x14ac:dyDescent="0.2">
      <c r="A204" s="282" t="s">
        <v>356</v>
      </c>
      <c r="B204" s="302">
        <f>'Ind T6'!Q239</f>
        <v>31.643000001639447</v>
      </c>
      <c r="C204" s="299" t="str">
        <f>CONCATENATE("(",ROUND((B204/$H205)*100,1),")")</f>
        <v>(18.7)</v>
      </c>
      <c r="D204" s="302">
        <f>'Ind T6'!R239</f>
        <v>46.621000005053929</v>
      </c>
      <c r="E204" s="299" t="str">
        <f>CONCATENATE("(",ROUND((D204/$H205)*100,1),")")</f>
        <v>(27.5)</v>
      </c>
      <c r="F204" s="302">
        <f>'Ind T6'!S239</f>
        <v>3.9090000000119693</v>
      </c>
      <c r="G204" s="299" t="str">
        <f>CONCATENATE("(",ROUND((F204/$H205)*100,1),")")</f>
        <v>(2.3)</v>
      </c>
      <c r="H204" s="302">
        <f t="shared" ref="H204" si="161">SUM(B204,D204,F204)</f>
        <v>82.173000006705351</v>
      </c>
      <c r="I204" s="299" t="str">
        <f>CONCATENATE("(",ROUND((H204/$H205)*100,1),")")</f>
        <v>(48.5)</v>
      </c>
      <c r="K204" s="302">
        <f t="shared" ref="K204:K205" si="162">B209-B204</f>
        <v>2.1039999981094049</v>
      </c>
      <c r="L204" s="302">
        <f t="shared" ref="L204:L205" si="163">D209-D204</f>
        <v>-3.4350000054498366</v>
      </c>
      <c r="M204" s="302">
        <f t="shared" ref="M204:M205" si="164">F209-F204</f>
        <v>0.27600000031243921</v>
      </c>
      <c r="N204" s="302">
        <f t="shared" ref="N204:N205" si="165">SUM(K204:M204)</f>
        <v>-1.0550000070279926</v>
      </c>
    </row>
    <row r="205" spans="1:14" x14ac:dyDescent="0.2">
      <c r="A205" s="282" t="s">
        <v>354</v>
      </c>
      <c r="B205" s="302">
        <f>SUM(B203:B204)</f>
        <v>89.851000001157175</v>
      </c>
      <c r="C205" s="299" t="str">
        <f>CONCATENATE("(",ROUND((B205/$H205)*100,1),")")</f>
        <v>(53)</v>
      </c>
      <c r="D205" s="302">
        <f>SUM(D203:D204)</f>
        <v>68.023000004854794</v>
      </c>
      <c r="E205" s="299" t="str">
        <f>CONCATENATE("(",ROUND((D205/$H205)*100,1),")")</f>
        <v>(40.2)</v>
      </c>
      <c r="F205" s="302">
        <f>SUM(F203:F204)</f>
        <v>11.514000000045828</v>
      </c>
      <c r="G205" s="299" t="str">
        <f>CONCATENATE("(",ROUND((F205/$H205)*100,1),")")</f>
        <v>(6.8)</v>
      </c>
      <c r="H205" s="302">
        <f>SUM(H203:H204)</f>
        <v>169.38800000605778</v>
      </c>
      <c r="I205" s="299" t="str">
        <f>CONCATENATE("(",ROUND((H205/$H205)*100,1),")")</f>
        <v>(100)</v>
      </c>
      <c r="K205" s="302">
        <f t="shared" si="162"/>
        <v>3.9439999980732665</v>
      </c>
      <c r="L205" s="302">
        <f t="shared" si="163"/>
        <v>-3.3590000053567621</v>
      </c>
      <c r="M205" s="302">
        <f t="shared" si="164"/>
        <v>0.4640000003094471</v>
      </c>
      <c r="N205" s="302">
        <f t="shared" si="165"/>
        <v>1.0489999930259515</v>
      </c>
    </row>
    <row r="206" spans="1:14" x14ac:dyDescent="0.2">
      <c r="B206" s="302"/>
      <c r="C206" s="284"/>
      <c r="D206" s="302"/>
      <c r="E206" s="284"/>
      <c r="F206" s="302"/>
      <c r="G206" s="284"/>
      <c r="H206" s="302"/>
      <c r="I206" s="284"/>
    </row>
    <row r="207" spans="1:14" x14ac:dyDescent="0.2">
      <c r="A207" s="292">
        <f>$A$18</f>
        <v>2035</v>
      </c>
      <c r="B207" s="302"/>
      <c r="C207" s="284"/>
      <c r="D207" s="302"/>
      <c r="E207" s="284"/>
      <c r="F207" s="302"/>
      <c r="G207" s="284"/>
      <c r="H207" s="302"/>
      <c r="I207" s="284"/>
      <c r="K207" s="286" t="str">
        <f>CONCATENATE(A197," - ",A207)</f>
        <v>2020 - 2035</v>
      </c>
    </row>
    <row r="208" spans="1:14" x14ac:dyDescent="0.2">
      <c r="A208" s="282" t="s">
        <v>355</v>
      </c>
      <c r="B208" s="302">
        <f>'Ind T6'!V240</f>
        <v>60.047999999481597</v>
      </c>
      <c r="C208" s="299" t="str">
        <f>CONCATENATE("(",ROUND((B208/$H210)*100,1),")")</f>
        <v>(35.2)</v>
      </c>
      <c r="D208" s="302">
        <f>'Ind T6'!W240</f>
        <v>21.477999999893932</v>
      </c>
      <c r="E208" s="299" t="str">
        <f>CONCATENATE("(",ROUND((D208/$H210)*100,1),")")</f>
        <v>(12.6)</v>
      </c>
      <c r="F208" s="302">
        <f>'Ind T6'!X240</f>
        <v>7.7930000000308661</v>
      </c>
      <c r="G208" s="299" t="str">
        <f>CONCATENATE("(",ROUND((F208/$H210)*100,1),")")</f>
        <v>(4.6)</v>
      </c>
      <c r="H208" s="302">
        <f>SUM(B208,D208,F208)</f>
        <v>89.318999999406401</v>
      </c>
      <c r="I208" s="299" t="str">
        <f>CONCATENATE("(",ROUND((H208/$H210)*100,1),")")</f>
        <v>(52.4)</v>
      </c>
      <c r="K208" s="302">
        <f>B208-B198</f>
        <v>2.4439999993991464</v>
      </c>
      <c r="L208" s="302">
        <f>D208-D198</f>
        <v>-0.1360000000436159</v>
      </c>
      <c r="M208" s="302">
        <f>F208-F198</f>
        <v>0.23999999996772114</v>
      </c>
      <c r="N208" s="302">
        <f>SUM(K208:M208)</f>
        <v>2.5479999993232516</v>
      </c>
    </row>
    <row r="209" spans="1:14" x14ac:dyDescent="0.2">
      <c r="A209" s="282" t="s">
        <v>356</v>
      </c>
      <c r="B209" s="302">
        <f>'Ind T6'!V239</f>
        <v>33.746999999748851</v>
      </c>
      <c r="C209" s="299" t="str">
        <f>CONCATENATE("(",ROUND((B209/$H210)*100,1),")")</f>
        <v>(19.8)</v>
      </c>
      <c r="D209" s="302">
        <f>'Ind T6'!W239</f>
        <v>43.185999999604093</v>
      </c>
      <c r="E209" s="299" t="str">
        <f>CONCATENATE("(",ROUND((D209/$H210)*100,1),")")</f>
        <v>(25.3)</v>
      </c>
      <c r="F209" s="302">
        <f>'Ind T6'!X239</f>
        <v>4.1850000003244086</v>
      </c>
      <c r="G209" s="299" t="str">
        <f>CONCATENATE("(",ROUND((F209/$H210)*100,1),")")</f>
        <v>(2.5)</v>
      </c>
      <c r="H209" s="302">
        <f t="shared" ref="H209" si="166">SUM(B209,D209,F209)</f>
        <v>81.117999999677352</v>
      </c>
      <c r="I209" s="299" t="str">
        <f>CONCATENATE("(",ROUND((H209/$H210)*100,1),")")</f>
        <v>(47.6)</v>
      </c>
      <c r="K209" s="302">
        <f t="shared" ref="K209:K210" si="167">B209-B199</f>
        <v>2.82400000036764</v>
      </c>
      <c r="L209" s="302">
        <f t="shared" ref="L209:L210" si="168">D209-D199</f>
        <v>-5.7720000020140247</v>
      </c>
      <c r="M209" s="302">
        <f t="shared" ref="M209:M210" si="169">F209-F199</f>
        <v>0.36700000039003156</v>
      </c>
      <c r="N209" s="302">
        <f t="shared" ref="N209:N210" si="170">SUM(K209:M209)</f>
        <v>-2.5810000012563532</v>
      </c>
    </row>
    <row r="210" spans="1:14" x14ac:dyDescent="0.2">
      <c r="A210" s="282" t="s">
        <v>354</v>
      </c>
      <c r="B210" s="302">
        <f>SUM(B208:B209)</f>
        <v>93.794999999230441</v>
      </c>
      <c r="C210" s="299" t="str">
        <f>CONCATENATE("(",ROUND((B210/$H210)*100,1),")")</f>
        <v>(55)</v>
      </c>
      <c r="D210" s="302">
        <f>SUM(D208:D209)</f>
        <v>64.663999999498031</v>
      </c>
      <c r="E210" s="299" t="str">
        <f>CONCATENATE("(",ROUND((D210/$H210)*100,1),")")</f>
        <v>(37.9)</v>
      </c>
      <c r="F210" s="302">
        <f>SUM(F208:F209)</f>
        <v>11.978000000355275</v>
      </c>
      <c r="G210" s="299" t="str">
        <f>CONCATENATE("(",ROUND((F210/$H210)*100,1),")")</f>
        <v>(7)</v>
      </c>
      <c r="H210" s="302">
        <f>SUM(H208:H209)</f>
        <v>170.43699999908375</v>
      </c>
      <c r="I210" s="299" t="str">
        <f>CONCATENATE("(",ROUND((H210/$H210)*100,1),")")</f>
        <v>(100)</v>
      </c>
      <c r="K210" s="302">
        <f t="shared" si="167"/>
        <v>5.2679999997667721</v>
      </c>
      <c r="L210" s="302">
        <f t="shared" si="168"/>
        <v>-5.9080000020576335</v>
      </c>
      <c r="M210" s="302">
        <f t="shared" si="169"/>
        <v>0.60700000035775226</v>
      </c>
      <c r="N210" s="302">
        <f t="shared" si="170"/>
        <v>-3.3000001933109147E-2</v>
      </c>
    </row>
    <row r="211" spans="1:14" x14ac:dyDescent="0.2">
      <c r="A211" s="293"/>
      <c r="B211" s="294"/>
      <c r="C211" s="293"/>
      <c r="D211" s="294"/>
      <c r="E211" s="293"/>
      <c r="F211" s="294"/>
      <c r="G211" s="293"/>
      <c r="H211" s="294"/>
      <c r="I211" s="293"/>
      <c r="J211" s="293"/>
      <c r="K211" s="294"/>
      <c r="L211" s="294"/>
      <c r="M211" s="294"/>
      <c r="N211" s="294"/>
    </row>
    <row r="215" spans="1:14" x14ac:dyDescent="0.2">
      <c r="A215" s="288"/>
      <c r="B215" s="289" t="s">
        <v>379</v>
      </c>
      <c r="C215" s="288"/>
      <c r="D215" s="289"/>
      <c r="E215" s="288"/>
      <c r="F215" s="289" t="str">
        <f>name!B13</f>
        <v>Transport and storage</v>
      </c>
      <c r="G215" s="288"/>
      <c r="H215" s="291"/>
      <c r="I215" s="288"/>
      <c r="J215" s="290"/>
      <c r="K215" s="291"/>
      <c r="L215" s="291"/>
      <c r="M215" s="291"/>
      <c r="N215" s="291"/>
    </row>
    <row r="216" spans="1:14" x14ac:dyDescent="0.2">
      <c r="N216" s="287" t="s">
        <v>377</v>
      </c>
    </row>
    <row r="217" spans="1:14" x14ac:dyDescent="0.2">
      <c r="A217" s="181" t="s">
        <v>378</v>
      </c>
      <c r="B217" s="369" t="s">
        <v>376</v>
      </c>
      <c r="C217" s="369"/>
      <c r="D217" s="369" t="s">
        <v>375</v>
      </c>
      <c r="E217" s="369"/>
      <c r="F217" s="369" t="s">
        <v>374</v>
      </c>
      <c r="G217" s="369"/>
      <c r="H217" s="369" t="s">
        <v>32</v>
      </c>
      <c r="I217" s="369"/>
      <c r="J217" s="181"/>
      <c r="K217" s="297" t="s">
        <v>339</v>
      </c>
      <c r="L217" s="297" t="s">
        <v>341</v>
      </c>
      <c r="M217" s="297" t="s">
        <v>337</v>
      </c>
      <c r="N217" s="297" t="s">
        <v>32</v>
      </c>
    </row>
    <row r="218" spans="1:14" x14ac:dyDescent="0.2">
      <c r="A218" s="292">
        <f>$A$8</f>
        <v>2020</v>
      </c>
      <c r="B218" s="287" t="s">
        <v>60</v>
      </c>
      <c r="C218" s="19" t="s">
        <v>373</v>
      </c>
      <c r="D218" s="287" t="s">
        <v>60</v>
      </c>
      <c r="E218" s="19" t="s">
        <v>373</v>
      </c>
      <c r="F218" s="287" t="s">
        <v>60</v>
      </c>
      <c r="G218" s="19" t="s">
        <v>373</v>
      </c>
      <c r="H218" s="287" t="s">
        <v>60</v>
      </c>
      <c r="I218" s="19" t="s">
        <v>373</v>
      </c>
      <c r="J218" s="181"/>
      <c r="K218" s="286" t="str">
        <f>CONCATENATE(A218," - ",A223)</f>
        <v>2020 - 2025</v>
      </c>
      <c r="L218" s="285"/>
      <c r="M218" s="285"/>
    </row>
    <row r="219" spans="1:14" x14ac:dyDescent="0.2">
      <c r="A219" s="282" t="s">
        <v>355</v>
      </c>
      <c r="B219" s="302">
        <f>'Ind T6'!L275</f>
        <v>32.818000000049437</v>
      </c>
      <c r="C219" s="299" t="str">
        <f>CONCATENATE("(",ROUND((B219/$H221)*100,1),")")</f>
        <v>(53.7)</v>
      </c>
      <c r="D219" s="302">
        <f>'Ind T6'!M275</f>
        <v>4.6590000000080547</v>
      </c>
      <c r="E219" s="299" t="str">
        <f>CONCATENATE("(",ROUND((D219/$H221)*100,1),")")</f>
        <v>(7.6)</v>
      </c>
      <c r="F219" s="302">
        <f>'Ind T6'!N275</f>
        <v>8.1020000002003982</v>
      </c>
      <c r="G219" s="299" t="str">
        <f>CONCATENATE("(",ROUND((F219/$H221)*100,1),")")</f>
        <v>(13.3)</v>
      </c>
      <c r="H219" s="302">
        <f>SUM(B219,D219,F219)</f>
        <v>45.579000000257892</v>
      </c>
      <c r="I219" s="299" t="str">
        <f>CONCATENATE("(",ROUND((H219/$H221)*100,1),")")</f>
        <v>(74.6)</v>
      </c>
      <c r="K219" s="302">
        <f>B224-B219</f>
        <v>0.69899999962052561</v>
      </c>
      <c r="L219" s="302">
        <f>D224-D219</f>
        <v>0.137999999934177</v>
      </c>
      <c r="M219" s="302">
        <f>F224-F219</f>
        <v>0.4440000003264597</v>
      </c>
      <c r="N219" s="302">
        <f>SUM(K219:M219)</f>
        <v>1.2809999998811623</v>
      </c>
    </row>
    <row r="220" spans="1:14" x14ac:dyDescent="0.2">
      <c r="A220" s="282" t="s">
        <v>356</v>
      </c>
      <c r="B220" s="302">
        <f>'Ind T6'!L274</f>
        <v>7.2979999999035883</v>
      </c>
      <c r="C220" s="299" t="str">
        <f>CONCATENATE("(",ROUND((B220/$H221)*100,1),")")</f>
        <v>(11.9)</v>
      </c>
      <c r="D220" s="302">
        <f>'Ind T6'!M274</f>
        <v>4.9450000000053933</v>
      </c>
      <c r="E220" s="299" t="str">
        <f>CONCATENATE("(",ROUND((D220/$H221)*100,1),")")</f>
        <v>(8.1)</v>
      </c>
      <c r="F220" s="302">
        <f>'Ind T6'!N274</f>
        <v>3.2709999999353556</v>
      </c>
      <c r="G220" s="299" t="str">
        <f>CONCATENATE("(",ROUND((F220/$H221)*100,1),")")</f>
        <v>(5.4)</v>
      </c>
      <c r="H220" s="302">
        <f t="shared" ref="H220" si="171">SUM(B220,D220,F220)</f>
        <v>15.513999999844337</v>
      </c>
      <c r="I220" s="299" t="str">
        <f>CONCATENATE("(",ROUND((H220/$H221)*100,1),")")</f>
        <v>(25.4)</v>
      </c>
      <c r="K220" s="302">
        <f t="shared" ref="K220:K221" si="172">B225-B220</f>
        <v>0.54100000038237361</v>
      </c>
      <c r="L220" s="302">
        <f t="shared" ref="L220:L221" si="173">D225-D220</f>
        <v>0.42600000026980567</v>
      </c>
      <c r="M220" s="302">
        <f t="shared" ref="M220:M221" si="174">F225-F220</f>
        <v>0.10500000015069277</v>
      </c>
      <c r="N220" s="302">
        <f t="shared" ref="N220:N221" si="175">SUM(K220:M220)</f>
        <v>1.0720000008028721</v>
      </c>
    </row>
    <row r="221" spans="1:14" x14ac:dyDescent="0.2">
      <c r="A221" s="282" t="s">
        <v>354</v>
      </c>
      <c r="B221" s="302">
        <f>SUM(B219:B220)</f>
        <v>40.115999999953026</v>
      </c>
      <c r="C221" s="299" t="str">
        <f>CONCATENATE("(",ROUND((B221/$H221)*100,1),")")</f>
        <v>(65.7)</v>
      </c>
      <c r="D221" s="302">
        <f>SUM(D219:D220)</f>
        <v>9.604000000013448</v>
      </c>
      <c r="E221" s="299" t="str">
        <f>CONCATENATE("(",ROUND((D221/$H221)*100,1),")")</f>
        <v>(15.7)</v>
      </c>
      <c r="F221" s="302">
        <f>SUM(F219:F220)</f>
        <v>11.373000000135754</v>
      </c>
      <c r="G221" s="299" t="str">
        <f>CONCATENATE("(",ROUND((F221/$H221)*100,1),")")</f>
        <v>(18.6)</v>
      </c>
      <c r="H221" s="302">
        <f>SUM(H219:H220)</f>
        <v>61.093000000102229</v>
      </c>
      <c r="I221" s="299" t="str">
        <f>CONCATENATE("(",ROUND((H221/$H221)*100,1),")")</f>
        <v>(100)</v>
      </c>
      <c r="K221" s="302">
        <f t="shared" si="172"/>
        <v>1.240000000002901</v>
      </c>
      <c r="L221" s="302">
        <f t="shared" si="173"/>
        <v>0.56400000020398267</v>
      </c>
      <c r="M221" s="302">
        <f t="shared" si="174"/>
        <v>0.54900000047715203</v>
      </c>
      <c r="N221" s="302">
        <f t="shared" si="175"/>
        <v>2.3530000006840357</v>
      </c>
    </row>
    <row r="222" spans="1:14" x14ac:dyDescent="0.2">
      <c r="B222" s="302"/>
      <c r="C222" s="284"/>
      <c r="D222" s="302"/>
      <c r="E222" s="284"/>
      <c r="F222" s="302"/>
      <c r="G222" s="284"/>
      <c r="H222" s="302"/>
      <c r="I222" s="284"/>
    </row>
    <row r="223" spans="1:14" x14ac:dyDescent="0.2">
      <c r="A223" s="292">
        <f>$A$13</f>
        <v>2025</v>
      </c>
      <c r="B223" s="302"/>
      <c r="C223" s="284"/>
      <c r="D223" s="302"/>
      <c r="E223" s="284"/>
      <c r="F223" s="302"/>
      <c r="G223" s="284"/>
      <c r="H223" s="302"/>
      <c r="I223" s="284"/>
      <c r="K223" s="286" t="str">
        <f>CONCATENATE(A223," - ",A228)</f>
        <v>2025 - 2035</v>
      </c>
    </row>
    <row r="224" spans="1:14" x14ac:dyDescent="0.2">
      <c r="A224" s="282" t="s">
        <v>355</v>
      </c>
      <c r="B224" s="302">
        <f>'Ind T6'!Q275</f>
        <v>33.516999999669963</v>
      </c>
      <c r="C224" s="299" t="str">
        <f>CONCATENATE("(",ROUND((B224/$H226)*100,1),")")</f>
        <v>(52.8)</v>
      </c>
      <c r="D224" s="302">
        <f>'Ind T6'!R275</f>
        <v>4.7969999999422317</v>
      </c>
      <c r="E224" s="299" t="str">
        <f>CONCATENATE("(",ROUND((D224/$H226)*100,1),")")</f>
        <v>(7.6)</v>
      </c>
      <c r="F224" s="302">
        <f>'Ind T6'!S275</f>
        <v>8.5460000005268579</v>
      </c>
      <c r="G224" s="299" t="str">
        <f>CONCATENATE("(",ROUND((F224/$H226)*100,1),")")</f>
        <v>(13.5)</v>
      </c>
      <c r="H224" s="302">
        <f>SUM(B224,D224,F224)</f>
        <v>46.860000000139053</v>
      </c>
      <c r="I224" s="299" t="str">
        <f>CONCATENATE("(",ROUND((H224/$H226)*100,1),")")</f>
        <v>(73.9)</v>
      </c>
      <c r="K224" s="302">
        <f>B229-B224</f>
        <v>-1.0530000000169437</v>
      </c>
      <c r="L224" s="302">
        <f>D229-D224</f>
        <v>0.13200000000837431</v>
      </c>
      <c r="M224" s="302">
        <f>F229-F224</f>
        <v>0.44799999988827643</v>
      </c>
      <c r="N224" s="302">
        <f>SUM(K224:M224)</f>
        <v>-0.47300000012029297</v>
      </c>
    </row>
    <row r="225" spans="1:14" x14ac:dyDescent="0.2">
      <c r="A225" s="282" t="s">
        <v>356</v>
      </c>
      <c r="B225" s="302">
        <f>'Ind T6'!Q274</f>
        <v>7.8390000002859619</v>
      </c>
      <c r="C225" s="299" t="str">
        <f>CONCATENATE("(",ROUND((B225/$H226)*100,1),")")</f>
        <v>(12.4)</v>
      </c>
      <c r="D225" s="302">
        <f>'Ind T6'!R274</f>
        <v>5.371000000275199</v>
      </c>
      <c r="E225" s="299" t="str">
        <f>CONCATENATE("(",ROUND((D225/$H226)*100,1),")")</f>
        <v>(8.5)</v>
      </c>
      <c r="F225" s="302">
        <f>'Ind T6'!S274</f>
        <v>3.3760000000860484</v>
      </c>
      <c r="G225" s="299" t="str">
        <f>CONCATENATE("(",ROUND((F225/$H226)*100,1),")")</f>
        <v>(5.3)</v>
      </c>
      <c r="H225" s="302">
        <f t="shared" ref="H225" si="176">SUM(B225,D225,F225)</f>
        <v>16.586000000647211</v>
      </c>
      <c r="I225" s="299" t="str">
        <f>CONCATENATE("(",ROUND((H225/$H226)*100,1),")")</f>
        <v>(26.1)</v>
      </c>
      <c r="K225" s="302">
        <f t="shared" ref="K225:K226" si="177">B230-B225</f>
        <v>0.339999999687981</v>
      </c>
      <c r="L225" s="302">
        <f t="shared" ref="L225:L226" si="178">D230-D225</f>
        <v>0.43099999969384317</v>
      </c>
      <c r="M225" s="302">
        <f t="shared" ref="M225:M226" si="179">F230-F225</f>
        <v>-5.0000000324388338E-3</v>
      </c>
      <c r="N225" s="302">
        <f t="shared" ref="N225:N226" si="180">SUM(K225:M225)</f>
        <v>0.76599999934938534</v>
      </c>
    </row>
    <row r="226" spans="1:14" x14ac:dyDescent="0.2">
      <c r="A226" s="282" t="s">
        <v>354</v>
      </c>
      <c r="B226" s="302">
        <f>SUM(B224:B225)</f>
        <v>41.355999999955927</v>
      </c>
      <c r="C226" s="299" t="str">
        <f>CONCATENATE("(",ROUND((B226/$H226)*100,1),")")</f>
        <v>(65.2)</v>
      </c>
      <c r="D226" s="302">
        <f>SUM(D224:D225)</f>
        <v>10.168000000217431</v>
      </c>
      <c r="E226" s="299" t="str">
        <f>CONCATENATE("(",ROUND((D226/$H226)*100,1),")")</f>
        <v>(16)</v>
      </c>
      <c r="F226" s="302">
        <f>SUM(F224:F225)</f>
        <v>11.922000000612906</v>
      </c>
      <c r="G226" s="299" t="str">
        <f>CONCATENATE("(",ROUND((F226/$H226)*100,1),")")</f>
        <v>(18.8)</v>
      </c>
      <c r="H226" s="302">
        <f>SUM(H224:H225)</f>
        <v>63.446000000786263</v>
      </c>
      <c r="I226" s="299" t="str">
        <f>CONCATENATE("(",ROUND((H226/$H226)*100,1),")")</f>
        <v>(100)</v>
      </c>
      <c r="K226" s="302">
        <f t="shared" si="177"/>
        <v>-0.71300000032896094</v>
      </c>
      <c r="L226" s="302">
        <f t="shared" si="178"/>
        <v>0.56299999970221748</v>
      </c>
      <c r="M226" s="302">
        <f t="shared" si="179"/>
        <v>0.4429999998558376</v>
      </c>
      <c r="N226" s="302">
        <f t="shared" si="180"/>
        <v>0.29299999922909414</v>
      </c>
    </row>
    <row r="227" spans="1:14" x14ac:dyDescent="0.2">
      <c r="B227" s="302"/>
      <c r="C227" s="284"/>
      <c r="D227" s="302"/>
      <c r="E227" s="284"/>
      <c r="F227" s="302"/>
      <c r="G227" s="284"/>
      <c r="H227" s="302"/>
      <c r="I227" s="284"/>
    </row>
    <row r="228" spans="1:14" x14ac:dyDescent="0.2">
      <c r="A228" s="292">
        <f>$A$18</f>
        <v>2035</v>
      </c>
      <c r="B228" s="302"/>
      <c r="C228" s="284"/>
      <c r="D228" s="302"/>
      <c r="E228" s="284"/>
      <c r="F228" s="302"/>
      <c r="G228" s="284"/>
      <c r="H228" s="302"/>
      <c r="I228" s="284"/>
      <c r="K228" s="286" t="str">
        <f>CONCATENATE(A218," - ",A228)</f>
        <v>2020 - 2035</v>
      </c>
    </row>
    <row r="229" spans="1:14" x14ac:dyDescent="0.2">
      <c r="A229" s="282" t="s">
        <v>355</v>
      </c>
      <c r="B229" s="302">
        <f>'Ind T6'!V275</f>
        <v>32.463999999653019</v>
      </c>
      <c r="C229" s="299" t="str">
        <f>CONCATENATE("(",ROUND((B229/$H231)*100,1),")")</f>
        <v>(50.9)</v>
      </c>
      <c r="D229" s="302">
        <f>'Ind T6'!W275</f>
        <v>4.928999999950606</v>
      </c>
      <c r="E229" s="299" t="str">
        <f>CONCATENATE("(",ROUND((D229/$H231)*100,1),")")</f>
        <v>(7.7)</v>
      </c>
      <c r="F229" s="302">
        <f>'Ind T6'!X275</f>
        <v>8.9940000004151344</v>
      </c>
      <c r="G229" s="299" t="str">
        <f>CONCATENATE("(",ROUND((F229/$H231)*100,1),")")</f>
        <v>(14.1)</v>
      </c>
      <c r="H229" s="302">
        <f>SUM(B229,D229,F229)</f>
        <v>46.387000000018759</v>
      </c>
      <c r="I229" s="299" t="str">
        <f>CONCATENATE("(",ROUND((H229/$H231)*100,1),")")</f>
        <v>(72.8)</v>
      </c>
      <c r="K229" s="302">
        <f>B229-B219</f>
        <v>-0.3540000003964181</v>
      </c>
      <c r="L229" s="302">
        <f>D229-D219</f>
        <v>0.26999999994255131</v>
      </c>
      <c r="M229" s="302">
        <f>F229-F219</f>
        <v>0.89200000021473613</v>
      </c>
      <c r="N229" s="302">
        <f>SUM(K229:M229)</f>
        <v>0.80799999976086934</v>
      </c>
    </row>
    <row r="230" spans="1:14" x14ac:dyDescent="0.2">
      <c r="A230" s="282" t="s">
        <v>356</v>
      </c>
      <c r="B230" s="302">
        <f>'Ind T6'!V274</f>
        <v>8.1789999999739429</v>
      </c>
      <c r="C230" s="299" t="str">
        <f>CONCATENATE("(",ROUND((B230/$H231)*100,1),")")</f>
        <v>(12.8)</v>
      </c>
      <c r="D230" s="302">
        <f>'Ind T6'!W274</f>
        <v>5.8019999999690421</v>
      </c>
      <c r="E230" s="299" t="str">
        <f>CONCATENATE("(",ROUND((D230/$H231)*100,1),")")</f>
        <v>(9.1)</v>
      </c>
      <c r="F230" s="302">
        <f>'Ind T6'!X274</f>
        <v>3.3710000000536096</v>
      </c>
      <c r="G230" s="299" t="str">
        <f>CONCATENATE("(",ROUND((F230/$H231)*100,1),")")</f>
        <v>(5.3)</v>
      </c>
      <c r="H230" s="302">
        <f t="shared" ref="H230" si="181">SUM(B230,D230,F230)</f>
        <v>17.351999999996593</v>
      </c>
      <c r="I230" s="299" t="str">
        <f>CONCATENATE("(",ROUND((H230/$H231)*100,1),")")</f>
        <v>(27.2)</v>
      </c>
      <c r="K230" s="302">
        <f t="shared" ref="K230:K231" si="182">B230-B220</f>
        <v>0.88100000007035462</v>
      </c>
      <c r="L230" s="302">
        <f t="shared" ref="L230:L231" si="183">D230-D220</f>
        <v>0.85699999996364884</v>
      </c>
      <c r="M230" s="302">
        <f t="shared" ref="M230:M231" si="184">F230-F220</f>
        <v>0.10000000011825394</v>
      </c>
      <c r="N230" s="302">
        <f t="shared" ref="N230:N231" si="185">SUM(K230:M230)</f>
        <v>1.8380000001522574</v>
      </c>
    </row>
    <row r="231" spans="1:14" x14ac:dyDescent="0.2">
      <c r="A231" s="282" t="s">
        <v>354</v>
      </c>
      <c r="B231" s="302">
        <f>SUM(B229:B230)</f>
        <v>40.642999999626966</v>
      </c>
      <c r="C231" s="299" t="str">
        <f>CONCATENATE("(",ROUND((B231/$H231)*100,1),")")</f>
        <v>(63.8)</v>
      </c>
      <c r="D231" s="302">
        <f>SUM(D229:D230)</f>
        <v>10.730999999919648</v>
      </c>
      <c r="E231" s="299" t="str">
        <f>CONCATENATE("(",ROUND((D231/$H231)*100,1),")")</f>
        <v>(16.8)</v>
      </c>
      <c r="F231" s="302">
        <f>SUM(F229:F230)</f>
        <v>12.365000000468743</v>
      </c>
      <c r="G231" s="299" t="str">
        <f>CONCATENATE("(",ROUND((F231/$H231)*100,1),")")</f>
        <v>(19.4)</v>
      </c>
      <c r="H231" s="302">
        <f>SUM(H229:H230)</f>
        <v>63.739000000015352</v>
      </c>
      <c r="I231" s="299" t="str">
        <f>CONCATENATE("(",ROUND((H231/$H231)*100,1),")")</f>
        <v>(100)</v>
      </c>
      <c r="K231" s="302">
        <f t="shared" si="182"/>
        <v>0.52699999967394007</v>
      </c>
      <c r="L231" s="302">
        <f t="shared" si="183"/>
        <v>1.1269999999062001</v>
      </c>
      <c r="M231" s="302">
        <f t="shared" si="184"/>
        <v>0.99200000033298963</v>
      </c>
      <c r="N231" s="302">
        <f t="shared" si="185"/>
        <v>2.6459999999131298</v>
      </c>
    </row>
    <row r="232" spans="1:14" x14ac:dyDescent="0.2">
      <c r="A232" s="293"/>
      <c r="B232" s="294"/>
      <c r="C232" s="293"/>
      <c r="D232" s="294"/>
      <c r="E232" s="293"/>
      <c r="F232" s="294"/>
      <c r="G232" s="293"/>
      <c r="H232" s="294"/>
      <c r="I232" s="293"/>
      <c r="J232" s="293"/>
      <c r="K232" s="294"/>
      <c r="L232" s="294"/>
      <c r="M232" s="294"/>
      <c r="N232" s="294"/>
    </row>
    <row r="236" spans="1:14" x14ac:dyDescent="0.2">
      <c r="A236" s="288"/>
      <c r="B236" s="289" t="s">
        <v>379</v>
      </c>
      <c r="C236" s="288"/>
      <c r="D236" s="289"/>
      <c r="E236" s="288"/>
      <c r="F236" s="289" t="str">
        <f>name!B14</f>
        <v>Accommodation and food</v>
      </c>
      <c r="G236" s="288"/>
      <c r="H236" s="291"/>
      <c r="I236" s="288"/>
      <c r="J236" s="290"/>
      <c r="K236" s="291"/>
      <c r="L236" s="291"/>
      <c r="M236" s="291"/>
      <c r="N236" s="291"/>
    </row>
    <row r="237" spans="1:14" x14ac:dyDescent="0.2">
      <c r="N237" s="287" t="s">
        <v>377</v>
      </c>
    </row>
    <row r="238" spans="1:14" x14ac:dyDescent="0.2">
      <c r="A238" s="181" t="s">
        <v>378</v>
      </c>
      <c r="B238" s="369" t="s">
        <v>376</v>
      </c>
      <c r="C238" s="369"/>
      <c r="D238" s="369" t="s">
        <v>375</v>
      </c>
      <c r="E238" s="369"/>
      <c r="F238" s="369" t="s">
        <v>374</v>
      </c>
      <c r="G238" s="369"/>
      <c r="H238" s="369" t="s">
        <v>32</v>
      </c>
      <c r="I238" s="369"/>
      <c r="J238" s="181"/>
      <c r="K238" s="297" t="s">
        <v>339</v>
      </c>
      <c r="L238" s="297" t="s">
        <v>341</v>
      </c>
      <c r="M238" s="297" t="s">
        <v>337</v>
      </c>
      <c r="N238" s="297" t="s">
        <v>32</v>
      </c>
    </row>
    <row r="239" spans="1:14" x14ac:dyDescent="0.2">
      <c r="A239" s="292">
        <f>$A$8</f>
        <v>2020</v>
      </c>
      <c r="B239" s="287" t="s">
        <v>60</v>
      </c>
      <c r="C239" s="19" t="s">
        <v>373</v>
      </c>
      <c r="D239" s="287" t="s">
        <v>60</v>
      </c>
      <c r="E239" s="19" t="s">
        <v>373</v>
      </c>
      <c r="F239" s="287" t="s">
        <v>60</v>
      </c>
      <c r="G239" s="19" t="s">
        <v>373</v>
      </c>
      <c r="H239" s="287" t="s">
        <v>60</v>
      </c>
      <c r="I239" s="19" t="s">
        <v>373</v>
      </c>
      <c r="J239" s="181"/>
      <c r="K239" s="286" t="str">
        <f>CONCATENATE(A239," - ",A244)</f>
        <v>2020 - 2025</v>
      </c>
      <c r="L239" s="285"/>
      <c r="M239" s="285"/>
    </row>
    <row r="240" spans="1:14" x14ac:dyDescent="0.2">
      <c r="A240" s="282" t="s">
        <v>355</v>
      </c>
      <c r="B240" s="302">
        <f>'Ind T6'!L295</f>
        <v>19.131999999961259</v>
      </c>
      <c r="C240" s="299" t="str">
        <f>CONCATENATE("(",ROUND((B240/$H242)*100,1),")")</f>
        <v>(20.6)</v>
      </c>
      <c r="D240" s="302">
        <f>'Ind T6'!M295</f>
        <v>18.328999999953989</v>
      </c>
      <c r="E240" s="299" t="str">
        <f>CONCATENATE("(",ROUND((D240/$H242)*100,1),")")</f>
        <v>(19.7)</v>
      </c>
      <c r="F240" s="302">
        <f>'Ind T6'!N295</f>
        <v>2.2530000000221446</v>
      </c>
      <c r="G240" s="299" t="str">
        <f>CONCATENATE("(",ROUND((F240/$H242)*100,1),")")</f>
        <v>(2.4)</v>
      </c>
      <c r="H240" s="302">
        <f>SUM(B240,D240,F240)</f>
        <v>39.713999999937393</v>
      </c>
      <c r="I240" s="299" t="str">
        <f>CONCATENATE("(",ROUND((H240/$H242)*100,1),")")</f>
        <v>(42.8)</v>
      </c>
      <c r="K240" s="302">
        <f>B245-B240</f>
        <v>0.65600000004678805</v>
      </c>
      <c r="L240" s="302">
        <f>D245-D240</f>
        <v>0.4969999998985557</v>
      </c>
      <c r="M240" s="302">
        <f>F245-F240</f>
        <v>6.5000000034648231E-2</v>
      </c>
      <c r="N240" s="302">
        <f>SUM(K240:M240)</f>
        <v>1.217999999979992</v>
      </c>
    </row>
    <row r="241" spans="1:14" x14ac:dyDescent="0.2">
      <c r="A241" s="282" t="s">
        <v>356</v>
      </c>
      <c r="B241" s="302">
        <f>'Ind T6'!L294</f>
        <v>18.995999999730714</v>
      </c>
      <c r="C241" s="299" t="str">
        <f>CONCATENATE("(",ROUND((B241/$H242)*100,1),")")</f>
        <v>(20.4)</v>
      </c>
      <c r="D241" s="302">
        <f>'Ind T6'!M294</f>
        <v>30.008000000423756</v>
      </c>
      <c r="E241" s="299" t="str">
        <f>CONCATENATE("(",ROUND((D241/$H242)*100,1),")")</f>
        <v>(32.3)</v>
      </c>
      <c r="F241" s="302">
        <f>'Ind T6'!N294</f>
        <v>4.1739999998778536</v>
      </c>
      <c r="G241" s="299" t="str">
        <f>CONCATENATE("(",ROUND((F241/$H242)*100,1),")")</f>
        <v>(4.5)</v>
      </c>
      <c r="H241" s="302">
        <f t="shared" ref="H241" si="186">SUM(B241,D241,F241)</f>
        <v>53.178000000032327</v>
      </c>
      <c r="I241" s="299" t="str">
        <f>CONCATENATE("(",ROUND((H241/$H242)*100,1),")")</f>
        <v>(57.2)</v>
      </c>
      <c r="K241" s="302">
        <f t="shared" ref="K241:K242" si="187">B246-B241</f>
        <v>0.54600000104278479</v>
      </c>
      <c r="L241" s="302">
        <f t="shared" ref="L241:L242" si="188">D246-D241</f>
        <v>0.77400000179692441</v>
      </c>
      <c r="M241" s="302">
        <f t="shared" ref="M241:M242" si="189">F246-F241</f>
        <v>0.11700000018417533</v>
      </c>
      <c r="N241" s="302">
        <f t="shared" ref="N241:N242" si="190">SUM(K241:M241)</f>
        <v>1.4370000030238845</v>
      </c>
    </row>
    <row r="242" spans="1:14" x14ac:dyDescent="0.2">
      <c r="A242" s="282" t="s">
        <v>354</v>
      </c>
      <c r="B242" s="302">
        <f>SUM(B240:B241)</f>
        <v>38.127999999691973</v>
      </c>
      <c r="C242" s="299" t="str">
        <f>CONCATENATE("(",ROUND((B242/$H242)*100,1),")")</f>
        <v>(41)</v>
      </c>
      <c r="D242" s="302">
        <f>SUM(D240:D241)</f>
        <v>48.337000000377742</v>
      </c>
      <c r="E242" s="299" t="str">
        <f>CONCATENATE("(",ROUND((D242/$H242)*100,1),")")</f>
        <v>(52)</v>
      </c>
      <c r="F242" s="302">
        <f>SUM(F240:F241)</f>
        <v>6.4269999998999978</v>
      </c>
      <c r="G242" s="299" t="str">
        <f>CONCATENATE("(",ROUND((F242/$H242)*100,1),")")</f>
        <v>(6.9)</v>
      </c>
      <c r="H242" s="302">
        <f>SUM(H240:H241)</f>
        <v>92.891999999969727</v>
      </c>
      <c r="I242" s="299" t="str">
        <f>CONCATENATE("(",ROUND((H242/$H242)*100,1),")")</f>
        <v>(100)</v>
      </c>
      <c r="K242" s="302">
        <f t="shared" si="187"/>
        <v>1.2020000010895728</v>
      </c>
      <c r="L242" s="302">
        <f t="shared" si="188"/>
        <v>1.2710000016954837</v>
      </c>
      <c r="M242" s="302">
        <f t="shared" si="189"/>
        <v>0.18200000021882445</v>
      </c>
      <c r="N242" s="302">
        <f t="shared" si="190"/>
        <v>2.6550000030038809</v>
      </c>
    </row>
    <row r="243" spans="1:14" x14ac:dyDescent="0.2">
      <c r="B243" s="302"/>
      <c r="C243" s="284"/>
      <c r="D243" s="302"/>
      <c r="E243" s="284"/>
      <c r="F243" s="302"/>
      <c r="G243" s="284"/>
      <c r="H243" s="302"/>
      <c r="I243" s="284"/>
    </row>
    <row r="244" spans="1:14" x14ac:dyDescent="0.2">
      <c r="A244" s="292">
        <f>$A$13</f>
        <v>2025</v>
      </c>
      <c r="B244" s="302"/>
      <c r="C244" s="284"/>
      <c r="D244" s="302"/>
      <c r="E244" s="284"/>
      <c r="F244" s="302"/>
      <c r="G244" s="284"/>
      <c r="H244" s="302"/>
      <c r="I244" s="284"/>
      <c r="K244" s="286" t="str">
        <f>CONCATENATE(A244," - ",A249)</f>
        <v>2025 - 2035</v>
      </c>
    </row>
    <row r="245" spans="1:14" x14ac:dyDescent="0.2">
      <c r="A245" s="282" t="s">
        <v>355</v>
      </c>
      <c r="B245" s="302">
        <f>'Ind T6'!Q295</f>
        <v>19.788000000008047</v>
      </c>
      <c r="C245" s="299" t="str">
        <f>CONCATENATE("(",ROUND((B245/$H247)*100,1),")")</f>
        <v>(20.7)</v>
      </c>
      <c r="D245" s="302">
        <f>'Ind T6'!R295</f>
        <v>18.825999999852545</v>
      </c>
      <c r="E245" s="299" t="str">
        <f>CONCATENATE("(",ROUND((D245/$H247)*100,1),")")</f>
        <v>(19.7)</v>
      </c>
      <c r="F245" s="302">
        <f>'Ind T6'!S295</f>
        <v>2.3180000000567929</v>
      </c>
      <c r="G245" s="299" t="str">
        <f>CONCATENATE("(",ROUND((F245/$H247)*100,1),")")</f>
        <v>(2.4)</v>
      </c>
      <c r="H245" s="302">
        <f>SUM(B245,D245,F245)</f>
        <v>40.931999999917387</v>
      </c>
      <c r="I245" s="299" t="str">
        <f>CONCATENATE("(",ROUND((H245/$H247)*100,1),")")</f>
        <v>(42.8)</v>
      </c>
      <c r="K245" s="302">
        <f>B250-B245</f>
        <v>3.578000000018303</v>
      </c>
      <c r="L245" s="302">
        <f>D250-D245</f>
        <v>2.8760000001247477</v>
      </c>
      <c r="M245" s="302">
        <f>F250-F245</f>
        <v>0.40500000001193204</v>
      </c>
      <c r="N245" s="302">
        <f>SUM(K245:M245)</f>
        <v>6.8590000001549827</v>
      </c>
    </row>
    <row r="246" spans="1:14" x14ac:dyDescent="0.2">
      <c r="A246" s="282" t="s">
        <v>356</v>
      </c>
      <c r="B246" s="302">
        <f>'Ind T6'!Q294</f>
        <v>19.542000000773498</v>
      </c>
      <c r="C246" s="299" t="str">
        <f>CONCATENATE("(",ROUND((B246/$H247)*100,1),")")</f>
        <v>(20.5)</v>
      </c>
      <c r="D246" s="302">
        <f>'Ind T6'!R294</f>
        <v>30.782000002220681</v>
      </c>
      <c r="E246" s="299" t="str">
        <f>CONCATENATE("(",ROUND((D246/$H247)*100,1),")")</f>
        <v>(32.2)</v>
      </c>
      <c r="F246" s="302">
        <f>'Ind T6'!S294</f>
        <v>4.291000000062029</v>
      </c>
      <c r="G246" s="299" t="str">
        <f>CONCATENATE("(",ROUND((F246/$H247)*100,1),")")</f>
        <v>(4.5)</v>
      </c>
      <c r="H246" s="302">
        <f t="shared" ref="H246" si="191">SUM(B246,D246,F246)</f>
        <v>54.61500000305621</v>
      </c>
      <c r="I246" s="299" t="str">
        <f>CONCATENATE("(",ROUND((H246/$H247)*100,1),")")</f>
        <v>(57.2)</v>
      </c>
      <c r="K246" s="302">
        <f t="shared" ref="K246:K247" si="192">B251-B246</f>
        <v>3.3149999991213406</v>
      </c>
      <c r="L246" s="302">
        <f t="shared" ref="L246:L247" si="193">D251-D246</f>
        <v>4.6679999975487654</v>
      </c>
      <c r="M246" s="302">
        <f t="shared" ref="M246:M247" si="194">F251-F246</f>
        <v>0.75799999991944933</v>
      </c>
      <c r="N246" s="302">
        <f t="shared" ref="N246:N247" si="195">SUM(K246:M246)</f>
        <v>8.7409999965895544</v>
      </c>
    </row>
    <row r="247" spans="1:14" x14ac:dyDescent="0.2">
      <c r="A247" s="282" t="s">
        <v>354</v>
      </c>
      <c r="B247" s="302">
        <f>SUM(B245:B246)</f>
        <v>39.330000000781546</v>
      </c>
      <c r="C247" s="299" t="str">
        <f>CONCATENATE("(",ROUND((B247/$H247)*100,1),")")</f>
        <v>(41.2)</v>
      </c>
      <c r="D247" s="302">
        <f>SUM(D245:D246)</f>
        <v>49.608000002073226</v>
      </c>
      <c r="E247" s="299" t="str">
        <f>CONCATENATE("(",ROUND((D247/$H247)*100,1),")")</f>
        <v>(51.9)</v>
      </c>
      <c r="F247" s="302">
        <f>SUM(F245:F246)</f>
        <v>6.6090000001188223</v>
      </c>
      <c r="G247" s="299" t="str">
        <f>CONCATENATE("(",ROUND((F247/$H247)*100,1),")")</f>
        <v>(6.9)</v>
      </c>
      <c r="H247" s="302">
        <f>SUM(H245:H246)</f>
        <v>95.54700000297359</v>
      </c>
      <c r="I247" s="299" t="str">
        <f>CONCATENATE("(",ROUND((H247/$H247)*100,1),")")</f>
        <v>(100)</v>
      </c>
      <c r="K247" s="302">
        <f t="shared" si="192"/>
        <v>6.89299999913964</v>
      </c>
      <c r="L247" s="302">
        <f t="shared" si="193"/>
        <v>7.5439999976735095</v>
      </c>
      <c r="M247" s="302">
        <f t="shared" si="194"/>
        <v>1.1629999999313814</v>
      </c>
      <c r="N247" s="302">
        <f t="shared" si="195"/>
        <v>15.599999996744531</v>
      </c>
    </row>
    <row r="248" spans="1:14" x14ac:dyDescent="0.2">
      <c r="B248" s="302"/>
      <c r="C248" s="284"/>
      <c r="D248" s="302"/>
      <c r="E248" s="284"/>
      <c r="F248" s="302"/>
      <c r="G248" s="284"/>
      <c r="H248" s="302"/>
      <c r="I248" s="284"/>
    </row>
    <row r="249" spans="1:14" x14ac:dyDescent="0.2">
      <c r="A249" s="292">
        <f>$A$18</f>
        <v>2035</v>
      </c>
      <c r="B249" s="302"/>
      <c r="C249" s="284"/>
      <c r="D249" s="302"/>
      <c r="E249" s="284"/>
      <c r="F249" s="302"/>
      <c r="G249" s="284"/>
      <c r="H249" s="302"/>
      <c r="I249" s="284"/>
      <c r="K249" s="286" t="str">
        <f>CONCATENATE(A239," - ",A249)</f>
        <v>2020 - 2035</v>
      </c>
    </row>
    <row r="250" spans="1:14" x14ac:dyDescent="0.2">
      <c r="A250" s="282" t="s">
        <v>355</v>
      </c>
      <c r="B250" s="302">
        <f>'Ind T6'!V295</f>
        <v>23.36600000002635</v>
      </c>
      <c r="C250" s="299" t="str">
        <f>CONCATENATE("(",ROUND((B250/$H252)*100,1),")")</f>
        <v>(21)</v>
      </c>
      <c r="D250" s="302">
        <f>'Ind T6'!W295</f>
        <v>21.701999999977293</v>
      </c>
      <c r="E250" s="299" t="str">
        <f>CONCATENATE("(",ROUND((D250/$H252)*100,1),")")</f>
        <v>(19.5)</v>
      </c>
      <c r="F250" s="302">
        <f>'Ind T6'!X295</f>
        <v>2.7230000000687249</v>
      </c>
      <c r="G250" s="299" t="str">
        <f>CONCATENATE("(",ROUND((F250/$H252)*100,1),")")</f>
        <v>(2.4)</v>
      </c>
      <c r="H250" s="302">
        <f>SUM(B250,D250,F250)</f>
        <v>47.791000000072366</v>
      </c>
      <c r="I250" s="299" t="str">
        <f>CONCATENATE("(",ROUND((H250/$H252)*100,1),")")</f>
        <v>(43)</v>
      </c>
      <c r="K250" s="302">
        <f>B250-B240</f>
        <v>4.234000000065091</v>
      </c>
      <c r="L250" s="302">
        <f>D250-D240</f>
        <v>3.3730000000233034</v>
      </c>
      <c r="M250" s="302">
        <f>F250-F240</f>
        <v>0.47000000004658027</v>
      </c>
      <c r="N250" s="302">
        <f>SUM(K250:M250)</f>
        <v>8.0770000001349747</v>
      </c>
    </row>
    <row r="251" spans="1:14" x14ac:dyDescent="0.2">
      <c r="A251" s="282" t="s">
        <v>356</v>
      </c>
      <c r="B251" s="302">
        <f>'Ind T6'!V294</f>
        <v>22.856999999894839</v>
      </c>
      <c r="C251" s="299" t="str">
        <f>CONCATENATE("(",ROUND((B251/$H252)*100,1),")")</f>
        <v>(20.6)</v>
      </c>
      <c r="D251" s="302">
        <f>'Ind T6'!W294</f>
        <v>35.449999999769446</v>
      </c>
      <c r="E251" s="299" t="str">
        <f>CONCATENATE("(",ROUND((D251/$H252)*100,1),")")</f>
        <v>(31.9)</v>
      </c>
      <c r="F251" s="302">
        <f>'Ind T6'!X294</f>
        <v>5.0489999999814783</v>
      </c>
      <c r="G251" s="299" t="str">
        <f>CONCATENATE("(",ROUND((F251/$H252)*100,1),")")</f>
        <v>(4.5)</v>
      </c>
      <c r="H251" s="302">
        <f t="shared" ref="H251" si="196">SUM(B251,D251,F251)</f>
        <v>63.355999999645761</v>
      </c>
      <c r="I251" s="299" t="str">
        <f>CONCATENATE("(",ROUND((H251/$H252)*100,1),")")</f>
        <v>(57)</v>
      </c>
      <c r="K251" s="302">
        <f t="shared" ref="K251:K252" si="197">B251-B241</f>
        <v>3.8610000001641254</v>
      </c>
      <c r="L251" s="302">
        <f t="shared" ref="L251:L252" si="198">D251-D241</f>
        <v>5.4419999993456898</v>
      </c>
      <c r="M251" s="302">
        <f t="shared" ref="M251:M252" si="199">F251-F241</f>
        <v>0.87500000010362466</v>
      </c>
      <c r="N251" s="302">
        <f t="shared" ref="N251:N252" si="200">SUM(K251:M251)</f>
        <v>10.177999999613441</v>
      </c>
    </row>
    <row r="252" spans="1:14" x14ac:dyDescent="0.2">
      <c r="A252" s="282" t="s">
        <v>354</v>
      </c>
      <c r="B252" s="302">
        <f>SUM(B250:B251)</f>
        <v>46.222999999921186</v>
      </c>
      <c r="C252" s="299" t="str">
        <f>CONCATENATE("(",ROUND((B252/$H252)*100,1),")")</f>
        <v>(41.6)</v>
      </c>
      <c r="D252" s="302">
        <f>SUM(D250:D251)</f>
        <v>57.151999999746735</v>
      </c>
      <c r="E252" s="299" t="str">
        <f>CONCATENATE("(",ROUND((D252/$H252)*100,1),")")</f>
        <v>(51.4)</v>
      </c>
      <c r="F252" s="302">
        <f>SUM(F250:F251)</f>
        <v>7.7720000000502036</v>
      </c>
      <c r="G252" s="299" t="str">
        <f>CONCATENATE("(",ROUND((F252/$H252)*100,1),")")</f>
        <v>(7)</v>
      </c>
      <c r="H252" s="302">
        <f>SUM(H250:H251)</f>
        <v>111.14699999971813</v>
      </c>
      <c r="I252" s="299" t="str">
        <f>CONCATENATE("(",ROUND((H252/$H252)*100,1),")")</f>
        <v>(100)</v>
      </c>
      <c r="K252" s="302">
        <f t="shared" si="197"/>
        <v>8.0950000002292128</v>
      </c>
      <c r="L252" s="302">
        <f t="shared" si="198"/>
        <v>8.8149999993689931</v>
      </c>
      <c r="M252" s="302">
        <f t="shared" si="199"/>
        <v>1.3450000001502058</v>
      </c>
      <c r="N252" s="302">
        <f t="shared" si="200"/>
        <v>18.254999999748414</v>
      </c>
    </row>
    <row r="253" spans="1:14" x14ac:dyDescent="0.2">
      <c r="A253" s="293"/>
      <c r="B253" s="294"/>
      <c r="C253" s="293"/>
      <c r="D253" s="294"/>
      <c r="E253" s="293"/>
      <c r="F253" s="294"/>
      <c r="G253" s="293"/>
      <c r="H253" s="294"/>
      <c r="I253" s="293"/>
      <c r="J253" s="293"/>
      <c r="K253" s="294"/>
      <c r="L253" s="294"/>
      <c r="M253" s="294"/>
      <c r="N253" s="294"/>
    </row>
    <row r="256" spans="1:14" x14ac:dyDescent="0.2">
      <c r="C256" s="181"/>
      <c r="E256" s="181"/>
      <c r="G256" s="181"/>
      <c r="I256" s="181"/>
    </row>
    <row r="257" spans="1:14" x14ac:dyDescent="0.2">
      <c r="A257" s="288"/>
      <c r="B257" s="289" t="s">
        <v>379</v>
      </c>
      <c r="C257" s="288"/>
      <c r="D257" s="289"/>
      <c r="E257" s="288"/>
      <c r="F257" s="289" t="str">
        <f>name!B15</f>
        <v>Media</v>
      </c>
      <c r="G257" s="288"/>
      <c r="H257" s="291"/>
      <c r="I257" s="288"/>
      <c r="J257" s="290"/>
      <c r="K257" s="291"/>
      <c r="L257" s="291"/>
      <c r="M257" s="291"/>
      <c r="N257" s="291"/>
    </row>
    <row r="258" spans="1:14" x14ac:dyDescent="0.2">
      <c r="N258" s="287" t="s">
        <v>377</v>
      </c>
    </row>
    <row r="259" spans="1:14" x14ac:dyDescent="0.2">
      <c r="A259" s="181" t="s">
        <v>378</v>
      </c>
      <c r="B259" s="369" t="s">
        <v>376</v>
      </c>
      <c r="C259" s="369"/>
      <c r="D259" s="369" t="s">
        <v>375</v>
      </c>
      <c r="E259" s="369"/>
      <c r="F259" s="369" t="s">
        <v>374</v>
      </c>
      <c r="G259" s="369"/>
      <c r="H259" s="369" t="s">
        <v>32</v>
      </c>
      <c r="I259" s="369"/>
      <c r="J259" s="181"/>
      <c r="K259" s="297" t="s">
        <v>339</v>
      </c>
      <c r="L259" s="297" t="s">
        <v>341</v>
      </c>
      <c r="M259" s="297" t="s">
        <v>337</v>
      </c>
      <c r="N259" s="297" t="s">
        <v>32</v>
      </c>
    </row>
    <row r="260" spans="1:14" x14ac:dyDescent="0.2">
      <c r="A260" s="292">
        <f>$A$8</f>
        <v>2020</v>
      </c>
      <c r="B260" s="287" t="s">
        <v>60</v>
      </c>
      <c r="C260" s="19" t="s">
        <v>373</v>
      </c>
      <c r="D260" s="287" t="s">
        <v>60</v>
      </c>
      <c r="E260" s="19" t="s">
        <v>373</v>
      </c>
      <c r="F260" s="287" t="s">
        <v>60</v>
      </c>
      <c r="G260" s="19" t="s">
        <v>373</v>
      </c>
      <c r="H260" s="287" t="s">
        <v>60</v>
      </c>
      <c r="I260" s="19" t="s">
        <v>373</v>
      </c>
      <c r="J260" s="181"/>
      <c r="K260" s="286" t="str">
        <f>CONCATENATE(A260," - ",A265)</f>
        <v>2020 - 2025</v>
      </c>
      <c r="L260" s="285"/>
      <c r="M260" s="285"/>
    </row>
    <row r="261" spans="1:14" x14ac:dyDescent="0.2">
      <c r="A261" s="282" t="s">
        <v>355</v>
      </c>
      <c r="B261" s="302">
        <f>'Ind T6'!L320</f>
        <v>2.7879999999918978</v>
      </c>
      <c r="C261" s="299" t="str">
        <f>CONCATENATE("(",ROUND((B261/$H263)*100,1),")")</f>
        <v>(31.3)</v>
      </c>
      <c r="D261" s="302">
        <f>'Ind T6'!M320</f>
        <v>0.67300000000063265</v>
      </c>
      <c r="E261" s="299" t="str">
        <f>CONCATENATE("(",ROUND((D261/$H263)*100,1),")")</f>
        <v>(7.6)</v>
      </c>
      <c r="F261" s="302">
        <f>'Ind T6'!N320</f>
        <v>0.61300000000906885</v>
      </c>
      <c r="G261" s="299" t="str">
        <f>CONCATENATE("(",ROUND((F261/$H263)*100,1),")")</f>
        <v>(6.9)</v>
      </c>
      <c r="H261" s="302">
        <f>SUM(B261,D261,F261)</f>
        <v>4.0740000000015995</v>
      </c>
      <c r="I261" s="299" t="str">
        <f>CONCATENATE("(",ROUND((H261/$H263)*100,1),")")</f>
        <v>(45.8)</v>
      </c>
      <c r="K261" s="302">
        <f>B266-B261</f>
        <v>-5.9999999988737507E-2</v>
      </c>
      <c r="L261" s="302">
        <f>D266-D261</f>
        <v>1.9999999991863859E-2</v>
      </c>
      <c r="M261" s="302">
        <f>F266-F261</f>
        <v>-5.9999999803187487E-3</v>
      </c>
      <c r="N261" s="302">
        <f>SUM(K261:M261)</f>
        <v>-4.5999999977192396E-2</v>
      </c>
    </row>
    <row r="262" spans="1:14" x14ac:dyDescent="0.2">
      <c r="A262" s="282" t="s">
        <v>356</v>
      </c>
      <c r="B262" s="302">
        <f>'Ind T6'!L319</f>
        <v>1.1369999999957021</v>
      </c>
      <c r="C262" s="299" t="str">
        <f>CONCATENATE("(",ROUND((B262/$H263)*100,1),")")</f>
        <v>(12.8)</v>
      </c>
      <c r="D262" s="302">
        <f>'Ind T6'!M319</f>
        <v>0.52000000000102342</v>
      </c>
      <c r="E262" s="299" t="str">
        <f>CONCATENATE("(",ROUND((D262/$H263)*100,1),")")</f>
        <v>(5.8)</v>
      </c>
      <c r="F262" s="302">
        <f>'Ind T6'!N319</f>
        <v>3.1639999999814123</v>
      </c>
      <c r="G262" s="299" t="str">
        <f>CONCATENATE("(",ROUND((F262/$H263)*100,1),")")</f>
        <v>(35.6)</v>
      </c>
      <c r="H262" s="302">
        <f t="shared" ref="H262" si="201">SUM(B262,D262,F262)</f>
        <v>4.8209999999781381</v>
      </c>
      <c r="I262" s="299" t="str">
        <f>CONCATENATE("(",ROUND((H262/$H263)*100,1),")")</f>
        <v>(54.2)</v>
      </c>
      <c r="K262" s="302">
        <f t="shared" ref="K262:K263" si="202">B267-B262</f>
        <v>-1.9999999984236849E-2</v>
      </c>
      <c r="L262" s="302">
        <f t="shared" ref="L262:L263" si="203">D267-D262</f>
        <v>-1.9999999901519905E-3</v>
      </c>
      <c r="M262" s="302">
        <f t="shared" ref="M262:M263" si="204">F267-F262</f>
        <v>-8.3000000092816162E-2</v>
      </c>
      <c r="N262" s="302">
        <f t="shared" ref="N262:N263" si="205">SUM(K262:M262)</f>
        <v>-0.105000000067205</v>
      </c>
    </row>
    <row r="263" spans="1:14" x14ac:dyDescent="0.2">
      <c r="A263" s="282" t="s">
        <v>354</v>
      </c>
      <c r="B263" s="302">
        <f>SUM(B261:B262)</f>
        <v>3.9249999999876</v>
      </c>
      <c r="C263" s="299" t="str">
        <f>CONCATENATE("(",ROUND((B263/$H263)*100,1),")")</f>
        <v>(44.1)</v>
      </c>
      <c r="D263" s="302">
        <f>SUM(D261:D262)</f>
        <v>1.1930000000016561</v>
      </c>
      <c r="E263" s="299" t="str">
        <f>CONCATENATE("(",ROUND((D263/$H263)*100,1),")")</f>
        <v>(13.4)</v>
      </c>
      <c r="F263" s="302">
        <f>SUM(F261:F262)</f>
        <v>3.7769999999904811</v>
      </c>
      <c r="G263" s="299" t="str">
        <f>CONCATENATE("(",ROUND((F263/$H263)*100,1),")")</f>
        <v>(42.5)</v>
      </c>
      <c r="H263" s="302">
        <f>SUM(H261:H262)</f>
        <v>8.8949999999797384</v>
      </c>
      <c r="I263" s="299" t="str">
        <f>CONCATENATE("(",ROUND((H263/$H263)*100,1),")")</f>
        <v>(100)</v>
      </c>
      <c r="K263" s="302">
        <f t="shared" si="202"/>
        <v>-7.9999999972974578E-2</v>
      </c>
      <c r="L263" s="302">
        <f t="shared" si="203"/>
        <v>1.8000000001711758E-2</v>
      </c>
      <c r="M263" s="302">
        <f t="shared" si="204"/>
        <v>-8.90000000731348E-2</v>
      </c>
      <c r="N263" s="302">
        <f t="shared" si="205"/>
        <v>-0.15100000004439762</v>
      </c>
    </row>
    <row r="264" spans="1:14" x14ac:dyDescent="0.2">
      <c r="B264" s="302"/>
      <c r="C264" s="284"/>
      <c r="D264" s="302"/>
      <c r="E264" s="284"/>
      <c r="F264" s="302"/>
      <c r="G264" s="284"/>
      <c r="H264" s="302"/>
      <c r="I264" s="284"/>
    </row>
    <row r="265" spans="1:14" x14ac:dyDescent="0.2">
      <c r="A265" s="292">
        <f>$A$13</f>
        <v>2025</v>
      </c>
      <c r="B265" s="302"/>
      <c r="C265" s="284"/>
      <c r="D265" s="302"/>
      <c r="E265" s="284"/>
      <c r="F265" s="302"/>
      <c r="G265" s="284"/>
      <c r="H265" s="302"/>
      <c r="I265" s="284"/>
      <c r="K265" s="286" t="str">
        <f>CONCATENATE(A265," - ",A270)</f>
        <v>2025 - 2035</v>
      </c>
    </row>
    <row r="266" spans="1:14" x14ac:dyDescent="0.2">
      <c r="A266" s="282" t="s">
        <v>355</v>
      </c>
      <c r="B266" s="302">
        <f>'Ind T6'!Q320</f>
        <v>2.7280000000031603</v>
      </c>
      <c r="C266" s="299" t="str">
        <f>CONCATENATE("(",ROUND((B266/$H268)*100,1),")")</f>
        <v>(31.2)</v>
      </c>
      <c r="D266" s="302">
        <f>'Ind T6'!R320</f>
        <v>0.69299999999249651</v>
      </c>
      <c r="E266" s="299" t="str">
        <f>CONCATENATE("(",ROUND((D266/$H268)*100,1),")")</f>
        <v>(7.9)</v>
      </c>
      <c r="F266" s="302">
        <f>'Ind T6'!S320</f>
        <v>0.6070000000287501</v>
      </c>
      <c r="G266" s="299" t="str">
        <f>CONCATENATE("(",ROUND((F266/$H268)*100,1),")")</f>
        <v>(6.9)</v>
      </c>
      <c r="H266" s="302">
        <f>SUM(B266,D266,F266)</f>
        <v>4.0280000000244076</v>
      </c>
      <c r="I266" s="299" t="str">
        <f>CONCATENATE("(",ROUND((H266/$H268)*100,1),")")</f>
        <v>(46.1)</v>
      </c>
      <c r="K266" s="302">
        <f>B271-B266</f>
        <v>4.6999999995847475E-2</v>
      </c>
      <c r="L266" s="302">
        <f>D271-D266</f>
        <v>6.7000000000424942E-2</v>
      </c>
      <c r="M266" s="302">
        <f>F271-F266</f>
        <v>2.1999999991339947E-2</v>
      </c>
      <c r="N266" s="302">
        <f>SUM(K266:M266)</f>
        <v>0.13599999998761236</v>
      </c>
    </row>
    <row r="267" spans="1:14" x14ac:dyDescent="0.2">
      <c r="A267" s="282" t="s">
        <v>356</v>
      </c>
      <c r="B267" s="302">
        <f>'Ind T6'!Q319</f>
        <v>1.1170000000114653</v>
      </c>
      <c r="C267" s="299" t="str">
        <f>CONCATENATE("(",ROUND((B267/$H268)*100,1),")")</f>
        <v>(12.8)</v>
      </c>
      <c r="D267" s="302">
        <f>'Ind T6'!R319</f>
        <v>0.51800000001087143</v>
      </c>
      <c r="E267" s="299" t="str">
        <f>CONCATENATE("(",ROUND((D267/$H268)*100,1),")")</f>
        <v>(5.9)</v>
      </c>
      <c r="F267" s="302">
        <f>'Ind T6'!S319</f>
        <v>3.0809999998885962</v>
      </c>
      <c r="G267" s="299" t="str">
        <f>CONCATENATE("(",ROUND((F267/$H268)*100,1),")")</f>
        <v>(35.2)</v>
      </c>
      <c r="H267" s="302">
        <f t="shared" ref="H267" si="206">SUM(B267,D267,F267)</f>
        <v>4.7159999999109328</v>
      </c>
      <c r="I267" s="299" t="str">
        <f>CONCATENATE("(",ROUND((H267/$H268)*100,1),")")</f>
        <v>(53.9)</v>
      </c>
      <c r="K267" s="302">
        <f t="shared" ref="K267:K268" si="207">B272-B267</f>
        <v>3.9999999991212176E-2</v>
      </c>
      <c r="L267" s="302">
        <f t="shared" ref="L267:L268" si="208">D272-D267</f>
        <v>1.499999998873669E-2</v>
      </c>
      <c r="M267" s="302">
        <f t="shared" ref="M267:M268" si="209">F272-F267</f>
        <v>-5.0999999864704826E-2</v>
      </c>
      <c r="N267" s="302">
        <f t="shared" ref="N267:N268" si="210">SUM(K267:M267)</f>
        <v>4.0000001152440401E-3</v>
      </c>
    </row>
    <row r="268" spans="1:14" x14ac:dyDescent="0.2">
      <c r="A268" s="282" t="s">
        <v>354</v>
      </c>
      <c r="B268" s="302">
        <f>SUM(B266:B267)</f>
        <v>3.8450000000146254</v>
      </c>
      <c r="C268" s="299" t="str">
        <f>CONCATENATE("(",ROUND((B268/$H268)*100,1),")")</f>
        <v>(44)</v>
      </c>
      <c r="D268" s="302">
        <f>SUM(D266:D267)</f>
        <v>1.2110000000033678</v>
      </c>
      <c r="E268" s="299" t="str">
        <f>CONCATENATE("(",ROUND((D268/$H268)*100,1),")")</f>
        <v>(13.8)</v>
      </c>
      <c r="F268" s="302">
        <f>SUM(F266:F267)</f>
        <v>3.6879999999173463</v>
      </c>
      <c r="G268" s="299" t="str">
        <f>CONCATENATE("(",ROUND((F268/$H268)*100,1),")")</f>
        <v>(42.2)</v>
      </c>
      <c r="H268" s="302">
        <f>SUM(H266:H267)</f>
        <v>8.7439999999353404</v>
      </c>
      <c r="I268" s="299" t="str">
        <f>CONCATENATE("(",ROUND((H268/$H268)*100,1),")")</f>
        <v>(100)</v>
      </c>
      <c r="K268" s="302">
        <f t="shared" si="207"/>
        <v>8.6999999987059873E-2</v>
      </c>
      <c r="L268" s="302">
        <f t="shared" si="208"/>
        <v>8.1999999989161854E-2</v>
      </c>
      <c r="M268" s="302">
        <f t="shared" si="209"/>
        <v>-2.8999999873364768E-2</v>
      </c>
      <c r="N268" s="302">
        <f t="shared" si="210"/>
        <v>0.14000000010285696</v>
      </c>
    </row>
    <row r="269" spans="1:14" x14ac:dyDescent="0.2">
      <c r="B269" s="302"/>
      <c r="C269" s="284"/>
      <c r="D269" s="302"/>
      <c r="E269" s="284"/>
      <c r="F269" s="302"/>
      <c r="G269" s="284"/>
      <c r="H269" s="302"/>
      <c r="I269" s="284"/>
    </row>
    <row r="270" spans="1:14" x14ac:dyDescent="0.2">
      <c r="A270" s="292">
        <f>$A$18</f>
        <v>2035</v>
      </c>
      <c r="B270" s="302"/>
      <c r="C270" s="284"/>
      <c r="D270" s="302"/>
      <c r="E270" s="284"/>
      <c r="F270" s="302"/>
      <c r="G270" s="284"/>
      <c r="H270" s="302"/>
      <c r="I270" s="284"/>
      <c r="K270" s="286" t="str">
        <f>CONCATENATE(A260," - ",A270)</f>
        <v>2020 - 2035</v>
      </c>
    </row>
    <row r="271" spans="1:14" x14ac:dyDescent="0.2">
      <c r="A271" s="282" t="s">
        <v>355</v>
      </c>
      <c r="B271" s="302">
        <f>'Ind T6'!V320</f>
        <v>2.7749999999990078</v>
      </c>
      <c r="C271" s="299" t="str">
        <f>CONCATENATE("(",ROUND((B271/$H273)*100,1),")")</f>
        <v>(31.2)</v>
      </c>
      <c r="D271" s="302">
        <f>'Ind T6'!W320</f>
        <v>0.75999999999292145</v>
      </c>
      <c r="E271" s="299" t="str">
        <f>CONCATENATE("(",ROUND((D271/$H273)*100,1),")")</f>
        <v>(8.6)</v>
      </c>
      <c r="F271" s="302">
        <f>'Ind T6'!X320</f>
        <v>0.62900000002009004</v>
      </c>
      <c r="G271" s="299" t="str">
        <f>CONCATENATE("(",ROUND((F271/$H273)*100,1),")")</f>
        <v>(7.1)</v>
      </c>
      <c r="H271" s="302">
        <f>SUM(B271,D271,F271)</f>
        <v>4.1640000000120194</v>
      </c>
      <c r="I271" s="299" t="str">
        <f>CONCATENATE("(",ROUND((H271/$H273)*100,1),")")</f>
        <v>(46.9)</v>
      </c>
      <c r="K271" s="302">
        <f>B271-B261</f>
        <v>-1.2999999992890032E-2</v>
      </c>
      <c r="L271" s="302">
        <f>D271-D261</f>
        <v>8.6999999992288801E-2</v>
      </c>
      <c r="M271" s="302">
        <f>F271-F261</f>
        <v>1.6000000011021198E-2</v>
      </c>
      <c r="N271" s="302">
        <f>SUM(K271:M271)</f>
        <v>9.0000000010419967E-2</v>
      </c>
    </row>
    <row r="272" spans="1:14" x14ac:dyDescent="0.2">
      <c r="A272" s="282" t="s">
        <v>356</v>
      </c>
      <c r="B272" s="302">
        <f>'Ind T6'!V319</f>
        <v>1.1570000000026774</v>
      </c>
      <c r="C272" s="299" t="str">
        <f>CONCATENATE("(",ROUND((B272/$H273)*100,1),")")</f>
        <v>(13)</v>
      </c>
      <c r="D272" s="302">
        <f>'Ind T6'!W319</f>
        <v>0.53299999999960812</v>
      </c>
      <c r="E272" s="299" t="str">
        <f>CONCATENATE("(",ROUND((D272/$H273)*100,1),")")</f>
        <v>(6)</v>
      </c>
      <c r="F272" s="302">
        <f>'Ind T6'!X319</f>
        <v>3.0300000000238914</v>
      </c>
      <c r="G272" s="299" t="str">
        <f>CONCATENATE("(",ROUND((F272/$H273)*100,1),")")</f>
        <v>(34.1)</v>
      </c>
      <c r="H272" s="302">
        <f t="shared" ref="H272" si="211">SUM(B272,D272,F272)</f>
        <v>4.720000000026177</v>
      </c>
      <c r="I272" s="299" t="str">
        <f>CONCATENATE("(",ROUND((H272/$H273)*100,1),")")</f>
        <v>(53.1)</v>
      </c>
      <c r="K272" s="302">
        <f t="shared" ref="K272:K273" si="212">B272-B262</f>
        <v>2.0000000006975327E-2</v>
      </c>
      <c r="L272" s="302">
        <f t="shared" ref="L272:L273" si="213">D272-D262</f>
        <v>1.2999999998584699E-2</v>
      </c>
      <c r="M272" s="302">
        <f t="shared" ref="M272:M273" si="214">F272-F262</f>
        <v>-0.13399999995752099</v>
      </c>
      <c r="N272" s="302">
        <f t="shared" ref="N272:N273" si="215">SUM(K272:M272)</f>
        <v>-0.10099999995196096</v>
      </c>
    </row>
    <row r="273" spans="1:14" x14ac:dyDescent="0.2">
      <c r="A273" s="282" t="s">
        <v>354</v>
      </c>
      <c r="B273" s="302">
        <f>SUM(B271:B272)</f>
        <v>3.9320000000016853</v>
      </c>
      <c r="C273" s="299" t="str">
        <f>CONCATENATE("(",ROUND((B273/$H273)*100,1),")")</f>
        <v>(44.3)</v>
      </c>
      <c r="D273" s="302">
        <f>SUM(D271:D272)</f>
        <v>1.2929999999925297</v>
      </c>
      <c r="E273" s="299" t="str">
        <f>CONCATENATE("(",ROUND((D273/$H273)*100,1),")")</f>
        <v>(14.6)</v>
      </c>
      <c r="F273" s="302">
        <f>SUM(F271:F272)</f>
        <v>3.6590000000439815</v>
      </c>
      <c r="G273" s="299" t="str">
        <f>CONCATENATE("(",ROUND((F273/$H273)*100,1),")")</f>
        <v>(41.2)</v>
      </c>
      <c r="H273" s="302">
        <f>SUM(H271:H272)</f>
        <v>8.8840000000381956</v>
      </c>
      <c r="I273" s="299" t="str">
        <f>CONCATENATE("(",ROUND((H273/$H273)*100,1),")")</f>
        <v>(100)</v>
      </c>
      <c r="K273" s="302">
        <f t="shared" si="212"/>
        <v>7.0000000140852947E-3</v>
      </c>
      <c r="L273" s="302">
        <f t="shared" si="213"/>
        <v>9.9999999990873611E-2</v>
      </c>
      <c r="M273" s="302">
        <f t="shared" si="214"/>
        <v>-0.11799999994649957</v>
      </c>
      <c r="N273" s="302">
        <f t="shared" si="215"/>
        <v>-1.0999999941540661E-2</v>
      </c>
    </row>
    <row r="274" spans="1:14" x14ac:dyDescent="0.2">
      <c r="A274" s="293"/>
      <c r="B274" s="294"/>
      <c r="C274" s="293"/>
      <c r="D274" s="294"/>
      <c r="E274" s="293"/>
      <c r="F274" s="294"/>
      <c r="G274" s="293"/>
      <c r="H274" s="294"/>
      <c r="I274" s="293"/>
      <c r="J274" s="293"/>
      <c r="K274" s="294"/>
      <c r="L274" s="294"/>
      <c r="M274" s="294"/>
      <c r="N274" s="294"/>
    </row>
    <row r="278" spans="1:14" x14ac:dyDescent="0.2">
      <c r="A278" s="288"/>
      <c r="B278" s="289" t="s">
        <v>379</v>
      </c>
      <c r="C278" s="288"/>
      <c r="D278" s="289"/>
      <c r="E278" s="288"/>
      <c r="F278" s="289" t="str">
        <f>name!B16</f>
        <v>Information technology</v>
      </c>
      <c r="G278" s="288"/>
      <c r="H278" s="291"/>
      <c r="I278" s="288"/>
      <c r="J278" s="290"/>
      <c r="K278" s="291"/>
      <c r="L278" s="291"/>
      <c r="M278" s="291"/>
      <c r="N278" s="291"/>
    </row>
    <row r="279" spans="1:14" x14ac:dyDescent="0.2">
      <c r="N279" s="287" t="s">
        <v>377</v>
      </c>
    </row>
    <row r="280" spans="1:14" x14ac:dyDescent="0.2">
      <c r="A280" s="181" t="s">
        <v>378</v>
      </c>
      <c r="B280" s="369" t="s">
        <v>376</v>
      </c>
      <c r="C280" s="369"/>
      <c r="D280" s="369" t="s">
        <v>375</v>
      </c>
      <c r="E280" s="369"/>
      <c r="F280" s="369" t="s">
        <v>374</v>
      </c>
      <c r="G280" s="369"/>
      <c r="H280" s="369" t="s">
        <v>32</v>
      </c>
      <c r="I280" s="369"/>
      <c r="J280" s="181"/>
      <c r="K280" s="297" t="s">
        <v>339</v>
      </c>
      <c r="L280" s="297" t="s">
        <v>341</v>
      </c>
      <c r="M280" s="297" t="s">
        <v>337</v>
      </c>
      <c r="N280" s="297" t="s">
        <v>32</v>
      </c>
    </row>
    <row r="281" spans="1:14" x14ac:dyDescent="0.2">
      <c r="A281" s="292">
        <f>$A$8</f>
        <v>2020</v>
      </c>
      <c r="B281" s="287" t="s">
        <v>60</v>
      </c>
      <c r="C281" s="19" t="s">
        <v>373</v>
      </c>
      <c r="D281" s="287" t="s">
        <v>60</v>
      </c>
      <c r="E281" s="19" t="s">
        <v>373</v>
      </c>
      <c r="F281" s="287" t="s">
        <v>60</v>
      </c>
      <c r="G281" s="19" t="s">
        <v>373</v>
      </c>
      <c r="H281" s="287" t="s">
        <v>60</v>
      </c>
      <c r="I281" s="19" t="s">
        <v>373</v>
      </c>
      <c r="J281" s="181"/>
      <c r="K281" s="286" t="str">
        <f>CONCATENATE(A281," - ",A286)</f>
        <v>2020 - 2025</v>
      </c>
      <c r="L281" s="285"/>
      <c r="M281" s="285"/>
    </row>
    <row r="282" spans="1:14" x14ac:dyDescent="0.2">
      <c r="A282" s="282" t="s">
        <v>355</v>
      </c>
      <c r="B282" s="302">
        <f>'Ind T6'!L345</f>
        <v>16.950999999817508</v>
      </c>
      <c r="C282" s="299" t="str">
        <f>CONCATENATE("(",ROUND((B282/$H284)*100,1),")")</f>
        <v>(66.5)</v>
      </c>
      <c r="D282" s="302">
        <f>'Ind T6'!M345</f>
        <v>1.2399999999989368</v>
      </c>
      <c r="E282" s="299" t="str">
        <f>CONCATENATE("(",ROUND((D282/$H284)*100,1),")")</f>
        <v>(4.9)</v>
      </c>
      <c r="F282" s="302">
        <f>'Ind T6'!N345</f>
        <v>0.52900000000139968</v>
      </c>
      <c r="G282" s="299" t="str">
        <f>CONCATENATE("(",ROUND((F282/$H284)*100,1),")")</f>
        <v>(2.1)</v>
      </c>
      <c r="H282" s="302">
        <f>SUM(B282,D282,F282)</f>
        <v>18.719999999817844</v>
      </c>
      <c r="I282" s="299" t="str">
        <f>CONCATENATE("(",ROUND((H282/$H284)*100,1),")")</f>
        <v>(73.5)</v>
      </c>
      <c r="K282" s="302">
        <f>B287-B282</f>
        <v>1.4080000005221152</v>
      </c>
      <c r="L282" s="302">
        <f>D287-D282</f>
        <v>0.123999999999993</v>
      </c>
      <c r="M282" s="302">
        <f>F287-F282</f>
        <v>6.1000000018593958E-2</v>
      </c>
      <c r="N282" s="302">
        <f>SUM(K282:M282)</f>
        <v>1.5930000005407021</v>
      </c>
    </row>
    <row r="283" spans="1:14" x14ac:dyDescent="0.2">
      <c r="A283" s="282" t="s">
        <v>356</v>
      </c>
      <c r="B283" s="302">
        <f>'Ind T6'!L344</f>
        <v>4.8229999999716151</v>
      </c>
      <c r="C283" s="299" t="str">
        <f>CONCATENATE("(",ROUND((B283/$H284)*100,1),")")</f>
        <v>(18.9)</v>
      </c>
      <c r="D283" s="302">
        <f>'Ind T6'!M344</f>
        <v>0.89100000000988078</v>
      </c>
      <c r="E283" s="299" t="str">
        <f>CONCATENATE("(",ROUND((D283/$H284)*100,1),")")</f>
        <v>(3.5)</v>
      </c>
      <c r="F283" s="302">
        <f>'Ind T6'!N344</f>
        <v>1.0409999999945105</v>
      </c>
      <c r="G283" s="299" t="str">
        <f>CONCATENATE("(",ROUND((F283/$H284)*100,1),")")</f>
        <v>(4.1)</v>
      </c>
      <c r="H283" s="302">
        <f t="shared" ref="H283" si="216">SUM(B283,D283,F283)</f>
        <v>6.7549999999760066</v>
      </c>
      <c r="I283" s="299" t="str">
        <f>CONCATENATE("(",ROUND((H283/$H284)*100,1),")")</f>
        <v>(26.5)</v>
      </c>
      <c r="K283" s="302">
        <f t="shared" ref="K283:K284" si="217">B288-B283</f>
        <v>0.56100000013418772</v>
      </c>
      <c r="L283" s="302">
        <f t="shared" ref="L283:L284" si="218">D288-D283</f>
        <v>6.8000000000096317E-2</v>
      </c>
      <c r="M283" s="302">
        <f t="shared" ref="M283:M284" si="219">F288-F283</f>
        <v>0.11299999997999555</v>
      </c>
      <c r="N283" s="302">
        <f t="shared" ref="N283:N284" si="220">SUM(K283:M283)</f>
        <v>0.74200000011427958</v>
      </c>
    </row>
    <row r="284" spans="1:14" x14ac:dyDescent="0.2">
      <c r="A284" s="282" t="s">
        <v>354</v>
      </c>
      <c r="B284" s="302">
        <f>SUM(B282:B283)</f>
        <v>21.773999999789122</v>
      </c>
      <c r="C284" s="299" t="str">
        <f>CONCATENATE("(",ROUND((B284/$H284)*100,1),")")</f>
        <v>(85.5)</v>
      </c>
      <c r="D284" s="302">
        <f>SUM(D282:D283)</f>
        <v>2.1310000000088176</v>
      </c>
      <c r="E284" s="299" t="str">
        <f>CONCATENATE("(",ROUND((D284/$H284)*100,1),")")</f>
        <v>(8.4)</v>
      </c>
      <c r="F284" s="302">
        <f>SUM(F282:F283)</f>
        <v>1.5699999999959102</v>
      </c>
      <c r="G284" s="299" t="str">
        <f>CONCATENATE("(",ROUND((F284/$H284)*100,1),")")</f>
        <v>(6.2)</v>
      </c>
      <c r="H284" s="302">
        <f>SUM(H282:H283)</f>
        <v>25.474999999793852</v>
      </c>
      <c r="I284" s="299" t="str">
        <f>CONCATENATE("(",ROUND((H284/$H284)*100,1),")")</f>
        <v>(100)</v>
      </c>
      <c r="K284" s="302">
        <f t="shared" si="217"/>
        <v>1.9690000006563046</v>
      </c>
      <c r="L284" s="302">
        <f t="shared" si="218"/>
        <v>0.19200000000008943</v>
      </c>
      <c r="M284" s="302">
        <f t="shared" si="219"/>
        <v>0.17399999999858951</v>
      </c>
      <c r="N284" s="302">
        <f t="shared" si="220"/>
        <v>2.3350000006549836</v>
      </c>
    </row>
    <row r="285" spans="1:14" x14ac:dyDescent="0.2">
      <c r="B285" s="302"/>
      <c r="C285" s="284"/>
      <c r="D285" s="302"/>
      <c r="E285" s="284"/>
      <c r="F285" s="302"/>
      <c r="G285" s="284"/>
      <c r="H285" s="302"/>
      <c r="I285" s="284"/>
    </row>
    <row r="286" spans="1:14" x14ac:dyDescent="0.2">
      <c r="A286" s="292">
        <f>$A$13</f>
        <v>2025</v>
      </c>
      <c r="B286" s="302"/>
      <c r="C286" s="284"/>
      <c r="D286" s="302"/>
      <c r="E286" s="284"/>
      <c r="F286" s="302"/>
      <c r="G286" s="284"/>
      <c r="H286" s="302"/>
      <c r="I286" s="284"/>
      <c r="K286" s="286" t="str">
        <f>CONCATENATE(A286," - ",A291)</f>
        <v>2025 - 2035</v>
      </c>
    </row>
    <row r="287" spans="1:14" x14ac:dyDescent="0.2">
      <c r="A287" s="282" t="s">
        <v>355</v>
      </c>
      <c r="B287" s="302">
        <f>'Ind T6'!Q345</f>
        <v>18.359000000339623</v>
      </c>
      <c r="C287" s="299" t="str">
        <f>CONCATENATE("(",ROUND((B287/$H289)*100,1),")")</f>
        <v>(66)</v>
      </c>
      <c r="D287" s="302">
        <f>'Ind T6'!R345</f>
        <v>1.3639999999989298</v>
      </c>
      <c r="E287" s="299" t="str">
        <f>CONCATENATE("(",ROUND((D287/$H289)*100,1),")")</f>
        <v>(4.9)</v>
      </c>
      <c r="F287" s="302">
        <f>'Ind T6'!S345</f>
        <v>0.59000000001999364</v>
      </c>
      <c r="G287" s="299" t="str">
        <f>CONCATENATE("(",ROUND((F287/$H289)*100,1),")")</f>
        <v>(2.1)</v>
      </c>
      <c r="H287" s="302">
        <f>SUM(B287,D287,F287)</f>
        <v>20.313000000358549</v>
      </c>
      <c r="I287" s="299" t="str">
        <f>CONCATENATE("(",ROUND((H287/$H289)*100,1),")")</f>
        <v>(73)</v>
      </c>
      <c r="K287" s="302">
        <f>B292-B287</f>
        <v>1.6609999999740168</v>
      </c>
      <c r="L287" s="302">
        <f>D292-D287</f>
        <v>0.15099999999867797</v>
      </c>
      <c r="M287" s="302">
        <f>F292-F287</f>
        <v>7.5999999995096768E-2</v>
      </c>
      <c r="N287" s="302">
        <f>SUM(K287:M287)</f>
        <v>1.8879999999677914</v>
      </c>
    </row>
    <row r="288" spans="1:14" x14ac:dyDescent="0.2">
      <c r="A288" s="282" t="s">
        <v>356</v>
      </c>
      <c r="B288" s="302">
        <f>'Ind T6'!Q344</f>
        <v>5.3840000001058028</v>
      </c>
      <c r="C288" s="299" t="str">
        <f>CONCATENATE("(",ROUND((B288/$H289)*100,1),")")</f>
        <v>(19.4)</v>
      </c>
      <c r="D288" s="302">
        <f>'Ind T6'!R344</f>
        <v>0.95900000000997709</v>
      </c>
      <c r="E288" s="299" t="str">
        <f>CONCATENATE("(",ROUND((D288/$H289)*100,1),")")</f>
        <v>(3.4)</v>
      </c>
      <c r="F288" s="302">
        <f>'Ind T6'!S344</f>
        <v>1.1539999999745061</v>
      </c>
      <c r="G288" s="299" t="str">
        <f>CONCATENATE("(",ROUND((F288/$H289)*100,1),")")</f>
        <v>(4.1)</v>
      </c>
      <c r="H288" s="302">
        <f t="shared" ref="H288" si="221">SUM(B288,D288,F288)</f>
        <v>7.4970000000902868</v>
      </c>
      <c r="I288" s="299" t="str">
        <f>CONCATENATE("(",ROUND((H288/$H289)*100,1),")")</f>
        <v>(27)</v>
      </c>
      <c r="K288" s="302">
        <f t="shared" ref="K288:K289" si="222">B293-B288</f>
        <v>0.80699999991690508</v>
      </c>
      <c r="L288" s="302">
        <f t="shared" ref="L288:L289" si="223">D293-D288</f>
        <v>6.1999999997087607E-2</v>
      </c>
      <c r="M288" s="302">
        <f t="shared" ref="M288:M289" si="224">F293-F288</f>
        <v>0.12200000002817868</v>
      </c>
      <c r="N288" s="302">
        <f t="shared" ref="N288:N289" si="225">SUM(K288:M288)</f>
        <v>0.99099999994217136</v>
      </c>
    </row>
    <row r="289" spans="1:14" x14ac:dyDescent="0.2">
      <c r="A289" s="282" t="s">
        <v>354</v>
      </c>
      <c r="B289" s="302">
        <f>SUM(B287:B288)</f>
        <v>23.743000000445427</v>
      </c>
      <c r="C289" s="299" t="str">
        <f>CONCATENATE("(",ROUND((B289/$H289)*100,1),")")</f>
        <v>(85.4)</v>
      </c>
      <c r="D289" s="302">
        <f>SUM(D287:D288)</f>
        <v>2.3230000000089071</v>
      </c>
      <c r="E289" s="299" t="str">
        <f>CONCATENATE("(",ROUND((D289/$H289)*100,1),")")</f>
        <v>(8.4)</v>
      </c>
      <c r="F289" s="302">
        <f>SUM(F287:F288)</f>
        <v>1.7439999999944997</v>
      </c>
      <c r="G289" s="299" t="str">
        <f>CONCATENATE("(",ROUND((F289/$H289)*100,1),")")</f>
        <v>(6.3)</v>
      </c>
      <c r="H289" s="302">
        <f>SUM(H287:H288)</f>
        <v>27.810000000448838</v>
      </c>
      <c r="I289" s="299" t="str">
        <f>CONCATENATE("(",ROUND((H289/$H289)*100,1),")")</f>
        <v>(100)</v>
      </c>
      <c r="K289" s="302">
        <f t="shared" si="222"/>
        <v>2.467999999890921</v>
      </c>
      <c r="L289" s="302">
        <f t="shared" si="223"/>
        <v>0.21299999999576524</v>
      </c>
      <c r="M289" s="302">
        <f t="shared" si="224"/>
        <v>0.19800000002327556</v>
      </c>
      <c r="N289" s="302">
        <f t="shared" si="225"/>
        <v>2.8789999999099618</v>
      </c>
    </row>
    <row r="290" spans="1:14" x14ac:dyDescent="0.2">
      <c r="B290" s="302"/>
      <c r="C290" s="284"/>
      <c r="D290" s="302"/>
      <c r="E290" s="284"/>
      <c r="F290" s="302"/>
      <c r="G290" s="284"/>
      <c r="H290" s="302"/>
      <c r="I290" s="284"/>
    </row>
    <row r="291" spans="1:14" x14ac:dyDescent="0.2">
      <c r="A291" s="292">
        <f>$A$18</f>
        <v>2035</v>
      </c>
      <c r="B291" s="302"/>
      <c r="C291" s="284"/>
      <c r="D291" s="302"/>
      <c r="E291" s="284"/>
      <c r="F291" s="302"/>
      <c r="G291" s="284"/>
      <c r="H291" s="302"/>
      <c r="I291" s="284"/>
      <c r="K291" s="286" t="str">
        <f>CONCATENATE(A281," - ",A291)</f>
        <v>2020 - 2035</v>
      </c>
    </row>
    <row r="292" spans="1:14" x14ac:dyDescent="0.2">
      <c r="A292" s="282" t="s">
        <v>355</v>
      </c>
      <c r="B292" s="302">
        <f>'Ind T6'!V345</f>
        <v>20.02000000031364</v>
      </c>
      <c r="C292" s="299" t="str">
        <f>CONCATENATE("(",ROUND((B292/$H294)*100,1),")")</f>
        <v>(65.2)</v>
      </c>
      <c r="D292" s="302">
        <f>'Ind T6'!W345</f>
        <v>1.5149999999976078</v>
      </c>
      <c r="E292" s="299" t="str">
        <f>CONCATENATE("(",ROUND((D292/$H294)*100,1),")")</f>
        <v>(4.9)</v>
      </c>
      <c r="F292" s="302">
        <f>'Ind T6'!X345</f>
        <v>0.66600000001509041</v>
      </c>
      <c r="G292" s="299" t="str">
        <f>CONCATENATE("(",ROUND((F292/$H294)*100,1),")")</f>
        <v>(2.2)</v>
      </c>
      <c r="H292" s="302">
        <f>SUM(B292,D292,F292)</f>
        <v>22.201000000326339</v>
      </c>
      <c r="I292" s="299" t="str">
        <f>CONCATENATE("(",ROUND((H292/$H294)*100,1),")")</f>
        <v>(72.3)</v>
      </c>
      <c r="K292" s="302">
        <f>B292-B282</f>
        <v>3.069000000496132</v>
      </c>
      <c r="L292" s="302">
        <f>D292-D282</f>
        <v>0.27499999999867097</v>
      </c>
      <c r="M292" s="302">
        <f>F292-F282</f>
        <v>0.13700000001369073</v>
      </c>
      <c r="N292" s="302">
        <f>SUM(K292:M292)</f>
        <v>3.4810000005084936</v>
      </c>
    </row>
    <row r="293" spans="1:14" x14ac:dyDescent="0.2">
      <c r="A293" s="282" t="s">
        <v>356</v>
      </c>
      <c r="B293" s="302">
        <f>'Ind T6'!V344</f>
        <v>6.1910000000227079</v>
      </c>
      <c r="C293" s="299" t="str">
        <f>CONCATENATE("(",ROUND((B293/$H294)*100,1),")")</f>
        <v>(20.2)</v>
      </c>
      <c r="D293" s="302">
        <f>'Ind T6'!W344</f>
        <v>1.0210000000070647</v>
      </c>
      <c r="E293" s="299" t="str">
        <f>CONCATENATE("(",ROUND((D293/$H294)*100,1),")")</f>
        <v>(3.3)</v>
      </c>
      <c r="F293" s="302">
        <f>'Ind T6'!X344</f>
        <v>1.2760000000026848</v>
      </c>
      <c r="G293" s="299" t="str">
        <f>CONCATENATE("(",ROUND((F293/$H294)*100,1),")")</f>
        <v>(4.2)</v>
      </c>
      <c r="H293" s="302">
        <f t="shared" ref="H293" si="226">SUM(B293,D293,F293)</f>
        <v>8.4880000000324571</v>
      </c>
      <c r="I293" s="299" t="str">
        <f>CONCATENATE("(",ROUND((H293/$H294)*100,1),")")</f>
        <v>(27.7)</v>
      </c>
      <c r="K293" s="302">
        <f t="shared" ref="K293:K294" si="227">B293-B283</f>
        <v>1.3680000000510928</v>
      </c>
      <c r="L293" s="302">
        <f t="shared" ref="L293:L294" si="228">D293-D283</f>
        <v>0.12999999999718392</v>
      </c>
      <c r="M293" s="302">
        <f t="shared" ref="M293:M294" si="229">F293-F283</f>
        <v>0.23500000000817423</v>
      </c>
      <c r="N293" s="302">
        <f t="shared" ref="N293:N294" si="230">SUM(K293:M293)</f>
        <v>1.7330000000564509</v>
      </c>
    </row>
    <row r="294" spans="1:14" x14ac:dyDescent="0.2">
      <c r="A294" s="282" t="s">
        <v>354</v>
      </c>
      <c r="B294" s="302">
        <f>SUM(B292:B293)</f>
        <v>26.211000000336348</v>
      </c>
      <c r="C294" s="299" t="str">
        <f>CONCATENATE("(",ROUND((B294/$H294)*100,1),")")</f>
        <v>(85.4)</v>
      </c>
      <c r="D294" s="302">
        <f>SUM(D292:D293)</f>
        <v>2.5360000000046723</v>
      </c>
      <c r="E294" s="299" t="str">
        <f>CONCATENATE("(",ROUND((D294/$H294)*100,1),")")</f>
        <v>(8.3)</v>
      </c>
      <c r="F294" s="302">
        <f>SUM(F292:F293)</f>
        <v>1.9420000000177753</v>
      </c>
      <c r="G294" s="299" t="str">
        <f>CONCATENATE("(",ROUND((F294/$H294)*100,1),")")</f>
        <v>(6.3)</v>
      </c>
      <c r="H294" s="302">
        <f>SUM(H292:H293)</f>
        <v>30.689000000358796</v>
      </c>
      <c r="I294" s="299" t="str">
        <f>CONCATENATE("(",ROUND((H294/$H294)*100,1),")")</f>
        <v>(100)</v>
      </c>
      <c r="K294" s="302">
        <f t="shared" si="227"/>
        <v>4.4370000005472257</v>
      </c>
      <c r="L294" s="302">
        <f t="shared" si="228"/>
        <v>0.40499999999585468</v>
      </c>
      <c r="M294" s="302">
        <f t="shared" si="229"/>
        <v>0.37200000002186506</v>
      </c>
      <c r="N294" s="302">
        <f t="shared" si="230"/>
        <v>5.2140000005649458</v>
      </c>
    </row>
    <row r="295" spans="1:14" x14ac:dyDescent="0.2">
      <c r="A295" s="293"/>
      <c r="B295" s="294"/>
      <c r="C295" s="293"/>
      <c r="D295" s="294"/>
      <c r="E295" s="293"/>
      <c r="F295" s="294"/>
      <c r="G295" s="293"/>
      <c r="H295" s="294"/>
      <c r="I295" s="293"/>
      <c r="J295" s="293"/>
      <c r="K295" s="294"/>
      <c r="L295" s="294"/>
      <c r="M295" s="294"/>
      <c r="N295" s="294"/>
    </row>
    <row r="299" spans="1:14" x14ac:dyDescent="0.2">
      <c r="A299" s="288"/>
      <c r="B299" s="289" t="s">
        <v>379</v>
      </c>
      <c r="C299" s="288"/>
      <c r="D299" s="289"/>
      <c r="E299" s="288"/>
      <c r="F299" s="289" t="str">
        <f>name!B17</f>
        <v>Finance and insurance</v>
      </c>
      <c r="G299" s="288"/>
      <c r="H299" s="291"/>
      <c r="I299" s="288"/>
      <c r="J299" s="290"/>
      <c r="K299" s="291"/>
      <c r="L299" s="291"/>
      <c r="M299" s="291"/>
      <c r="N299" s="291"/>
    </row>
    <row r="300" spans="1:14" x14ac:dyDescent="0.2">
      <c r="N300" s="287" t="s">
        <v>377</v>
      </c>
    </row>
    <row r="301" spans="1:14" x14ac:dyDescent="0.2">
      <c r="A301" s="181" t="s">
        <v>378</v>
      </c>
      <c r="B301" s="369" t="s">
        <v>376</v>
      </c>
      <c r="C301" s="369"/>
      <c r="D301" s="369" t="s">
        <v>375</v>
      </c>
      <c r="E301" s="369"/>
      <c r="F301" s="369" t="s">
        <v>374</v>
      </c>
      <c r="G301" s="369"/>
      <c r="H301" s="369" t="s">
        <v>32</v>
      </c>
      <c r="I301" s="369"/>
      <c r="J301" s="181"/>
      <c r="K301" s="297" t="s">
        <v>339</v>
      </c>
      <c r="L301" s="297" t="s">
        <v>341</v>
      </c>
      <c r="M301" s="297" t="s">
        <v>337</v>
      </c>
      <c r="N301" s="297" t="s">
        <v>32</v>
      </c>
    </row>
    <row r="302" spans="1:14" x14ac:dyDescent="0.2">
      <c r="A302" s="292">
        <f>$A$8</f>
        <v>2020</v>
      </c>
      <c r="B302" s="287" t="s">
        <v>60</v>
      </c>
      <c r="C302" s="19" t="s">
        <v>373</v>
      </c>
      <c r="D302" s="287" t="s">
        <v>60</v>
      </c>
      <c r="E302" s="19" t="s">
        <v>373</v>
      </c>
      <c r="F302" s="287" t="s">
        <v>60</v>
      </c>
      <c r="G302" s="19" t="s">
        <v>373</v>
      </c>
      <c r="H302" s="287" t="s">
        <v>60</v>
      </c>
      <c r="I302" s="19" t="s">
        <v>373</v>
      </c>
      <c r="J302" s="181"/>
      <c r="K302" s="286" t="str">
        <f>CONCATENATE(A302," - ",A307)</f>
        <v>2020 - 2025</v>
      </c>
      <c r="L302" s="285"/>
      <c r="M302" s="285"/>
    </row>
    <row r="303" spans="1:14" x14ac:dyDescent="0.2">
      <c r="A303" s="282" t="s">
        <v>355</v>
      </c>
      <c r="B303" s="302">
        <f>'Ind T6'!L370</f>
        <v>9.6939999999339346</v>
      </c>
      <c r="C303" s="299" t="str">
        <f>CONCATENATE("(",ROUND((B303/$H305)*100,1),")")</f>
        <v>(42)</v>
      </c>
      <c r="D303" s="302">
        <f>'Ind T6'!M370</f>
        <v>0.49699999999988698</v>
      </c>
      <c r="E303" s="299" t="str">
        <f>CONCATENATE("(",ROUND((D303/$H305)*100,1),")")</f>
        <v>(2.2)</v>
      </c>
      <c r="F303" s="302">
        <f>'Ind T6'!N370</f>
        <v>0.4550000000036768</v>
      </c>
      <c r="G303" s="299" t="str">
        <f>CONCATENATE("(",ROUND((F303/$H305)*100,1),")")</f>
        <v>(2)</v>
      </c>
      <c r="H303" s="302">
        <f>SUM(B303,D303,F303)</f>
        <v>10.645999999937498</v>
      </c>
      <c r="I303" s="299" t="str">
        <f>CONCATENATE("(",ROUND((H303/$H305)*100,1),")")</f>
        <v>(46.1)</v>
      </c>
      <c r="K303" s="302">
        <f>B308-B303</f>
        <v>0.35700000016331579</v>
      </c>
      <c r="L303" s="302">
        <f>D308-D303</f>
        <v>3.8999999997381907E-2</v>
      </c>
      <c r="M303" s="302">
        <f>F308-F303</f>
        <v>4.0000000030762095E-2</v>
      </c>
      <c r="N303" s="302">
        <f>SUM(K303:M303)</f>
        <v>0.43600000019145979</v>
      </c>
    </row>
    <row r="304" spans="1:14" x14ac:dyDescent="0.2">
      <c r="A304" s="282" t="s">
        <v>356</v>
      </c>
      <c r="B304" s="302">
        <f>'Ind T6'!L369</f>
        <v>9.0939999999359298</v>
      </c>
      <c r="C304" s="299" t="str">
        <f>CONCATENATE("(",ROUND((B304/$H305)*100,1),")")</f>
        <v>(39.4)</v>
      </c>
      <c r="D304" s="302">
        <f>'Ind T6'!M369</f>
        <v>3.3450000000124058</v>
      </c>
      <c r="E304" s="299" t="str">
        <f>CONCATENATE("(",ROUND((D304/$H305)*100,1),")")</f>
        <v>(14.5)</v>
      </c>
      <c r="F304" s="302">
        <f>'Ind T6'!N369</f>
        <v>0</v>
      </c>
      <c r="G304" s="299" t="str">
        <f>CONCATENATE("(",ROUND((F304/$H305)*100,1),")")</f>
        <v>(0)</v>
      </c>
      <c r="H304" s="302">
        <f t="shared" ref="H304" si="231">SUM(B304,D304,F304)</f>
        <v>12.438999999948336</v>
      </c>
      <c r="I304" s="299" t="str">
        <f>CONCATENATE("(",ROUND((H304/$H305)*100,1),")")</f>
        <v>(53.9)</v>
      </c>
      <c r="K304" s="302">
        <f t="shared" ref="K304:K305" si="232">B309-B304</f>
        <v>0.2960000002126133</v>
      </c>
      <c r="L304" s="302">
        <f t="shared" ref="L304:L305" si="233">D309-D304</f>
        <v>7.2000000029984523E-2</v>
      </c>
      <c r="M304" s="302">
        <f t="shared" ref="M304:M305" si="234">F309-F304</f>
        <v>0</v>
      </c>
      <c r="N304" s="302">
        <f t="shared" ref="N304:N305" si="235">SUM(K304:M304)</f>
        <v>0.36800000024259782</v>
      </c>
    </row>
    <row r="305" spans="1:14" x14ac:dyDescent="0.2">
      <c r="A305" s="282" t="s">
        <v>354</v>
      </c>
      <c r="B305" s="302">
        <f>SUM(B303:B304)</f>
        <v>18.787999999869864</v>
      </c>
      <c r="C305" s="299" t="str">
        <f>CONCATENATE("(",ROUND((B305/$H305)*100,1),")")</f>
        <v>(81.4)</v>
      </c>
      <c r="D305" s="302">
        <f>SUM(D303:D304)</f>
        <v>3.8420000000122929</v>
      </c>
      <c r="E305" s="299" t="str">
        <f>CONCATENATE("(",ROUND((D305/$H305)*100,1),")")</f>
        <v>(16.6)</v>
      </c>
      <c r="F305" s="302">
        <f>SUM(F303:F304)</f>
        <v>0.4550000000036768</v>
      </c>
      <c r="G305" s="299" t="str">
        <f>CONCATENATE("(",ROUND((F305/$H305)*100,1),")")</f>
        <v>(2)</v>
      </c>
      <c r="H305" s="302">
        <f>SUM(H303:H304)</f>
        <v>23.084999999885834</v>
      </c>
      <c r="I305" s="299" t="str">
        <f>CONCATENATE("(",ROUND((H305/$H305)*100,1),")")</f>
        <v>(100)</v>
      </c>
      <c r="K305" s="302">
        <f t="shared" si="232"/>
        <v>0.65300000037592909</v>
      </c>
      <c r="L305" s="302">
        <f t="shared" si="233"/>
        <v>0.11100000002736632</v>
      </c>
      <c r="M305" s="302">
        <f t="shared" si="234"/>
        <v>4.0000000030762095E-2</v>
      </c>
      <c r="N305" s="302">
        <f t="shared" si="235"/>
        <v>0.8040000004340575</v>
      </c>
    </row>
    <row r="306" spans="1:14" x14ac:dyDescent="0.2">
      <c r="B306" s="302"/>
      <c r="C306" s="284"/>
      <c r="D306" s="302"/>
      <c r="E306" s="284"/>
      <c r="F306" s="302"/>
      <c r="G306" s="284"/>
      <c r="H306" s="302"/>
      <c r="I306" s="284"/>
    </row>
    <row r="307" spans="1:14" x14ac:dyDescent="0.2">
      <c r="A307" s="292">
        <f>$A$13</f>
        <v>2025</v>
      </c>
      <c r="B307" s="302"/>
      <c r="C307" s="284"/>
      <c r="D307" s="302"/>
      <c r="E307" s="284"/>
      <c r="F307" s="302"/>
      <c r="G307" s="284"/>
      <c r="H307" s="302"/>
      <c r="I307" s="284"/>
      <c r="K307" s="286" t="str">
        <f>CONCATENATE(A307," - ",A312)</f>
        <v>2025 - 2035</v>
      </c>
    </row>
    <row r="308" spans="1:14" x14ac:dyDescent="0.2">
      <c r="A308" s="282" t="s">
        <v>355</v>
      </c>
      <c r="B308" s="302">
        <f>'Ind T6'!Q370</f>
        <v>10.05100000009725</v>
      </c>
      <c r="C308" s="299" t="str">
        <f>CONCATENATE("(",ROUND((B308/$H310)*100,1),")")</f>
        <v>(42.1)</v>
      </c>
      <c r="D308" s="302">
        <f>'Ind T6'!R370</f>
        <v>0.53599999999726888</v>
      </c>
      <c r="E308" s="299" t="str">
        <f>CONCATENATE("(",ROUND((D308/$H310)*100,1),")")</f>
        <v>(2.2)</v>
      </c>
      <c r="F308" s="302">
        <f>'Ind T6'!S370</f>
        <v>0.49500000003443889</v>
      </c>
      <c r="G308" s="299" t="str">
        <f>CONCATENATE("(",ROUND((F308/$H310)*100,1),")")</f>
        <v>(2.1)</v>
      </c>
      <c r="H308" s="302">
        <f>SUM(B308,D308,F308)</f>
        <v>11.082000000128959</v>
      </c>
      <c r="I308" s="299" t="str">
        <f>CONCATENATE("(",ROUND((H308/$H310)*100,1),")")</f>
        <v>(46.4)</v>
      </c>
      <c r="K308" s="302">
        <f>B313-B308</f>
        <v>2.7999999981545898E-2</v>
      </c>
      <c r="L308" s="302">
        <f>D313-D308</f>
        <v>3.8999999998318158E-2</v>
      </c>
      <c r="M308" s="302">
        <f>F313-F308</f>
        <v>2.1999999994341768E-2</v>
      </c>
      <c r="N308" s="302">
        <f>SUM(K308:M308)</f>
        <v>8.8999999974205823E-2</v>
      </c>
    </row>
    <row r="309" spans="1:14" x14ac:dyDescent="0.2">
      <c r="A309" s="282" t="s">
        <v>356</v>
      </c>
      <c r="B309" s="302">
        <f>'Ind T6'!Q369</f>
        <v>9.3900000001485431</v>
      </c>
      <c r="C309" s="299" t="str">
        <f>CONCATENATE("(",ROUND((B309/$H310)*100,1),")")</f>
        <v>(39.3)</v>
      </c>
      <c r="D309" s="302">
        <f>'Ind T6'!R369</f>
        <v>3.4170000000423904</v>
      </c>
      <c r="E309" s="299" t="str">
        <f>CONCATENATE("(",ROUND((D309/$H310)*100,1),")")</f>
        <v>(14.3)</v>
      </c>
      <c r="F309" s="302">
        <f>'Ind T6'!S369</f>
        <v>0</v>
      </c>
      <c r="G309" s="299" t="str">
        <f>CONCATENATE("(",ROUND((F309/$H310)*100,1),")")</f>
        <v>(0)</v>
      </c>
      <c r="H309" s="302">
        <f t="shared" ref="H309" si="236">SUM(B309,D309,F309)</f>
        <v>12.807000000190934</v>
      </c>
      <c r="I309" s="299" t="str">
        <f>CONCATENATE("(",ROUND((H309/$H310)*100,1),")")</f>
        <v>(53.6)</v>
      </c>
      <c r="K309" s="302">
        <f t="shared" ref="K309:K310" si="237">B314-B309</f>
        <v>-6.0000001475959408E-3</v>
      </c>
      <c r="L309" s="302">
        <f t="shared" ref="L309:L310" si="238">D314-D309</f>
        <v>-3.4000000046958245E-2</v>
      </c>
      <c r="M309" s="302">
        <f t="shared" ref="M309:M310" si="239">F314-F309</f>
        <v>0</v>
      </c>
      <c r="N309" s="302">
        <f t="shared" ref="N309:N310" si="240">SUM(K309:M309)</f>
        <v>-4.0000000194554186E-2</v>
      </c>
    </row>
    <row r="310" spans="1:14" x14ac:dyDescent="0.2">
      <c r="A310" s="282" t="s">
        <v>354</v>
      </c>
      <c r="B310" s="302">
        <f>SUM(B308:B309)</f>
        <v>19.441000000245793</v>
      </c>
      <c r="C310" s="299" t="str">
        <f>CONCATENATE("(",ROUND((B310/$H310)*100,1),")")</f>
        <v>(81.4)</v>
      </c>
      <c r="D310" s="302">
        <f>SUM(D308:D309)</f>
        <v>3.9530000000396592</v>
      </c>
      <c r="E310" s="299" t="str">
        <f>CONCATENATE("(",ROUND((D310/$H310)*100,1),")")</f>
        <v>(16.5)</v>
      </c>
      <c r="F310" s="302">
        <f>SUM(F308:F309)</f>
        <v>0.49500000003443889</v>
      </c>
      <c r="G310" s="299" t="str">
        <f>CONCATENATE("(",ROUND((F310/$H310)*100,1),")")</f>
        <v>(2.1)</v>
      </c>
      <c r="H310" s="302">
        <f>SUM(H308:H309)</f>
        <v>23.889000000319893</v>
      </c>
      <c r="I310" s="299" t="str">
        <f>CONCATENATE("(",ROUND((H310/$H310)*100,1),")")</f>
        <v>(100)</v>
      </c>
      <c r="K310" s="302">
        <f t="shared" si="237"/>
        <v>2.1999999833951733E-2</v>
      </c>
      <c r="L310" s="302">
        <f t="shared" si="238"/>
        <v>4.9999999513596904E-3</v>
      </c>
      <c r="M310" s="302">
        <f t="shared" si="239"/>
        <v>2.1999999994341768E-2</v>
      </c>
      <c r="N310" s="302">
        <f t="shared" si="240"/>
        <v>4.8999999779653192E-2</v>
      </c>
    </row>
    <row r="311" spans="1:14" x14ac:dyDescent="0.2">
      <c r="B311" s="302"/>
      <c r="C311" s="284"/>
      <c r="D311" s="302"/>
      <c r="E311" s="284"/>
      <c r="F311" s="302"/>
      <c r="G311" s="284"/>
      <c r="H311" s="302"/>
      <c r="I311" s="284"/>
    </row>
    <row r="312" spans="1:14" x14ac:dyDescent="0.2">
      <c r="A312" s="292">
        <f>$A$18</f>
        <v>2035</v>
      </c>
      <c r="B312" s="302"/>
      <c r="C312" s="284"/>
      <c r="D312" s="302"/>
      <c r="E312" s="284"/>
      <c r="F312" s="302"/>
      <c r="G312" s="284"/>
      <c r="H312" s="302"/>
      <c r="I312" s="284"/>
      <c r="K312" s="286" t="str">
        <f>CONCATENATE(A302," - ",A312)</f>
        <v>2020 - 2035</v>
      </c>
    </row>
    <row r="313" spans="1:14" x14ac:dyDescent="0.2">
      <c r="A313" s="282" t="s">
        <v>355</v>
      </c>
      <c r="B313" s="302">
        <f>'Ind T6'!V370</f>
        <v>10.079000000078796</v>
      </c>
      <c r="C313" s="299" t="str">
        <f>CONCATENATE("(",ROUND((B313/$H315)*100,1),")")</f>
        <v>(42.1)</v>
      </c>
      <c r="D313" s="302">
        <f>'Ind T6'!W370</f>
        <v>0.57499999999558704</v>
      </c>
      <c r="E313" s="299" t="str">
        <f>CONCATENATE("(",ROUND((D313/$H315)*100,1),")")</f>
        <v>(2.4)</v>
      </c>
      <c r="F313" s="302">
        <f>'Ind T6'!X370</f>
        <v>0.51700000002878066</v>
      </c>
      <c r="G313" s="299" t="str">
        <f>CONCATENATE("(",ROUND((F313/$H315)*100,1),")")</f>
        <v>(2.2)</v>
      </c>
      <c r="H313" s="302">
        <f>SUM(B313,D313,F313)</f>
        <v>11.171000000103163</v>
      </c>
      <c r="I313" s="299" t="str">
        <f>CONCATENATE("(",ROUND((H313/$H315)*100,1),")")</f>
        <v>(46.7)</v>
      </c>
      <c r="K313" s="302">
        <f>B313-B303</f>
        <v>0.38500000014486169</v>
      </c>
      <c r="L313" s="302">
        <f>D313-D303</f>
        <v>7.7999999995700064E-2</v>
      </c>
      <c r="M313" s="302">
        <f>F313-F303</f>
        <v>6.2000000025103863E-2</v>
      </c>
      <c r="N313" s="302">
        <f>SUM(K313:M313)</f>
        <v>0.52500000016566561</v>
      </c>
    </row>
    <row r="314" spans="1:14" x14ac:dyDescent="0.2">
      <c r="A314" s="282" t="s">
        <v>356</v>
      </c>
      <c r="B314" s="302">
        <f>'Ind T6'!V369</f>
        <v>9.3840000000009471</v>
      </c>
      <c r="C314" s="299" t="str">
        <f>CONCATENATE("(",ROUND((B314/$H315)*100,1),")")</f>
        <v>(39.2)</v>
      </c>
      <c r="D314" s="302">
        <f>'Ind T6'!W369</f>
        <v>3.3829999999954321</v>
      </c>
      <c r="E314" s="299" t="str">
        <f>CONCATENATE("(",ROUND((D314/$H315)*100,1),")")</f>
        <v>(14.1)</v>
      </c>
      <c r="F314" s="302">
        <f>'Ind T6'!X369</f>
        <v>0</v>
      </c>
      <c r="G314" s="299" t="str">
        <f>CONCATENATE("(",ROUND((F314/$H315)*100,1),")")</f>
        <v>(0)</v>
      </c>
      <c r="H314" s="302">
        <f t="shared" ref="H314" si="241">SUM(B314,D314,F314)</f>
        <v>12.766999999996379</v>
      </c>
      <c r="I314" s="299" t="str">
        <f>CONCATENATE("(",ROUND((H314/$H315)*100,1),")")</f>
        <v>(53.3)</v>
      </c>
      <c r="K314" s="302">
        <f t="shared" ref="K314:K315" si="242">B314-B304</f>
        <v>0.29000000006501736</v>
      </c>
      <c r="L314" s="302">
        <f t="shared" ref="L314:L315" si="243">D314-D304</f>
        <v>3.7999999983026278E-2</v>
      </c>
      <c r="M314" s="302">
        <f t="shared" ref="M314:M315" si="244">F314-F304</f>
        <v>0</v>
      </c>
      <c r="N314" s="302">
        <f t="shared" ref="N314:N315" si="245">SUM(K314:M314)</f>
        <v>0.32800000004804364</v>
      </c>
    </row>
    <row r="315" spans="1:14" x14ac:dyDescent="0.2">
      <c r="A315" s="282" t="s">
        <v>354</v>
      </c>
      <c r="B315" s="302">
        <f>SUM(B313:B314)</f>
        <v>19.463000000079745</v>
      </c>
      <c r="C315" s="299" t="str">
        <f>CONCATENATE("(",ROUND((B315/$H315)*100,1),")")</f>
        <v>(81.3)</v>
      </c>
      <c r="D315" s="302">
        <f>SUM(D313:D314)</f>
        <v>3.9579999999910189</v>
      </c>
      <c r="E315" s="299" t="str">
        <f>CONCATENATE("(",ROUND((D315/$H315)*100,1),")")</f>
        <v>(16.5)</v>
      </c>
      <c r="F315" s="302">
        <f>SUM(F313:F314)</f>
        <v>0.51700000002878066</v>
      </c>
      <c r="G315" s="299" t="str">
        <f>CONCATENATE("(",ROUND((F315/$H315)*100,1),")")</f>
        <v>(2.2)</v>
      </c>
      <c r="H315" s="302">
        <f>SUM(H313:H314)</f>
        <v>23.938000000099542</v>
      </c>
      <c r="I315" s="299" t="str">
        <f>CONCATENATE("(",ROUND((H315/$H315)*100,1),")")</f>
        <v>(100)</v>
      </c>
      <c r="K315" s="302">
        <f t="shared" si="242"/>
        <v>0.67500000020988082</v>
      </c>
      <c r="L315" s="302">
        <f t="shared" si="243"/>
        <v>0.11599999997872601</v>
      </c>
      <c r="M315" s="302">
        <f t="shared" si="244"/>
        <v>6.2000000025103863E-2</v>
      </c>
      <c r="N315" s="302">
        <f t="shared" si="245"/>
        <v>0.8530000002137107</v>
      </c>
    </row>
    <row r="316" spans="1:14" x14ac:dyDescent="0.2">
      <c r="A316" s="293"/>
      <c r="B316" s="294"/>
      <c r="C316" s="293"/>
      <c r="D316" s="294"/>
      <c r="E316" s="293"/>
      <c r="F316" s="294"/>
      <c r="G316" s="293"/>
      <c r="H316" s="294"/>
      <c r="I316" s="293"/>
      <c r="J316" s="293"/>
      <c r="K316" s="294"/>
      <c r="L316" s="294"/>
      <c r="M316" s="294"/>
      <c r="N316" s="294"/>
    </row>
    <row r="320" spans="1:14" x14ac:dyDescent="0.2">
      <c r="A320" s="288"/>
      <c r="B320" s="289" t="s">
        <v>379</v>
      </c>
      <c r="C320" s="288"/>
      <c r="D320" s="289"/>
      <c r="E320" s="288"/>
      <c r="F320" s="289" t="str">
        <f>name!B18</f>
        <v>Real estate</v>
      </c>
      <c r="G320" s="288"/>
      <c r="H320" s="291"/>
      <c r="I320" s="288"/>
      <c r="J320" s="290"/>
      <c r="K320" s="291"/>
      <c r="L320" s="291"/>
      <c r="M320" s="291"/>
      <c r="N320" s="291"/>
    </row>
    <row r="321" spans="1:14" x14ac:dyDescent="0.2">
      <c r="N321" s="287" t="s">
        <v>377</v>
      </c>
    </row>
    <row r="322" spans="1:14" x14ac:dyDescent="0.2">
      <c r="A322" s="181" t="s">
        <v>378</v>
      </c>
      <c r="B322" s="369" t="s">
        <v>376</v>
      </c>
      <c r="C322" s="369"/>
      <c r="D322" s="369" t="s">
        <v>375</v>
      </c>
      <c r="E322" s="369"/>
      <c r="F322" s="369" t="s">
        <v>374</v>
      </c>
      <c r="G322" s="369"/>
      <c r="H322" s="369" t="s">
        <v>32</v>
      </c>
      <c r="I322" s="369"/>
      <c r="J322" s="181"/>
      <c r="K322" s="297" t="s">
        <v>339</v>
      </c>
      <c r="L322" s="297" t="s">
        <v>341</v>
      </c>
      <c r="M322" s="297" t="s">
        <v>337</v>
      </c>
      <c r="N322" s="297" t="s">
        <v>32</v>
      </c>
    </row>
    <row r="323" spans="1:14" x14ac:dyDescent="0.2">
      <c r="A323" s="292">
        <f>$A$8</f>
        <v>2020</v>
      </c>
      <c r="B323" s="287" t="s">
        <v>60</v>
      </c>
      <c r="C323" s="19" t="s">
        <v>373</v>
      </c>
      <c r="D323" s="287" t="s">
        <v>60</v>
      </c>
      <c r="E323" s="19" t="s">
        <v>373</v>
      </c>
      <c r="F323" s="287" t="s">
        <v>60</v>
      </c>
      <c r="G323" s="19" t="s">
        <v>373</v>
      </c>
      <c r="H323" s="287" t="s">
        <v>60</v>
      </c>
      <c r="I323" s="19" t="s">
        <v>373</v>
      </c>
      <c r="J323" s="181"/>
      <c r="K323" s="286" t="str">
        <f>CONCATENATE(A323," - ",A328)</f>
        <v>2020 - 2025</v>
      </c>
      <c r="L323" s="285"/>
      <c r="M323" s="285"/>
    </row>
    <row r="324" spans="1:14" x14ac:dyDescent="0.2">
      <c r="A324" s="282" t="s">
        <v>355</v>
      </c>
      <c r="B324" s="302">
        <f>'Ind T6'!L380</f>
        <v>7.0149999999760588</v>
      </c>
      <c r="C324" s="299" t="str">
        <f>CONCATENATE("(",ROUND((B324/$H326)*100,1),")")</f>
        <v>(37.8)</v>
      </c>
      <c r="D324" s="302">
        <f>'Ind T6'!M380</f>
        <v>1.4709999999904526</v>
      </c>
      <c r="E324" s="299" t="str">
        <f>CONCATENATE("(",ROUND((D324/$H326)*100,1),")")</f>
        <v>(7.9)</v>
      </c>
      <c r="F324" s="302">
        <f>'Ind T6'!N380</f>
        <v>9.9999999999673115E-4</v>
      </c>
      <c r="G324" s="299" t="str">
        <f>CONCATENATE("(",ROUND((F324/$H326)*100,1),")")</f>
        <v>(0)</v>
      </c>
      <c r="H324" s="302">
        <f>SUM(B324,D324,F324)</f>
        <v>8.4869999999665069</v>
      </c>
      <c r="I324" s="299" t="str">
        <f>CONCATENATE("(",ROUND((H324/$H326)*100,1),")")</f>
        <v>(45.7)</v>
      </c>
      <c r="K324" s="302">
        <f>B329-B324</f>
        <v>-5.9999999970345108E-2</v>
      </c>
      <c r="L324" s="302">
        <f>D329-D324</f>
        <v>-7.9999999821067647E-3</v>
      </c>
      <c r="M324" s="302">
        <f>F329-F324</f>
        <v>-1.6395522092760295E-14</v>
      </c>
      <c r="N324" s="302">
        <f>SUM(K324:M324)</f>
        <v>-6.7999999952468262E-2</v>
      </c>
    </row>
    <row r="325" spans="1:14" x14ac:dyDescent="0.2">
      <c r="A325" s="282" t="s">
        <v>356</v>
      </c>
      <c r="B325" s="302">
        <f>'Ind T6'!L379</f>
        <v>5.6519999999479289</v>
      </c>
      <c r="C325" s="299" t="str">
        <f>CONCATENATE("(",ROUND((B325/$H326)*100,1),")")</f>
        <v>(30.4)</v>
      </c>
      <c r="D325" s="302">
        <f>'Ind T6'!M379</f>
        <v>2.933000000025614</v>
      </c>
      <c r="E325" s="299" t="str">
        <f>CONCATENATE("(",ROUND((D325/$H326)*100,1),")")</f>
        <v>(15.8)</v>
      </c>
      <c r="F325" s="302">
        <f>'Ind T6'!N379</f>
        <v>1.5019999999794176</v>
      </c>
      <c r="G325" s="299" t="str">
        <f>CONCATENATE("(",ROUND((F325/$H326)*100,1),")")</f>
        <v>(8.1)</v>
      </c>
      <c r="H325" s="302">
        <f t="shared" ref="H325" si="246">SUM(B325,D325,F325)</f>
        <v>10.086999999952962</v>
      </c>
      <c r="I325" s="299" t="str">
        <f>CONCATENATE("(",ROUND((H325/$H326)*100,1),")")</f>
        <v>(54.3)</v>
      </c>
      <c r="K325" s="302">
        <f t="shared" ref="K325:K326" si="247">B330-B325</f>
        <v>0.15600000019805282</v>
      </c>
      <c r="L325" s="302">
        <f t="shared" ref="L325:L326" si="248">D330-D325</f>
        <v>-0.14999999991372626</v>
      </c>
      <c r="M325" s="302">
        <f t="shared" ref="M325:M326" si="249">F330-F325</f>
        <v>1.0000000008961729E-2</v>
      </c>
      <c r="N325" s="302">
        <f t="shared" ref="N325:N326" si="250">SUM(K325:M325)</f>
        <v>1.6000000293288297E-2</v>
      </c>
    </row>
    <row r="326" spans="1:14" x14ac:dyDescent="0.2">
      <c r="A326" s="282" t="s">
        <v>354</v>
      </c>
      <c r="B326" s="302">
        <f>SUM(B324:B325)</f>
        <v>12.666999999923988</v>
      </c>
      <c r="C326" s="299" t="str">
        <f>CONCATENATE("(",ROUND((B326/$H326)*100,1),")")</f>
        <v>(68.2)</v>
      </c>
      <c r="D326" s="302">
        <f>SUM(D324:D325)</f>
        <v>4.4040000000160671</v>
      </c>
      <c r="E326" s="299" t="str">
        <f>CONCATENATE("(",ROUND((D326/$H326)*100,1),")")</f>
        <v>(23.7)</v>
      </c>
      <c r="F326" s="302">
        <f>SUM(F324:F325)</f>
        <v>1.5029999999794144</v>
      </c>
      <c r="G326" s="299" t="str">
        <f>CONCATENATE("(",ROUND((F326/$H326)*100,1),")")</f>
        <v>(8.1)</v>
      </c>
      <c r="H326" s="302">
        <f>SUM(H324:H325)</f>
        <v>18.573999999919469</v>
      </c>
      <c r="I326" s="299" t="str">
        <f>CONCATENATE("(",ROUND((H326/$H326)*100,1),")")</f>
        <v>(100)</v>
      </c>
      <c r="K326" s="302">
        <f t="shared" si="247"/>
        <v>9.6000000227707716E-2</v>
      </c>
      <c r="L326" s="302">
        <f t="shared" si="248"/>
        <v>-0.15799999989583391</v>
      </c>
      <c r="M326" s="302">
        <f t="shared" si="249"/>
        <v>1.0000000008945298E-2</v>
      </c>
      <c r="N326" s="302">
        <f t="shared" si="250"/>
        <v>-5.1999999659180896E-2</v>
      </c>
    </row>
    <row r="327" spans="1:14" x14ac:dyDescent="0.2">
      <c r="B327" s="302"/>
      <c r="C327" s="284"/>
      <c r="D327" s="302"/>
      <c r="E327" s="284"/>
      <c r="F327" s="302"/>
      <c r="G327" s="284"/>
      <c r="H327" s="302"/>
      <c r="I327" s="284"/>
    </row>
    <row r="328" spans="1:14" x14ac:dyDescent="0.2">
      <c r="A328" s="292">
        <f>$A$13</f>
        <v>2025</v>
      </c>
      <c r="B328" s="302"/>
      <c r="C328" s="284"/>
      <c r="D328" s="302"/>
      <c r="E328" s="284"/>
      <c r="F328" s="302"/>
      <c r="G328" s="284"/>
      <c r="H328" s="302"/>
      <c r="I328" s="284"/>
      <c r="K328" s="286" t="str">
        <f>CONCATENATE(A328," - ",A333)</f>
        <v>2025 - 2035</v>
      </c>
    </row>
    <row r="329" spans="1:14" x14ac:dyDescent="0.2">
      <c r="A329" s="282" t="s">
        <v>355</v>
      </c>
      <c r="B329" s="302">
        <f>'Ind T6'!Q380</f>
        <v>6.9550000000057137</v>
      </c>
      <c r="C329" s="299" t="str">
        <f>CONCATENATE("(",ROUND((B329/$H331)*100,1),")")</f>
        <v>(37.5)</v>
      </c>
      <c r="D329" s="302">
        <f>'Ind T6'!R380</f>
        <v>1.4630000000083458</v>
      </c>
      <c r="E329" s="299" t="str">
        <f>CONCATENATE("(",ROUND((D329/$H331)*100,1),")")</f>
        <v>(7.9)</v>
      </c>
      <c r="F329" s="302">
        <f>'Ind T6'!S380</f>
        <v>9.9999999998033563E-4</v>
      </c>
      <c r="G329" s="299" t="str">
        <f>CONCATENATE("(",ROUND((F329/$H331)*100,1),")")</f>
        <v>(0)</v>
      </c>
      <c r="H329" s="302">
        <f>SUM(B329,D329,F329)</f>
        <v>8.419000000014039</v>
      </c>
      <c r="I329" s="299" t="str">
        <f>CONCATENATE("(",ROUND((H329/$H331)*100,1),")")</f>
        <v>(45.5)</v>
      </c>
      <c r="K329" s="302">
        <f>B334-B329</f>
        <v>0.91199999998268488</v>
      </c>
      <c r="L329" s="302">
        <f>D334-D329</f>
        <v>0.22200000000500819</v>
      </c>
      <c r="M329" s="302">
        <f>F334-F329</f>
        <v>7.8635015166028666E-15</v>
      </c>
      <c r="N329" s="302">
        <f>SUM(K329:M329)</f>
        <v>1.1339999999877008</v>
      </c>
    </row>
    <row r="330" spans="1:14" x14ac:dyDescent="0.2">
      <c r="A330" s="282" t="s">
        <v>356</v>
      </c>
      <c r="B330" s="302">
        <f>'Ind T6'!Q379</f>
        <v>5.8080000001459817</v>
      </c>
      <c r="C330" s="299" t="str">
        <f>CONCATENATE("(",ROUND((B330/$H331)*100,1),")")</f>
        <v>(31.4)</v>
      </c>
      <c r="D330" s="302">
        <f>'Ind T6'!R379</f>
        <v>2.7830000001118878</v>
      </c>
      <c r="E330" s="299" t="str">
        <f>CONCATENATE("(",ROUND((D330/$H331)*100,1),")")</f>
        <v>(15)</v>
      </c>
      <c r="F330" s="302">
        <f>'Ind T6'!S379</f>
        <v>1.5119999999883793</v>
      </c>
      <c r="G330" s="299" t="str">
        <f>CONCATENATE("(",ROUND((F330/$H331)*100,1),")")</f>
        <v>(8.2)</v>
      </c>
      <c r="H330" s="302">
        <f t="shared" ref="H330" si="251">SUM(B330,D330,F330)</f>
        <v>10.103000000246249</v>
      </c>
      <c r="I330" s="299" t="str">
        <f>CONCATENATE("(",ROUND((H330/$H331)*100,1),")")</f>
        <v>(54.5)</v>
      </c>
      <c r="K330" s="302">
        <f t="shared" ref="K330:K331" si="252">B335-B330</f>
        <v>1.2299999998417475</v>
      </c>
      <c r="L330" s="302">
        <f t="shared" ref="L330:L331" si="253">D335-D330</f>
        <v>9.9999999899544445E-2</v>
      </c>
      <c r="M330" s="302">
        <f t="shared" ref="M330:M331" si="254">F335-F330</f>
        <v>0.21100000002957198</v>
      </c>
      <c r="N330" s="302">
        <f t="shared" ref="N330:N331" si="255">SUM(K330:M330)</f>
        <v>1.5409999997708639</v>
      </c>
    </row>
    <row r="331" spans="1:14" x14ac:dyDescent="0.2">
      <c r="A331" s="282" t="s">
        <v>354</v>
      </c>
      <c r="B331" s="302">
        <f>SUM(B329:B330)</f>
        <v>12.763000000151695</v>
      </c>
      <c r="C331" s="299" t="str">
        <f>CONCATENATE("(",ROUND((B331/$H331)*100,1),")")</f>
        <v>(68.9)</v>
      </c>
      <c r="D331" s="302">
        <f>SUM(D329:D330)</f>
        <v>4.2460000001202332</v>
      </c>
      <c r="E331" s="299" t="str">
        <f>CONCATENATE("(",ROUND((D331/$H331)*100,1),")")</f>
        <v>(22.9)</v>
      </c>
      <c r="F331" s="302">
        <f>SUM(F329:F330)</f>
        <v>1.5129999999883597</v>
      </c>
      <c r="G331" s="299" t="str">
        <f>CONCATENATE("(",ROUND((F331/$H331)*100,1),")")</f>
        <v>(8.2)</v>
      </c>
      <c r="H331" s="302">
        <f>SUM(H329:H330)</f>
        <v>18.522000000260288</v>
      </c>
      <c r="I331" s="299" t="str">
        <f>CONCATENATE("(",ROUND((H331/$H331)*100,1),")")</f>
        <v>(100)</v>
      </c>
      <c r="K331" s="302">
        <f t="shared" si="252"/>
        <v>2.1419999998244315</v>
      </c>
      <c r="L331" s="302">
        <f t="shared" si="253"/>
        <v>0.32199999990455286</v>
      </c>
      <c r="M331" s="302">
        <f t="shared" si="254"/>
        <v>0.21100000002957975</v>
      </c>
      <c r="N331" s="302">
        <f t="shared" si="255"/>
        <v>2.6749999997585641</v>
      </c>
    </row>
    <row r="332" spans="1:14" x14ac:dyDescent="0.2">
      <c r="B332" s="302"/>
      <c r="C332" s="284"/>
      <c r="D332" s="302"/>
      <c r="E332" s="284"/>
      <c r="F332" s="302"/>
      <c r="G332" s="284"/>
      <c r="H332" s="302"/>
      <c r="I332" s="284"/>
    </row>
    <row r="333" spans="1:14" x14ac:dyDescent="0.2">
      <c r="A333" s="292">
        <f>$A$18</f>
        <v>2035</v>
      </c>
      <c r="B333" s="302"/>
      <c r="C333" s="284"/>
      <c r="D333" s="302"/>
      <c r="E333" s="284"/>
      <c r="F333" s="302"/>
      <c r="G333" s="284"/>
      <c r="H333" s="302"/>
      <c r="I333" s="284"/>
      <c r="K333" s="286" t="str">
        <f>CONCATENATE(A323," - ",A333)</f>
        <v>2020 - 2035</v>
      </c>
    </row>
    <row r="334" spans="1:14" x14ac:dyDescent="0.2">
      <c r="A334" s="282" t="s">
        <v>355</v>
      </c>
      <c r="B334" s="302">
        <f>'Ind T6'!V380</f>
        <v>7.8669999999883986</v>
      </c>
      <c r="C334" s="299" t="str">
        <f>CONCATENATE("(",ROUND((B334/$H336)*100,1),")")</f>
        <v>(37.1)</v>
      </c>
      <c r="D334" s="302">
        <f>'Ind T6'!W380</f>
        <v>1.685000000013354</v>
      </c>
      <c r="E334" s="299" t="str">
        <f>CONCATENATE("(",ROUND((D334/$H336)*100,1),")")</f>
        <v>(7.9)</v>
      </c>
      <c r="F334" s="302">
        <f>'Ind T6'!X380</f>
        <v>9.9999999998819913E-4</v>
      </c>
      <c r="G334" s="299" t="str">
        <f>CONCATENATE("(",ROUND((F334/$H336)*100,1),")")</f>
        <v>(0)</v>
      </c>
      <c r="H334" s="302">
        <f>SUM(B334,D334,F334)</f>
        <v>9.5530000000017417</v>
      </c>
      <c r="I334" s="299" t="str">
        <f>CONCATENATE("(",ROUND((H334/$H336)*100,1),")")</f>
        <v>(45.1)</v>
      </c>
      <c r="K334" s="302">
        <f>B334-B324</f>
        <v>0.85200000001233978</v>
      </c>
      <c r="L334" s="302">
        <f>D334-D324</f>
        <v>0.21400000002290143</v>
      </c>
      <c r="M334" s="302">
        <f>F334-F324</f>
        <v>-8.5320205761574286E-15</v>
      </c>
      <c r="N334" s="302">
        <f>SUM(K334:M334)</f>
        <v>1.0660000000352328</v>
      </c>
    </row>
    <row r="335" spans="1:14" x14ac:dyDescent="0.2">
      <c r="A335" s="282" t="s">
        <v>356</v>
      </c>
      <c r="B335" s="302">
        <f>'Ind T6'!V379</f>
        <v>7.0379999999877292</v>
      </c>
      <c r="C335" s="299" t="str">
        <f>CONCATENATE("(",ROUND((B335/$H336)*100,1),")")</f>
        <v>(33.2)</v>
      </c>
      <c r="D335" s="302">
        <f>'Ind T6'!W379</f>
        <v>2.8830000000114322</v>
      </c>
      <c r="E335" s="299" t="str">
        <f>CONCATENATE("(",ROUND((D335/$H336)*100,1),")")</f>
        <v>(13.6)</v>
      </c>
      <c r="F335" s="302">
        <f>'Ind T6'!X379</f>
        <v>1.7230000000179513</v>
      </c>
      <c r="G335" s="299" t="str">
        <f>CONCATENATE("(",ROUND((F335/$H336)*100,1),")")</f>
        <v>(8.1)</v>
      </c>
      <c r="H335" s="302">
        <f>SUM(B335,D335,F335)</f>
        <v>11.644000000017112</v>
      </c>
      <c r="I335" s="299" t="str">
        <f>CONCATENATE("(",ROUND((H335/$H336)*100,1),")")</f>
        <v>(54.9)</v>
      </c>
      <c r="K335" s="302">
        <f t="shared" ref="K335:K336" si="256">B335-B325</f>
        <v>1.3860000000398003</v>
      </c>
      <c r="L335" s="302">
        <f t="shared" ref="L335:L336" si="257">D335-D325</f>
        <v>-5.0000000014181811E-2</v>
      </c>
      <c r="M335" s="302">
        <f t="shared" ref="M335:M336" si="258">F335-F325</f>
        <v>0.22100000003853371</v>
      </c>
      <c r="N335" s="302">
        <f t="shared" ref="N335:N336" si="259">SUM(K335:M335)</f>
        <v>1.5570000000641522</v>
      </c>
    </row>
    <row r="336" spans="1:14" x14ac:dyDescent="0.2">
      <c r="A336" s="282" t="s">
        <v>354</v>
      </c>
      <c r="B336" s="302">
        <f>SUM(B334:B335)</f>
        <v>14.904999999976127</v>
      </c>
      <c r="C336" s="299" t="str">
        <f>CONCATENATE("(",ROUND((B336/$H336)*100,1),")")</f>
        <v>(70.3)</v>
      </c>
      <c r="D336" s="302">
        <f>SUM(D334:D335)</f>
        <v>4.568000000024786</v>
      </c>
      <c r="E336" s="299" t="str">
        <f>CONCATENATE("(",ROUND((D336/$H336)*100,1),")")</f>
        <v>(21.6)</v>
      </c>
      <c r="F336" s="302">
        <f>SUM(F334:F335)</f>
        <v>1.7240000000179394</v>
      </c>
      <c r="G336" s="299" t="str">
        <f>CONCATENATE("(",ROUND((F336/$H336)*100,1),")")</f>
        <v>(8.1)</v>
      </c>
      <c r="H336" s="302">
        <f>SUM(H334:H335)</f>
        <v>21.197000000018853</v>
      </c>
      <c r="I336" s="299" t="str">
        <f>CONCATENATE("(",ROUND((H336/$H336)*100,1),")")</f>
        <v>(100)</v>
      </c>
      <c r="K336" s="302">
        <f t="shared" si="256"/>
        <v>2.2380000000521392</v>
      </c>
      <c r="L336" s="302">
        <f t="shared" si="257"/>
        <v>0.16400000000871895</v>
      </c>
      <c r="M336" s="302">
        <f t="shared" si="258"/>
        <v>0.22100000003852505</v>
      </c>
      <c r="N336" s="302">
        <f t="shared" si="259"/>
        <v>2.6230000000993829</v>
      </c>
    </row>
    <row r="337" spans="1:14" x14ac:dyDescent="0.2">
      <c r="A337" s="293"/>
      <c r="B337" s="294"/>
      <c r="C337" s="293"/>
      <c r="D337" s="294"/>
      <c r="E337" s="293"/>
      <c r="F337" s="294"/>
      <c r="G337" s="293"/>
      <c r="H337" s="294"/>
      <c r="I337" s="293"/>
      <c r="J337" s="293"/>
      <c r="K337" s="294"/>
      <c r="L337" s="294"/>
      <c r="M337" s="294"/>
      <c r="N337" s="294"/>
    </row>
    <row r="341" spans="1:14" x14ac:dyDescent="0.2">
      <c r="A341" s="288"/>
      <c r="B341" s="289" t="s">
        <v>379</v>
      </c>
      <c r="C341" s="288"/>
      <c r="D341" s="289"/>
      <c r="E341" s="288"/>
      <c r="F341" s="289" t="str">
        <f>name!B19</f>
        <v>Professional services</v>
      </c>
      <c r="G341" s="288"/>
      <c r="H341" s="291"/>
      <c r="I341" s="288"/>
      <c r="J341" s="290"/>
      <c r="K341" s="291"/>
      <c r="L341" s="291"/>
      <c r="M341" s="291"/>
      <c r="N341" s="291"/>
    </row>
    <row r="342" spans="1:14" x14ac:dyDescent="0.2">
      <c r="N342" s="287" t="s">
        <v>377</v>
      </c>
    </row>
    <row r="343" spans="1:14" x14ac:dyDescent="0.2">
      <c r="A343" s="181" t="s">
        <v>378</v>
      </c>
      <c r="B343" s="369" t="s">
        <v>376</v>
      </c>
      <c r="C343" s="369"/>
      <c r="D343" s="369" t="s">
        <v>375</v>
      </c>
      <c r="E343" s="369"/>
      <c r="F343" s="369" t="s">
        <v>374</v>
      </c>
      <c r="G343" s="369"/>
      <c r="H343" s="369" t="s">
        <v>32</v>
      </c>
      <c r="I343" s="369"/>
      <c r="J343" s="181"/>
      <c r="K343" s="297" t="s">
        <v>339</v>
      </c>
      <c r="L343" s="297" t="s">
        <v>341</v>
      </c>
      <c r="M343" s="297" t="s">
        <v>337</v>
      </c>
      <c r="N343" s="297" t="s">
        <v>32</v>
      </c>
    </row>
    <row r="344" spans="1:14" x14ac:dyDescent="0.2">
      <c r="A344" s="292">
        <f>$A$8</f>
        <v>2020</v>
      </c>
      <c r="B344" s="287" t="s">
        <v>60</v>
      </c>
      <c r="C344" s="19" t="s">
        <v>373</v>
      </c>
      <c r="D344" s="287" t="s">
        <v>60</v>
      </c>
      <c r="E344" s="19" t="s">
        <v>373</v>
      </c>
      <c r="F344" s="287" t="s">
        <v>60</v>
      </c>
      <c r="G344" s="19" t="s">
        <v>373</v>
      </c>
      <c r="H344" s="287" t="s">
        <v>60</v>
      </c>
      <c r="I344" s="19" t="s">
        <v>373</v>
      </c>
      <c r="J344" s="181"/>
      <c r="K344" s="286" t="str">
        <f>CONCATENATE(A344," - ",A349)</f>
        <v>2020 - 2025</v>
      </c>
      <c r="L344" s="285"/>
      <c r="M344" s="285"/>
    </row>
    <row r="345" spans="1:14" x14ac:dyDescent="0.2">
      <c r="A345" s="282" t="s">
        <v>355</v>
      </c>
      <c r="B345" s="302">
        <f>'Ind T6'!L425</f>
        <v>30.051999999654225</v>
      </c>
      <c r="C345" s="299" t="str">
        <f>CONCATENATE("(",ROUND((B345/$H347)*100,1),")")</f>
        <v>(42.3)</v>
      </c>
      <c r="D345" s="302">
        <f>'Ind T6'!M425</f>
        <v>4.4379999999943021</v>
      </c>
      <c r="E345" s="299" t="str">
        <f>CONCATENATE("(",ROUND((D345/$H347)*100,1),")")</f>
        <v>(6.2)</v>
      </c>
      <c r="F345" s="302">
        <f>'Ind T6'!N425</f>
        <v>8.2860000000648188</v>
      </c>
      <c r="G345" s="299" t="str">
        <f>CONCATENATE("(",ROUND((F345/$H347)*100,1),")")</f>
        <v>(11.7)</v>
      </c>
      <c r="H345" s="302">
        <f>SUM(B345,D345,F345)</f>
        <v>42.775999999713342</v>
      </c>
      <c r="I345" s="299" t="str">
        <f>CONCATENATE("(",ROUND((H345/$H347)*100,1),")")</f>
        <v>(60.2)</v>
      </c>
      <c r="K345" s="302">
        <f>B350-B345</f>
        <v>8.9466212216393615E-10</v>
      </c>
      <c r="L345" s="302">
        <f>D350-D345</f>
        <v>0.18700000000121086</v>
      </c>
      <c r="M345" s="302">
        <f>F350-F345</f>
        <v>0.4110000004039609</v>
      </c>
      <c r="N345" s="302">
        <f>SUM(K345:M345)</f>
        <v>0.59800000129983388</v>
      </c>
    </row>
    <row r="346" spans="1:14" x14ac:dyDescent="0.2">
      <c r="A346" s="282" t="s">
        <v>356</v>
      </c>
      <c r="B346" s="302">
        <f>'Ind T6'!L424</f>
        <v>17.855999999973623</v>
      </c>
      <c r="C346" s="299" t="str">
        <f>CONCATENATE("(",ROUND((B346/$H347)*100,1),")")</f>
        <v>(25.1)</v>
      </c>
      <c r="D346" s="302">
        <f>'Ind T6'!M424</f>
        <v>8.8330000000468516</v>
      </c>
      <c r="E346" s="299" t="str">
        <f>CONCATENATE("(",ROUND((D346/$H347)*100,1),")")</f>
        <v>(12.4)</v>
      </c>
      <c r="F346" s="302">
        <f>'Ind T6'!N424</f>
        <v>1.6440000000088149</v>
      </c>
      <c r="G346" s="299" t="str">
        <f>CONCATENATE("(",ROUND((F346/$H347)*100,1),")")</f>
        <v>(2.3)</v>
      </c>
      <c r="H346" s="302">
        <f t="shared" ref="H346" si="260">SUM(B346,D346,F346)</f>
        <v>28.333000000029291</v>
      </c>
      <c r="I346" s="299" t="str">
        <f>CONCATENATE("(",ROUND((H346/$H347)*100,1),")")</f>
        <v>(39.8)</v>
      </c>
      <c r="K346" s="302">
        <f t="shared" ref="K346:K347" si="261">B351-B346</f>
        <v>0.73900000006437594</v>
      </c>
      <c r="L346" s="302">
        <f t="shared" ref="L346:L347" si="262">D351-D346</f>
        <v>0.43599999995707783</v>
      </c>
      <c r="M346" s="302">
        <f t="shared" ref="M346:M347" si="263">F351-F346</f>
        <v>0.19299999995597061</v>
      </c>
      <c r="N346" s="302">
        <f t="shared" ref="N346:N347" si="264">SUM(K346:M346)</f>
        <v>1.3679999999774244</v>
      </c>
    </row>
    <row r="347" spans="1:14" x14ac:dyDescent="0.2">
      <c r="A347" s="282" t="s">
        <v>354</v>
      </c>
      <c r="B347" s="302">
        <f>SUM(B345:B346)</f>
        <v>47.907999999627847</v>
      </c>
      <c r="C347" s="299" t="str">
        <f>CONCATENATE("(",ROUND((B347/$H347)*100,1),")")</f>
        <v>(67.4)</v>
      </c>
      <c r="D347" s="302">
        <f>SUM(D345:D346)</f>
        <v>13.271000000041154</v>
      </c>
      <c r="E347" s="299" t="str">
        <f>CONCATENATE("(",ROUND((D347/$H347)*100,1),")")</f>
        <v>(18.7)</v>
      </c>
      <c r="F347" s="302">
        <f>SUM(F345:F346)</f>
        <v>9.9300000000736333</v>
      </c>
      <c r="G347" s="299" t="str">
        <f>CONCATENATE("(",ROUND((F347/$H347)*100,1),")")</f>
        <v>(14)</v>
      </c>
      <c r="H347" s="302">
        <f>SUM(H345:H346)</f>
        <v>71.108999999742636</v>
      </c>
      <c r="I347" s="299" t="str">
        <f>CONCATENATE("(",ROUND((H347/$H347)*100,1),")")</f>
        <v>(100)</v>
      </c>
      <c r="K347" s="302">
        <f t="shared" si="261"/>
        <v>0.73900000095903806</v>
      </c>
      <c r="L347" s="302">
        <f t="shared" si="262"/>
        <v>0.6229999999582887</v>
      </c>
      <c r="M347" s="302">
        <f t="shared" si="263"/>
        <v>0.60400000035993173</v>
      </c>
      <c r="N347" s="302">
        <f t="shared" si="264"/>
        <v>1.9660000012772585</v>
      </c>
    </row>
    <row r="348" spans="1:14" x14ac:dyDescent="0.2">
      <c r="B348" s="302"/>
      <c r="C348" s="284"/>
      <c r="D348" s="302"/>
      <c r="E348" s="284"/>
      <c r="F348" s="302"/>
      <c r="G348" s="284"/>
      <c r="H348" s="302"/>
      <c r="I348" s="284"/>
    </row>
    <row r="349" spans="1:14" x14ac:dyDescent="0.2">
      <c r="A349" s="292">
        <f>$A$13</f>
        <v>2025</v>
      </c>
      <c r="B349" s="302"/>
      <c r="C349" s="284"/>
      <c r="D349" s="302"/>
      <c r="E349" s="284"/>
      <c r="F349" s="302"/>
      <c r="G349" s="284"/>
      <c r="H349" s="302"/>
      <c r="I349" s="284"/>
      <c r="K349" s="286" t="str">
        <f>CONCATENATE(A349," - ",A354)</f>
        <v>2025 - 2035</v>
      </c>
    </row>
    <row r="350" spans="1:14" x14ac:dyDescent="0.2">
      <c r="A350" s="282" t="s">
        <v>355</v>
      </c>
      <c r="B350" s="302">
        <f>'Ind T6'!Q425</f>
        <v>30.052000000548887</v>
      </c>
      <c r="C350" s="299" t="str">
        <f>CONCATENATE("(",ROUND((B350/$H352)*100,1),")")</f>
        <v>(41.1)</v>
      </c>
      <c r="D350" s="302">
        <f>'Ind T6'!R425</f>
        <v>4.6249999999955129</v>
      </c>
      <c r="E350" s="299" t="str">
        <f>CONCATENATE("(",ROUND((D350/$H352)*100,1),")")</f>
        <v>(6.3)</v>
      </c>
      <c r="F350" s="302">
        <f>'Ind T6'!S425</f>
        <v>8.6970000004687797</v>
      </c>
      <c r="G350" s="299" t="str">
        <f>CONCATENATE("(",ROUND((F350/$H352)*100,1),")")</f>
        <v>(11.9)</v>
      </c>
      <c r="H350" s="302">
        <f>SUM(B350,D350,F350)</f>
        <v>43.374000001013172</v>
      </c>
      <c r="I350" s="299" t="str">
        <f>CONCATENATE("(",ROUND((H350/$H352)*100,1),")")</f>
        <v>(59.4)</v>
      </c>
      <c r="K350" s="302">
        <f>B355-B350</f>
        <v>0.75099999991203248</v>
      </c>
      <c r="L350" s="302">
        <f>D355-D350</f>
        <v>0.38799999999892787</v>
      </c>
      <c r="M350" s="302">
        <f>F355-F350</f>
        <v>0.7129999998918457</v>
      </c>
      <c r="N350" s="302">
        <f>SUM(K350:M350)</f>
        <v>1.8519999998028061</v>
      </c>
    </row>
    <row r="351" spans="1:14" x14ac:dyDescent="0.2">
      <c r="A351" s="282" t="s">
        <v>356</v>
      </c>
      <c r="B351" s="302">
        <f>'Ind T6'!Q424</f>
        <v>18.595000000037999</v>
      </c>
      <c r="C351" s="299" t="str">
        <f>CONCATENATE("(",ROUND((B351/$H352)*100,1),")")</f>
        <v>(25.4)</v>
      </c>
      <c r="D351" s="302">
        <f>'Ind T6'!R424</f>
        <v>9.2690000000039294</v>
      </c>
      <c r="E351" s="299" t="str">
        <f>CONCATENATE("(",ROUND((D351/$H352)*100,1),")")</f>
        <v>(12.7)</v>
      </c>
      <c r="F351" s="302">
        <f>'Ind T6'!S424</f>
        <v>1.8369999999647855</v>
      </c>
      <c r="G351" s="299" t="str">
        <f>CONCATENATE("(",ROUND((F351/$H352)*100,1),")")</f>
        <v>(2.5)</v>
      </c>
      <c r="H351" s="302">
        <f t="shared" ref="H351" si="265">SUM(B351,D351,F351)</f>
        <v>29.701000000006712</v>
      </c>
      <c r="I351" s="299" t="str">
        <f>CONCATENATE("(",ROUND((H351/$H352)*100,1),")")</f>
        <v>(40.6)</v>
      </c>
      <c r="K351" s="302">
        <f t="shared" ref="K351:K352" si="266">B356-B351</f>
        <v>1.235000000010352</v>
      </c>
      <c r="L351" s="302">
        <f t="shared" ref="L351:L352" si="267">D356-D351</f>
        <v>0.61800000003719902</v>
      </c>
      <c r="M351" s="302">
        <f t="shared" ref="M351:M352" si="268">F356-F351</f>
        <v>0.31300000004028194</v>
      </c>
      <c r="N351" s="302">
        <f t="shared" ref="N351:N352" si="269">SUM(K351:M351)</f>
        <v>2.1660000000878332</v>
      </c>
    </row>
    <row r="352" spans="1:14" x14ac:dyDescent="0.2">
      <c r="A352" s="282" t="s">
        <v>354</v>
      </c>
      <c r="B352" s="302">
        <f>SUM(B350:B351)</f>
        <v>48.647000000586885</v>
      </c>
      <c r="C352" s="299" t="str">
        <f>CONCATENATE("(",ROUND((B352/$H352)*100,1),")")</f>
        <v>(66.6)</v>
      </c>
      <c r="D352" s="302">
        <f>SUM(D350:D351)</f>
        <v>13.893999999999442</v>
      </c>
      <c r="E352" s="299" t="str">
        <f>CONCATENATE("(",ROUND((D352/$H352)*100,1),")")</f>
        <v>(19)</v>
      </c>
      <c r="F352" s="302">
        <f>SUM(F350:F351)</f>
        <v>10.534000000433565</v>
      </c>
      <c r="G352" s="299" t="str">
        <f>CONCATENATE("(",ROUND((F352/$H352)*100,1),")")</f>
        <v>(14.4)</v>
      </c>
      <c r="H352" s="302">
        <f>SUM(H350:H351)</f>
        <v>73.075000001019887</v>
      </c>
      <c r="I352" s="299" t="str">
        <f>CONCATENATE("(",ROUND((H352/$H352)*100,1),")")</f>
        <v>(100)</v>
      </c>
      <c r="K352" s="302">
        <f t="shared" si="266"/>
        <v>1.9859999999223845</v>
      </c>
      <c r="L352" s="302">
        <f t="shared" si="267"/>
        <v>1.006000000036126</v>
      </c>
      <c r="M352" s="302">
        <f t="shared" si="268"/>
        <v>1.0259999999321288</v>
      </c>
      <c r="N352" s="302">
        <f t="shared" si="269"/>
        <v>4.0179999998906393</v>
      </c>
    </row>
    <row r="353" spans="1:14" x14ac:dyDescent="0.2">
      <c r="B353" s="302"/>
      <c r="C353" s="284"/>
      <c r="D353" s="302"/>
      <c r="E353" s="284"/>
      <c r="F353" s="302"/>
      <c r="G353" s="284"/>
      <c r="H353" s="302"/>
      <c r="I353" s="284"/>
    </row>
    <row r="354" spans="1:14" x14ac:dyDescent="0.2">
      <c r="A354" s="292">
        <f>$A$18</f>
        <v>2035</v>
      </c>
      <c r="B354" s="302"/>
      <c r="C354" s="284"/>
      <c r="D354" s="302"/>
      <c r="E354" s="284"/>
      <c r="F354" s="302"/>
      <c r="G354" s="284"/>
      <c r="H354" s="302"/>
      <c r="I354" s="284"/>
      <c r="K354" s="286" t="str">
        <f>CONCATENATE(A344," - ",A354)</f>
        <v>2020 - 2035</v>
      </c>
    </row>
    <row r="355" spans="1:14" x14ac:dyDescent="0.2">
      <c r="A355" s="282" t="s">
        <v>355</v>
      </c>
      <c r="B355" s="302">
        <f>'Ind T6'!V425</f>
        <v>30.803000000460919</v>
      </c>
      <c r="C355" s="299" t="str">
        <f>CONCATENATE("(",ROUND((B355/$H357)*100,1),")")</f>
        <v>(40)</v>
      </c>
      <c r="D355" s="302">
        <f>'Ind T6'!W425</f>
        <v>5.0129999999944408</v>
      </c>
      <c r="E355" s="299" t="str">
        <f>CONCATENATE("(",ROUND((D355/$H357)*100,1),")")</f>
        <v>(6.5)</v>
      </c>
      <c r="F355" s="302">
        <f>'Ind T6'!X425</f>
        <v>9.4100000003606254</v>
      </c>
      <c r="G355" s="299" t="str">
        <f>CONCATENATE("(",ROUND((F355/$H357)*100,1),")")</f>
        <v>(12.2)</v>
      </c>
      <c r="H355" s="302">
        <f>SUM(B355,D355,F355)</f>
        <v>45.226000000815986</v>
      </c>
      <c r="I355" s="299" t="str">
        <f>CONCATENATE("(",ROUND((H355/$H357)*100,1),")")</f>
        <v>(58.7)</v>
      </c>
      <c r="K355" s="302">
        <f>B355-B345</f>
        <v>0.7510000008066946</v>
      </c>
      <c r="L355" s="302">
        <f>D355-D345</f>
        <v>0.57500000000013873</v>
      </c>
      <c r="M355" s="302">
        <f>F355-F345</f>
        <v>1.1240000002958066</v>
      </c>
      <c r="N355" s="302">
        <f>SUM(K355:M355)</f>
        <v>2.4500000011026399</v>
      </c>
    </row>
    <row r="356" spans="1:14" x14ac:dyDescent="0.2">
      <c r="A356" s="282" t="s">
        <v>356</v>
      </c>
      <c r="B356" s="302">
        <f>'Ind T6'!V424</f>
        <v>19.830000000048351</v>
      </c>
      <c r="C356" s="299" t="str">
        <f>CONCATENATE("(",ROUND((B356/$H357)*100,1),")")</f>
        <v>(25.7)</v>
      </c>
      <c r="D356" s="302">
        <f>'Ind T6'!W424</f>
        <v>9.8870000000411284</v>
      </c>
      <c r="E356" s="299" t="str">
        <f>CONCATENATE("(",ROUND((D356/$H357)*100,1),")")</f>
        <v>(12.8)</v>
      </c>
      <c r="F356" s="302">
        <f>'Ind T6'!X424</f>
        <v>2.1500000000050674</v>
      </c>
      <c r="G356" s="299" t="str">
        <f>CONCATENATE("(",ROUND((F356/$H357)*100,1),")")</f>
        <v>(2.8)</v>
      </c>
      <c r="H356" s="302">
        <f t="shared" ref="H356" si="270">SUM(B356,D356,F356)</f>
        <v>31.867000000094546</v>
      </c>
      <c r="I356" s="299" t="str">
        <f>CONCATENATE("(",ROUND((H356/$H357)*100,1),")")</f>
        <v>(41.3)</v>
      </c>
      <c r="K356" s="302">
        <f t="shared" ref="K356:K357" si="271">B356-B346</f>
        <v>1.974000000074728</v>
      </c>
      <c r="L356" s="302">
        <f t="shared" ref="L356:L357" si="272">D356-D346</f>
        <v>1.0539999999942768</v>
      </c>
      <c r="M356" s="302">
        <f t="shared" ref="M356:M357" si="273">F356-F346</f>
        <v>0.50599999999625256</v>
      </c>
      <c r="N356" s="302">
        <f t="shared" ref="N356:N357" si="274">SUM(K356:M356)</f>
        <v>3.5340000000652574</v>
      </c>
    </row>
    <row r="357" spans="1:14" x14ac:dyDescent="0.2">
      <c r="A357" s="282" t="s">
        <v>354</v>
      </c>
      <c r="B357" s="302">
        <f>SUM(B355:B356)</f>
        <v>50.63300000050927</v>
      </c>
      <c r="C357" s="299" t="str">
        <f>CONCATENATE("(",ROUND((B357/$H357)*100,1),")")</f>
        <v>(65.7)</v>
      </c>
      <c r="D357" s="302">
        <f>SUM(D355:D356)</f>
        <v>14.900000000035568</v>
      </c>
      <c r="E357" s="299" t="str">
        <f>CONCATENATE("(",ROUND((D357/$H357)*100,1),")")</f>
        <v>(19.3)</v>
      </c>
      <c r="F357" s="302">
        <f>SUM(F355:F356)</f>
        <v>11.560000000365694</v>
      </c>
      <c r="G357" s="299" t="str">
        <f>CONCATENATE("(",ROUND((F357/$H357)*100,1),")")</f>
        <v>(15)</v>
      </c>
      <c r="H357" s="302">
        <f>SUM(H355:H356)</f>
        <v>77.093000000910536</v>
      </c>
      <c r="I357" s="299" t="str">
        <f>CONCATENATE("(",ROUND((H357/$H357)*100,1),")")</f>
        <v>(100)</v>
      </c>
      <c r="K357" s="302">
        <f t="shared" si="271"/>
        <v>2.7250000008814226</v>
      </c>
      <c r="L357" s="302">
        <f t="shared" si="272"/>
        <v>1.6289999999944147</v>
      </c>
      <c r="M357" s="302">
        <f t="shared" si="273"/>
        <v>1.6300000002920605</v>
      </c>
      <c r="N357" s="302">
        <f t="shared" si="274"/>
        <v>5.9840000011678978</v>
      </c>
    </row>
    <row r="358" spans="1:14" x14ac:dyDescent="0.2">
      <c r="A358" s="293"/>
      <c r="B358" s="294"/>
      <c r="C358" s="293"/>
      <c r="D358" s="294"/>
      <c r="E358" s="293"/>
      <c r="F358" s="294"/>
      <c r="G358" s="293"/>
      <c r="H358" s="294"/>
      <c r="I358" s="293"/>
      <c r="J358" s="293"/>
      <c r="K358" s="294"/>
      <c r="L358" s="294"/>
      <c r="M358" s="294"/>
      <c r="N358" s="294"/>
    </row>
    <row r="361" spans="1:14" x14ac:dyDescent="0.2">
      <c r="C361" s="181"/>
      <c r="E361" s="181"/>
      <c r="G361" s="181"/>
      <c r="I361" s="181"/>
    </row>
    <row r="362" spans="1:14" x14ac:dyDescent="0.2">
      <c r="A362" s="288"/>
      <c r="B362" s="289" t="s">
        <v>379</v>
      </c>
      <c r="C362" s="288"/>
      <c r="D362" s="289"/>
      <c r="E362" s="288"/>
      <c r="F362" s="289" t="str">
        <f>name!B20</f>
        <v>Support services</v>
      </c>
      <c r="G362" s="288"/>
      <c r="H362" s="291"/>
      <c r="I362" s="288"/>
      <c r="J362" s="290"/>
      <c r="K362" s="291"/>
      <c r="L362" s="291"/>
      <c r="M362" s="291"/>
      <c r="N362" s="291"/>
    </row>
    <row r="363" spans="1:14" x14ac:dyDescent="0.2">
      <c r="N363" s="287" t="s">
        <v>377</v>
      </c>
    </row>
    <row r="364" spans="1:14" x14ac:dyDescent="0.2">
      <c r="A364" s="181" t="s">
        <v>378</v>
      </c>
      <c r="B364" s="369" t="s">
        <v>376</v>
      </c>
      <c r="C364" s="369"/>
      <c r="D364" s="369" t="s">
        <v>375</v>
      </c>
      <c r="E364" s="369"/>
      <c r="F364" s="369" t="s">
        <v>374</v>
      </c>
      <c r="G364" s="369"/>
      <c r="H364" s="369" t="s">
        <v>32</v>
      </c>
      <c r="I364" s="369"/>
      <c r="J364" s="181"/>
      <c r="K364" s="297" t="s">
        <v>339</v>
      </c>
      <c r="L364" s="297" t="s">
        <v>341</v>
      </c>
      <c r="M364" s="297" t="s">
        <v>337</v>
      </c>
      <c r="N364" s="297" t="s">
        <v>32</v>
      </c>
    </row>
    <row r="365" spans="1:14" x14ac:dyDescent="0.2">
      <c r="A365" s="292">
        <f>$A$8</f>
        <v>2020</v>
      </c>
      <c r="B365" s="287" t="s">
        <v>60</v>
      </c>
      <c r="C365" s="19" t="s">
        <v>373</v>
      </c>
      <c r="D365" s="287" t="s">
        <v>60</v>
      </c>
      <c r="E365" s="19" t="s">
        <v>373</v>
      </c>
      <c r="F365" s="287" t="s">
        <v>60</v>
      </c>
      <c r="G365" s="19" t="s">
        <v>373</v>
      </c>
      <c r="H365" s="287" t="s">
        <v>60</v>
      </c>
      <c r="I365" s="19" t="s">
        <v>373</v>
      </c>
      <c r="J365" s="181"/>
      <c r="K365" s="286" t="str">
        <f>CONCATENATE(A365," - ",A370)</f>
        <v>2020 - 2025</v>
      </c>
      <c r="L365" s="285"/>
      <c r="M365" s="285"/>
    </row>
    <row r="366" spans="1:14" x14ac:dyDescent="0.2">
      <c r="A366" s="282" t="s">
        <v>355</v>
      </c>
      <c r="B366" s="302">
        <f>'Ind T6'!L465</f>
        <v>36.231000000026377</v>
      </c>
      <c r="C366" s="299" t="str">
        <f>CONCATENATE("(",ROUND((B366/$H368)*100,1),")")</f>
        <v>(41.4)</v>
      </c>
      <c r="D366" s="302">
        <f>'Ind T6'!M465</f>
        <v>10.062999999995409</v>
      </c>
      <c r="E366" s="299" t="str">
        <f>CONCATENATE("(",ROUND((D366/$H368)*100,1),")")</f>
        <v>(11.5)</v>
      </c>
      <c r="F366" s="302">
        <f>'Ind T6'!N465</f>
        <v>4.674000000029106</v>
      </c>
      <c r="G366" s="299" t="str">
        <f>CONCATENATE("(",ROUND((F366/$H368)*100,1),")")</f>
        <v>(5.3)</v>
      </c>
      <c r="H366" s="302">
        <f>SUM(B366,D366,F366)</f>
        <v>50.968000000050885</v>
      </c>
      <c r="I366" s="299" t="str">
        <f>CONCATENATE("(",ROUND((H366/$H368)*100,1),")")</f>
        <v>(58.2)</v>
      </c>
      <c r="K366" s="302">
        <f>B371-B366</f>
        <v>0.75699999971750742</v>
      </c>
      <c r="L366" s="302">
        <f>D371-D366</f>
        <v>0.18899999991088734</v>
      </c>
      <c r="M366" s="302">
        <f>F371-F366</f>
        <v>2.4000000016593859E-2</v>
      </c>
      <c r="N366" s="302">
        <f>SUM(K366:M366)</f>
        <v>0.96999999964498862</v>
      </c>
    </row>
    <row r="367" spans="1:14" x14ac:dyDescent="0.2">
      <c r="A367" s="282" t="s">
        <v>356</v>
      </c>
      <c r="B367" s="302">
        <f>'Ind T6'!L464</f>
        <v>18.036999999759029</v>
      </c>
      <c r="C367" s="299" t="str">
        <f>CONCATENATE("(",ROUND((B367/$H368)*100,1),")")</f>
        <v>(20.6)</v>
      </c>
      <c r="D367" s="302">
        <f>'Ind T6'!M464</f>
        <v>16.248000000027968</v>
      </c>
      <c r="E367" s="299" t="str">
        <f>CONCATENATE("(",ROUND((D367/$H368)*100,1),")")</f>
        <v>(18.6)</v>
      </c>
      <c r="F367" s="302">
        <f>'Ind T6'!N464</f>
        <v>2.2569999999630355</v>
      </c>
      <c r="G367" s="299" t="str">
        <f>CONCATENATE("(",ROUND((F367/$H368)*100,1),")")</f>
        <v>(2.6)</v>
      </c>
      <c r="H367" s="302">
        <f t="shared" ref="H367" si="275">SUM(B367,D367,F367)</f>
        <v>36.541999999750033</v>
      </c>
      <c r="I367" s="299" t="str">
        <f>CONCATENATE("(",ROUND((H367/$H368)*100,1),")")</f>
        <v>(41.8)</v>
      </c>
      <c r="K367" s="302">
        <f t="shared" ref="K367:K368" si="276">B372-B367</f>
        <v>0.70800000094904192</v>
      </c>
      <c r="L367" s="302">
        <f t="shared" ref="L367:L368" si="277">D372-D367</f>
        <v>2.9000000415919658E-2</v>
      </c>
      <c r="M367" s="302">
        <f t="shared" ref="M367:M368" si="278">F372-F367</f>
        <v>8.0000000336943877E-3</v>
      </c>
      <c r="N367" s="302">
        <f t="shared" ref="N367:N368" si="279">SUM(K367:M367)</f>
        <v>0.74500000139865596</v>
      </c>
    </row>
    <row r="368" spans="1:14" x14ac:dyDescent="0.2">
      <c r="A368" s="282" t="s">
        <v>354</v>
      </c>
      <c r="B368" s="302">
        <f>SUM(B366:B367)</f>
        <v>54.267999999785403</v>
      </c>
      <c r="C368" s="299" t="str">
        <f>CONCATENATE("(",ROUND((B368/$H368)*100,1),")")</f>
        <v>(62)</v>
      </c>
      <c r="D368" s="302">
        <f>SUM(D366:D367)</f>
        <v>26.311000000023377</v>
      </c>
      <c r="E368" s="299" t="str">
        <f>CONCATENATE("(",ROUND((D368/$H368)*100,1),")")</f>
        <v>(30.1)</v>
      </c>
      <c r="F368" s="302">
        <f>SUM(F366:F367)</f>
        <v>6.9309999999921414</v>
      </c>
      <c r="G368" s="299" t="str">
        <f>CONCATENATE("(",ROUND((F368/$H368)*100,1),")")</f>
        <v>(7.9)</v>
      </c>
      <c r="H368" s="302">
        <f>SUM(H366:H367)</f>
        <v>87.509999999800925</v>
      </c>
      <c r="I368" s="299" t="str">
        <f>CONCATENATE("(",ROUND((H368/$H368)*100,1),")")</f>
        <v>(100)</v>
      </c>
      <c r="K368" s="302">
        <f t="shared" si="276"/>
        <v>1.4650000006665493</v>
      </c>
      <c r="L368" s="302">
        <f t="shared" si="277"/>
        <v>0.218000000326807</v>
      </c>
      <c r="M368" s="302">
        <f t="shared" si="278"/>
        <v>3.2000000050287802E-2</v>
      </c>
      <c r="N368" s="302">
        <f t="shared" si="279"/>
        <v>1.7150000010436441</v>
      </c>
    </row>
    <row r="369" spans="1:14" x14ac:dyDescent="0.2">
      <c r="B369" s="302"/>
      <c r="C369" s="284"/>
      <c r="D369" s="302"/>
      <c r="E369" s="284"/>
      <c r="F369" s="302"/>
      <c r="G369" s="284"/>
      <c r="H369" s="302"/>
      <c r="I369" s="284"/>
    </row>
    <row r="370" spans="1:14" x14ac:dyDescent="0.2">
      <c r="A370" s="292">
        <f>$A$13</f>
        <v>2025</v>
      </c>
      <c r="B370" s="302"/>
      <c r="C370" s="284"/>
      <c r="D370" s="302"/>
      <c r="E370" s="284"/>
      <c r="F370" s="302"/>
      <c r="G370" s="284"/>
      <c r="H370" s="302"/>
      <c r="I370" s="284"/>
      <c r="K370" s="286" t="str">
        <f>CONCATENATE(A370," - ",A375)</f>
        <v>2025 - 2035</v>
      </c>
    </row>
    <row r="371" spans="1:14" x14ac:dyDescent="0.2">
      <c r="A371" s="282" t="s">
        <v>355</v>
      </c>
      <c r="B371" s="302">
        <f>'Ind T6'!Q465</f>
        <v>36.987999999743884</v>
      </c>
      <c r="C371" s="299" t="str">
        <f>CONCATENATE("(",ROUND((B371/$H373)*100,1),")")</f>
        <v>(41.5)</v>
      </c>
      <c r="D371" s="302">
        <f>'Ind T6'!R465</f>
        <v>10.251999999906296</v>
      </c>
      <c r="E371" s="299" t="str">
        <f>CONCATENATE("(",ROUND((D371/$H373)*100,1),")")</f>
        <v>(11.5)</v>
      </c>
      <c r="F371" s="302">
        <f>'Ind T6'!S465</f>
        <v>4.6980000000456998</v>
      </c>
      <c r="G371" s="299" t="str">
        <f>CONCATENATE("(",ROUND((F371/$H373)*100,1),")")</f>
        <v>(5.3)</v>
      </c>
      <c r="H371" s="302">
        <f>SUM(B371,D371,F371)</f>
        <v>51.937999999695883</v>
      </c>
      <c r="I371" s="299" t="str">
        <f>CONCATENATE("(",ROUND((H371/$H373)*100,1),")")</f>
        <v>(58.2)</v>
      </c>
      <c r="K371" s="302">
        <f>B376-B371</f>
        <v>1.468999999992505</v>
      </c>
      <c r="L371" s="302">
        <f>D376-D371</f>
        <v>0.31100000003072381</v>
      </c>
      <c r="M371" s="302">
        <f>F376-F371</f>
        <v>0.20099999999501961</v>
      </c>
      <c r="N371" s="302">
        <f>SUM(K371:M371)</f>
        <v>1.9810000000182484</v>
      </c>
    </row>
    <row r="372" spans="1:14" x14ac:dyDescent="0.2">
      <c r="A372" s="282" t="s">
        <v>356</v>
      </c>
      <c r="B372" s="302">
        <f>'Ind T6'!Q464</f>
        <v>18.745000000708071</v>
      </c>
      <c r="C372" s="299" t="str">
        <f>CONCATENATE("(",ROUND((B372/$H373)*100,1),")")</f>
        <v>(21)</v>
      </c>
      <c r="D372" s="302">
        <f>'Ind T6'!R464</f>
        <v>16.277000000443888</v>
      </c>
      <c r="E372" s="299" t="str">
        <f>CONCATENATE("(",ROUND((D372/$H373)*100,1),")")</f>
        <v>(18.2)</v>
      </c>
      <c r="F372" s="302">
        <f>'Ind T6'!S464</f>
        <v>2.2649999999967299</v>
      </c>
      <c r="G372" s="299" t="str">
        <f>CONCATENATE("(",ROUND((F372/$H373)*100,1),")")</f>
        <v>(2.5)</v>
      </c>
      <c r="H372" s="302">
        <f t="shared" ref="H372" si="280">SUM(B372,D372,F372)</f>
        <v>37.287000001148691</v>
      </c>
      <c r="I372" s="299" t="str">
        <f>CONCATENATE("(",ROUND((H372/$H373)*100,1),")")</f>
        <v>(41.8)</v>
      </c>
      <c r="K372" s="302">
        <f t="shared" ref="K372:K373" si="281">B377-B372</f>
        <v>1.1799999991765624</v>
      </c>
      <c r="L372" s="302">
        <f t="shared" ref="L372:L373" si="282">D377-D372</f>
        <v>6.799999959598324E-2</v>
      </c>
      <c r="M372" s="302">
        <f t="shared" ref="M372:M373" si="283">F377-F372</f>
        <v>0.11200000000381749</v>
      </c>
      <c r="N372" s="302">
        <f t="shared" ref="N372:N373" si="284">SUM(K372:M372)</f>
        <v>1.3599999987763631</v>
      </c>
    </row>
    <row r="373" spans="1:14" x14ac:dyDescent="0.2">
      <c r="A373" s="282" t="s">
        <v>354</v>
      </c>
      <c r="B373" s="302">
        <f>SUM(B371:B372)</f>
        <v>55.733000000451952</v>
      </c>
      <c r="C373" s="299" t="str">
        <f>CONCATENATE("(",ROUND((B373/$H373)*100,1),")")</f>
        <v>(62.5)</v>
      </c>
      <c r="D373" s="302">
        <f>SUM(D371:D372)</f>
        <v>26.529000000350184</v>
      </c>
      <c r="E373" s="299" t="str">
        <f>CONCATENATE("(",ROUND((D373/$H373)*100,1),")")</f>
        <v>(29.7)</v>
      </c>
      <c r="F373" s="302">
        <f>SUM(F371:F372)</f>
        <v>6.9630000000424292</v>
      </c>
      <c r="G373" s="299" t="str">
        <f>CONCATENATE("(",ROUND((F373/$H373)*100,1),")")</f>
        <v>(7.8)</v>
      </c>
      <c r="H373" s="302">
        <f>SUM(H371:H372)</f>
        <v>89.225000000844574</v>
      </c>
      <c r="I373" s="299" t="str">
        <f>CONCATENATE("(",ROUND((H373/$H373)*100,1),")")</f>
        <v>(100)</v>
      </c>
      <c r="K373" s="302">
        <f t="shared" si="281"/>
        <v>2.6489999991690709</v>
      </c>
      <c r="L373" s="302">
        <f t="shared" si="282"/>
        <v>0.37899999962670705</v>
      </c>
      <c r="M373" s="302">
        <f t="shared" si="283"/>
        <v>0.3129999999988371</v>
      </c>
      <c r="N373" s="302">
        <f t="shared" si="284"/>
        <v>3.3409999987946151</v>
      </c>
    </row>
    <row r="374" spans="1:14" x14ac:dyDescent="0.2">
      <c r="B374" s="302"/>
      <c r="C374" s="284"/>
      <c r="D374" s="302"/>
      <c r="E374" s="284"/>
      <c r="F374" s="302"/>
      <c r="G374" s="284"/>
      <c r="H374" s="302"/>
      <c r="I374" s="284"/>
    </row>
    <row r="375" spans="1:14" x14ac:dyDescent="0.2">
      <c r="A375" s="292">
        <f>$A$18</f>
        <v>2035</v>
      </c>
      <c r="B375" s="302"/>
      <c r="C375" s="284"/>
      <c r="D375" s="302"/>
      <c r="E375" s="284"/>
      <c r="F375" s="302"/>
      <c r="G375" s="284"/>
      <c r="H375" s="302"/>
      <c r="I375" s="284"/>
      <c r="K375" s="286" t="str">
        <f>CONCATENATE(A365," - ",A375)</f>
        <v>2020 - 2035</v>
      </c>
    </row>
    <row r="376" spans="1:14" x14ac:dyDescent="0.2">
      <c r="A376" s="282" t="s">
        <v>355</v>
      </c>
      <c r="B376" s="302">
        <f>'Ind T6'!V465</f>
        <v>38.456999999736389</v>
      </c>
      <c r="C376" s="299" t="str">
        <f>CONCATENATE("(",ROUND((B376/$H378)*100,1),")")</f>
        <v>(41.5)</v>
      </c>
      <c r="D376" s="302">
        <f>'Ind T6'!W465</f>
        <v>10.56299999993702</v>
      </c>
      <c r="E376" s="299" t="str">
        <f>CONCATENATE("(",ROUND((D376/$H378)*100,1),")")</f>
        <v>(11.4)</v>
      </c>
      <c r="F376" s="302">
        <f>'Ind T6'!X465</f>
        <v>4.8990000000407194</v>
      </c>
      <c r="G376" s="299" t="str">
        <f>CONCATENATE("(",ROUND((F376/$H378)*100,1),")")</f>
        <v>(5.3)</v>
      </c>
      <c r="H376" s="302">
        <f>SUM(B376,D376,F376)</f>
        <v>53.918999999714131</v>
      </c>
      <c r="I376" s="299" t="str">
        <f>CONCATENATE("(",ROUND((H376/$H378)*100,1),")")</f>
        <v>(58.2)</v>
      </c>
      <c r="K376" s="302">
        <f>B376-B366</f>
        <v>2.2259999997100124</v>
      </c>
      <c r="L376" s="302">
        <f>D376-D366</f>
        <v>0.49999999994161115</v>
      </c>
      <c r="M376" s="302">
        <f>F376-F366</f>
        <v>0.22500000001161347</v>
      </c>
      <c r="N376" s="302">
        <f>SUM(K376:M376)</f>
        <v>2.950999999663237</v>
      </c>
    </row>
    <row r="377" spans="1:14" x14ac:dyDescent="0.2">
      <c r="A377" s="282" t="s">
        <v>356</v>
      </c>
      <c r="B377" s="302">
        <f>'Ind T6'!V464</f>
        <v>19.924999999884633</v>
      </c>
      <c r="C377" s="299" t="str">
        <f>CONCATENATE("(",ROUND((B377/$H378)*100,1),")")</f>
        <v>(21.5)</v>
      </c>
      <c r="D377" s="302">
        <f>'Ind T6'!W464</f>
        <v>16.345000000039871</v>
      </c>
      <c r="E377" s="299" t="str">
        <f>CONCATENATE("(",ROUND((D377/$H378)*100,1),")")</f>
        <v>(17.7)</v>
      </c>
      <c r="F377" s="302">
        <f>'Ind T6'!X464</f>
        <v>2.3770000000005473</v>
      </c>
      <c r="G377" s="299" t="str">
        <f>CONCATENATE("(",ROUND((F377/$H378)*100,1),")")</f>
        <v>(2.6)</v>
      </c>
      <c r="H377" s="302">
        <f t="shared" ref="H377" si="285">SUM(B377,D377,F377)</f>
        <v>38.646999999925058</v>
      </c>
      <c r="I377" s="299" t="str">
        <f>CONCATENATE("(",ROUND((H377/$H378)*100,1),")")</f>
        <v>(41.8)</v>
      </c>
      <c r="K377" s="302">
        <f t="shared" ref="K377:K378" si="286">B377-B367</f>
        <v>1.8880000001256043</v>
      </c>
      <c r="L377" s="302">
        <f t="shared" ref="L377:L378" si="287">D377-D367</f>
        <v>9.7000000011902898E-2</v>
      </c>
      <c r="M377" s="302">
        <f t="shared" ref="M377:M378" si="288">F377-F367</f>
        <v>0.12000000003751188</v>
      </c>
      <c r="N377" s="302">
        <f t="shared" ref="N377:N378" si="289">SUM(K377:M377)</f>
        <v>2.1050000001750191</v>
      </c>
    </row>
    <row r="378" spans="1:14" x14ac:dyDescent="0.2">
      <c r="A378" s="282" t="s">
        <v>354</v>
      </c>
      <c r="B378" s="302">
        <f>SUM(B376:B377)</f>
        <v>58.381999999621023</v>
      </c>
      <c r="C378" s="299" t="str">
        <f>CONCATENATE("(",ROUND((B378/$H378)*100,1),")")</f>
        <v>(63.1)</v>
      </c>
      <c r="D378" s="302">
        <f>SUM(D376:D377)</f>
        <v>26.907999999976891</v>
      </c>
      <c r="E378" s="299" t="str">
        <f>CONCATENATE("(",ROUND((D378/$H378)*100,1),")")</f>
        <v>(29.1)</v>
      </c>
      <c r="F378" s="302">
        <f>SUM(F376:F377)</f>
        <v>7.2760000000412663</v>
      </c>
      <c r="G378" s="299" t="str">
        <f>CONCATENATE("(",ROUND((F378/$H378)*100,1),")")</f>
        <v>(7.9)</v>
      </c>
      <c r="H378" s="302">
        <f>SUM(H376:H377)</f>
        <v>92.565999999639189</v>
      </c>
      <c r="I378" s="299" t="str">
        <f>CONCATENATE("(",ROUND((H378/$H378)*100,1),")")</f>
        <v>(100)</v>
      </c>
      <c r="K378" s="302">
        <f t="shared" si="286"/>
        <v>4.1139999998356203</v>
      </c>
      <c r="L378" s="302">
        <f t="shared" si="287"/>
        <v>0.59699999995351405</v>
      </c>
      <c r="M378" s="302">
        <f t="shared" si="288"/>
        <v>0.3450000000491249</v>
      </c>
      <c r="N378" s="302">
        <f t="shared" si="289"/>
        <v>5.0559999998382592</v>
      </c>
    </row>
    <row r="379" spans="1:14" x14ac:dyDescent="0.2">
      <c r="A379" s="293"/>
      <c r="B379" s="294"/>
      <c r="C379" s="293"/>
      <c r="D379" s="294"/>
      <c r="E379" s="293"/>
      <c r="F379" s="294"/>
      <c r="G379" s="293"/>
      <c r="H379" s="294"/>
      <c r="I379" s="293"/>
      <c r="J379" s="293"/>
      <c r="K379" s="294"/>
      <c r="L379" s="294"/>
      <c r="M379" s="294"/>
      <c r="N379" s="294"/>
    </row>
    <row r="383" spans="1:14" x14ac:dyDescent="0.2">
      <c r="A383" s="288"/>
      <c r="B383" s="289" t="s">
        <v>379</v>
      </c>
      <c r="C383" s="288"/>
      <c r="D383" s="289"/>
      <c r="E383" s="288"/>
      <c r="F383" s="289" t="str">
        <f>name!B21</f>
        <v>Public admin. and defence</v>
      </c>
      <c r="G383" s="288"/>
      <c r="H383" s="291"/>
      <c r="I383" s="288"/>
      <c r="J383" s="290"/>
      <c r="K383" s="291"/>
      <c r="L383" s="291"/>
      <c r="M383" s="291"/>
      <c r="N383" s="291"/>
    </row>
    <row r="384" spans="1:14" x14ac:dyDescent="0.2">
      <c r="N384" s="287" t="s">
        <v>377</v>
      </c>
    </row>
    <row r="385" spans="1:14" x14ac:dyDescent="0.2">
      <c r="A385" s="181" t="s">
        <v>378</v>
      </c>
      <c r="B385" s="369" t="s">
        <v>376</v>
      </c>
      <c r="C385" s="369"/>
      <c r="D385" s="369" t="s">
        <v>375</v>
      </c>
      <c r="E385" s="369"/>
      <c r="F385" s="369" t="s">
        <v>374</v>
      </c>
      <c r="G385" s="369"/>
      <c r="H385" s="369" t="s">
        <v>32</v>
      </c>
      <c r="I385" s="369"/>
      <c r="J385" s="181"/>
      <c r="K385" s="297" t="s">
        <v>339</v>
      </c>
      <c r="L385" s="297" t="s">
        <v>341</v>
      </c>
      <c r="M385" s="297" t="s">
        <v>337</v>
      </c>
      <c r="N385" s="297" t="s">
        <v>32</v>
      </c>
    </row>
    <row r="386" spans="1:14" x14ac:dyDescent="0.2">
      <c r="A386" s="292">
        <f>$A$8</f>
        <v>2020</v>
      </c>
      <c r="B386" s="287" t="s">
        <v>60</v>
      </c>
      <c r="C386" s="19" t="s">
        <v>373</v>
      </c>
      <c r="D386" s="287" t="s">
        <v>60</v>
      </c>
      <c r="E386" s="19" t="s">
        <v>373</v>
      </c>
      <c r="F386" s="287" t="s">
        <v>60</v>
      </c>
      <c r="G386" s="19" t="s">
        <v>373</v>
      </c>
      <c r="H386" s="287" t="s">
        <v>60</v>
      </c>
      <c r="I386" s="19" t="s">
        <v>373</v>
      </c>
      <c r="J386" s="181"/>
      <c r="K386" s="286" t="str">
        <f>CONCATENATE(A386," - ",A391)</f>
        <v>2020 - 2025</v>
      </c>
      <c r="L386" s="285"/>
      <c r="M386" s="285"/>
    </row>
    <row r="387" spans="1:14" x14ac:dyDescent="0.2">
      <c r="A387" s="282" t="s">
        <v>355</v>
      </c>
      <c r="B387" s="302">
        <f>'Ind T6'!L475</f>
        <v>23.930999999874565</v>
      </c>
      <c r="C387" s="299" t="str">
        <f>CONCATENATE("(",ROUND((B387/$H389)*100,1),")")</f>
        <v>(33.9)</v>
      </c>
      <c r="D387" s="302">
        <f>'Ind T6'!M475</f>
        <v>3.5829999999921154</v>
      </c>
      <c r="E387" s="299" t="str">
        <f>CONCATENATE("(",ROUND((D387/$H389)*100,1),")")</f>
        <v>(5.1)</v>
      </c>
      <c r="F387" s="302">
        <f>'Ind T6'!N475</f>
        <v>0</v>
      </c>
      <c r="G387" s="299" t="str">
        <f>CONCATENATE("(",ROUND((F387/$H389)*100,1),")")</f>
        <v>(0)</v>
      </c>
      <c r="H387" s="302">
        <f>SUM(B387,D387,F387)</f>
        <v>27.51399999986668</v>
      </c>
      <c r="I387" s="299" t="str">
        <f>CONCATENATE("(",ROUND((H387/$H389)*100,1),")")</f>
        <v>(39)</v>
      </c>
      <c r="K387" s="302">
        <f>B392-B387</f>
        <v>-0.98199999968355556</v>
      </c>
      <c r="L387" s="302">
        <f>D392-D387</f>
        <v>0.11300000003974064</v>
      </c>
      <c r="M387" s="302">
        <f>F392-F387</f>
        <v>0</v>
      </c>
      <c r="N387" s="302">
        <f>SUM(K387:M387)</f>
        <v>-0.86899999964381491</v>
      </c>
    </row>
    <row r="388" spans="1:14" x14ac:dyDescent="0.2">
      <c r="A388" s="282" t="s">
        <v>356</v>
      </c>
      <c r="B388" s="302">
        <f>'Ind T6'!L474</f>
        <v>21.908000000001241</v>
      </c>
      <c r="C388" s="299" t="str">
        <f>CONCATENATE("(",ROUND((B388/$H389)*100,1),")")</f>
        <v>(31.1)</v>
      </c>
      <c r="D388" s="302">
        <f>'Ind T6'!M474</f>
        <v>18.525999999999428</v>
      </c>
      <c r="E388" s="299" t="str">
        <f>CONCATENATE("(",ROUND((D388/$H389)*100,1),")")</f>
        <v>(26.3)</v>
      </c>
      <c r="F388" s="302">
        <f>'Ind T6'!N474</f>
        <v>2.5440000000896075</v>
      </c>
      <c r="G388" s="299" t="str">
        <f>CONCATENATE("(",ROUND((F388/$H389)*100,1),")")</f>
        <v>(3.6)</v>
      </c>
      <c r="H388" s="302">
        <f t="shared" ref="H388" si="290">SUM(B388,D388,F388)</f>
        <v>42.978000000090276</v>
      </c>
      <c r="I388" s="299" t="str">
        <f>CONCATENATE("(",ROUND((H388/$H389)*100,1),")")</f>
        <v>(61)</v>
      </c>
      <c r="K388" s="302">
        <f t="shared" ref="K388:K389" si="291">B393-B388</f>
        <v>-0.46600000001323139</v>
      </c>
      <c r="L388" s="302">
        <f t="shared" ref="L388:L389" si="292">D393-D388</f>
        <v>-0.35700000007259192</v>
      </c>
      <c r="M388" s="302">
        <f t="shared" ref="M388:M389" si="293">F393-F388</f>
        <v>-5.2000000192970575E-2</v>
      </c>
      <c r="N388" s="302">
        <f t="shared" ref="N388:N389" si="294">SUM(K388:M388)</f>
        <v>-0.87500000027879388</v>
      </c>
    </row>
    <row r="389" spans="1:14" x14ac:dyDescent="0.2">
      <c r="A389" s="282" t="s">
        <v>354</v>
      </c>
      <c r="B389" s="302">
        <f>SUM(B387:B388)</f>
        <v>45.83899999987581</v>
      </c>
      <c r="C389" s="299" t="str">
        <f>CONCATENATE("(",ROUND((B389/$H389)*100,1),")")</f>
        <v>(65)</v>
      </c>
      <c r="D389" s="302">
        <f>SUM(D387:D388)</f>
        <v>22.108999999991543</v>
      </c>
      <c r="E389" s="299" t="str">
        <f>CONCATENATE("(",ROUND((D389/$H389)*100,1),")")</f>
        <v>(31.4)</v>
      </c>
      <c r="F389" s="302">
        <f>SUM(F387:F388)</f>
        <v>2.5440000000896075</v>
      </c>
      <c r="G389" s="299" t="str">
        <f>CONCATENATE("(",ROUND((F389/$H389)*100,1),")")</f>
        <v>(3.6)</v>
      </c>
      <c r="H389" s="302">
        <f>SUM(H387:H388)</f>
        <v>70.49199999995696</v>
      </c>
      <c r="I389" s="299" t="str">
        <f>CONCATENATE("(",ROUND((H389/$H389)*100,1),")")</f>
        <v>(100)</v>
      </c>
      <c r="K389" s="302">
        <f t="shared" si="291"/>
        <v>-1.4479999996967905</v>
      </c>
      <c r="L389" s="302">
        <f t="shared" si="292"/>
        <v>-0.24400000003285172</v>
      </c>
      <c r="M389" s="302">
        <f t="shared" si="293"/>
        <v>-5.2000000192970575E-2</v>
      </c>
      <c r="N389" s="302">
        <f t="shared" si="294"/>
        <v>-1.7439999999226128</v>
      </c>
    </row>
    <row r="390" spans="1:14" x14ac:dyDescent="0.2">
      <c r="B390" s="302"/>
      <c r="C390" s="284"/>
      <c r="D390" s="302"/>
      <c r="E390" s="284"/>
      <c r="F390" s="302"/>
      <c r="G390" s="284"/>
      <c r="H390" s="302"/>
      <c r="I390" s="284"/>
    </row>
    <row r="391" spans="1:14" x14ac:dyDescent="0.2">
      <c r="A391" s="292">
        <f>$A$13</f>
        <v>2025</v>
      </c>
      <c r="B391" s="302"/>
      <c r="C391" s="284"/>
      <c r="D391" s="302"/>
      <c r="E391" s="284"/>
      <c r="F391" s="302"/>
      <c r="G391" s="284"/>
      <c r="H391" s="302"/>
      <c r="I391" s="284"/>
      <c r="K391" s="286" t="str">
        <f>CONCATENATE(A391," - ",A396)</f>
        <v>2025 - 2035</v>
      </c>
    </row>
    <row r="392" spans="1:14" x14ac:dyDescent="0.2">
      <c r="A392" s="282" t="s">
        <v>355</v>
      </c>
      <c r="B392" s="302">
        <f>'Ind T6'!Q475</f>
        <v>22.94900000019101</v>
      </c>
      <c r="C392" s="299" t="str">
        <f>CONCATENATE("(",ROUND((B392/$H394)*100,1),")")</f>
        <v>(33.4)</v>
      </c>
      <c r="D392" s="302">
        <f>'Ind T6'!R475</f>
        <v>3.696000000031856</v>
      </c>
      <c r="E392" s="299" t="str">
        <f>CONCATENATE("(",ROUND((D392/$H394)*100,1),")")</f>
        <v>(5.4)</v>
      </c>
      <c r="F392" s="302">
        <f>'Ind T6'!S475</f>
        <v>0</v>
      </c>
      <c r="G392" s="299" t="str">
        <f>CONCATENATE("(",ROUND((F392/$H394)*100,1),")")</f>
        <v>(0)</v>
      </c>
      <c r="H392" s="302">
        <f>SUM(B392,D392,F392)</f>
        <v>26.645000000222865</v>
      </c>
      <c r="I392" s="299" t="str">
        <f>CONCATENATE("(",ROUND((H392/$H394)*100,1),")")</f>
        <v>(38.8)</v>
      </c>
      <c r="K392" s="302">
        <f>B397-B392</f>
        <v>-0.52300000001909908</v>
      </c>
      <c r="L392" s="302">
        <f>D397-D392</f>
        <v>0.45699999999746854</v>
      </c>
      <c r="M392" s="302">
        <f>F397-F392</f>
        <v>0</v>
      </c>
      <c r="N392" s="302">
        <f>SUM(K392:M392)</f>
        <v>-6.6000000021630534E-2</v>
      </c>
    </row>
    <row r="393" spans="1:14" x14ac:dyDescent="0.2">
      <c r="A393" s="282" t="s">
        <v>356</v>
      </c>
      <c r="B393" s="302">
        <f>'Ind T6'!Q474</f>
        <v>21.44199999998801</v>
      </c>
      <c r="C393" s="299" t="str">
        <f>CONCATENATE("(",ROUND((B393/$H394)*100,1),")")</f>
        <v>(31.2)</v>
      </c>
      <c r="D393" s="302">
        <f>'Ind T6'!R474</f>
        <v>18.168999999926836</v>
      </c>
      <c r="E393" s="299" t="str">
        <f>CONCATENATE("(",ROUND((D393/$H394)*100,1),")")</f>
        <v>(26.4)</v>
      </c>
      <c r="F393" s="302">
        <f>'Ind T6'!S474</f>
        <v>2.4919999998966369</v>
      </c>
      <c r="G393" s="299" t="str">
        <f>CONCATENATE("(",ROUND((F393/$H394)*100,1),")")</f>
        <v>(3.6)</v>
      </c>
      <c r="H393" s="302">
        <f t="shared" ref="H393" si="295">SUM(B393,D393,F393)</f>
        <v>42.10299999981148</v>
      </c>
      <c r="I393" s="299" t="str">
        <f>CONCATENATE("(",ROUND((H393/$H394)*100,1),")")</f>
        <v>(61.2)</v>
      </c>
      <c r="K393" s="302">
        <f t="shared" ref="K393:K394" si="296">B398-B393</f>
        <v>0.40100000006443892</v>
      </c>
      <c r="L393" s="302">
        <f t="shared" ref="L393:L394" si="297">D398-D393</f>
        <v>0.34800000006789134</v>
      </c>
      <c r="M393" s="302">
        <f t="shared" ref="M393:M394" si="298">F398-F393</f>
        <v>6.8000000120598703E-2</v>
      </c>
      <c r="N393" s="302">
        <f t="shared" ref="N393:N394" si="299">SUM(K393:M393)</f>
        <v>0.81700000025292896</v>
      </c>
    </row>
    <row r="394" spans="1:14" x14ac:dyDescent="0.2">
      <c r="A394" s="282" t="s">
        <v>354</v>
      </c>
      <c r="B394" s="302">
        <f>SUM(B392:B393)</f>
        <v>44.391000000179019</v>
      </c>
      <c r="C394" s="299" t="str">
        <f>CONCATENATE("(",ROUND((B394/$H394)*100,1),")")</f>
        <v>(64.6)</v>
      </c>
      <c r="D394" s="302">
        <f>SUM(D392:D393)</f>
        <v>21.864999999958691</v>
      </c>
      <c r="E394" s="299" t="str">
        <f>CONCATENATE("(",ROUND((D394/$H394)*100,1),")")</f>
        <v>(31.8)</v>
      </c>
      <c r="F394" s="302">
        <f>SUM(F392:F393)</f>
        <v>2.4919999998966369</v>
      </c>
      <c r="G394" s="299" t="str">
        <f>CONCATENATE("(",ROUND((F394/$H394)*100,1),")")</f>
        <v>(3.6)</v>
      </c>
      <c r="H394" s="302">
        <f>SUM(H392:H393)</f>
        <v>68.748000000034352</v>
      </c>
      <c r="I394" s="299" t="str">
        <f>CONCATENATE("(",ROUND((H394/$H394)*100,1),")")</f>
        <v>(100)</v>
      </c>
      <c r="K394" s="302">
        <f t="shared" si="296"/>
        <v>-0.12199999995466015</v>
      </c>
      <c r="L394" s="302">
        <f t="shared" si="297"/>
        <v>0.80500000006536254</v>
      </c>
      <c r="M394" s="302">
        <f t="shared" si="298"/>
        <v>6.8000000120598703E-2</v>
      </c>
      <c r="N394" s="302">
        <f t="shared" si="299"/>
        <v>0.75100000023130109</v>
      </c>
    </row>
    <row r="395" spans="1:14" x14ac:dyDescent="0.2">
      <c r="B395" s="302"/>
      <c r="C395" s="284"/>
      <c r="D395" s="302"/>
      <c r="E395" s="284"/>
      <c r="F395" s="302"/>
      <c r="G395" s="284"/>
      <c r="H395" s="302"/>
      <c r="I395" s="284"/>
    </row>
    <row r="396" spans="1:14" x14ac:dyDescent="0.2">
      <c r="A396" s="292">
        <f>$A$18</f>
        <v>2035</v>
      </c>
      <c r="B396" s="302"/>
      <c r="C396" s="284"/>
      <c r="D396" s="302"/>
      <c r="E396" s="284"/>
      <c r="F396" s="302"/>
      <c r="G396" s="284"/>
      <c r="H396" s="302"/>
      <c r="I396" s="284"/>
      <c r="K396" s="286" t="str">
        <f>CONCATENATE(A386," - ",A396)</f>
        <v>2020 - 2035</v>
      </c>
    </row>
    <row r="397" spans="1:14" x14ac:dyDescent="0.2">
      <c r="A397" s="282" t="s">
        <v>355</v>
      </c>
      <c r="B397" s="302">
        <f>'Ind T6'!V475</f>
        <v>22.426000000171911</v>
      </c>
      <c r="C397" s="299" t="str">
        <f>CONCATENATE("(",ROUND((B397/$H399)*100,1),")")</f>
        <v>(32.3)</v>
      </c>
      <c r="D397" s="302">
        <f>'Ind T6'!W475</f>
        <v>4.1530000000293246</v>
      </c>
      <c r="E397" s="299" t="str">
        <f>CONCATENATE("(",ROUND((D397/$H399)*100,1),")")</f>
        <v>(6)</v>
      </c>
      <c r="F397" s="302">
        <f>'Ind T6'!X475</f>
        <v>0</v>
      </c>
      <c r="G397" s="299" t="str">
        <f>CONCATENATE("(",ROUND((F397/$H399)*100,1),")")</f>
        <v>(0)</v>
      </c>
      <c r="H397" s="302">
        <f>SUM(B397,D397,F397)</f>
        <v>26.579000000201233</v>
      </c>
      <c r="I397" s="299" t="str">
        <f>CONCATENATE("(",ROUND((H397/$H399)*100,1),")")</f>
        <v>(38.2)</v>
      </c>
      <c r="K397" s="302">
        <f>B397-B387</f>
        <v>-1.5049999997026546</v>
      </c>
      <c r="L397" s="302">
        <f>D397-D387</f>
        <v>0.57000000003720919</v>
      </c>
      <c r="M397" s="302">
        <f>F397-F387</f>
        <v>0</v>
      </c>
      <c r="N397" s="302">
        <f>SUM(K397:M397)</f>
        <v>-0.93499999966544545</v>
      </c>
    </row>
    <row r="398" spans="1:14" x14ac:dyDescent="0.2">
      <c r="A398" s="282" t="s">
        <v>356</v>
      </c>
      <c r="B398" s="302">
        <f>'Ind T6'!V474</f>
        <v>21.843000000052449</v>
      </c>
      <c r="C398" s="299" t="str">
        <f>CONCATENATE("(",ROUND((B398/$H399)*100,1),")")</f>
        <v>(31.4)</v>
      </c>
      <c r="D398" s="302">
        <f>'Ind T6'!W474</f>
        <v>18.516999999994727</v>
      </c>
      <c r="E398" s="299" t="str">
        <f>CONCATENATE("(",ROUND((D398/$H399)*100,1),")")</f>
        <v>(26.6)</v>
      </c>
      <c r="F398" s="302">
        <f>'Ind T6'!X474</f>
        <v>2.5600000000172356</v>
      </c>
      <c r="G398" s="299" t="str">
        <f>CONCATENATE("(",ROUND((F398/$H399)*100,1),")")</f>
        <v>(3.7)</v>
      </c>
      <c r="H398" s="302">
        <f t="shared" ref="H398" si="300">SUM(B398,D398,F398)</f>
        <v>42.920000000064412</v>
      </c>
      <c r="I398" s="299" t="str">
        <f>CONCATENATE("(",ROUND((H398/$H399)*100,1),")")</f>
        <v>(61.8)</v>
      </c>
      <c r="K398" s="302">
        <f t="shared" ref="K398:K399" si="301">B398-B388</f>
        <v>-6.4999999948792464E-2</v>
      </c>
      <c r="L398" s="302">
        <f t="shared" ref="L398:L399" si="302">D398-D388</f>
        <v>-9.0000000047005813E-3</v>
      </c>
      <c r="M398" s="302">
        <f t="shared" ref="M398:M399" si="303">F398-F388</f>
        <v>1.5999999927628128E-2</v>
      </c>
      <c r="N398" s="302">
        <f t="shared" ref="N398:N399" si="304">SUM(K398:M398)</f>
        <v>-5.8000000025864917E-2</v>
      </c>
    </row>
    <row r="399" spans="1:14" x14ac:dyDescent="0.2">
      <c r="A399" s="282" t="s">
        <v>354</v>
      </c>
      <c r="B399" s="302">
        <f>SUM(B397:B398)</f>
        <v>44.269000000224359</v>
      </c>
      <c r="C399" s="299" t="str">
        <f>CONCATENATE("(",ROUND((B399/$H399)*100,1),")")</f>
        <v>(63.7)</v>
      </c>
      <c r="D399" s="302">
        <f>SUM(D397:D398)</f>
        <v>22.670000000024054</v>
      </c>
      <c r="E399" s="299" t="str">
        <f>CONCATENATE("(",ROUND((D399/$H399)*100,1),")")</f>
        <v>(32.6)</v>
      </c>
      <c r="F399" s="302">
        <f>SUM(F397:F398)</f>
        <v>2.5600000000172356</v>
      </c>
      <c r="G399" s="299" t="str">
        <f>CONCATENATE("(",ROUND((F399/$H399)*100,1),")")</f>
        <v>(3.7)</v>
      </c>
      <c r="H399" s="302">
        <f>SUM(H397:H398)</f>
        <v>69.499000000265653</v>
      </c>
      <c r="I399" s="299" t="str">
        <f>CONCATENATE("(",ROUND((H399/$H399)*100,1),")")</f>
        <v>(100)</v>
      </c>
      <c r="K399" s="302">
        <f t="shared" si="301"/>
        <v>-1.5699999996514507</v>
      </c>
      <c r="L399" s="302">
        <f t="shared" si="302"/>
        <v>0.56100000003251083</v>
      </c>
      <c r="M399" s="302">
        <f t="shared" si="303"/>
        <v>1.5999999927628128E-2</v>
      </c>
      <c r="N399" s="302">
        <f t="shared" si="304"/>
        <v>-0.9929999996913117</v>
      </c>
    </row>
    <row r="400" spans="1:14" x14ac:dyDescent="0.2">
      <c r="A400" s="293"/>
      <c r="B400" s="294"/>
      <c r="C400" s="293"/>
      <c r="D400" s="294"/>
      <c r="E400" s="293"/>
      <c r="F400" s="294"/>
      <c r="G400" s="293"/>
      <c r="H400" s="294"/>
      <c r="I400" s="293"/>
      <c r="J400" s="293"/>
      <c r="K400" s="294"/>
      <c r="L400" s="294"/>
      <c r="M400" s="294"/>
      <c r="N400" s="294"/>
    </row>
    <row r="404" spans="1:14" x14ac:dyDescent="0.2">
      <c r="A404" s="288"/>
      <c r="B404" s="289" t="s">
        <v>379</v>
      </c>
      <c r="C404" s="288"/>
      <c r="D404" s="289"/>
      <c r="E404" s="288"/>
      <c r="F404" s="289" t="str">
        <f>name!B22</f>
        <v>Education</v>
      </c>
      <c r="G404" s="288"/>
      <c r="H404" s="291"/>
      <c r="I404" s="288"/>
      <c r="J404" s="290"/>
      <c r="K404" s="291"/>
      <c r="L404" s="291"/>
      <c r="M404" s="291"/>
      <c r="N404" s="291"/>
    </row>
    <row r="405" spans="1:14" x14ac:dyDescent="0.2">
      <c r="N405" s="287" t="s">
        <v>377</v>
      </c>
    </row>
    <row r="406" spans="1:14" x14ac:dyDescent="0.2">
      <c r="A406" s="181" t="s">
        <v>378</v>
      </c>
      <c r="B406" s="369" t="s">
        <v>376</v>
      </c>
      <c r="C406" s="369"/>
      <c r="D406" s="369" t="s">
        <v>375</v>
      </c>
      <c r="E406" s="369"/>
      <c r="F406" s="369" t="s">
        <v>374</v>
      </c>
      <c r="G406" s="369"/>
      <c r="H406" s="369" t="s">
        <v>32</v>
      </c>
      <c r="I406" s="369"/>
      <c r="J406" s="181"/>
      <c r="K406" s="297" t="s">
        <v>339</v>
      </c>
      <c r="L406" s="297" t="s">
        <v>341</v>
      </c>
      <c r="M406" s="297" t="s">
        <v>337</v>
      </c>
      <c r="N406" s="297" t="s">
        <v>32</v>
      </c>
    </row>
    <row r="407" spans="1:14" x14ac:dyDescent="0.2">
      <c r="A407" s="292">
        <f>$A$8</f>
        <v>2020</v>
      </c>
      <c r="B407" s="287" t="s">
        <v>60</v>
      </c>
      <c r="C407" s="19" t="s">
        <v>373</v>
      </c>
      <c r="D407" s="287" t="s">
        <v>60</v>
      </c>
      <c r="E407" s="19" t="s">
        <v>373</v>
      </c>
      <c r="F407" s="287" t="s">
        <v>60</v>
      </c>
      <c r="G407" s="19" t="s">
        <v>373</v>
      </c>
      <c r="H407" s="287" t="s">
        <v>60</v>
      </c>
      <c r="I407" s="19" t="s">
        <v>373</v>
      </c>
      <c r="J407" s="181"/>
      <c r="K407" s="286" t="str">
        <f>CONCATENATE(A407," - ",A412)</f>
        <v>2020 - 2025</v>
      </c>
      <c r="L407" s="285"/>
      <c r="M407" s="285"/>
    </row>
    <row r="408" spans="1:14" x14ac:dyDescent="0.2">
      <c r="A408" s="282" t="s">
        <v>355</v>
      </c>
      <c r="B408" s="302">
        <f>'Ind T6'!L485</f>
        <v>21.74300000059602</v>
      </c>
      <c r="C408" s="299" t="str">
        <f>CONCATENATE("(",ROUND((B408/$H410)*100,1),")")</f>
        <v>(20.9)</v>
      </c>
      <c r="D408" s="302">
        <f>'Ind T6'!M485</f>
        <v>5.0990000001203972</v>
      </c>
      <c r="E408" s="299" t="str">
        <f>CONCATENATE("(",ROUND((D408/$H410)*100,1),")")</f>
        <v>(4.9)</v>
      </c>
      <c r="F408" s="302">
        <f>'Ind T6'!N485</f>
        <v>4.110999999993342</v>
      </c>
      <c r="G408" s="299" t="str">
        <f>CONCATENATE("(",ROUND((F408/$H410)*100,1),")")</f>
        <v>(3.9)</v>
      </c>
      <c r="H408" s="302">
        <f>SUM(B408,D408,F408)</f>
        <v>30.953000000709761</v>
      </c>
      <c r="I408" s="299" t="str">
        <f>CONCATENATE("(",ROUND((H408/$H410)*100,1),")")</f>
        <v>(29.7)</v>
      </c>
      <c r="K408" s="302">
        <f>B413-B408</f>
        <v>1.0749999998945121</v>
      </c>
      <c r="L408" s="302">
        <f>D413-D408</f>
        <v>0.39600000008266978</v>
      </c>
      <c r="M408" s="302">
        <f>F413-F408</f>
        <v>0.34500000000122899</v>
      </c>
      <c r="N408" s="302">
        <f>SUM(K408:M408)</f>
        <v>1.8159999999784109</v>
      </c>
    </row>
    <row r="409" spans="1:14" x14ac:dyDescent="0.2">
      <c r="A409" s="282" t="s">
        <v>356</v>
      </c>
      <c r="B409" s="302">
        <f>'Ind T6'!L484</f>
        <v>38.323000002192089</v>
      </c>
      <c r="C409" s="299" t="str">
        <f>CONCATENATE("(",ROUND((B409/$H410)*100,1),")")</f>
        <v>(36.8)</v>
      </c>
      <c r="D409" s="302">
        <f>'Ind T6'!M484</f>
        <v>31.386999999011966</v>
      </c>
      <c r="E409" s="299" t="str">
        <f>CONCATENATE("(",ROUND((D409/$H410)*100,1),")")</f>
        <v>(30.1)</v>
      </c>
      <c r="F409" s="302">
        <f>'Ind T6'!N484</f>
        <v>3.5800000000001173</v>
      </c>
      <c r="G409" s="299" t="str">
        <f>CONCATENATE("(",ROUND((F409/$H410)*100,1),")")</f>
        <v>(3.4)</v>
      </c>
      <c r="H409" s="302">
        <f t="shared" ref="H409" si="305">SUM(B409,D409,F409)</f>
        <v>73.290000001204163</v>
      </c>
      <c r="I409" s="299" t="str">
        <f>CONCATENATE("(",ROUND((H409/$H410)*100,1),")")</f>
        <v>(70.3)</v>
      </c>
      <c r="K409" s="302">
        <f t="shared" ref="K409:K410" si="306">B414-B409</f>
        <v>3.3329999915933115</v>
      </c>
      <c r="L409" s="302">
        <f t="shared" ref="L409:L410" si="307">D414-D409</f>
        <v>1.2689999978493027</v>
      </c>
      <c r="M409" s="302">
        <f t="shared" ref="M409:M410" si="308">F414-F409</f>
        <v>0.27000000002277247</v>
      </c>
      <c r="N409" s="302">
        <f t="shared" ref="N409:N410" si="309">SUM(K409:M409)</f>
        <v>4.8719999894653867</v>
      </c>
    </row>
    <row r="410" spans="1:14" x14ac:dyDescent="0.2">
      <c r="A410" s="282" t="s">
        <v>354</v>
      </c>
      <c r="B410" s="302">
        <f>SUM(B408:B409)</f>
        <v>60.066000002788108</v>
      </c>
      <c r="C410" s="299" t="str">
        <f>CONCATENATE("(",ROUND((B410/$H410)*100,1),")")</f>
        <v>(57.6)</v>
      </c>
      <c r="D410" s="302">
        <f>SUM(D408:D409)</f>
        <v>36.48599999913236</v>
      </c>
      <c r="E410" s="299" t="str">
        <f>CONCATENATE("(",ROUND((D410/$H410)*100,1),")")</f>
        <v>(35)</v>
      </c>
      <c r="F410" s="302">
        <f>SUM(F408:F409)</f>
        <v>7.6909999999934593</v>
      </c>
      <c r="G410" s="299" t="str">
        <f>CONCATENATE("(",ROUND((F410/$H410)*100,1),")")</f>
        <v>(7.4)</v>
      </c>
      <c r="H410" s="302">
        <f>SUM(H408:H409)</f>
        <v>104.24300000191393</v>
      </c>
      <c r="I410" s="299" t="str">
        <f>CONCATENATE("(",ROUND((H410/$H410)*100,1),")")</f>
        <v>(100)</v>
      </c>
      <c r="K410" s="302">
        <f t="shared" si="306"/>
        <v>4.4079999914878201</v>
      </c>
      <c r="L410" s="302">
        <f t="shared" si="307"/>
        <v>1.6649999979319716</v>
      </c>
      <c r="M410" s="302">
        <f t="shared" si="308"/>
        <v>0.61500000002400146</v>
      </c>
      <c r="N410" s="302">
        <f t="shared" si="309"/>
        <v>6.6879999894437931</v>
      </c>
    </row>
    <row r="411" spans="1:14" x14ac:dyDescent="0.2">
      <c r="B411" s="302"/>
      <c r="C411" s="284"/>
      <c r="D411" s="302"/>
      <c r="E411" s="284"/>
      <c r="F411" s="302"/>
      <c r="G411" s="284"/>
      <c r="H411" s="302"/>
      <c r="I411" s="284"/>
    </row>
    <row r="412" spans="1:14" x14ac:dyDescent="0.2">
      <c r="A412" s="292">
        <f>$A$13</f>
        <v>2025</v>
      </c>
      <c r="B412" s="302"/>
      <c r="C412" s="284"/>
      <c r="D412" s="302"/>
      <c r="E412" s="284"/>
      <c r="F412" s="302"/>
      <c r="G412" s="284"/>
      <c r="H412" s="302"/>
      <c r="I412" s="284"/>
      <c r="K412" s="286" t="str">
        <f>CONCATENATE(A412," - ",A417)</f>
        <v>2025 - 2035</v>
      </c>
    </row>
    <row r="413" spans="1:14" x14ac:dyDescent="0.2">
      <c r="A413" s="282" t="s">
        <v>355</v>
      </c>
      <c r="B413" s="302">
        <f>'Ind T6'!Q485</f>
        <v>22.818000000490532</v>
      </c>
      <c r="C413" s="299" t="str">
        <f>CONCATENATE("(",ROUND((B413/$H415)*100,1),")")</f>
        <v>(20.6)</v>
      </c>
      <c r="D413" s="302">
        <f>'Ind T6'!R485</f>
        <v>5.495000000203067</v>
      </c>
      <c r="E413" s="299" t="str">
        <f>CONCATENATE("(",ROUND((D413/$H415)*100,1),")")</f>
        <v>(5)</v>
      </c>
      <c r="F413" s="302">
        <f>'Ind T6'!S485</f>
        <v>4.455999999994571</v>
      </c>
      <c r="G413" s="299" t="str">
        <f>CONCATENATE("(",ROUND((F413/$H415)*100,1),")")</f>
        <v>(4)</v>
      </c>
      <c r="H413" s="302">
        <f>SUM(B413,D413,F413)</f>
        <v>32.769000000688166</v>
      </c>
      <c r="I413" s="299" t="str">
        <f>CONCATENATE("(",ROUND((H413/$H415)*100,1),")")</f>
        <v>(29.5)</v>
      </c>
      <c r="K413" s="302">
        <f>B418-B413</f>
        <v>0.15200000028349336</v>
      </c>
      <c r="L413" s="302">
        <f>D418-D413</f>
        <v>0.30299999993231275</v>
      </c>
      <c r="M413" s="302">
        <f>F418-F413</f>
        <v>0.28699999995015268</v>
      </c>
      <c r="N413" s="302">
        <f>SUM(K413:M413)</f>
        <v>0.7420000001659588</v>
      </c>
    </row>
    <row r="414" spans="1:14" x14ac:dyDescent="0.2">
      <c r="A414" s="282" t="s">
        <v>356</v>
      </c>
      <c r="B414" s="302">
        <f>'Ind T6'!Q484</f>
        <v>41.6559999937854</v>
      </c>
      <c r="C414" s="299" t="str">
        <f>CONCATENATE("(",ROUND((B414/$H415)*100,1),")")</f>
        <v>(37.6)</v>
      </c>
      <c r="D414" s="302">
        <f>'Ind T6'!R484</f>
        <v>32.655999996861269</v>
      </c>
      <c r="E414" s="299" t="str">
        <f>CONCATENATE("(",ROUND((D414/$H415)*100,1),")")</f>
        <v>(29.4)</v>
      </c>
      <c r="F414" s="302">
        <f>'Ind T6'!S484</f>
        <v>3.8500000000228898</v>
      </c>
      <c r="G414" s="299" t="str">
        <f>CONCATENATE("(",ROUND((F414/$H415)*100,1),")")</f>
        <v>(3.5)</v>
      </c>
      <c r="H414" s="302">
        <f t="shared" ref="H414" si="310">SUM(B414,D414,F414)</f>
        <v>78.161999990669557</v>
      </c>
      <c r="I414" s="299" t="str">
        <f>CONCATENATE("(",ROUND((H414/$H415)*100,1),")")</f>
        <v>(70.5)</v>
      </c>
      <c r="K414" s="302">
        <f t="shared" ref="K414:K415" si="311">B419-B414</f>
        <v>3.3590000071725399</v>
      </c>
      <c r="L414" s="302">
        <f t="shared" ref="L414:L415" si="312">D419-D414</f>
        <v>-0.39599999669255936</v>
      </c>
      <c r="M414" s="302">
        <f t="shared" ref="M414:M415" si="313">F419-F414</f>
        <v>0.13099999996242184</v>
      </c>
      <c r="N414" s="302">
        <f t="shared" ref="N414:N415" si="314">SUM(K414:M414)</f>
        <v>3.0940000104424024</v>
      </c>
    </row>
    <row r="415" spans="1:14" x14ac:dyDescent="0.2">
      <c r="A415" s="282" t="s">
        <v>354</v>
      </c>
      <c r="B415" s="302">
        <f>SUM(B413:B414)</f>
        <v>64.473999994275928</v>
      </c>
      <c r="C415" s="299" t="str">
        <f>CONCATENATE("(",ROUND((B415/$H415)*100,1),")")</f>
        <v>(58.1)</v>
      </c>
      <c r="D415" s="302">
        <f>SUM(D413:D414)</f>
        <v>38.150999997064332</v>
      </c>
      <c r="E415" s="299" t="str">
        <f>CONCATENATE("(",ROUND((D415/$H415)*100,1),")")</f>
        <v>(34.4)</v>
      </c>
      <c r="F415" s="302">
        <f>SUM(F413:F414)</f>
        <v>8.3060000000174607</v>
      </c>
      <c r="G415" s="299" t="str">
        <f>CONCATENATE("(",ROUND((F415/$H415)*100,1),")")</f>
        <v>(7.5)</v>
      </c>
      <c r="H415" s="302">
        <f>SUM(H413:H414)</f>
        <v>110.93099999135772</v>
      </c>
      <c r="I415" s="299" t="str">
        <f>CONCATENATE("(",ROUND((H415/$H415)*100,1),")")</f>
        <v>(100)</v>
      </c>
      <c r="K415" s="302">
        <f t="shared" si="311"/>
        <v>3.5110000074560332</v>
      </c>
      <c r="L415" s="302">
        <f t="shared" si="312"/>
        <v>-9.2999996760241288E-2</v>
      </c>
      <c r="M415" s="302">
        <f t="shared" si="313"/>
        <v>0.41799999991257408</v>
      </c>
      <c r="N415" s="302">
        <f t="shared" si="314"/>
        <v>3.836000010608366</v>
      </c>
    </row>
    <row r="416" spans="1:14" x14ac:dyDescent="0.2">
      <c r="B416" s="302"/>
      <c r="C416" s="284"/>
      <c r="D416" s="302"/>
      <c r="E416" s="284"/>
      <c r="F416" s="302"/>
      <c r="G416" s="284"/>
      <c r="H416" s="302"/>
      <c r="I416" s="284"/>
    </row>
    <row r="417" spans="1:14" x14ac:dyDescent="0.2">
      <c r="A417" s="292">
        <f>$A$18</f>
        <v>2035</v>
      </c>
      <c r="B417" s="302"/>
      <c r="C417" s="284"/>
      <c r="D417" s="302"/>
      <c r="E417" s="284"/>
      <c r="F417" s="302"/>
      <c r="G417" s="284"/>
      <c r="H417" s="302"/>
      <c r="I417" s="284"/>
      <c r="K417" s="286" t="str">
        <f>CONCATENATE(A407," - ",A417)</f>
        <v>2020 - 2035</v>
      </c>
    </row>
    <row r="418" spans="1:14" x14ac:dyDescent="0.2">
      <c r="A418" s="282" t="s">
        <v>355</v>
      </c>
      <c r="B418" s="302">
        <f>'Ind T6'!V485</f>
        <v>22.970000000774025</v>
      </c>
      <c r="C418" s="299" t="str">
        <f>CONCATENATE("(",ROUND((B418/$H420)*100,1),")")</f>
        <v>(20)</v>
      </c>
      <c r="D418" s="302">
        <f>'Ind T6'!W485</f>
        <v>5.7980000001353798</v>
      </c>
      <c r="E418" s="299" t="str">
        <f>CONCATENATE("(",ROUND((D418/$H420)*100,1),")")</f>
        <v>(5.1)</v>
      </c>
      <c r="F418" s="302">
        <f>'Ind T6'!X485</f>
        <v>4.7429999999447237</v>
      </c>
      <c r="G418" s="299" t="str">
        <f>CONCATENATE("(",ROUND((F418/$H420)*100,1),")")</f>
        <v>(4.1)</v>
      </c>
      <c r="H418" s="302">
        <f>SUM(B418,D418,F418)</f>
        <v>33.511000000854125</v>
      </c>
      <c r="I418" s="299" t="str">
        <f>CONCATENATE("(",ROUND((H418/$H420)*100,1),")")</f>
        <v>(29.2)</v>
      </c>
      <c r="K418" s="302">
        <f>B418-B408</f>
        <v>1.2270000001780055</v>
      </c>
      <c r="L418" s="302">
        <f>D418-D408</f>
        <v>0.69900000001498253</v>
      </c>
      <c r="M418" s="302">
        <f>F418-F408</f>
        <v>0.63199999995138167</v>
      </c>
      <c r="N418" s="302">
        <f>SUM(K418:M418)</f>
        <v>2.5580000001443697</v>
      </c>
    </row>
    <row r="419" spans="1:14" x14ac:dyDescent="0.2">
      <c r="A419" s="282" t="s">
        <v>356</v>
      </c>
      <c r="B419" s="302">
        <f>'Ind T6'!V484</f>
        <v>45.01500000095794</v>
      </c>
      <c r="C419" s="299" t="str">
        <f>CONCATENATE("(",ROUND((B419/$H420)*100,1),")")</f>
        <v>(39.2)</v>
      </c>
      <c r="D419" s="302">
        <f>'Ind T6'!W484</f>
        <v>32.260000000168709</v>
      </c>
      <c r="E419" s="299" t="str">
        <f>CONCATENATE("(",ROUND((D419/$H420)*100,1),")")</f>
        <v>(28.1)</v>
      </c>
      <c r="F419" s="302">
        <f>'Ind T6'!X484</f>
        <v>3.9809999999853116</v>
      </c>
      <c r="G419" s="299" t="str">
        <f>CONCATENATE("(",ROUND((F419/$H420)*100,1),")")</f>
        <v>(3.5)</v>
      </c>
      <c r="H419" s="302">
        <f t="shared" ref="H419" si="315">SUM(B419,D419,F419)</f>
        <v>81.256000001111957</v>
      </c>
      <c r="I419" s="299" t="str">
        <f>CONCATENATE("(",ROUND((H419/$H420)*100,1),")")</f>
        <v>(70.8)</v>
      </c>
      <c r="K419" s="302">
        <f t="shared" ref="K419:K420" si="316">B419-B409</f>
        <v>6.6919999987658514</v>
      </c>
      <c r="L419" s="302">
        <f t="shared" ref="L419:L420" si="317">D419-D409</f>
        <v>0.87300000115674337</v>
      </c>
      <c r="M419" s="302">
        <f t="shared" ref="M419:M420" si="318">F419-F409</f>
        <v>0.40099999998519431</v>
      </c>
      <c r="N419" s="302">
        <f t="shared" ref="N419:N420" si="319">SUM(K419:M419)</f>
        <v>7.9659999999077886</v>
      </c>
    </row>
    <row r="420" spans="1:14" x14ac:dyDescent="0.2">
      <c r="A420" s="282" t="s">
        <v>354</v>
      </c>
      <c r="B420" s="302">
        <f>SUM(B418:B419)</f>
        <v>67.985000001731962</v>
      </c>
      <c r="C420" s="299" t="str">
        <f>CONCATENATE("(",ROUND((B420/$H420)*100,1),")")</f>
        <v>(59.2)</v>
      </c>
      <c r="D420" s="302">
        <f>SUM(D418:D419)</f>
        <v>38.058000000304091</v>
      </c>
      <c r="E420" s="299" t="str">
        <f>CONCATENATE("(",ROUND((D420/$H420)*100,1),")")</f>
        <v>(33.2)</v>
      </c>
      <c r="F420" s="302">
        <f>SUM(F418:F419)</f>
        <v>8.7239999999300348</v>
      </c>
      <c r="G420" s="299" t="str">
        <f>CONCATENATE("(",ROUND((F420/$H420)*100,1),")")</f>
        <v>(7.6)</v>
      </c>
      <c r="H420" s="302">
        <f>SUM(H418:H419)</f>
        <v>114.76700000196608</v>
      </c>
      <c r="I420" s="299" t="str">
        <f>CONCATENATE("(",ROUND((H420/$H420)*100,1),")")</f>
        <v>(100)</v>
      </c>
      <c r="K420" s="302">
        <f t="shared" si="316"/>
        <v>7.9189999989438533</v>
      </c>
      <c r="L420" s="302">
        <f t="shared" si="317"/>
        <v>1.5720000011717303</v>
      </c>
      <c r="M420" s="302">
        <f t="shared" si="318"/>
        <v>1.0329999999365755</v>
      </c>
      <c r="N420" s="302">
        <f t="shared" si="319"/>
        <v>10.524000000052158</v>
      </c>
    </row>
    <row r="421" spans="1:14" x14ac:dyDescent="0.2">
      <c r="A421" s="293"/>
      <c r="B421" s="294"/>
      <c r="C421" s="293"/>
      <c r="D421" s="294"/>
      <c r="E421" s="293"/>
      <c r="F421" s="294"/>
      <c r="G421" s="293"/>
      <c r="H421" s="294"/>
      <c r="I421" s="293"/>
      <c r="J421" s="293"/>
      <c r="K421" s="294"/>
      <c r="L421" s="294"/>
      <c r="M421" s="294"/>
      <c r="N421" s="294"/>
    </row>
    <row r="424" spans="1:14" x14ac:dyDescent="0.2">
      <c r="C424" s="181"/>
      <c r="E424" s="181"/>
      <c r="G424" s="181"/>
      <c r="I424" s="181"/>
    </row>
    <row r="425" spans="1:14" x14ac:dyDescent="0.2">
      <c r="A425" s="288"/>
      <c r="B425" s="289" t="s">
        <v>379</v>
      </c>
      <c r="C425" s="288"/>
      <c r="D425" s="289"/>
      <c r="E425" s="288"/>
      <c r="F425" s="289" t="str">
        <f>name!B23</f>
        <v>Health and social work</v>
      </c>
      <c r="G425" s="288"/>
      <c r="H425" s="291"/>
      <c r="I425" s="288"/>
      <c r="J425" s="290"/>
      <c r="K425" s="291"/>
      <c r="L425" s="291"/>
      <c r="M425" s="291"/>
      <c r="N425" s="291"/>
    </row>
    <row r="426" spans="1:14" x14ac:dyDescent="0.2">
      <c r="N426" s="287" t="s">
        <v>377</v>
      </c>
    </row>
    <row r="427" spans="1:14" x14ac:dyDescent="0.2">
      <c r="A427" s="181" t="s">
        <v>378</v>
      </c>
      <c r="B427" s="369" t="s">
        <v>376</v>
      </c>
      <c r="C427" s="369"/>
      <c r="D427" s="369" t="s">
        <v>375</v>
      </c>
      <c r="E427" s="369"/>
      <c r="F427" s="369" t="s">
        <v>374</v>
      </c>
      <c r="G427" s="369"/>
      <c r="H427" s="369" t="s">
        <v>32</v>
      </c>
      <c r="I427" s="369"/>
      <c r="J427" s="181"/>
      <c r="K427" s="297" t="s">
        <v>339</v>
      </c>
      <c r="L427" s="297" t="s">
        <v>341</v>
      </c>
      <c r="M427" s="297" t="s">
        <v>337</v>
      </c>
      <c r="N427" s="297" t="s">
        <v>32</v>
      </c>
    </row>
    <row r="428" spans="1:14" x14ac:dyDescent="0.2">
      <c r="A428" s="292">
        <f>$A$8</f>
        <v>2020</v>
      </c>
      <c r="B428" s="287" t="s">
        <v>60</v>
      </c>
      <c r="C428" s="19" t="s">
        <v>373</v>
      </c>
      <c r="D428" s="287" t="s">
        <v>60</v>
      </c>
      <c r="E428" s="19" t="s">
        <v>373</v>
      </c>
      <c r="F428" s="287" t="s">
        <v>60</v>
      </c>
      <c r="G428" s="19" t="s">
        <v>373</v>
      </c>
      <c r="H428" s="287" t="s">
        <v>60</v>
      </c>
      <c r="I428" s="19" t="s">
        <v>373</v>
      </c>
      <c r="J428" s="181"/>
      <c r="K428" s="286" t="str">
        <f>CONCATENATE(A428," - ",A433)</f>
        <v>2020 - 2025</v>
      </c>
      <c r="L428" s="285"/>
      <c r="M428" s="285"/>
    </row>
    <row r="429" spans="1:14" x14ac:dyDescent="0.2">
      <c r="A429" s="282" t="s">
        <v>355</v>
      </c>
      <c r="B429" s="302">
        <f>'Ind T6'!L510</f>
        <v>26.075999999751474</v>
      </c>
      <c r="C429" s="299" t="str">
        <f>CONCATENATE("(",ROUND((B429/$H431)*100,1),")")</f>
        <v>(13.6)</v>
      </c>
      <c r="D429" s="302">
        <f>'Ind T6'!M510</f>
        <v>9.2830000000213655</v>
      </c>
      <c r="E429" s="299" t="str">
        <f>CONCATENATE("(",ROUND((D429/$H431)*100,1),")")</f>
        <v>(4.8)</v>
      </c>
      <c r="F429" s="302">
        <f>'Ind T6'!N510</f>
        <v>2.6100000000874002</v>
      </c>
      <c r="G429" s="299" t="str">
        <f>CONCATENATE("(",ROUND((F429/$H431)*100,1),")")</f>
        <v>(1.4)</v>
      </c>
      <c r="H429" s="302">
        <f>SUM(B429,D429,F429)</f>
        <v>37.968999999860245</v>
      </c>
      <c r="I429" s="299" t="str">
        <f>CONCATENATE("(",ROUND((H429/$H431)*100,1),")")</f>
        <v>(19.8)</v>
      </c>
      <c r="K429" s="302">
        <f>B434-B429</f>
        <v>1.7440000008448031</v>
      </c>
      <c r="L429" s="302">
        <f>D434-D429</f>
        <v>0.74499999998237598</v>
      </c>
      <c r="M429" s="302">
        <f>F434-F429</f>
        <v>5.6000000335926448E-2</v>
      </c>
      <c r="N429" s="302">
        <f>SUM(K429:M429)</f>
        <v>2.5450000011631055</v>
      </c>
    </row>
    <row r="430" spans="1:14" x14ac:dyDescent="0.2">
      <c r="A430" s="282" t="s">
        <v>356</v>
      </c>
      <c r="B430" s="302">
        <f>'Ind T6'!L509</f>
        <v>77.657000000197158</v>
      </c>
      <c r="C430" s="299" t="str">
        <f>CONCATENATE("(",ROUND((B430/$H431)*100,1),")")</f>
        <v>(40.5)</v>
      </c>
      <c r="D430" s="302">
        <f>'Ind T6'!M509</f>
        <v>69.671999998902294</v>
      </c>
      <c r="E430" s="299" t="str">
        <f>CONCATENATE("(",ROUND((D430/$H431)*100,1),")")</f>
        <v>(36.3)</v>
      </c>
      <c r="F430" s="302">
        <f>'Ind T6'!N509</f>
        <v>6.5650000004627795</v>
      </c>
      <c r="G430" s="299" t="str">
        <f>CONCATENATE("(",ROUND((F430/$H431)*100,1),")")</f>
        <v>(3.4)</v>
      </c>
      <c r="H430" s="302">
        <f t="shared" ref="H430" si="320">SUM(B430,D430,F430)</f>
        <v>153.89399999956223</v>
      </c>
      <c r="I430" s="299" t="str">
        <f>CONCATENATE("(",ROUND((H430/$H431)*100,1),")")</f>
        <v>(80.2)</v>
      </c>
      <c r="K430" s="302">
        <f t="shared" ref="K430:K431" si="321">B435-B430</f>
        <v>7.0009999992222305</v>
      </c>
      <c r="L430" s="302">
        <f t="shared" ref="L430:L431" si="322">D435-D430</f>
        <v>2.150999998763595</v>
      </c>
      <c r="M430" s="302">
        <f t="shared" ref="M430:M431" si="323">F435-F430</f>
        <v>0.78499999947247368</v>
      </c>
      <c r="N430" s="302">
        <f t="shared" ref="N430:N431" si="324">SUM(K430:M430)</f>
        <v>9.9369999974582992</v>
      </c>
    </row>
    <row r="431" spans="1:14" x14ac:dyDescent="0.2">
      <c r="A431" s="282" t="s">
        <v>354</v>
      </c>
      <c r="B431" s="302">
        <f>SUM(B429:B430)</f>
        <v>103.73299999994863</v>
      </c>
      <c r="C431" s="299" t="str">
        <f>CONCATENATE("(",ROUND((B431/$H431)*100,1),")")</f>
        <v>(54.1)</v>
      </c>
      <c r="D431" s="302">
        <f>SUM(D429:D430)</f>
        <v>78.954999998923654</v>
      </c>
      <c r="E431" s="299" t="str">
        <f>CONCATENATE("(",ROUND((D431/$H431)*100,1),")")</f>
        <v>(41.2)</v>
      </c>
      <c r="F431" s="302">
        <f>SUM(F429:F430)</f>
        <v>9.1750000005501793</v>
      </c>
      <c r="G431" s="299" t="str">
        <f>CONCATENATE("(",ROUND((F431/$H431)*100,1),")")</f>
        <v>(4.8)</v>
      </c>
      <c r="H431" s="302">
        <f>SUM(H429:H430)</f>
        <v>191.86299999942247</v>
      </c>
      <c r="I431" s="299" t="str">
        <f>CONCATENATE("(",ROUND((H431/$H431)*100,1),")")</f>
        <v>(100)</v>
      </c>
      <c r="K431" s="302">
        <f t="shared" si="321"/>
        <v>8.7450000000670371</v>
      </c>
      <c r="L431" s="302">
        <f t="shared" si="322"/>
        <v>2.8959999987459781</v>
      </c>
      <c r="M431" s="302">
        <f t="shared" si="323"/>
        <v>0.84099999980840145</v>
      </c>
      <c r="N431" s="302">
        <f t="shared" si="324"/>
        <v>12.481999998621417</v>
      </c>
    </row>
    <row r="432" spans="1:14" x14ac:dyDescent="0.2">
      <c r="B432" s="302"/>
      <c r="C432" s="284"/>
      <c r="D432" s="302"/>
      <c r="E432" s="284"/>
      <c r="F432" s="302"/>
      <c r="G432" s="284"/>
      <c r="H432" s="302"/>
      <c r="I432" s="284"/>
    </row>
    <row r="433" spans="1:14" x14ac:dyDescent="0.2">
      <c r="A433" s="292">
        <f>$A$13</f>
        <v>2025</v>
      </c>
      <c r="B433" s="302"/>
      <c r="C433" s="284"/>
      <c r="D433" s="302"/>
      <c r="E433" s="284"/>
      <c r="F433" s="302"/>
      <c r="G433" s="284"/>
      <c r="H433" s="302"/>
      <c r="I433" s="284"/>
      <c r="K433" s="286" t="str">
        <f>CONCATENATE(A433," - ",A438)</f>
        <v>2025 - 2035</v>
      </c>
    </row>
    <row r="434" spans="1:14" x14ac:dyDescent="0.2">
      <c r="A434" s="282" t="s">
        <v>355</v>
      </c>
      <c r="B434" s="302">
        <f>'Ind T6'!Q510</f>
        <v>27.820000000596277</v>
      </c>
      <c r="C434" s="299" t="str">
        <f>CONCATENATE("(",ROUND((B434/$H436)*100,1),")")</f>
        <v>(13.6)</v>
      </c>
      <c r="D434" s="302">
        <f>'Ind T6'!R510</f>
        <v>10.028000000003741</v>
      </c>
      <c r="E434" s="299" t="str">
        <f>CONCATENATE("(",ROUND((D434/$H436)*100,1),")")</f>
        <v>(4.9)</v>
      </c>
      <c r="F434" s="302">
        <f>'Ind T6'!S510</f>
        <v>2.6660000004233266</v>
      </c>
      <c r="G434" s="299" t="str">
        <f>CONCATENATE("(",ROUND((F434/$H436)*100,1),")")</f>
        <v>(1.3)</v>
      </c>
      <c r="H434" s="302">
        <f>SUM(B434,D434,F434)</f>
        <v>40.514000001023341</v>
      </c>
      <c r="I434" s="299" t="str">
        <f>CONCATENATE("(",ROUND((H434/$H436)*100,1),")")</f>
        <v>(19.8)</v>
      </c>
      <c r="K434" s="302">
        <f>B439-B434</f>
        <v>2.2859999999504623</v>
      </c>
      <c r="L434" s="302">
        <f>D439-D434</f>
        <v>0.95899999998602148</v>
      </c>
      <c r="M434" s="302">
        <f>F439-F434</f>
        <v>-3.0000000102674562E-2</v>
      </c>
      <c r="N434" s="302">
        <f>SUM(K434:M434)</f>
        <v>3.2149999998338092</v>
      </c>
    </row>
    <row r="435" spans="1:14" x14ac:dyDescent="0.2">
      <c r="A435" s="282" t="s">
        <v>356</v>
      </c>
      <c r="B435" s="302">
        <f>'Ind T6'!Q509</f>
        <v>84.657999999419388</v>
      </c>
      <c r="C435" s="299" t="str">
        <f>CONCATENATE("(",ROUND((B435/$H436)*100,1),")")</f>
        <v>(41.4)</v>
      </c>
      <c r="D435" s="302">
        <f>'Ind T6'!R509</f>
        <v>71.822999997665889</v>
      </c>
      <c r="E435" s="299" t="str">
        <f>CONCATENATE("(",ROUND((D435/$H436)*100,1),")")</f>
        <v>(35.1)</v>
      </c>
      <c r="F435" s="302">
        <f>'Ind T6'!S509</f>
        <v>7.3499999999352532</v>
      </c>
      <c r="G435" s="299" t="str">
        <f>CONCATENATE("(",ROUND((F435/$H436)*100,1),")")</f>
        <v>(3.6)</v>
      </c>
      <c r="H435" s="302">
        <f t="shared" ref="H435" si="325">SUM(B435,D435,F435)</f>
        <v>163.83099999702054</v>
      </c>
      <c r="I435" s="299" t="str">
        <f>CONCATENATE("(",ROUND((H435/$H436)*100,1),")")</f>
        <v>(80.2)</v>
      </c>
      <c r="K435" s="302">
        <f t="shared" ref="K435:K436" si="326">B440-B435</f>
        <v>10.427000000400469</v>
      </c>
      <c r="L435" s="302">
        <f t="shared" ref="L435:L436" si="327">D440-D435</f>
        <v>0.24800000221260632</v>
      </c>
      <c r="M435" s="302">
        <f t="shared" ref="M435:M436" si="328">F440-F435</f>
        <v>1.1300000000557997</v>
      </c>
      <c r="N435" s="302">
        <f t="shared" ref="N435:N436" si="329">SUM(K435:M435)</f>
        <v>11.805000002668875</v>
      </c>
    </row>
    <row r="436" spans="1:14" x14ac:dyDescent="0.2">
      <c r="A436" s="282" t="s">
        <v>354</v>
      </c>
      <c r="B436" s="302">
        <f>SUM(B434:B435)</f>
        <v>112.47800000001567</v>
      </c>
      <c r="C436" s="299" t="str">
        <f>CONCATENATE("(",ROUND((B436/$H436)*100,1),")")</f>
        <v>(55)</v>
      </c>
      <c r="D436" s="302">
        <f>SUM(D434:D435)</f>
        <v>81.850999997669632</v>
      </c>
      <c r="E436" s="299" t="str">
        <f>CONCATENATE("(",ROUND((D436/$H436)*100,1),")")</f>
        <v>(40.1)</v>
      </c>
      <c r="F436" s="302">
        <f>SUM(F434:F435)</f>
        <v>10.016000000358581</v>
      </c>
      <c r="G436" s="299" t="str">
        <f>CONCATENATE("(",ROUND((F436/$H436)*100,1),")")</f>
        <v>(4.9)</v>
      </c>
      <c r="H436" s="302">
        <f>SUM(H434:H435)</f>
        <v>204.34499999804387</v>
      </c>
      <c r="I436" s="299" t="str">
        <f>CONCATENATE("(",ROUND((H436/$H436)*100,1),")")</f>
        <v>(100)</v>
      </c>
      <c r="K436" s="302">
        <f t="shared" si="326"/>
        <v>12.713000000350931</v>
      </c>
      <c r="L436" s="302">
        <f t="shared" si="327"/>
        <v>1.207000002198626</v>
      </c>
      <c r="M436" s="302">
        <f t="shared" si="328"/>
        <v>1.0999999999531234</v>
      </c>
      <c r="N436" s="302">
        <f t="shared" si="329"/>
        <v>15.02000000250268</v>
      </c>
    </row>
    <row r="437" spans="1:14" x14ac:dyDescent="0.2">
      <c r="B437" s="302"/>
      <c r="C437" s="284"/>
      <c r="D437" s="302"/>
      <c r="E437" s="284"/>
      <c r="F437" s="302"/>
      <c r="G437" s="284"/>
      <c r="H437" s="302"/>
      <c r="I437" s="284"/>
    </row>
    <row r="438" spans="1:14" x14ac:dyDescent="0.2">
      <c r="A438" s="292">
        <f>$A$18</f>
        <v>2035</v>
      </c>
      <c r="B438" s="302"/>
      <c r="C438" s="284"/>
      <c r="D438" s="302"/>
      <c r="E438" s="284"/>
      <c r="F438" s="302"/>
      <c r="G438" s="284"/>
      <c r="H438" s="302"/>
      <c r="I438" s="284"/>
      <c r="K438" s="286" t="str">
        <f>CONCATENATE(A428," - ",A438)</f>
        <v>2020 - 2035</v>
      </c>
    </row>
    <row r="439" spans="1:14" x14ac:dyDescent="0.2">
      <c r="A439" s="282" t="s">
        <v>355</v>
      </c>
      <c r="B439" s="302">
        <f>'Ind T6'!V510</f>
        <v>30.106000000546739</v>
      </c>
      <c r="C439" s="299" t="str">
        <f>CONCATENATE("(",ROUND((B439/$H441)*100,1),")")</f>
        <v>(13.7)</v>
      </c>
      <c r="D439" s="302">
        <f>'Ind T6'!W510</f>
        <v>10.986999999989763</v>
      </c>
      <c r="E439" s="299" t="str">
        <f>CONCATENATE("(",ROUND((D439/$H441)*100,1),")")</f>
        <v>(5)</v>
      </c>
      <c r="F439" s="302">
        <f>'Ind T6'!X510</f>
        <v>2.6360000003206521</v>
      </c>
      <c r="G439" s="299" t="str">
        <f>CONCATENATE("(",ROUND((F439/$H441)*100,1),")")</f>
        <v>(1.2)</v>
      </c>
      <c r="H439" s="302">
        <f>SUM(B439,D439,F439)</f>
        <v>43.729000000857155</v>
      </c>
      <c r="I439" s="299" t="str">
        <f>CONCATENATE("(",ROUND((H439/$H441)*100,1),")")</f>
        <v>(19.9)</v>
      </c>
      <c r="K439" s="302">
        <f>B439-B429</f>
        <v>4.0300000007952654</v>
      </c>
      <c r="L439" s="302">
        <f>D439-D429</f>
        <v>1.7039999999683975</v>
      </c>
      <c r="M439" s="302">
        <f>F439-F429</f>
        <v>2.6000000233251885E-2</v>
      </c>
      <c r="N439" s="302">
        <f>SUM(K439:M439)</f>
        <v>5.7600000009969143</v>
      </c>
    </row>
    <row r="440" spans="1:14" x14ac:dyDescent="0.2">
      <c r="A440" s="282" t="s">
        <v>356</v>
      </c>
      <c r="B440" s="302">
        <f>'Ind T6'!V509</f>
        <v>95.084999999819857</v>
      </c>
      <c r="C440" s="299" t="str">
        <f>CONCATENATE("(",ROUND((B440/$H441)*100,1),")")</f>
        <v>(43.3)</v>
      </c>
      <c r="D440" s="302">
        <f>'Ind T6'!W509</f>
        <v>72.070999999878495</v>
      </c>
      <c r="E440" s="299" t="str">
        <f>CONCATENATE("(",ROUND((D440/$H441)*100,1),")")</f>
        <v>(32.9)</v>
      </c>
      <c r="F440" s="302">
        <f>'Ind T6'!X509</f>
        <v>8.4799999999910529</v>
      </c>
      <c r="G440" s="299" t="str">
        <f>CONCATENATE("(",ROUND((F440/$H441)*100,1),")")</f>
        <v>(3.9)</v>
      </c>
      <c r="H440" s="302">
        <f t="shared" ref="H440" si="330">SUM(B440,D440,F440)</f>
        <v>175.6359999996894</v>
      </c>
      <c r="I440" s="299" t="str">
        <f>CONCATENATE("(",ROUND((H440/$H441)*100,1),")")</f>
        <v>(80.1)</v>
      </c>
      <c r="K440" s="302">
        <f t="shared" ref="K440:K441" si="331">B440-B430</f>
        <v>17.427999999622699</v>
      </c>
      <c r="L440" s="302">
        <f t="shared" ref="L440:L441" si="332">D440-D430</f>
        <v>2.3990000009762014</v>
      </c>
      <c r="M440" s="302">
        <f t="shared" ref="M440:M441" si="333">F440-F430</f>
        <v>1.9149999995282734</v>
      </c>
      <c r="N440" s="302">
        <f t="shared" ref="N440:N441" si="334">SUM(K440:M440)</f>
        <v>21.742000000127174</v>
      </c>
    </row>
    <row r="441" spans="1:14" x14ac:dyDescent="0.2">
      <c r="A441" s="282" t="s">
        <v>354</v>
      </c>
      <c r="B441" s="302">
        <f>SUM(B439:B440)</f>
        <v>125.1910000003666</v>
      </c>
      <c r="C441" s="299" t="str">
        <f>CONCATENATE("(",ROUND((B441/$H441)*100,1),")")</f>
        <v>(57.1)</v>
      </c>
      <c r="D441" s="302">
        <f>SUM(D439:D440)</f>
        <v>83.057999999868258</v>
      </c>
      <c r="E441" s="299" t="str">
        <f>CONCATENATE("(",ROUND((D441/$H441)*100,1),")")</f>
        <v>(37.9)</v>
      </c>
      <c r="F441" s="302">
        <f>SUM(F439:F440)</f>
        <v>11.116000000311704</v>
      </c>
      <c r="G441" s="299" t="str">
        <f>CONCATENATE("(",ROUND((F441/$H441)*100,1),")")</f>
        <v>(5.1)</v>
      </c>
      <c r="H441" s="302">
        <f>SUM(H439:H440)</f>
        <v>219.36500000054656</v>
      </c>
      <c r="I441" s="299" t="str">
        <f>CONCATENATE("(",ROUND((H441/$H441)*100,1),")")</f>
        <v>(100)</v>
      </c>
      <c r="K441" s="302">
        <f t="shared" si="331"/>
        <v>21.458000000417968</v>
      </c>
      <c r="L441" s="302">
        <f t="shared" si="332"/>
        <v>4.1030000009446042</v>
      </c>
      <c r="M441" s="302">
        <f t="shared" si="333"/>
        <v>1.9409999997615248</v>
      </c>
      <c r="N441" s="302">
        <f t="shared" si="334"/>
        <v>27.502000001124095</v>
      </c>
    </row>
    <row r="442" spans="1:14" x14ac:dyDescent="0.2">
      <c r="A442" s="293"/>
      <c r="B442" s="294"/>
      <c r="C442" s="293"/>
      <c r="D442" s="294"/>
      <c r="E442" s="293"/>
      <c r="F442" s="294"/>
      <c r="G442" s="293"/>
      <c r="H442" s="294"/>
      <c r="I442" s="293"/>
      <c r="J442" s="293"/>
      <c r="K442" s="294"/>
      <c r="L442" s="294"/>
      <c r="M442" s="294"/>
      <c r="N442" s="294"/>
    </row>
    <row r="446" spans="1:14" x14ac:dyDescent="0.2">
      <c r="A446" s="288"/>
      <c r="B446" s="289" t="s">
        <v>379</v>
      </c>
      <c r="C446" s="288"/>
      <c r="D446" s="289"/>
      <c r="E446" s="288"/>
      <c r="F446" s="289" t="str">
        <f>name!B24</f>
        <v>Arts and entertainment</v>
      </c>
      <c r="G446" s="288"/>
      <c r="H446" s="291"/>
      <c r="I446" s="288"/>
      <c r="J446" s="290"/>
      <c r="K446" s="291"/>
      <c r="L446" s="291"/>
      <c r="M446" s="291"/>
      <c r="N446" s="291"/>
    </row>
    <row r="447" spans="1:14" x14ac:dyDescent="0.2">
      <c r="N447" s="287" t="s">
        <v>377</v>
      </c>
    </row>
    <row r="448" spans="1:14" x14ac:dyDescent="0.2">
      <c r="A448" s="181" t="s">
        <v>378</v>
      </c>
      <c r="B448" s="369" t="s">
        <v>376</v>
      </c>
      <c r="C448" s="369"/>
      <c r="D448" s="369" t="s">
        <v>375</v>
      </c>
      <c r="E448" s="369"/>
      <c r="F448" s="369" t="s">
        <v>374</v>
      </c>
      <c r="G448" s="369"/>
      <c r="H448" s="369" t="s">
        <v>32</v>
      </c>
      <c r="I448" s="369"/>
      <c r="J448" s="181"/>
      <c r="K448" s="297" t="s">
        <v>339</v>
      </c>
      <c r="L448" s="297" t="s">
        <v>341</v>
      </c>
      <c r="M448" s="297" t="s">
        <v>337</v>
      </c>
      <c r="N448" s="297" t="s">
        <v>32</v>
      </c>
    </row>
    <row r="449" spans="1:14" x14ac:dyDescent="0.2">
      <c r="A449" s="292">
        <f>$A$8</f>
        <v>2020</v>
      </c>
      <c r="B449" s="287" t="s">
        <v>60</v>
      </c>
      <c r="C449" s="19" t="s">
        <v>373</v>
      </c>
      <c r="D449" s="287" t="s">
        <v>60</v>
      </c>
      <c r="E449" s="19" t="s">
        <v>373</v>
      </c>
      <c r="F449" s="287" t="s">
        <v>337</v>
      </c>
      <c r="G449" s="19" t="s">
        <v>373</v>
      </c>
      <c r="H449" s="287" t="s">
        <v>60</v>
      </c>
      <c r="I449" s="19" t="s">
        <v>373</v>
      </c>
      <c r="J449" s="181"/>
      <c r="K449" s="286" t="str">
        <f>CONCATENATE(A449," - ",A454)</f>
        <v>2020 - 2025</v>
      </c>
      <c r="L449" s="285"/>
      <c r="M449" s="285"/>
    </row>
    <row r="450" spans="1:14" x14ac:dyDescent="0.2">
      <c r="A450" s="282" t="s">
        <v>355</v>
      </c>
      <c r="B450" s="302">
        <f>'Ind T6'!L540</f>
        <v>5.7749999999939483</v>
      </c>
      <c r="C450" s="299" t="str">
        <f>CONCATENATE("(",ROUND((B450/$H452)*100,1),")")</f>
        <v>(17.7)</v>
      </c>
      <c r="D450" s="302">
        <f>'Ind T6'!M540</f>
        <v>6.1639999999961184</v>
      </c>
      <c r="E450" s="299" t="str">
        <f>CONCATENATE("(",ROUND((D450/$H452)*100,1),")")</f>
        <v>(18.9)</v>
      </c>
      <c r="F450" s="302">
        <f>'Ind T6'!N540</f>
        <v>5.6850000001475518</v>
      </c>
      <c r="G450" s="299" t="str">
        <f>CONCATENATE("(",ROUND((F450/$H452)*100,1),")")</f>
        <v>(17.4)</v>
      </c>
      <c r="H450" s="302">
        <f>SUM(B450,D450,F450)</f>
        <v>17.62400000013762</v>
      </c>
      <c r="I450" s="299" t="str">
        <f>CONCATENATE("(",ROUND((H450/$H452)*100,1),")")</f>
        <v>(53.9)</v>
      </c>
      <c r="K450" s="302">
        <f>B455-B450</f>
        <v>0.2909999999858357</v>
      </c>
      <c r="L450" s="302">
        <f>D455-D450</f>
        <v>0.49599999995075628</v>
      </c>
      <c r="M450" s="302">
        <f>F455-F450</f>
        <v>-0.14099999970470911</v>
      </c>
      <c r="N450" s="302">
        <f>SUM(K450:M450)</f>
        <v>0.64600000023188286</v>
      </c>
    </row>
    <row r="451" spans="1:14" x14ac:dyDescent="0.2">
      <c r="A451" s="282" t="s">
        <v>356</v>
      </c>
      <c r="B451" s="302">
        <f>'Ind T6'!L539</f>
        <v>4.6099999999960453</v>
      </c>
      <c r="C451" s="299" t="str">
        <f>CONCATENATE("(",ROUND((B451/$H452)*100,1),")")</f>
        <v>(14.1)</v>
      </c>
      <c r="D451" s="302">
        <f>'Ind T6'!M539</f>
        <v>9.1400000000238784</v>
      </c>
      <c r="E451" s="299" t="str">
        <f>CONCATENATE("(",ROUND((D451/$H452)*100,1),")")</f>
        <v>(28)</v>
      </c>
      <c r="F451" s="302">
        <f>'Ind T6'!N539</f>
        <v>1.3089999999907604</v>
      </c>
      <c r="G451" s="299" t="str">
        <f>CONCATENATE("(",ROUND((F451/$H452)*100,1),")")</f>
        <v>(4)</v>
      </c>
      <c r="H451" s="302">
        <f t="shared" ref="H451" si="335">SUM(B451,D451,F451)</f>
        <v>15.059000000010684</v>
      </c>
      <c r="I451" s="299" t="str">
        <f>CONCATENATE("(",ROUND((H451/$H452)*100,1),")")</f>
        <v>(46.1)</v>
      </c>
      <c r="K451" s="302">
        <f t="shared" ref="K451:K452" si="336">B456-B451</f>
        <v>5.6000000026759977E-2</v>
      </c>
      <c r="L451" s="302">
        <f t="shared" ref="L451:L452" si="337">D456-D451</f>
        <v>0.41100000017051386</v>
      </c>
      <c r="M451" s="302">
        <f t="shared" ref="M451:M452" si="338">F456-F451</f>
        <v>-5.5000000034219232E-2</v>
      </c>
      <c r="N451" s="302">
        <f t="shared" ref="N451:N452" si="339">SUM(K451:M451)</f>
        <v>0.4120000001630546</v>
      </c>
    </row>
    <row r="452" spans="1:14" x14ac:dyDescent="0.2">
      <c r="A452" s="282" t="s">
        <v>354</v>
      </c>
      <c r="B452" s="302">
        <f>SUM(B450:B451)</f>
        <v>10.384999999989994</v>
      </c>
      <c r="C452" s="299" t="str">
        <f>CONCATENATE("(",ROUND((B452/$H452)*100,1),")")</f>
        <v>(31.8)</v>
      </c>
      <c r="D452" s="302">
        <f>SUM(D450:D451)</f>
        <v>15.304000000019997</v>
      </c>
      <c r="E452" s="299" t="str">
        <f>CONCATENATE("(",ROUND((D452/$H452)*100,1),")")</f>
        <v>(46.8)</v>
      </c>
      <c r="F452" s="302">
        <f>SUM(F450:F451)</f>
        <v>6.9940000001383122</v>
      </c>
      <c r="G452" s="299" t="str">
        <f>CONCATENATE("(",ROUND((F452/$H452)*100,1),")")</f>
        <v>(21.4)</v>
      </c>
      <c r="H452" s="302">
        <f>SUM(H450:H451)</f>
        <v>32.683000000148304</v>
      </c>
      <c r="I452" s="299" t="str">
        <f>CONCATENATE("(",ROUND((H452/$H452)*100,1),")")</f>
        <v>(100)</v>
      </c>
      <c r="K452" s="302">
        <f t="shared" si="336"/>
        <v>0.34700000001259568</v>
      </c>
      <c r="L452" s="302">
        <f t="shared" si="337"/>
        <v>0.90700000012127191</v>
      </c>
      <c r="M452" s="302">
        <f t="shared" si="338"/>
        <v>-0.19599999973892857</v>
      </c>
      <c r="N452" s="302">
        <f t="shared" si="339"/>
        <v>1.058000000394939</v>
      </c>
    </row>
    <row r="453" spans="1:14" x14ac:dyDescent="0.2">
      <c r="B453" s="302"/>
      <c r="C453" s="284"/>
      <c r="D453" s="302"/>
      <c r="E453" s="284"/>
      <c r="F453" s="302"/>
      <c r="G453" s="284"/>
      <c r="H453" s="302"/>
      <c r="I453" s="284"/>
    </row>
    <row r="454" spans="1:14" x14ac:dyDescent="0.2">
      <c r="A454" s="292">
        <f>$A$13</f>
        <v>2025</v>
      </c>
      <c r="B454" s="302"/>
      <c r="C454" s="284"/>
      <c r="D454" s="302"/>
      <c r="E454" s="284"/>
      <c r="F454" s="302"/>
      <c r="G454" s="284"/>
      <c r="H454" s="302"/>
      <c r="I454" s="284"/>
      <c r="K454" s="286" t="str">
        <f>CONCATENATE(A454," - ",A459)</f>
        <v>2025 - 2035</v>
      </c>
    </row>
    <row r="455" spans="1:14" x14ac:dyDescent="0.2">
      <c r="A455" s="282" t="s">
        <v>355</v>
      </c>
      <c r="B455" s="302">
        <f>'Ind T6'!Q540</f>
        <v>6.065999999979784</v>
      </c>
      <c r="C455" s="299" t="str">
        <f>CONCATENATE("(",ROUND((B455/$H457)*100,1),")")</f>
        <v>(18)</v>
      </c>
      <c r="D455" s="302">
        <f>'Ind T6'!R540</f>
        <v>6.6599999999468746</v>
      </c>
      <c r="E455" s="299" t="str">
        <f>CONCATENATE("(",ROUND((D455/$H457)*100,1),")")</f>
        <v>(19.7)</v>
      </c>
      <c r="F455" s="302">
        <f>'Ind T6'!S540</f>
        <v>5.5440000004428427</v>
      </c>
      <c r="G455" s="299" t="str">
        <f>CONCATENATE("(",ROUND((F455/$H457)*100,1),")")</f>
        <v>(16.4)</v>
      </c>
      <c r="H455" s="302">
        <f>SUM(B455,D455,F455)</f>
        <v>18.2700000003695</v>
      </c>
      <c r="I455" s="299" t="str">
        <f>CONCATENATE("(",ROUND((H455/$H457)*100,1),")")</f>
        <v>(54.1)</v>
      </c>
      <c r="K455" s="302">
        <f>B460-B455</f>
        <v>0.54999999999414051</v>
      </c>
      <c r="L455" s="302">
        <f>D460-D455</f>
        <v>0.8640000000002992</v>
      </c>
      <c r="M455" s="302">
        <f>F460-F455</f>
        <v>0.57999999993663121</v>
      </c>
      <c r="N455" s="302">
        <f>SUM(K455:M455)</f>
        <v>1.9939999999310709</v>
      </c>
    </row>
    <row r="456" spans="1:14" x14ac:dyDescent="0.2">
      <c r="A456" s="282" t="s">
        <v>356</v>
      </c>
      <c r="B456" s="302">
        <f>'Ind T6'!Q539</f>
        <v>4.6660000000228052</v>
      </c>
      <c r="C456" s="299" t="str">
        <f>CONCATENATE("(",ROUND((B456/$H457)*100,1),")")</f>
        <v>(13.8)</v>
      </c>
      <c r="D456" s="302">
        <f>'Ind T6'!R539</f>
        <v>9.5510000001943922</v>
      </c>
      <c r="E456" s="299" t="str">
        <f>CONCATENATE("(",ROUND((D456/$H457)*100,1),")")</f>
        <v>(28.3)</v>
      </c>
      <c r="F456" s="302">
        <f>'Ind T6'!S539</f>
        <v>1.2539999999565412</v>
      </c>
      <c r="G456" s="299" t="str">
        <f>CONCATENATE("(",ROUND((F456/$H457)*100,1),")")</f>
        <v>(3.7)</v>
      </c>
      <c r="H456" s="302">
        <f t="shared" ref="H456" si="340">SUM(B456,D456,F456)</f>
        <v>15.471000000173738</v>
      </c>
      <c r="I456" s="299" t="str">
        <f>CONCATENATE("(",ROUND((H456/$H457)*100,1),")")</f>
        <v>(45.9)</v>
      </c>
      <c r="K456" s="302">
        <f t="shared" ref="K456:K457" si="341">B461-B456</f>
        <v>0.10799999999032384</v>
      </c>
      <c r="L456" s="302">
        <f t="shared" ref="L456:L457" si="342">D461-D456</f>
        <v>0.8539999997777592</v>
      </c>
      <c r="M456" s="302">
        <f t="shared" ref="M456:M457" si="343">F461-F456</f>
        <v>0.21600000005286812</v>
      </c>
      <c r="N456" s="302">
        <f t="shared" ref="N456:N457" si="344">SUM(K456:M456)</f>
        <v>1.1779999998209512</v>
      </c>
    </row>
    <row r="457" spans="1:14" x14ac:dyDescent="0.2">
      <c r="A457" s="282" t="s">
        <v>354</v>
      </c>
      <c r="B457" s="302">
        <f>SUM(B455:B456)</f>
        <v>10.732000000002589</v>
      </c>
      <c r="C457" s="299" t="str">
        <f>CONCATENATE("(",ROUND((B457/$H457)*100,1),")")</f>
        <v>(31.8)</v>
      </c>
      <c r="D457" s="302">
        <f>SUM(D455:D456)</f>
        <v>16.211000000141269</v>
      </c>
      <c r="E457" s="299" t="str">
        <f>CONCATENATE("(",ROUND((D457/$H457)*100,1),")")</f>
        <v>(48)</v>
      </c>
      <c r="F457" s="302">
        <f>SUM(F455:F456)</f>
        <v>6.7980000003993837</v>
      </c>
      <c r="G457" s="299" t="str">
        <f>CONCATENATE("(",ROUND((F457/$H457)*100,1),")")</f>
        <v>(20.1)</v>
      </c>
      <c r="H457" s="302">
        <f>SUM(H455:H456)</f>
        <v>33.741000000543238</v>
      </c>
      <c r="I457" s="299" t="str">
        <f>CONCATENATE("(",ROUND((H457/$H457)*100,1),")")</f>
        <v>(100)</v>
      </c>
      <c r="K457" s="302">
        <f t="shared" si="341"/>
        <v>0.65799999998446523</v>
      </c>
      <c r="L457" s="302">
        <f t="shared" si="342"/>
        <v>1.7179999997780584</v>
      </c>
      <c r="M457" s="302">
        <f t="shared" si="343"/>
        <v>0.79599999998949933</v>
      </c>
      <c r="N457" s="302">
        <f t="shared" si="344"/>
        <v>3.171999999752023</v>
      </c>
    </row>
    <row r="458" spans="1:14" x14ac:dyDescent="0.2">
      <c r="B458" s="302"/>
      <c r="C458" s="284"/>
      <c r="D458" s="302"/>
      <c r="E458" s="284"/>
      <c r="F458" s="302"/>
      <c r="G458" s="284"/>
      <c r="H458" s="302"/>
      <c r="I458" s="284"/>
    </row>
    <row r="459" spans="1:14" x14ac:dyDescent="0.2">
      <c r="A459" s="292">
        <f>$A$18</f>
        <v>2035</v>
      </c>
      <c r="B459" s="302"/>
      <c r="C459" s="284"/>
      <c r="D459" s="302"/>
      <c r="E459" s="284"/>
      <c r="F459" s="302"/>
      <c r="G459" s="284"/>
      <c r="H459" s="302"/>
      <c r="I459" s="284"/>
      <c r="K459" s="286" t="str">
        <f>CONCATENATE(A449," - ",A459)</f>
        <v>2020 - 2035</v>
      </c>
    </row>
    <row r="460" spans="1:14" x14ac:dyDescent="0.2">
      <c r="A460" s="282" t="s">
        <v>355</v>
      </c>
      <c r="B460" s="302">
        <f>'Ind T6'!V540</f>
        <v>6.6159999999739245</v>
      </c>
      <c r="C460" s="299" t="str">
        <f>CONCATENATE("(",ROUND((B460/$H462)*100,1),")")</f>
        <v>(17.9)</v>
      </c>
      <c r="D460" s="302">
        <f>'Ind T6'!W540</f>
        <v>7.5239999999471738</v>
      </c>
      <c r="E460" s="299" t="str">
        <f>CONCATENATE("(",ROUND((D460/$H462)*100,1),")")</f>
        <v>(20.4)</v>
      </c>
      <c r="F460" s="302">
        <f>'Ind T6'!X540</f>
        <v>6.1240000003794739</v>
      </c>
      <c r="G460" s="299" t="str">
        <f>CONCATENATE("(",ROUND((F460/$H462)*100,1),")")</f>
        <v>(16.6)</v>
      </c>
      <c r="H460" s="302">
        <f>SUM(B460,D460,F460)</f>
        <v>20.264000000300573</v>
      </c>
      <c r="I460" s="299" t="str">
        <f>CONCATENATE("(",ROUND((H460/$H462)*100,1),")")</f>
        <v>(54.9)</v>
      </c>
      <c r="K460" s="302">
        <f>B460-B450</f>
        <v>0.84099999997997621</v>
      </c>
      <c r="L460" s="302">
        <f>D460-D450</f>
        <v>1.3599999999510555</v>
      </c>
      <c r="M460" s="302">
        <f>F460-F450</f>
        <v>0.43900000023192209</v>
      </c>
      <c r="N460" s="302">
        <f>SUM(K460:M460)</f>
        <v>2.6400000001629538</v>
      </c>
    </row>
    <row r="461" spans="1:14" x14ac:dyDescent="0.2">
      <c r="A461" s="282" t="s">
        <v>356</v>
      </c>
      <c r="B461" s="302">
        <f>'Ind T6'!V539</f>
        <v>4.7740000000131291</v>
      </c>
      <c r="C461" s="299" t="str">
        <f>CONCATENATE("(",ROUND((B461/$H462)*100,1),")")</f>
        <v>(12.9)</v>
      </c>
      <c r="D461" s="302">
        <f>'Ind T6'!W539</f>
        <v>10.404999999972151</v>
      </c>
      <c r="E461" s="299" t="str">
        <f>CONCATENATE("(",ROUND((D461/$H462)*100,1),")")</f>
        <v>(28.2)</v>
      </c>
      <c r="F461" s="302">
        <f>'Ind T6'!X539</f>
        <v>1.4700000000094093</v>
      </c>
      <c r="G461" s="299" t="str">
        <f>CONCATENATE("(",ROUND((F461/$H462)*100,1),")")</f>
        <v>(4)</v>
      </c>
      <c r="H461" s="302">
        <f t="shared" ref="H461" si="345">SUM(B461,D461,F461)</f>
        <v>16.64899999999469</v>
      </c>
      <c r="I461" s="299" t="str">
        <f>CONCATENATE("(",ROUND((H461/$H462)*100,1),")")</f>
        <v>(45.1)</v>
      </c>
      <c r="K461" s="302">
        <f t="shared" ref="K461:K462" si="346">B461-B451</f>
        <v>0.16400000001708381</v>
      </c>
      <c r="L461" s="302">
        <f t="shared" ref="L461:L462" si="347">D461-D451</f>
        <v>1.2649999999482731</v>
      </c>
      <c r="M461" s="302">
        <f t="shared" ref="M461:M462" si="348">F461-F451</f>
        <v>0.16100000001864889</v>
      </c>
      <c r="N461" s="302">
        <f t="shared" ref="N461:N462" si="349">SUM(K461:M461)</f>
        <v>1.5899999999840058</v>
      </c>
    </row>
    <row r="462" spans="1:14" x14ac:dyDescent="0.2">
      <c r="A462" s="282" t="s">
        <v>354</v>
      </c>
      <c r="B462" s="302">
        <f>SUM(B460:B461)</f>
        <v>11.389999999987054</v>
      </c>
      <c r="C462" s="299" t="str">
        <f>CONCATENATE("(",ROUND((B462/$H462)*100,1),")")</f>
        <v>(30.9)</v>
      </c>
      <c r="D462" s="302">
        <f>SUM(D460:D461)</f>
        <v>17.928999999919327</v>
      </c>
      <c r="E462" s="299" t="str">
        <f>CONCATENATE("(",ROUND((D462/$H462)*100,1),")")</f>
        <v>(48.6)</v>
      </c>
      <c r="F462" s="302">
        <f>SUM(F460:F461)</f>
        <v>7.594000000388883</v>
      </c>
      <c r="G462" s="299" t="str">
        <f>CONCATENATE("(",ROUND((F462/$H462)*100,1),")")</f>
        <v>(20.6)</v>
      </c>
      <c r="H462" s="302">
        <f>SUM(H460:H461)</f>
        <v>36.913000000295263</v>
      </c>
      <c r="I462" s="299" t="str">
        <f>CONCATENATE("(",ROUND((H462/$H462)*100,1),")")</f>
        <v>(100)</v>
      </c>
      <c r="K462" s="302">
        <f t="shared" si="346"/>
        <v>1.0049999999970609</v>
      </c>
      <c r="L462" s="302">
        <f t="shared" si="347"/>
        <v>2.6249999998993303</v>
      </c>
      <c r="M462" s="302">
        <f t="shared" si="348"/>
        <v>0.60000000025057076</v>
      </c>
      <c r="N462" s="302">
        <f t="shared" si="349"/>
        <v>4.230000000146962</v>
      </c>
    </row>
    <row r="463" spans="1:14" x14ac:dyDescent="0.2">
      <c r="A463" s="293"/>
      <c r="B463" s="294"/>
      <c r="C463" s="293"/>
      <c r="D463" s="294"/>
      <c r="E463" s="293"/>
      <c r="F463" s="294"/>
      <c r="G463" s="293"/>
      <c r="H463" s="294"/>
      <c r="I463" s="293"/>
      <c r="J463" s="293"/>
      <c r="K463" s="294"/>
      <c r="L463" s="294"/>
      <c r="M463" s="294"/>
      <c r="N463" s="294"/>
    </row>
    <row r="466" spans="1:14" x14ac:dyDescent="0.2">
      <c r="C466" s="181"/>
      <c r="E466" s="181"/>
      <c r="G466" s="181"/>
      <c r="I466" s="181"/>
    </row>
    <row r="467" spans="1:14" x14ac:dyDescent="0.2">
      <c r="A467" s="288"/>
      <c r="B467" s="289" t="s">
        <v>379</v>
      </c>
      <c r="C467" s="288"/>
      <c r="D467" s="289"/>
      <c r="E467" s="288"/>
      <c r="F467" s="289" t="str">
        <f>name!B25</f>
        <v>Other services</v>
      </c>
      <c r="G467" s="288"/>
      <c r="H467" s="291"/>
      <c r="I467" s="288"/>
      <c r="J467" s="290"/>
      <c r="K467" s="291"/>
      <c r="L467" s="291"/>
      <c r="M467" s="291"/>
      <c r="N467" s="291"/>
    </row>
    <row r="468" spans="1:14" x14ac:dyDescent="0.2">
      <c r="N468" s="287" t="s">
        <v>377</v>
      </c>
    </row>
    <row r="469" spans="1:14" x14ac:dyDescent="0.2">
      <c r="A469" s="181" t="s">
        <v>378</v>
      </c>
      <c r="B469" s="369" t="s">
        <v>376</v>
      </c>
      <c r="C469" s="369"/>
      <c r="D469" s="369" t="s">
        <v>375</v>
      </c>
      <c r="E469" s="369"/>
      <c r="F469" s="369" t="s">
        <v>374</v>
      </c>
      <c r="G469" s="369"/>
      <c r="H469" s="369" t="s">
        <v>32</v>
      </c>
      <c r="I469" s="369"/>
      <c r="J469" s="181"/>
      <c r="K469" s="297" t="s">
        <v>339</v>
      </c>
      <c r="L469" s="297" t="s">
        <v>341</v>
      </c>
      <c r="M469" s="297" t="s">
        <v>337</v>
      </c>
      <c r="N469" s="297" t="s">
        <v>32</v>
      </c>
    </row>
    <row r="470" spans="1:14" x14ac:dyDescent="0.2">
      <c r="A470" s="292">
        <f>$A$8</f>
        <v>2020</v>
      </c>
      <c r="B470" s="287" t="s">
        <v>60</v>
      </c>
      <c r="C470" s="19" t="s">
        <v>373</v>
      </c>
      <c r="D470" s="287" t="s">
        <v>60</v>
      </c>
      <c r="E470" s="19" t="s">
        <v>373</v>
      </c>
      <c r="F470" s="287" t="s">
        <v>60</v>
      </c>
      <c r="G470" s="19" t="s">
        <v>373</v>
      </c>
      <c r="H470" s="287" t="s">
        <v>60</v>
      </c>
      <c r="I470" s="19" t="s">
        <v>373</v>
      </c>
      <c r="J470" s="181"/>
      <c r="K470" s="286" t="str">
        <f>CONCATENATE(A470," - ",A475)</f>
        <v>2020 - 2025</v>
      </c>
      <c r="L470" s="285"/>
      <c r="M470" s="285"/>
    </row>
    <row r="471" spans="1:14" x14ac:dyDescent="0.2">
      <c r="A471" s="282" t="s">
        <v>355</v>
      </c>
      <c r="B471" s="302">
        <f>'Ind T6'!L565</f>
        <v>8.0929999999612843</v>
      </c>
      <c r="C471" s="299" t="str">
        <f>CONCATENATE("(",ROUND((B471/$H473)*100,1),")")</f>
        <v>(24)</v>
      </c>
      <c r="D471" s="302">
        <f>'Ind T6'!M565</f>
        <v>3.1140000000011803</v>
      </c>
      <c r="E471" s="299" t="str">
        <f>CONCATENATE("(",ROUND((D471/$H473)*100,1),")")</f>
        <v>(9.2)</v>
      </c>
      <c r="F471" s="302">
        <f>'Ind T6'!N565</f>
        <v>0</v>
      </c>
      <c r="G471" s="299" t="str">
        <f>CONCATENATE("(",ROUND((F471/$H473)*100,1),")")</f>
        <v>(0)</v>
      </c>
      <c r="H471" s="302">
        <f>SUM(B471,D471,F471)</f>
        <v>11.206999999962465</v>
      </c>
      <c r="I471" s="299" t="str">
        <f>CONCATENATE("(",ROUND((H471/$H473)*100,1),")")</f>
        <v>(33.2)</v>
      </c>
      <c r="K471" s="302">
        <f>B476-B471</f>
        <v>-0.93999999992244643</v>
      </c>
      <c r="L471" s="302">
        <f>D476-D471</f>
        <v>-0.45800000002129604</v>
      </c>
      <c r="M471" s="302">
        <f>F476-F471</f>
        <v>0</v>
      </c>
      <c r="N471" s="302">
        <f>SUM(K471:M471)</f>
        <v>-1.3979999999437425</v>
      </c>
    </row>
    <row r="472" spans="1:14" x14ac:dyDescent="0.2">
      <c r="A472" s="282" t="s">
        <v>356</v>
      </c>
      <c r="B472" s="302">
        <f>'Ind T6'!L564</f>
        <v>5.0879999999803394</v>
      </c>
      <c r="C472" s="299" t="str">
        <f>CONCATENATE("(",ROUND((B472/$H473)*100,1),")")</f>
        <v>(15.1)</v>
      </c>
      <c r="D472" s="302">
        <f>'Ind T6'!M564</f>
        <v>4.9800000000111435</v>
      </c>
      <c r="E472" s="299" t="str">
        <f>CONCATENATE("(",ROUND((D472/$H473)*100,1),")")</f>
        <v>(14.8)</v>
      </c>
      <c r="F472" s="302">
        <f>'Ind T6'!N564</f>
        <v>12.462999999869544</v>
      </c>
      <c r="G472" s="299" t="str">
        <f>CONCATENATE("(",ROUND((F472/$H473)*100,1),")")</f>
        <v>(36.9)</v>
      </c>
      <c r="H472" s="302">
        <f t="shared" ref="H472" si="350">SUM(B472,D472,F472)</f>
        <v>22.530999999861024</v>
      </c>
      <c r="I472" s="299" t="str">
        <f>CONCATENATE("(",ROUND((H472/$H473)*100,1),")")</f>
        <v>(66.8)</v>
      </c>
      <c r="K472" s="302">
        <f t="shared" ref="K472:K473" si="351">B477-B472</f>
        <v>-0.86899999993637511</v>
      </c>
      <c r="L472" s="302">
        <f t="shared" ref="L472:L473" si="352">D477-D472</f>
        <v>-0.77899999996866676</v>
      </c>
      <c r="M472" s="302">
        <f t="shared" ref="M472:M473" si="353">F477-F472</f>
        <v>-1.7650000000318027</v>
      </c>
      <c r="N472" s="302">
        <f t="shared" ref="N472:N473" si="354">SUM(K472:M472)</f>
        <v>-3.4129999999368446</v>
      </c>
    </row>
    <row r="473" spans="1:14" x14ac:dyDescent="0.2">
      <c r="A473" s="282" t="s">
        <v>354</v>
      </c>
      <c r="B473" s="302">
        <f>SUM(B471:B472)</f>
        <v>13.180999999941623</v>
      </c>
      <c r="C473" s="299" t="str">
        <f>CONCATENATE("(",ROUND((B473/$H473)*100,1),")")</f>
        <v>(39.1)</v>
      </c>
      <c r="D473" s="302">
        <f>SUM(D471:D472)</f>
        <v>8.0940000000123238</v>
      </c>
      <c r="E473" s="299" t="str">
        <f>CONCATENATE("(",ROUND((D473/$H473)*100,1),")")</f>
        <v>(24)</v>
      </c>
      <c r="F473" s="302">
        <f>SUM(F471:F472)</f>
        <v>12.462999999869544</v>
      </c>
      <c r="G473" s="299" t="str">
        <f>CONCATENATE("(",ROUND((F473/$H473)*100,1),")")</f>
        <v>(36.9)</v>
      </c>
      <c r="H473" s="302">
        <f>SUM(H471:H472)</f>
        <v>33.737999999823487</v>
      </c>
      <c r="I473" s="299" t="str">
        <f>CONCATENATE("(",ROUND((H473/$H473)*100,1),")")</f>
        <v>(100)</v>
      </c>
      <c r="K473" s="302">
        <f t="shared" si="351"/>
        <v>-1.8089999998588198</v>
      </c>
      <c r="L473" s="302">
        <f t="shared" si="352"/>
        <v>-1.2369999999899628</v>
      </c>
      <c r="M473" s="302">
        <f t="shared" si="353"/>
        <v>-1.7650000000318027</v>
      </c>
      <c r="N473" s="302">
        <f t="shared" si="354"/>
        <v>-4.8109999998805852</v>
      </c>
    </row>
    <row r="474" spans="1:14" x14ac:dyDescent="0.2">
      <c r="B474" s="302"/>
      <c r="C474" s="284"/>
      <c r="D474" s="302"/>
      <c r="E474" s="284"/>
      <c r="F474" s="302"/>
      <c r="G474" s="284"/>
      <c r="H474" s="302"/>
      <c r="I474" s="284"/>
    </row>
    <row r="475" spans="1:14" x14ac:dyDescent="0.2">
      <c r="A475" s="292">
        <f>$A$13</f>
        <v>2025</v>
      </c>
      <c r="B475" s="302"/>
      <c r="C475" s="284"/>
      <c r="D475" s="302"/>
      <c r="E475" s="284"/>
      <c r="F475" s="302"/>
      <c r="G475" s="284"/>
      <c r="H475" s="302"/>
      <c r="I475" s="284"/>
      <c r="K475" s="286" t="str">
        <f>CONCATENATE(A475," - ",A480)</f>
        <v>2025 - 2035</v>
      </c>
    </row>
    <row r="476" spans="1:14" x14ac:dyDescent="0.2">
      <c r="A476" s="282" t="s">
        <v>355</v>
      </c>
      <c r="B476" s="302">
        <f>'Ind T6'!Q565</f>
        <v>7.1530000000388378</v>
      </c>
      <c r="C476" s="299" t="str">
        <f>CONCATENATE("(",ROUND((B476/$H478)*100,1),")")</f>
        <v>(24.7)</v>
      </c>
      <c r="D476" s="302">
        <f>'Ind T6'!R565</f>
        <v>2.6559999999798842</v>
      </c>
      <c r="E476" s="299" t="str">
        <f>CONCATENATE("(",ROUND((D476/$H478)*100,1),")")</f>
        <v>(9.2)</v>
      </c>
      <c r="F476" s="302">
        <f>'Ind T6'!S565</f>
        <v>0</v>
      </c>
      <c r="G476" s="299" t="str">
        <f>CONCATENATE("(",ROUND((F476/$H478)*100,1),")")</f>
        <v>(0)</v>
      </c>
      <c r="H476" s="302">
        <f>SUM(B476,D476,F476)</f>
        <v>9.8090000000187221</v>
      </c>
      <c r="I476" s="299" t="str">
        <f>CONCATENATE("(",ROUND((H476/$H478)*100,1),")")</f>
        <v>(33.9)</v>
      </c>
      <c r="K476" s="302">
        <f>B481-B476</f>
        <v>-2.6000000013318036E-2</v>
      </c>
      <c r="L476" s="302">
        <f>D481-D476</f>
        <v>-0.12199999999655775</v>
      </c>
      <c r="M476" s="302">
        <f>F481-F476</f>
        <v>0</v>
      </c>
      <c r="N476" s="302">
        <f>SUM(K476:M476)</f>
        <v>-0.14800000000987579</v>
      </c>
    </row>
    <row r="477" spans="1:14" x14ac:dyDescent="0.2">
      <c r="A477" s="282" t="s">
        <v>356</v>
      </c>
      <c r="B477" s="302">
        <f>'Ind T6'!Q564</f>
        <v>4.2190000000439642</v>
      </c>
      <c r="C477" s="299" t="str">
        <f>CONCATENATE("(",ROUND((B477/$H478)*100,1),")")</f>
        <v>(14.6)</v>
      </c>
      <c r="D477" s="302">
        <f>'Ind T6'!R564</f>
        <v>4.2010000000424768</v>
      </c>
      <c r="E477" s="299" t="str">
        <f>CONCATENATE("(",ROUND((D477/$H478)*100,1),")")</f>
        <v>(14.5)</v>
      </c>
      <c r="F477" s="302">
        <f>'Ind T6'!S564</f>
        <v>10.697999999837741</v>
      </c>
      <c r="G477" s="299" t="str">
        <f>CONCATENATE("(",ROUND((F477/$H478)*100,1),")")</f>
        <v>(37)</v>
      </c>
      <c r="H477" s="302">
        <f t="shared" ref="H477" si="355">SUM(B477,D477,F477)</f>
        <v>19.11799999992418</v>
      </c>
      <c r="I477" s="299" t="str">
        <f>CONCATENATE("(",ROUND((H477/$H478)*100,1),")")</f>
        <v>(66.1)</v>
      </c>
      <c r="K477" s="302">
        <f t="shared" ref="K477:K478" si="356">B482-B477</f>
        <v>-0.38900000004296809</v>
      </c>
      <c r="L477" s="302">
        <f t="shared" ref="L477:L478" si="357">D482-D477</f>
        <v>-0.33400000004494856</v>
      </c>
      <c r="M477" s="302">
        <f t="shared" ref="M477:M478" si="358">F482-F477</f>
        <v>-0.68399999974885439</v>
      </c>
      <c r="N477" s="302">
        <f t="shared" ref="N477:N478" si="359">SUM(K477:M477)</f>
        <v>-1.406999999836771</v>
      </c>
    </row>
    <row r="478" spans="1:14" x14ac:dyDescent="0.2">
      <c r="A478" s="282" t="s">
        <v>354</v>
      </c>
      <c r="B478" s="302">
        <f>SUM(B476:B477)</f>
        <v>11.372000000082803</v>
      </c>
      <c r="C478" s="299" t="str">
        <f>CONCATENATE("(",ROUND((B478/$H478)*100,1),")")</f>
        <v>(39.3)</v>
      </c>
      <c r="D478" s="302">
        <f>SUM(D476:D477)</f>
        <v>6.857000000022361</v>
      </c>
      <c r="E478" s="299" t="str">
        <f>CONCATENATE("(",ROUND((D478/$H478)*100,1),")")</f>
        <v>(23.7)</v>
      </c>
      <c r="F478" s="302">
        <f>SUM(F476:F477)</f>
        <v>10.697999999837741</v>
      </c>
      <c r="G478" s="299" t="str">
        <f>CONCATENATE("(",ROUND((F478/$H478)*100,1),")")</f>
        <v>(37)</v>
      </c>
      <c r="H478" s="302">
        <f>SUM(H476:H477)</f>
        <v>28.9269999999429</v>
      </c>
      <c r="I478" s="299" t="str">
        <f>CONCATENATE("(",ROUND((H478/$H478)*100,1),")")</f>
        <v>(100)</v>
      </c>
      <c r="K478" s="302">
        <f t="shared" si="356"/>
        <v>-0.41500000005628657</v>
      </c>
      <c r="L478" s="302">
        <f t="shared" si="357"/>
        <v>-0.45600000004150676</v>
      </c>
      <c r="M478" s="302">
        <f t="shared" si="358"/>
        <v>-0.68399999974885439</v>
      </c>
      <c r="N478" s="302">
        <f t="shared" si="359"/>
        <v>-1.5549999998466477</v>
      </c>
    </row>
    <row r="479" spans="1:14" x14ac:dyDescent="0.2">
      <c r="B479" s="302"/>
      <c r="C479" s="284"/>
      <c r="D479" s="302"/>
      <c r="E479" s="284"/>
      <c r="F479" s="302"/>
      <c r="G479" s="284"/>
      <c r="H479" s="302"/>
      <c r="I479" s="284"/>
    </row>
    <row r="480" spans="1:14" x14ac:dyDescent="0.2">
      <c r="A480" s="292">
        <f>$A$18</f>
        <v>2035</v>
      </c>
      <c r="B480" s="302"/>
      <c r="C480" s="284"/>
      <c r="D480" s="302"/>
      <c r="E480" s="284"/>
      <c r="F480" s="302"/>
      <c r="G480" s="284"/>
      <c r="H480" s="302"/>
      <c r="I480" s="284"/>
      <c r="K480" s="286" t="str">
        <f>CONCATENATE(A470," - ",A480)</f>
        <v>2020 - 2035</v>
      </c>
    </row>
    <row r="481" spans="1:14" x14ac:dyDescent="0.2">
      <c r="A481" s="282" t="s">
        <v>355</v>
      </c>
      <c r="B481" s="302">
        <f>'Ind T6'!V565</f>
        <v>7.1270000000255198</v>
      </c>
      <c r="C481" s="299" t="str">
        <f>CONCATENATE("(",ROUND((B481/$H483)*100,1),")")</f>
        <v>(26)</v>
      </c>
      <c r="D481" s="302">
        <f>'Ind T6'!W565</f>
        <v>2.5339999999833265</v>
      </c>
      <c r="E481" s="299" t="str">
        <f>CONCATENATE("(",ROUND((D481/$H483)*100,1),")")</f>
        <v>(9.3)</v>
      </c>
      <c r="F481" s="302">
        <f>'Ind T6'!X565</f>
        <v>0</v>
      </c>
      <c r="G481" s="299" t="str">
        <f>CONCATENATE("(",ROUND((F481/$H483)*100,1),")")</f>
        <v>(0)</v>
      </c>
      <c r="H481" s="302">
        <f>SUM(B481,D481,F481)</f>
        <v>9.6610000000088458</v>
      </c>
      <c r="I481" s="299" t="str">
        <f>CONCATENATE("(",ROUND((H481/$H483)*100,1),")")</f>
        <v>(35.3)</v>
      </c>
      <c r="K481" s="302">
        <f>B481-B471</f>
        <v>-0.96599999993576446</v>
      </c>
      <c r="L481" s="302">
        <f>D481-D471</f>
        <v>-0.58000000001785379</v>
      </c>
      <c r="M481" s="302">
        <f>F481-F471</f>
        <v>0</v>
      </c>
      <c r="N481" s="302">
        <f>SUM(K481:M481)</f>
        <v>-1.5459999999536183</v>
      </c>
    </row>
    <row r="482" spans="1:14" x14ac:dyDescent="0.2">
      <c r="A482" s="282" t="s">
        <v>356</v>
      </c>
      <c r="B482" s="302">
        <f>'Ind T6'!V564</f>
        <v>3.8300000000009962</v>
      </c>
      <c r="C482" s="299" t="str">
        <f>CONCATENATE("(",ROUND((B482/$H483)*100,1),")")</f>
        <v>(14)</v>
      </c>
      <c r="D482" s="302">
        <f>'Ind T6'!W564</f>
        <v>3.8669999999975282</v>
      </c>
      <c r="E482" s="299" t="str">
        <f>CONCATENATE("(",ROUND((D482/$H483)*100,1),")")</f>
        <v>(14.1)</v>
      </c>
      <c r="F482" s="302">
        <f>'Ind T6'!X564</f>
        <v>10.014000000088886</v>
      </c>
      <c r="G482" s="299" t="str">
        <f>CONCATENATE("(",ROUND((F482/$H483)*100,1),")")</f>
        <v>(36.6)</v>
      </c>
      <c r="H482" s="302">
        <f t="shared" ref="H482" si="360">SUM(B482,D482,F482)</f>
        <v>17.711000000087409</v>
      </c>
      <c r="I482" s="299" t="str">
        <f>CONCATENATE("(",ROUND((H482/$H483)*100,1),")")</f>
        <v>(64.7)</v>
      </c>
      <c r="K482" s="302">
        <f t="shared" ref="K482:K483" si="361">B482-B472</f>
        <v>-1.2579999999793432</v>
      </c>
      <c r="L482" s="302">
        <f t="shared" ref="L482:L483" si="362">D482-D472</f>
        <v>-1.1130000000136153</v>
      </c>
      <c r="M482" s="302">
        <f t="shared" ref="M482:M483" si="363">F482-F472</f>
        <v>-2.4489999997806571</v>
      </c>
      <c r="N482" s="302">
        <f t="shared" ref="N482:N483" si="364">SUM(K482:M482)</f>
        <v>-4.819999999773616</v>
      </c>
    </row>
    <row r="483" spans="1:14" x14ac:dyDescent="0.2">
      <c r="A483" s="282" t="s">
        <v>354</v>
      </c>
      <c r="B483" s="302">
        <f>SUM(B481:B482)</f>
        <v>10.957000000026516</v>
      </c>
      <c r="C483" s="299" t="str">
        <f>CONCATENATE("(",ROUND((B483/$H483)*100,1),")")</f>
        <v>(40)</v>
      </c>
      <c r="D483" s="302">
        <f>SUM(D481:D482)</f>
        <v>6.4009999999808542</v>
      </c>
      <c r="E483" s="299" t="str">
        <f>CONCATENATE("(",ROUND((D483/$H483)*100,1),")")</f>
        <v>(23.4)</v>
      </c>
      <c r="F483" s="302">
        <f>SUM(F481:F482)</f>
        <v>10.014000000088886</v>
      </c>
      <c r="G483" s="299" t="str">
        <f>CONCATENATE("(",ROUND((F483/$H483)*100,1),")")</f>
        <v>(36.6)</v>
      </c>
      <c r="H483" s="302">
        <f>SUM(H481:H482)</f>
        <v>27.372000000096257</v>
      </c>
      <c r="I483" s="299" t="str">
        <f>CONCATENATE("(",ROUND((H483/$H483)*100,1),")")</f>
        <v>(100)</v>
      </c>
      <c r="K483" s="302">
        <f t="shared" si="361"/>
        <v>-2.2239999999151063</v>
      </c>
      <c r="L483" s="302">
        <f t="shared" si="362"/>
        <v>-1.6930000000314696</v>
      </c>
      <c r="M483" s="302">
        <f t="shared" si="363"/>
        <v>-2.4489999997806571</v>
      </c>
      <c r="N483" s="302">
        <f t="shared" si="364"/>
        <v>-6.365999999727233</v>
      </c>
    </row>
    <row r="484" spans="1:14" x14ac:dyDescent="0.2">
      <c r="A484" s="293"/>
      <c r="B484" s="294"/>
      <c r="C484" s="293"/>
      <c r="D484" s="294"/>
      <c r="E484" s="293"/>
      <c r="F484" s="294"/>
      <c r="G484" s="293"/>
      <c r="H484" s="294"/>
      <c r="I484" s="293"/>
      <c r="J484" s="293"/>
      <c r="K484" s="294"/>
      <c r="L484" s="294"/>
      <c r="M484" s="294"/>
      <c r="N484" s="294"/>
    </row>
    <row r="488" spans="1:14" x14ac:dyDescent="0.2">
      <c r="A488" s="181"/>
      <c r="B488" s="285"/>
      <c r="C488" s="181"/>
      <c r="D488" s="285"/>
      <c r="E488" s="181"/>
      <c r="F488" s="285"/>
      <c r="G488" s="181"/>
      <c r="I488" s="181"/>
    </row>
    <row r="489" spans="1:14" x14ac:dyDescent="0.2">
      <c r="N489" s="287"/>
    </row>
    <row r="490" spans="1:14" x14ac:dyDescent="0.2">
      <c r="A490" s="181"/>
      <c r="B490" s="369"/>
      <c r="C490" s="369"/>
      <c r="D490" s="369"/>
      <c r="E490" s="369"/>
      <c r="F490" s="369"/>
      <c r="G490" s="369"/>
      <c r="H490" s="369"/>
      <c r="I490" s="369"/>
      <c r="J490" s="181"/>
      <c r="K490" s="287"/>
      <c r="L490" s="287"/>
      <c r="M490" s="287"/>
      <c r="N490" s="287"/>
    </row>
    <row r="491" spans="1:14" x14ac:dyDescent="0.2">
      <c r="A491" s="292"/>
      <c r="B491" s="287"/>
      <c r="C491" s="19"/>
      <c r="D491" s="287"/>
      <c r="E491" s="19"/>
      <c r="F491" s="287"/>
      <c r="G491" s="19"/>
      <c r="H491" s="287"/>
      <c r="I491" s="19"/>
      <c r="J491" s="181"/>
      <c r="K491" s="286"/>
      <c r="L491" s="285"/>
      <c r="M491" s="285"/>
    </row>
    <row r="492" spans="1:14" x14ac:dyDescent="0.2">
      <c r="B492" s="249"/>
      <c r="C492" s="284"/>
      <c r="D492" s="249"/>
      <c r="E492" s="284"/>
      <c r="F492" s="249"/>
      <c r="G492" s="284"/>
      <c r="H492" s="249"/>
      <c r="I492" s="284"/>
      <c r="K492" s="249"/>
      <c r="L492" s="249"/>
      <c r="M492" s="249"/>
      <c r="N492" s="249"/>
    </row>
    <row r="493" spans="1:14" x14ac:dyDescent="0.2">
      <c r="B493" s="249"/>
      <c r="C493" s="284"/>
      <c r="D493" s="249"/>
      <c r="E493" s="284"/>
      <c r="F493" s="249"/>
      <c r="G493" s="284"/>
      <c r="H493" s="249"/>
      <c r="I493" s="284"/>
      <c r="K493" s="249"/>
      <c r="L493" s="249"/>
      <c r="M493" s="249"/>
      <c r="N493" s="249"/>
    </row>
    <row r="494" spans="1:14" x14ac:dyDescent="0.2">
      <c r="B494" s="249"/>
      <c r="C494" s="284"/>
      <c r="D494" s="249"/>
      <c r="E494" s="284"/>
      <c r="F494" s="249"/>
      <c r="G494" s="284"/>
      <c r="H494" s="249"/>
      <c r="I494" s="284"/>
      <c r="K494" s="249"/>
      <c r="L494" s="249"/>
      <c r="M494" s="249"/>
      <c r="N494" s="249"/>
    </row>
    <row r="495" spans="1:14" x14ac:dyDescent="0.2">
      <c r="B495" s="249"/>
      <c r="C495" s="284"/>
      <c r="D495" s="249"/>
      <c r="E495" s="284"/>
      <c r="F495" s="249"/>
      <c r="G495" s="284"/>
      <c r="H495" s="249"/>
      <c r="I495" s="284"/>
    </row>
    <row r="496" spans="1:14" x14ac:dyDescent="0.2">
      <c r="A496" s="292"/>
      <c r="B496" s="249"/>
      <c r="C496" s="284"/>
      <c r="D496" s="249"/>
      <c r="E496" s="284"/>
      <c r="F496" s="249"/>
      <c r="G496" s="284"/>
      <c r="H496" s="249"/>
      <c r="I496" s="284"/>
      <c r="K496" s="285"/>
    </row>
    <row r="497" spans="1:14" x14ac:dyDescent="0.2">
      <c r="B497" s="249"/>
      <c r="C497" s="284"/>
      <c r="D497" s="249"/>
      <c r="E497" s="284"/>
      <c r="F497" s="249"/>
      <c r="G497" s="284"/>
      <c r="H497" s="249"/>
      <c r="I497" s="284"/>
      <c r="K497" s="249"/>
      <c r="L497" s="249"/>
      <c r="M497" s="249"/>
      <c r="N497" s="249"/>
    </row>
    <row r="498" spans="1:14" x14ac:dyDescent="0.2">
      <c r="B498" s="249"/>
      <c r="C498" s="284"/>
      <c r="D498" s="249"/>
      <c r="E498" s="284"/>
      <c r="F498" s="249"/>
      <c r="G498" s="284"/>
      <c r="H498" s="249"/>
      <c r="I498" s="284"/>
      <c r="K498" s="249"/>
      <c r="L498" s="249"/>
      <c r="M498" s="249"/>
      <c r="N498" s="249"/>
    </row>
    <row r="499" spans="1:14" x14ac:dyDescent="0.2">
      <c r="B499" s="249"/>
      <c r="C499" s="284"/>
      <c r="D499" s="249"/>
      <c r="E499" s="284"/>
      <c r="F499" s="249"/>
      <c r="G499" s="284"/>
      <c r="H499" s="249"/>
      <c r="I499" s="284"/>
      <c r="K499" s="249"/>
      <c r="L499" s="249"/>
      <c r="M499" s="249"/>
      <c r="N499" s="249"/>
    </row>
    <row r="500" spans="1:14" x14ac:dyDescent="0.2">
      <c r="B500" s="249"/>
      <c r="C500" s="284"/>
      <c r="D500" s="249"/>
      <c r="E500" s="284"/>
      <c r="F500" s="249"/>
      <c r="G500" s="284"/>
      <c r="H500" s="249"/>
      <c r="I500" s="284"/>
    </row>
    <row r="501" spans="1:14" x14ac:dyDescent="0.2">
      <c r="A501" s="292"/>
      <c r="B501" s="249"/>
      <c r="C501" s="284"/>
      <c r="D501" s="249"/>
      <c r="E501" s="284"/>
      <c r="F501" s="249"/>
      <c r="G501" s="284"/>
      <c r="H501" s="249"/>
      <c r="I501" s="284"/>
      <c r="K501" s="285"/>
    </row>
    <row r="502" spans="1:14" x14ac:dyDescent="0.2">
      <c r="B502" s="249"/>
      <c r="C502" s="284"/>
      <c r="D502" s="249"/>
      <c r="E502" s="284"/>
      <c r="F502" s="249"/>
      <c r="G502" s="284"/>
      <c r="H502" s="249"/>
      <c r="I502" s="284"/>
      <c r="K502" s="249"/>
      <c r="L502" s="249"/>
      <c r="M502" s="249"/>
      <c r="N502" s="249"/>
    </row>
    <row r="503" spans="1:14" x14ac:dyDescent="0.2">
      <c r="B503" s="249"/>
      <c r="C503" s="284"/>
      <c r="D503" s="249"/>
      <c r="E503" s="284"/>
      <c r="F503" s="249"/>
      <c r="G503" s="284"/>
      <c r="H503" s="249"/>
      <c r="I503" s="284"/>
      <c r="K503" s="249"/>
      <c r="L503" s="249"/>
      <c r="M503" s="249"/>
      <c r="N503" s="249"/>
    </row>
    <row r="504" spans="1:14" x14ac:dyDescent="0.2">
      <c r="B504" s="249"/>
      <c r="C504" s="284"/>
      <c r="D504" s="249"/>
      <c r="E504" s="284"/>
      <c r="F504" s="249"/>
      <c r="G504" s="284"/>
      <c r="H504" s="249"/>
      <c r="I504" s="284"/>
      <c r="K504" s="249"/>
      <c r="L504" s="249"/>
      <c r="M504" s="249"/>
      <c r="N504" s="249"/>
    </row>
    <row r="509" spans="1:14" x14ac:dyDescent="0.2">
      <c r="A509" s="181"/>
      <c r="B509" s="285"/>
      <c r="C509" s="181"/>
      <c r="D509" s="285"/>
      <c r="E509" s="181"/>
      <c r="F509" s="285"/>
      <c r="G509" s="181"/>
      <c r="I509" s="181"/>
    </row>
    <row r="510" spans="1:14" x14ac:dyDescent="0.2">
      <c r="N510" s="287"/>
    </row>
    <row r="511" spans="1:14" x14ac:dyDescent="0.2">
      <c r="A511" s="181"/>
      <c r="B511" s="369"/>
      <c r="C511" s="369"/>
      <c r="D511" s="369"/>
      <c r="E511" s="369"/>
      <c r="F511" s="369"/>
      <c r="G511" s="369"/>
      <c r="H511" s="369"/>
      <c r="I511" s="369"/>
      <c r="J511" s="181"/>
      <c r="K511" s="287"/>
      <c r="L511" s="287"/>
      <c r="M511" s="287"/>
      <c r="N511" s="287"/>
    </row>
    <row r="512" spans="1:14" x14ac:dyDescent="0.2">
      <c r="A512" s="292"/>
      <c r="B512" s="287"/>
      <c r="C512" s="19"/>
      <c r="D512" s="287"/>
      <c r="E512" s="19"/>
      <c r="F512" s="287"/>
      <c r="G512" s="19"/>
      <c r="H512" s="287"/>
      <c r="I512" s="19"/>
      <c r="J512" s="181"/>
      <c r="K512" s="286"/>
      <c r="L512" s="285"/>
      <c r="M512" s="285"/>
    </row>
    <row r="513" spans="1:14" x14ac:dyDescent="0.2">
      <c r="B513" s="249"/>
      <c r="C513" s="284"/>
      <c r="D513" s="249"/>
      <c r="E513" s="284"/>
      <c r="F513" s="249"/>
      <c r="G513" s="284"/>
      <c r="H513" s="249"/>
      <c r="I513" s="284"/>
      <c r="K513" s="249"/>
      <c r="L513" s="249"/>
      <c r="M513" s="249"/>
      <c r="N513" s="249"/>
    </row>
    <row r="514" spans="1:14" x14ac:dyDescent="0.2">
      <c r="B514" s="249"/>
      <c r="C514" s="284"/>
      <c r="D514" s="249"/>
      <c r="E514" s="284"/>
      <c r="F514" s="249"/>
      <c r="G514" s="284"/>
      <c r="H514" s="249"/>
      <c r="I514" s="284"/>
      <c r="K514" s="249"/>
      <c r="L514" s="249"/>
      <c r="M514" s="249"/>
      <c r="N514" s="249"/>
    </row>
    <row r="515" spans="1:14" x14ac:dyDescent="0.2">
      <c r="B515" s="249"/>
      <c r="C515" s="284"/>
      <c r="D515" s="249"/>
      <c r="E515" s="284"/>
      <c r="F515" s="249"/>
      <c r="G515" s="284"/>
      <c r="H515" s="249"/>
      <c r="I515" s="284"/>
      <c r="K515" s="249"/>
      <c r="L515" s="249"/>
      <c r="M515" s="249"/>
      <c r="N515" s="249"/>
    </row>
    <row r="516" spans="1:14" x14ac:dyDescent="0.2">
      <c r="B516" s="249"/>
      <c r="C516" s="284"/>
      <c r="D516" s="249"/>
      <c r="E516" s="284"/>
      <c r="F516" s="249"/>
      <c r="G516" s="284"/>
      <c r="H516" s="249"/>
      <c r="I516" s="284"/>
    </row>
    <row r="517" spans="1:14" x14ac:dyDescent="0.2">
      <c r="A517" s="292"/>
      <c r="B517" s="249"/>
      <c r="C517" s="284"/>
      <c r="D517" s="249"/>
      <c r="E517" s="284"/>
      <c r="F517" s="249"/>
      <c r="G517" s="284"/>
      <c r="H517" s="249"/>
      <c r="I517" s="284"/>
      <c r="K517" s="285"/>
    </row>
    <row r="518" spans="1:14" x14ac:dyDescent="0.2">
      <c r="B518" s="249"/>
      <c r="C518" s="284"/>
      <c r="D518" s="249"/>
      <c r="E518" s="284"/>
      <c r="F518" s="249"/>
      <c r="G518" s="284"/>
      <c r="H518" s="249"/>
      <c r="I518" s="284"/>
      <c r="K518" s="249"/>
      <c r="L518" s="249"/>
      <c r="M518" s="249"/>
      <c r="N518" s="249"/>
    </row>
    <row r="519" spans="1:14" x14ac:dyDescent="0.2">
      <c r="B519" s="249"/>
      <c r="C519" s="284"/>
      <c r="D519" s="249"/>
      <c r="E519" s="284"/>
      <c r="F519" s="249"/>
      <c r="G519" s="284"/>
      <c r="H519" s="249"/>
      <c r="I519" s="284"/>
      <c r="K519" s="249"/>
      <c r="L519" s="249"/>
      <c r="M519" s="249"/>
      <c r="N519" s="249"/>
    </row>
    <row r="520" spans="1:14" x14ac:dyDescent="0.2">
      <c r="B520" s="249"/>
      <c r="C520" s="284"/>
      <c r="D520" s="249"/>
      <c r="E520" s="284"/>
      <c r="F520" s="249"/>
      <c r="G520" s="284"/>
      <c r="H520" s="249"/>
      <c r="I520" s="284"/>
      <c r="K520" s="249"/>
      <c r="L520" s="249"/>
      <c r="M520" s="249"/>
      <c r="N520" s="249"/>
    </row>
    <row r="521" spans="1:14" x14ac:dyDescent="0.2">
      <c r="B521" s="249"/>
      <c r="C521" s="284"/>
      <c r="D521" s="249"/>
      <c r="E521" s="284"/>
      <c r="F521" s="249"/>
      <c r="G521" s="284"/>
      <c r="H521" s="249"/>
      <c r="I521" s="284"/>
    </row>
    <row r="522" spans="1:14" x14ac:dyDescent="0.2">
      <c r="A522" s="292"/>
      <c r="B522" s="249"/>
      <c r="C522" s="284"/>
      <c r="D522" s="249"/>
      <c r="E522" s="284"/>
      <c r="F522" s="249"/>
      <c r="G522" s="284"/>
      <c r="H522" s="249"/>
      <c r="I522" s="284"/>
      <c r="K522" s="285"/>
    </row>
    <row r="523" spans="1:14" x14ac:dyDescent="0.2">
      <c r="B523" s="249"/>
      <c r="C523" s="284"/>
      <c r="D523" s="249"/>
      <c r="E523" s="284"/>
      <c r="F523" s="249"/>
      <c r="G523" s="284"/>
      <c r="H523" s="249"/>
      <c r="I523" s="284"/>
      <c r="K523" s="249"/>
      <c r="L523" s="249"/>
      <c r="M523" s="249"/>
      <c r="N523" s="249"/>
    </row>
    <row r="524" spans="1:14" x14ac:dyDescent="0.2">
      <c r="B524" s="249"/>
      <c r="C524" s="284"/>
      <c r="D524" s="249"/>
      <c r="E524" s="284"/>
      <c r="F524" s="249"/>
      <c r="G524" s="284"/>
      <c r="H524" s="249"/>
      <c r="I524" s="284"/>
      <c r="K524" s="249"/>
      <c r="L524" s="249"/>
      <c r="M524" s="249"/>
      <c r="N524" s="249"/>
    </row>
    <row r="525" spans="1:14" x14ac:dyDescent="0.2">
      <c r="B525" s="249"/>
      <c r="C525" s="284"/>
      <c r="D525" s="249"/>
      <c r="E525" s="284"/>
      <c r="F525" s="249"/>
      <c r="G525" s="284"/>
      <c r="H525" s="249"/>
      <c r="I525" s="284"/>
      <c r="K525" s="249"/>
      <c r="L525" s="249"/>
      <c r="M525" s="249"/>
      <c r="N525" s="249"/>
    </row>
    <row r="530" spans="1:14" x14ac:dyDescent="0.2">
      <c r="A530" s="181"/>
      <c r="B530" s="285"/>
      <c r="C530" s="181"/>
      <c r="D530" s="285"/>
      <c r="E530" s="181"/>
      <c r="F530" s="285"/>
      <c r="G530" s="181"/>
      <c r="H530" s="285"/>
      <c r="I530" s="181"/>
    </row>
    <row r="531" spans="1:14" x14ac:dyDescent="0.2">
      <c r="N531" s="287"/>
    </row>
    <row r="532" spans="1:14" x14ac:dyDescent="0.2">
      <c r="A532" s="181"/>
      <c r="B532" s="285"/>
      <c r="C532" s="181"/>
      <c r="D532" s="285"/>
      <c r="E532" s="181"/>
      <c r="F532" s="285"/>
      <c r="G532" s="181"/>
      <c r="H532" s="285"/>
      <c r="I532" s="181"/>
      <c r="J532" s="181"/>
      <c r="K532" s="287"/>
      <c r="L532" s="287"/>
      <c r="M532" s="287"/>
      <c r="N532" s="287"/>
    </row>
    <row r="533" spans="1:14" x14ac:dyDescent="0.2">
      <c r="A533" s="292"/>
      <c r="B533" s="287"/>
      <c r="C533" s="19"/>
      <c r="D533" s="287"/>
      <c r="E533" s="19"/>
      <c r="F533" s="287"/>
      <c r="G533" s="19"/>
      <c r="H533" s="287"/>
      <c r="I533" s="19"/>
      <c r="J533" s="181"/>
      <c r="K533" s="286"/>
      <c r="L533" s="285"/>
      <c r="M533" s="285"/>
    </row>
    <row r="534" spans="1:14" x14ac:dyDescent="0.2">
      <c r="C534" s="284"/>
      <c r="E534" s="284"/>
      <c r="G534" s="284"/>
      <c r="I534" s="284"/>
    </row>
    <row r="535" spans="1:14" x14ac:dyDescent="0.2">
      <c r="C535" s="284"/>
      <c r="E535" s="284"/>
      <c r="G535" s="284"/>
      <c r="I535" s="284"/>
    </row>
    <row r="536" spans="1:14" x14ac:dyDescent="0.2">
      <c r="C536" s="284"/>
      <c r="E536" s="284"/>
      <c r="G536" s="284"/>
      <c r="I536" s="284"/>
    </row>
    <row r="537" spans="1:14" x14ac:dyDescent="0.2">
      <c r="C537" s="284"/>
      <c r="E537" s="284"/>
      <c r="G537" s="284"/>
      <c r="I537" s="284"/>
    </row>
    <row r="538" spans="1:14" x14ac:dyDescent="0.2">
      <c r="A538" s="292"/>
      <c r="C538" s="284"/>
      <c r="E538" s="284"/>
      <c r="G538" s="284"/>
      <c r="I538" s="284"/>
      <c r="K538" s="285"/>
    </row>
    <row r="539" spans="1:14" x14ac:dyDescent="0.2">
      <c r="C539" s="284"/>
      <c r="E539" s="284"/>
      <c r="G539" s="284"/>
      <c r="I539" s="284"/>
    </row>
    <row r="540" spans="1:14" x14ac:dyDescent="0.2">
      <c r="C540" s="284"/>
      <c r="E540" s="284"/>
      <c r="G540" s="284"/>
      <c r="I540" s="284"/>
    </row>
    <row r="541" spans="1:14" x14ac:dyDescent="0.2">
      <c r="C541" s="284"/>
      <c r="E541" s="284"/>
      <c r="G541" s="284"/>
      <c r="I541" s="284"/>
    </row>
    <row r="542" spans="1:14" x14ac:dyDescent="0.2">
      <c r="C542" s="284"/>
      <c r="E542" s="284"/>
      <c r="G542" s="284"/>
      <c r="I542" s="284"/>
    </row>
    <row r="543" spans="1:14" x14ac:dyDescent="0.2">
      <c r="A543" s="292"/>
      <c r="C543" s="284"/>
      <c r="E543" s="284"/>
      <c r="G543" s="284"/>
      <c r="I543" s="284"/>
      <c r="K543" s="285"/>
    </row>
    <row r="544" spans="1:14" x14ac:dyDescent="0.2">
      <c r="C544" s="284"/>
      <c r="E544" s="284"/>
      <c r="G544" s="284"/>
      <c r="I544" s="284"/>
    </row>
    <row r="545" spans="1:9" x14ac:dyDescent="0.2">
      <c r="C545" s="284"/>
      <c r="E545" s="284"/>
      <c r="G545" s="284"/>
      <c r="I545" s="284"/>
    </row>
    <row r="546" spans="1:9" x14ac:dyDescent="0.2">
      <c r="C546" s="284"/>
      <c r="E546" s="284"/>
      <c r="G546" s="284"/>
      <c r="I546" s="284"/>
    </row>
    <row r="557" spans="1:9" x14ac:dyDescent="0.2">
      <c r="C557" s="181"/>
      <c r="E557" s="181"/>
      <c r="G557" s="181"/>
      <c r="I557" s="181"/>
    </row>
    <row r="558" spans="1:9" x14ac:dyDescent="0.2">
      <c r="A558" s="181"/>
      <c r="B558" s="285"/>
      <c r="C558" s="181"/>
      <c r="D558" s="285"/>
      <c r="E558" s="181"/>
      <c r="F558" s="285"/>
      <c r="G558" s="181"/>
      <c r="H558" s="285"/>
      <c r="I558" s="181"/>
    </row>
    <row r="559" spans="1:9" x14ac:dyDescent="0.2">
      <c r="A559" s="181"/>
      <c r="B559" s="285"/>
      <c r="C559" s="181"/>
      <c r="D559" s="285"/>
      <c r="E559" s="181"/>
      <c r="F559" s="285"/>
      <c r="G559" s="181"/>
      <c r="H559" s="285"/>
      <c r="I559" s="181"/>
    </row>
    <row r="560" spans="1:9" x14ac:dyDescent="0.2">
      <c r="A560" s="181"/>
      <c r="B560" s="285"/>
      <c r="C560" s="181"/>
      <c r="D560" s="285"/>
      <c r="E560" s="181"/>
      <c r="F560" s="285"/>
      <c r="G560" s="181"/>
      <c r="H560" s="285"/>
      <c r="I560" s="181"/>
    </row>
    <row r="561" spans="1:9" x14ac:dyDescent="0.2">
      <c r="A561" s="181"/>
      <c r="B561" s="285"/>
      <c r="C561" s="181"/>
      <c r="D561" s="285"/>
      <c r="E561" s="181"/>
      <c r="F561" s="285"/>
      <c r="G561" s="181"/>
      <c r="H561" s="285"/>
      <c r="I561" s="181"/>
    </row>
    <row r="562" spans="1:9" x14ac:dyDescent="0.2">
      <c r="A562" s="181"/>
      <c r="B562" s="285"/>
      <c r="C562" s="181"/>
      <c r="D562" s="285"/>
      <c r="E562" s="181"/>
      <c r="F562" s="285"/>
      <c r="G562" s="181"/>
      <c r="H562" s="285"/>
      <c r="I562" s="181"/>
    </row>
    <row r="563" spans="1:9" x14ac:dyDescent="0.2">
      <c r="A563" s="181"/>
      <c r="B563" s="285"/>
      <c r="C563" s="181"/>
      <c r="D563" s="285"/>
      <c r="E563" s="181"/>
      <c r="F563" s="285"/>
      <c r="G563" s="181"/>
      <c r="H563" s="285"/>
      <c r="I563" s="181"/>
    </row>
    <row r="564" spans="1:9" x14ac:dyDescent="0.2">
      <c r="A564" s="181"/>
      <c r="B564" s="285"/>
      <c r="C564" s="181"/>
      <c r="D564" s="285"/>
      <c r="E564" s="181"/>
      <c r="F564" s="285"/>
      <c r="G564" s="181"/>
      <c r="H564" s="285"/>
      <c r="I564" s="181"/>
    </row>
    <row r="565" spans="1:9" x14ac:dyDescent="0.2">
      <c r="A565" s="181"/>
      <c r="B565" s="285"/>
      <c r="C565" s="181"/>
      <c r="D565" s="285"/>
      <c r="E565" s="181"/>
      <c r="F565" s="285"/>
      <c r="G565" s="181"/>
      <c r="H565" s="285"/>
      <c r="I565" s="181"/>
    </row>
    <row r="566" spans="1:9" x14ac:dyDescent="0.2">
      <c r="A566" s="181"/>
      <c r="B566" s="285"/>
      <c r="C566" s="181"/>
      <c r="D566" s="285"/>
      <c r="E566" s="181"/>
      <c r="F566" s="285"/>
      <c r="G566" s="181"/>
      <c r="H566" s="285"/>
      <c r="I566" s="181"/>
    </row>
    <row r="567" spans="1:9" x14ac:dyDescent="0.2">
      <c r="A567" s="181"/>
      <c r="B567" s="285"/>
      <c r="C567" s="181"/>
      <c r="D567" s="285"/>
      <c r="E567" s="181"/>
      <c r="F567" s="285"/>
      <c r="G567" s="181"/>
      <c r="H567" s="285"/>
      <c r="I567" s="181"/>
    </row>
    <row r="568" spans="1:9" x14ac:dyDescent="0.2">
      <c r="A568" s="181"/>
      <c r="B568" s="285"/>
      <c r="C568" s="181"/>
      <c r="D568" s="285"/>
      <c r="E568" s="181"/>
      <c r="F568" s="285"/>
      <c r="G568" s="181"/>
      <c r="H568" s="285"/>
      <c r="I568" s="181"/>
    </row>
    <row r="569" spans="1:9" x14ac:dyDescent="0.2">
      <c r="A569" s="181"/>
      <c r="B569" s="285"/>
      <c r="C569" s="181"/>
      <c r="D569" s="285"/>
      <c r="E569" s="181"/>
      <c r="F569" s="285"/>
      <c r="G569" s="181"/>
      <c r="H569" s="285"/>
      <c r="I569" s="181"/>
    </row>
    <row r="570" spans="1:9" x14ac:dyDescent="0.2">
      <c r="A570" s="181"/>
      <c r="B570" s="285"/>
      <c r="C570" s="181"/>
      <c r="D570" s="285"/>
      <c r="E570" s="181"/>
      <c r="F570" s="285"/>
      <c r="G570" s="181"/>
      <c r="H570" s="285"/>
      <c r="I570" s="181"/>
    </row>
    <row r="571" spans="1:9" x14ac:dyDescent="0.2">
      <c r="A571" s="181"/>
      <c r="B571" s="285"/>
      <c r="C571" s="181"/>
      <c r="D571" s="285"/>
      <c r="E571" s="181"/>
      <c r="F571" s="285"/>
      <c r="G571" s="181"/>
      <c r="H571" s="285"/>
      <c r="I571" s="181"/>
    </row>
    <row r="572" spans="1:9" x14ac:dyDescent="0.2">
      <c r="A572" s="181"/>
      <c r="B572" s="285"/>
      <c r="C572" s="181"/>
      <c r="D572" s="285"/>
      <c r="E572" s="181"/>
      <c r="F572" s="285"/>
      <c r="G572" s="181"/>
      <c r="H572" s="285"/>
      <c r="I572" s="181"/>
    </row>
    <row r="573" spans="1:9" x14ac:dyDescent="0.2">
      <c r="A573" s="181"/>
      <c r="B573" s="285"/>
      <c r="C573" s="181"/>
      <c r="D573" s="285"/>
      <c r="E573" s="181"/>
      <c r="F573" s="285"/>
      <c r="G573" s="181"/>
      <c r="H573" s="285"/>
      <c r="I573" s="181"/>
    </row>
    <row r="574" spans="1:9" x14ac:dyDescent="0.2">
      <c r="A574" s="181"/>
      <c r="B574" s="285"/>
      <c r="C574" s="181"/>
      <c r="D574" s="285"/>
      <c r="E574" s="181"/>
      <c r="F574" s="285"/>
      <c r="G574" s="181"/>
      <c r="H574" s="285"/>
      <c r="I574" s="181"/>
    </row>
    <row r="575" spans="1:9" x14ac:dyDescent="0.2">
      <c r="A575" s="181"/>
      <c r="B575" s="285"/>
      <c r="C575" s="181"/>
      <c r="D575" s="285"/>
      <c r="E575" s="181"/>
      <c r="F575" s="285"/>
      <c r="G575" s="181"/>
      <c r="H575" s="285"/>
      <c r="I575" s="181"/>
    </row>
    <row r="576" spans="1:9" x14ac:dyDescent="0.2">
      <c r="A576" s="181"/>
      <c r="B576" s="285"/>
      <c r="C576" s="181"/>
      <c r="D576" s="285"/>
      <c r="E576" s="181"/>
      <c r="F576" s="285"/>
      <c r="G576" s="181"/>
      <c r="H576" s="285"/>
      <c r="I576" s="181"/>
    </row>
    <row r="577" spans="1:8" x14ac:dyDescent="0.2">
      <c r="A577" s="181"/>
      <c r="B577" s="285"/>
      <c r="D577" s="285"/>
      <c r="F577" s="285"/>
      <c r="H577" s="285"/>
    </row>
  </sheetData>
  <mergeCells count="100">
    <mergeCell ref="B490:C490"/>
    <mergeCell ref="D490:E490"/>
    <mergeCell ref="F490:G490"/>
    <mergeCell ref="H490:I490"/>
    <mergeCell ref="B511:C511"/>
    <mergeCell ref="D511:E511"/>
    <mergeCell ref="F511:G511"/>
    <mergeCell ref="H511:I511"/>
    <mergeCell ref="B7:C7"/>
    <mergeCell ref="D7:E7"/>
    <mergeCell ref="F7:G7"/>
    <mergeCell ref="H7:I7"/>
    <mergeCell ref="B28:C28"/>
    <mergeCell ref="D28:E28"/>
    <mergeCell ref="F28:G28"/>
    <mergeCell ref="H28:I28"/>
    <mergeCell ref="B49:C49"/>
    <mergeCell ref="D49:E49"/>
    <mergeCell ref="F49:G49"/>
    <mergeCell ref="H49:I49"/>
    <mergeCell ref="B70:C70"/>
    <mergeCell ref="D70:E70"/>
    <mergeCell ref="F70:G70"/>
    <mergeCell ref="H70:I70"/>
    <mergeCell ref="B91:C91"/>
    <mergeCell ref="D91:E91"/>
    <mergeCell ref="F91:G91"/>
    <mergeCell ref="H91:I91"/>
    <mergeCell ref="B112:C112"/>
    <mergeCell ref="D112:E112"/>
    <mergeCell ref="F112:G112"/>
    <mergeCell ref="H112:I112"/>
    <mergeCell ref="B133:C133"/>
    <mergeCell ref="D133:E133"/>
    <mergeCell ref="F133:G133"/>
    <mergeCell ref="H133:I133"/>
    <mergeCell ref="B154:C154"/>
    <mergeCell ref="D154:E154"/>
    <mergeCell ref="F154:G154"/>
    <mergeCell ref="H154:I154"/>
    <mergeCell ref="B175:C175"/>
    <mergeCell ref="D175:E175"/>
    <mergeCell ref="F175:G175"/>
    <mergeCell ref="H175:I175"/>
    <mergeCell ref="B196:C196"/>
    <mergeCell ref="D196:E196"/>
    <mergeCell ref="F196:G196"/>
    <mergeCell ref="H196:I196"/>
    <mergeCell ref="B217:C217"/>
    <mergeCell ref="D217:E217"/>
    <mergeCell ref="F217:G217"/>
    <mergeCell ref="H217:I217"/>
    <mergeCell ref="B238:C238"/>
    <mergeCell ref="D238:E238"/>
    <mergeCell ref="F238:G238"/>
    <mergeCell ref="H238:I238"/>
    <mergeCell ref="B259:C259"/>
    <mergeCell ref="D259:E259"/>
    <mergeCell ref="F259:G259"/>
    <mergeCell ref="H259:I259"/>
    <mergeCell ref="B280:C280"/>
    <mergeCell ref="D280:E280"/>
    <mergeCell ref="F280:G280"/>
    <mergeCell ref="H280:I280"/>
    <mergeCell ref="B301:C301"/>
    <mergeCell ref="D301:E301"/>
    <mergeCell ref="F301:G301"/>
    <mergeCell ref="H301:I301"/>
    <mergeCell ref="B322:C322"/>
    <mergeCell ref="D322:E322"/>
    <mergeCell ref="F322:G322"/>
    <mergeCell ref="H322:I322"/>
    <mergeCell ref="B343:C343"/>
    <mergeCell ref="D343:E343"/>
    <mergeCell ref="F343:G343"/>
    <mergeCell ref="H343:I343"/>
    <mergeCell ref="B364:C364"/>
    <mergeCell ref="D364:E364"/>
    <mergeCell ref="F364:G364"/>
    <mergeCell ref="H364:I364"/>
    <mergeCell ref="B385:C385"/>
    <mergeCell ref="D385:E385"/>
    <mergeCell ref="F385:G385"/>
    <mergeCell ref="H385:I385"/>
    <mergeCell ref="B406:C406"/>
    <mergeCell ref="D406:E406"/>
    <mergeCell ref="F406:G406"/>
    <mergeCell ref="H406:I406"/>
    <mergeCell ref="B469:C469"/>
    <mergeCell ref="D469:E469"/>
    <mergeCell ref="F469:G469"/>
    <mergeCell ref="H469:I469"/>
    <mergeCell ref="B427:C427"/>
    <mergeCell ref="D427:E427"/>
    <mergeCell ref="F427:G427"/>
    <mergeCell ref="H427:I427"/>
    <mergeCell ref="B448:C448"/>
    <mergeCell ref="D448:E448"/>
    <mergeCell ref="F448:G448"/>
    <mergeCell ref="H448:I448"/>
  </mergeCells>
  <pageMargins left="0.55118110236220474" right="0.55118110236220474" top="0.78740157480314965" bottom="0.78740157480314965" header="0.51181102362204722" footer="0.51181102362204722"/>
  <pageSetup scale="85" orientation="landscape" r:id="rId1"/>
  <headerFooter alignWithMargins="0"/>
  <rowBreaks count="12" manualBreakCount="12">
    <brk id="46" max="16383" man="1"/>
    <brk id="88" max="16383" man="1"/>
    <brk id="130" max="16383" man="1"/>
    <brk id="172" max="16383" man="1"/>
    <brk id="214" max="16383" man="1"/>
    <brk id="256" max="16383" man="1"/>
    <brk id="298" max="16383" man="1"/>
    <brk id="340" max="16383" man="1"/>
    <brk id="382" max="16383" man="1"/>
    <brk id="424" max="16383" man="1"/>
    <brk id="466" max="16383" man="1"/>
    <brk id="508" max="16383" man="1"/>
  </rowBreaks>
  <ignoredErrors>
    <ignoredError sqref="B9:I484" formula="1"/>
  </ignoredErrors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38"/>
  <dimension ref="A1:Y1061"/>
  <sheetViews>
    <sheetView showGridLines="0" zoomScale="85" zoomScaleNormal="85" zoomScaleSheetLayoutView="85" workbookViewId="0"/>
  </sheetViews>
  <sheetFormatPr defaultColWidth="6.28515625" defaultRowHeight="12.75" x14ac:dyDescent="0.2"/>
  <cols>
    <col min="1" max="1" width="40.7109375" style="260" customWidth="1"/>
    <col min="2" max="2" width="6.7109375" style="263" customWidth="1"/>
    <col min="3" max="3" width="6.7109375" style="314" customWidth="1"/>
    <col min="4" max="25" width="6.7109375" style="263" customWidth="1"/>
    <col min="26" max="26" width="7.5703125" style="260" customWidth="1"/>
    <col min="27" max="266" width="6.28515625" style="260"/>
    <col min="267" max="267" width="43.5703125" style="260" customWidth="1"/>
    <col min="268" max="268" width="7.5703125" style="260" customWidth="1"/>
    <col min="269" max="270" width="8.42578125" style="260" customWidth="1"/>
    <col min="271" max="271" width="6.7109375" style="260" customWidth="1"/>
    <col min="272" max="273" width="7.5703125" style="260" customWidth="1"/>
    <col min="274" max="275" width="8.42578125" style="260" customWidth="1"/>
    <col min="276" max="276" width="6.7109375" style="260" customWidth="1"/>
    <col min="277" max="278" width="7.5703125" style="260" customWidth="1"/>
    <col min="279" max="280" width="8.42578125" style="260" customWidth="1"/>
    <col min="281" max="281" width="6.7109375" style="260" customWidth="1"/>
    <col min="282" max="282" width="7.5703125" style="260" customWidth="1"/>
    <col min="283" max="522" width="6.28515625" style="260"/>
    <col min="523" max="523" width="43.5703125" style="260" customWidth="1"/>
    <col min="524" max="524" width="7.5703125" style="260" customWidth="1"/>
    <col min="525" max="526" width="8.42578125" style="260" customWidth="1"/>
    <col min="527" max="527" width="6.7109375" style="260" customWidth="1"/>
    <col min="528" max="529" width="7.5703125" style="260" customWidth="1"/>
    <col min="530" max="531" width="8.42578125" style="260" customWidth="1"/>
    <col min="532" max="532" width="6.7109375" style="260" customWidth="1"/>
    <col min="533" max="534" width="7.5703125" style="260" customWidth="1"/>
    <col min="535" max="536" width="8.42578125" style="260" customWidth="1"/>
    <col min="537" max="537" width="6.7109375" style="260" customWidth="1"/>
    <col min="538" max="538" width="7.5703125" style="260" customWidth="1"/>
    <col min="539" max="778" width="6.28515625" style="260"/>
    <col min="779" max="779" width="43.5703125" style="260" customWidth="1"/>
    <col min="780" max="780" width="7.5703125" style="260" customWidth="1"/>
    <col min="781" max="782" width="8.42578125" style="260" customWidth="1"/>
    <col min="783" max="783" width="6.7109375" style="260" customWidth="1"/>
    <col min="784" max="785" width="7.5703125" style="260" customWidth="1"/>
    <col min="786" max="787" width="8.42578125" style="260" customWidth="1"/>
    <col min="788" max="788" width="6.7109375" style="260" customWidth="1"/>
    <col min="789" max="790" width="7.5703125" style="260" customWidth="1"/>
    <col min="791" max="792" width="8.42578125" style="260" customWidth="1"/>
    <col min="793" max="793" width="6.7109375" style="260" customWidth="1"/>
    <col min="794" max="794" width="7.5703125" style="260" customWidth="1"/>
    <col min="795" max="1034" width="6.28515625" style="260"/>
    <col min="1035" max="1035" width="43.5703125" style="260" customWidth="1"/>
    <col min="1036" max="1036" width="7.5703125" style="260" customWidth="1"/>
    <col min="1037" max="1038" width="8.42578125" style="260" customWidth="1"/>
    <col min="1039" max="1039" width="6.7109375" style="260" customWidth="1"/>
    <col min="1040" max="1041" width="7.5703125" style="260" customWidth="1"/>
    <col min="1042" max="1043" width="8.42578125" style="260" customWidth="1"/>
    <col min="1044" max="1044" width="6.7109375" style="260" customWidth="1"/>
    <col min="1045" max="1046" width="7.5703125" style="260" customWidth="1"/>
    <col min="1047" max="1048" width="8.42578125" style="260" customWidth="1"/>
    <col min="1049" max="1049" width="6.7109375" style="260" customWidth="1"/>
    <col min="1050" max="1050" width="7.5703125" style="260" customWidth="1"/>
    <col min="1051" max="1290" width="6.28515625" style="260"/>
    <col min="1291" max="1291" width="43.5703125" style="260" customWidth="1"/>
    <col min="1292" max="1292" width="7.5703125" style="260" customWidth="1"/>
    <col min="1293" max="1294" width="8.42578125" style="260" customWidth="1"/>
    <col min="1295" max="1295" width="6.7109375" style="260" customWidth="1"/>
    <col min="1296" max="1297" width="7.5703125" style="260" customWidth="1"/>
    <col min="1298" max="1299" width="8.42578125" style="260" customWidth="1"/>
    <col min="1300" max="1300" width="6.7109375" style="260" customWidth="1"/>
    <col min="1301" max="1302" width="7.5703125" style="260" customWidth="1"/>
    <col min="1303" max="1304" width="8.42578125" style="260" customWidth="1"/>
    <col min="1305" max="1305" width="6.7109375" style="260" customWidth="1"/>
    <col min="1306" max="1306" width="7.5703125" style="260" customWidth="1"/>
    <col min="1307" max="1546" width="6.28515625" style="260"/>
    <col min="1547" max="1547" width="43.5703125" style="260" customWidth="1"/>
    <col min="1548" max="1548" width="7.5703125" style="260" customWidth="1"/>
    <col min="1549" max="1550" width="8.42578125" style="260" customWidth="1"/>
    <col min="1551" max="1551" width="6.7109375" style="260" customWidth="1"/>
    <col min="1552" max="1553" width="7.5703125" style="260" customWidth="1"/>
    <col min="1554" max="1555" width="8.42578125" style="260" customWidth="1"/>
    <col min="1556" max="1556" width="6.7109375" style="260" customWidth="1"/>
    <col min="1557" max="1558" width="7.5703125" style="260" customWidth="1"/>
    <col min="1559" max="1560" width="8.42578125" style="260" customWidth="1"/>
    <col min="1561" max="1561" width="6.7109375" style="260" customWidth="1"/>
    <col min="1562" max="1562" width="7.5703125" style="260" customWidth="1"/>
    <col min="1563" max="1802" width="6.28515625" style="260"/>
    <col min="1803" max="1803" width="43.5703125" style="260" customWidth="1"/>
    <col min="1804" max="1804" width="7.5703125" style="260" customWidth="1"/>
    <col min="1805" max="1806" width="8.42578125" style="260" customWidth="1"/>
    <col min="1807" max="1807" width="6.7109375" style="260" customWidth="1"/>
    <col min="1808" max="1809" width="7.5703125" style="260" customWidth="1"/>
    <col min="1810" max="1811" width="8.42578125" style="260" customWidth="1"/>
    <col min="1812" max="1812" width="6.7109375" style="260" customWidth="1"/>
    <col min="1813" max="1814" width="7.5703125" style="260" customWidth="1"/>
    <col min="1815" max="1816" width="8.42578125" style="260" customWidth="1"/>
    <col min="1817" max="1817" width="6.7109375" style="260" customWidth="1"/>
    <col min="1818" max="1818" width="7.5703125" style="260" customWidth="1"/>
    <col min="1819" max="2058" width="6.28515625" style="260"/>
    <col min="2059" max="2059" width="43.5703125" style="260" customWidth="1"/>
    <col min="2060" max="2060" width="7.5703125" style="260" customWidth="1"/>
    <col min="2061" max="2062" width="8.42578125" style="260" customWidth="1"/>
    <col min="2063" max="2063" width="6.7109375" style="260" customWidth="1"/>
    <col min="2064" max="2065" width="7.5703125" style="260" customWidth="1"/>
    <col min="2066" max="2067" width="8.42578125" style="260" customWidth="1"/>
    <col min="2068" max="2068" width="6.7109375" style="260" customWidth="1"/>
    <col min="2069" max="2070" width="7.5703125" style="260" customWidth="1"/>
    <col min="2071" max="2072" width="8.42578125" style="260" customWidth="1"/>
    <col min="2073" max="2073" width="6.7109375" style="260" customWidth="1"/>
    <col min="2074" max="2074" width="7.5703125" style="260" customWidth="1"/>
    <col min="2075" max="2314" width="6.28515625" style="260"/>
    <col min="2315" max="2315" width="43.5703125" style="260" customWidth="1"/>
    <col min="2316" max="2316" width="7.5703125" style="260" customWidth="1"/>
    <col min="2317" max="2318" width="8.42578125" style="260" customWidth="1"/>
    <col min="2319" max="2319" width="6.7109375" style="260" customWidth="1"/>
    <col min="2320" max="2321" width="7.5703125" style="260" customWidth="1"/>
    <col min="2322" max="2323" width="8.42578125" style="260" customWidth="1"/>
    <col min="2324" max="2324" width="6.7109375" style="260" customWidth="1"/>
    <col min="2325" max="2326" width="7.5703125" style="260" customWidth="1"/>
    <col min="2327" max="2328" width="8.42578125" style="260" customWidth="1"/>
    <col min="2329" max="2329" width="6.7109375" style="260" customWidth="1"/>
    <col min="2330" max="2330" width="7.5703125" style="260" customWidth="1"/>
    <col min="2331" max="2570" width="6.28515625" style="260"/>
    <col min="2571" max="2571" width="43.5703125" style="260" customWidth="1"/>
    <col min="2572" max="2572" width="7.5703125" style="260" customWidth="1"/>
    <col min="2573" max="2574" width="8.42578125" style="260" customWidth="1"/>
    <col min="2575" max="2575" width="6.7109375" style="260" customWidth="1"/>
    <col min="2576" max="2577" width="7.5703125" style="260" customWidth="1"/>
    <col min="2578" max="2579" width="8.42578125" style="260" customWidth="1"/>
    <col min="2580" max="2580" width="6.7109375" style="260" customWidth="1"/>
    <col min="2581" max="2582" width="7.5703125" style="260" customWidth="1"/>
    <col min="2583" max="2584" width="8.42578125" style="260" customWidth="1"/>
    <col min="2585" max="2585" width="6.7109375" style="260" customWidth="1"/>
    <col min="2586" max="2586" width="7.5703125" style="260" customWidth="1"/>
    <col min="2587" max="2826" width="6.28515625" style="260"/>
    <col min="2827" max="2827" width="43.5703125" style="260" customWidth="1"/>
    <col min="2828" max="2828" width="7.5703125" style="260" customWidth="1"/>
    <col min="2829" max="2830" width="8.42578125" style="260" customWidth="1"/>
    <col min="2831" max="2831" width="6.7109375" style="260" customWidth="1"/>
    <col min="2832" max="2833" width="7.5703125" style="260" customWidth="1"/>
    <col min="2834" max="2835" width="8.42578125" style="260" customWidth="1"/>
    <col min="2836" max="2836" width="6.7109375" style="260" customWidth="1"/>
    <col min="2837" max="2838" width="7.5703125" style="260" customWidth="1"/>
    <col min="2839" max="2840" width="8.42578125" style="260" customWidth="1"/>
    <col min="2841" max="2841" width="6.7109375" style="260" customWidth="1"/>
    <col min="2842" max="2842" width="7.5703125" style="260" customWidth="1"/>
    <col min="2843" max="3082" width="6.28515625" style="260"/>
    <col min="3083" max="3083" width="43.5703125" style="260" customWidth="1"/>
    <col min="3084" max="3084" width="7.5703125" style="260" customWidth="1"/>
    <col min="3085" max="3086" width="8.42578125" style="260" customWidth="1"/>
    <col min="3087" max="3087" width="6.7109375" style="260" customWidth="1"/>
    <col min="3088" max="3089" width="7.5703125" style="260" customWidth="1"/>
    <col min="3090" max="3091" width="8.42578125" style="260" customWidth="1"/>
    <col min="3092" max="3092" width="6.7109375" style="260" customWidth="1"/>
    <col min="3093" max="3094" width="7.5703125" style="260" customWidth="1"/>
    <col min="3095" max="3096" width="8.42578125" style="260" customWidth="1"/>
    <col min="3097" max="3097" width="6.7109375" style="260" customWidth="1"/>
    <col min="3098" max="3098" width="7.5703125" style="260" customWidth="1"/>
    <col min="3099" max="3338" width="6.28515625" style="260"/>
    <col min="3339" max="3339" width="43.5703125" style="260" customWidth="1"/>
    <col min="3340" max="3340" width="7.5703125" style="260" customWidth="1"/>
    <col min="3341" max="3342" width="8.42578125" style="260" customWidth="1"/>
    <col min="3343" max="3343" width="6.7109375" style="260" customWidth="1"/>
    <col min="3344" max="3345" width="7.5703125" style="260" customWidth="1"/>
    <col min="3346" max="3347" width="8.42578125" style="260" customWidth="1"/>
    <col min="3348" max="3348" width="6.7109375" style="260" customWidth="1"/>
    <col min="3349" max="3350" width="7.5703125" style="260" customWidth="1"/>
    <col min="3351" max="3352" width="8.42578125" style="260" customWidth="1"/>
    <col min="3353" max="3353" width="6.7109375" style="260" customWidth="1"/>
    <col min="3354" max="3354" width="7.5703125" style="260" customWidth="1"/>
    <col min="3355" max="3594" width="6.28515625" style="260"/>
    <col min="3595" max="3595" width="43.5703125" style="260" customWidth="1"/>
    <col min="3596" max="3596" width="7.5703125" style="260" customWidth="1"/>
    <col min="3597" max="3598" width="8.42578125" style="260" customWidth="1"/>
    <col min="3599" max="3599" width="6.7109375" style="260" customWidth="1"/>
    <col min="3600" max="3601" width="7.5703125" style="260" customWidth="1"/>
    <col min="3602" max="3603" width="8.42578125" style="260" customWidth="1"/>
    <col min="3604" max="3604" width="6.7109375" style="260" customWidth="1"/>
    <col min="3605" max="3606" width="7.5703125" style="260" customWidth="1"/>
    <col min="3607" max="3608" width="8.42578125" style="260" customWidth="1"/>
    <col min="3609" max="3609" width="6.7109375" style="260" customWidth="1"/>
    <col min="3610" max="3610" width="7.5703125" style="260" customWidth="1"/>
    <col min="3611" max="3850" width="6.28515625" style="260"/>
    <col min="3851" max="3851" width="43.5703125" style="260" customWidth="1"/>
    <col min="3852" max="3852" width="7.5703125" style="260" customWidth="1"/>
    <col min="3853" max="3854" width="8.42578125" style="260" customWidth="1"/>
    <col min="3855" max="3855" width="6.7109375" style="260" customWidth="1"/>
    <col min="3856" max="3857" width="7.5703125" style="260" customWidth="1"/>
    <col min="3858" max="3859" width="8.42578125" style="260" customWidth="1"/>
    <col min="3860" max="3860" width="6.7109375" style="260" customWidth="1"/>
    <col min="3861" max="3862" width="7.5703125" style="260" customWidth="1"/>
    <col min="3863" max="3864" width="8.42578125" style="260" customWidth="1"/>
    <col min="3865" max="3865" width="6.7109375" style="260" customWidth="1"/>
    <col min="3866" max="3866" width="7.5703125" style="260" customWidth="1"/>
    <col min="3867" max="4106" width="6.28515625" style="260"/>
    <col min="4107" max="4107" width="43.5703125" style="260" customWidth="1"/>
    <col min="4108" max="4108" width="7.5703125" style="260" customWidth="1"/>
    <col min="4109" max="4110" width="8.42578125" style="260" customWidth="1"/>
    <col min="4111" max="4111" width="6.7109375" style="260" customWidth="1"/>
    <col min="4112" max="4113" width="7.5703125" style="260" customWidth="1"/>
    <col min="4114" max="4115" width="8.42578125" style="260" customWidth="1"/>
    <col min="4116" max="4116" width="6.7109375" style="260" customWidth="1"/>
    <col min="4117" max="4118" width="7.5703125" style="260" customWidth="1"/>
    <col min="4119" max="4120" width="8.42578125" style="260" customWidth="1"/>
    <col min="4121" max="4121" width="6.7109375" style="260" customWidth="1"/>
    <col min="4122" max="4122" width="7.5703125" style="260" customWidth="1"/>
    <col min="4123" max="4362" width="6.28515625" style="260"/>
    <col min="4363" max="4363" width="43.5703125" style="260" customWidth="1"/>
    <col min="4364" max="4364" width="7.5703125" style="260" customWidth="1"/>
    <col min="4365" max="4366" width="8.42578125" style="260" customWidth="1"/>
    <col min="4367" max="4367" width="6.7109375" style="260" customWidth="1"/>
    <col min="4368" max="4369" width="7.5703125" style="260" customWidth="1"/>
    <col min="4370" max="4371" width="8.42578125" style="260" customWidth="1"/>
    <col min="4372" max="4372" width="6.7109375" style="260" customWidth="1"/>
    <col min="4373" max="4374" width="7.5703125" style="260" customWidth="1"/>
    <col min="4375" max="4376" width="8.42578125" style="260" customWidth="1"/>
    <col min="4377" max="4377" width="6.7109375" style="260" customWidth="1"/>
    <col min="4378" max="4378" width="7.5703125" style="260" customWidth="1"/>
    <col min="4379" max="4618" width="6.28515625" style="260"/>
    <col min="4619" max="4619" width="43.5703125" style="260" customWidth="1"/>
    <col min="4620" max="4620" width="7.5703125" style="260" customWidth="1"/>
    <col min="4621" max="4622" width="8.42578125" style="260" customWidth="1"/>
    <col min="4623" max="4623" width="6.7109375" style="260" customWidth="1"/>
    <col min="4624" max="4625" width="7.5703125" style="260" customWidth="1"/>
    <col min="4626" max="4627" width="8.42578125" style="260" customWidth="1"/>
    <col min="4628" max="4628" width="6.7109375" style="260" customWidth="1"/>
    <col min="4629" max="4630" width="7.5703125" style="260" customWidth="1"/>
    <col min="4631" max="4632" width="8.42578125" style="260" customWidth="1"/>
    <col min="4633" max="4633" width="6.7109375" style="260" customWidth="1"/>
    <col min="4634" max="4634" width="7.5703125" style="260" customWidth="1"/>
    <col min="4635" max="4874" width="6.28515625" style="260"/>
    <col min="4875" max="4875" width="43.5703125" style="260" customWidth="1"/>
    <col min="4876" max="4876" width="7.5703125" style="260" customWidth="1"/>
    <col min="4877" max="4878" width="8.42578125" style="260" customWidth="1"/>
    <col min="4879" max="4879" width="6.7109375" style="260" customWidth="1"/>
    <col min="4880" max="4881" width="7.5703125" style="260" customWidth="1"/>
    <col min="4882" max="4883" width="8.42578125" style="260" customWidth="1"/>
    <col min="4884" max="4884" width="6.7109375" style="260" customWidth="1"/>
    <col min="4885" max="4886" width="7.5703125" style="260" customWidth="1"/>
    <col min="4887" max="4888" width="8.42578125" style="260" customWidth="1"/>
    <col min="4889" max="4889" width="6.7109375" style="260" customWidth="1"/>
    <col min="4890" max="4890" width="7.5703125" style="260" customWidth="1"/>
    <col min="4891" max="5130" width="6.28515625" style="260"/>
    <col min="5131" max="5131" width="43.5703125" style="260" customWidth="1"/>
    <col min="5132" max="5132" width="7.5703125" style="260" customWidth="1"/>
    <col min="5133" max="5134" width="8.42578125" style="260" customWidth="1"/>
    <col min="5135" max="5135" width="6.7109375" style="260" customWidth="1"/>
    <col min="5136" max="5137" width="7.5703125" style="260" customWidth="1"/>
    <col min="5138" max="5139" width="8.42578125" style="260" customWidth="1"/>
    <col min="5140" max="5140" width="6.7109375" style="260" customWidth="1"/>
    <col min="5141" max="5142" width="7.5703125" style="260" customWidth="1"/>
    <col min="5143" max="5144" width="8.42578125" style="260" customWidth="1"/>
    <col min="5145" max="5145" width="6.7109375" style="260" customWidth="1"/>
    <col min="5146" max="5146" width="7.5703125" style="260" customWidth="1"/>
    <col min="5147" max="5386" width="6.28515625" style="260"/>
    <col min="5387" max="5387" width="43.5703125" style="260" customWidth="1"/>
    <col min="5388" max="5388" width="7.5703125" style="260" customWidth="1"/>
    <col min="5389" max="5390" width="8.42578125" style="260" customWidth="1"/>
    <col min="5391" max="5391" width="6.7109375" style="260" customWidth="1"/>
    <col min="5392" max="5393" width="7.5703125" style="260" customWidth="1"/>
    <col min="5394" max="5395" width="8.42578125" style="260" customWidth="1"/>
    <col min="5396" max="5396" width="6.7109375" style="260" customWidth="1"/>
    <col min="5397" max="5398" width="7.5703125" style="260" customWidth="1"/>
    <col min="5399" max="5400" width="8.42578125" style="260" customWidth="1"/>
    <col min="5401" max="5401" width="6.7109375" style="260" customWidth="1"/>
    <col min="5402" max="5402" width="7.5703125" style="260" customWidth="1"/>
    <col min="5403" max="5642" width="6.28515625" style="260"/>
    <col min="5643" max="5643" width="43.5703125" style="260" customWidth="1"/>
    <col min="5644" max="5644" width="7.5703125" style="260" customWidth="1"/>
    <col min="5645" max="5646" width="8.42578125" style="260" customWidth="1"/>
    <col min="5647" max="5647" width="6.7109375" style="260" customWidth="1"/>
    <col min="5648" max="5649" width="7.5703125" style="260" customWidth="1"/>
    <col min="5650" max="5651" width="8.42578125" style="260" customWidth="1"/>
    <col min="5652" max="5652" width="6.7109375" style="260" customWidth="1"/>
    <col min="5653" max="5654" width="7.5703125" style="260" customWidth="1"/>
    <col min="5655" max="5656" width="8.42578125" style="260" customWidth="1"/>
    <col min="5657" max="5657" width="6.7109375" style="260" customWidth="1"/>
    <col min="5658" max="5658" width="7.5703125" style="260" customWidth="1"/>
    <col min="5659" max="5898" width="6.28515625" style="260"/>
    <col min="5899" max="5899" width="43.5703125" style="260" customWidth="1"/>
    <col min="5900" max="5900" width="7.5703125" style="260" customWidth="1"/>
    <col min="5901" max="5902" width="8.42578125" style="260" customWidth="1"/>
    <col min="5903" max="5903" width="6.7109375" style="260" customWidth="1"/>
    <col min="5904" max="5905" width="7.5703125" style="260" customWidth="1"/>
    <col min="5906" max="5907" width="8.42578125" style="260" customWidth="1"/>
    <col min="5908" max="5908" width="6.7109375" style="260" customWidth="1"/>
    <col min="5909" max="5910" width="7.5703125" style="260" customWidth="1"/>
    <col min="5911" max="5912" width="8.42578125" style="260" customWidth="1"/>
    <col min="5913" max="5913" width="6.7109375" style="260" customWidth="1"/>
    <col min="5914" max="5914" width="7.5703125" style="260" customWidth="1"/>
    <col min="5915" max="6154" width="6.28515625" style="260"/>
    <col min="6155" max="6155" width="43.5703125" style="260" customWidth="1"/>
    <col min="6156" max="6156" width="7.5703125" style="260" customWidth="1"/>
    <col min="6157" max="6158" width="8.42578125" style="260" customWidth="1"/>
    <col min="6159" max="6159" width="6.7109375" style="260" customWidth="1"/>
    <col min="6160" max="6161" width="7.5703125" style="260" customWidth="1"/>
    <col min="6162" max="6163" width="8.42578125" style="260" customWidth="1"/>
    <col min="6164" max="6164" width="6.7109375" style="260" customWidth="1"/>
    <col min="6165" max="6166" width="7.5703125" style="260" customWidth="1"/>
    <col min="6167" max="6168" width="8.42578125" style="260" customWidth="1"/>
    <col min="6169" max="6169" width="6.7109375" style="260" customWidth="1"/>
    <col min="6170" max="6170" width="7.5703125" style="260" customWidth="1"/>
    <col min="6171" max="6410" width="6.28515625" style="260"/>
    <col min="6411" max="6411" width="43.5703125" style="260" customWidth="1"/>
    <col min="6412" max="6412" width="7.5703125" style="260" customWidth="1"/>
    <col min="6413" max="6414" width="8.42578125" style="260" customWidth="1"/>
    <col min="6415" max="6415" width="6.7109375" style="260" customWidth="1"/>
    <col min="6416" max="6417" width="7.5703125" style="260" customWidth="1"/>
    <col min="6418" max="6419" width="8.42578125" style="260" customWidth="1"/>
    <col min="6420" max="6420" width="6.7109375" style="260" customWidth="1"/>
    <col min="6421" max="6422" width="7.5703125" style="260" customWidth="1"/>
    <col min="6423" max="6424" width="8.42578125" style="260" customWidth="1"/>
    <col min="6425" max="6425" width="6.7109375" style="260" customWidth="1"/>
    <col min="6426" max="6426" width="7.5703125" style="260" customWidth="1"/>
    <col min="6427" max="6666" width="6.28515625" style="260"/>
    <col min="6667" max="6667" width="43.5703125" style="260" customWidth="1"/>
    <col min="6668" max="6668" width="7.5703125" style="260" customWidth="1"/>
    <col min="6669" max="6670" width="8.42578125" style="260" customWidth="1"/>
    <col min="6671" max="6671" width="6.7109375" style="260" customWidth="1"/>
    <col min="6672" max="6673" width="7.5703125" style="260" customWidth="1"/>
    <col min="6674" max="6675" width="8.42578125" style="260" customWidth="1"/>
    <col min="6676" max="6676" width="6.7109375" style="260" customWidth="1"/>
    <col min="6677" max="6678" width="7.5703125" style="260" customWidth="1"/>
    <col min="6679" max="6680" width="8.42578125" style="260" customWidth="1"/>
    <col min="6681" max="6681" width="6.7109375" style="260" customWidth="1"/>
    <col min="6682" max="6682" width="7.5703125" style="260" customWidth="1"/>
    <col min="6683" max="6922" width="6.28515625" style="260"/>
    <col min="6923" max="6923" width="43.5703125" style="260" customWidth="1"/>
    <col min="6924" max="6924" width="7.5703125" style="260" customWidth="1"/>
    <col min="6925" max="6926" width="8.42578125" style="260" customWidth="1"/>
    <col min="6927" max="6927" width="6.7109375" style="260" customWidth="1"/>
    <col min="6928" max="6929" width="7.5703125" style="260" customWidth="1"/>
    <col min="6930" max="6931" width="8.42578125" style="260" customWidth="1"/>
    <col min="6932" max="6932" width="6.7109375" style="260" customWidth="1"/>
    <col min="6933" max="6934" width="7.5703125" style="260" customWidth="1"/>
    <col min="6935" max="6936" width="8.42578125" style="260" customWidth="1"/>
    <col min="6937" max="6937" width="6.7109375" style="260" customWidth="1"/>
    <col min="6938" max="6938" width="7.5703125" style="260" customWidth="1"/>
    <col min="6939" max="7178" width="6.28515625" style="260"/>
    <col min="7179" max="7179" width="43.5703125" style="260" customWidth="1"/>
    <col min="7180" max="7180" width="7.5703125" style="260" customWidth="1"/>
    <col min="7181" max="7182" width="8.42578125" style="260" customWidth="1"/>
    <col min="7183" max="7183" width="6.7109375" style="260" customWidth="1"/>
    <col min="7184" max="7185" width="7.5703125" style="260" customWidth="1"/>
    <col min="7186" max="7187" width="8.42578125" style="260" customWidth="1"/>
    <col min="7188" max="7188" width="6.7109375" style="260" customWidth="1"/>
    <col min="7189" max="7190" width="7.5703125" style="260" customWidth="1"/>
    <col min="7191" max="7192" width="8.42578125" style="260" customWidth="1"/>
    <col min="7193" max="7193" width="6.7109375" style="260" customWidth="1"/>
    <col min="7194" max="7194" width="7.5703125" style="260" customWidth="1"/>
    <col min="7195" max="7434" width="6.28515625" style="260"/>
    <col min="7435" max="7435" width="43.5703125" style="260" customWidth="1"/>
    <col min="7436" max="7436" width="7.5703125" style="260" customWidth="1"/>
    <col min="7437" max="7438" width="8.42578125" style="260" customWidth="1"/>
    <col min="7439" max="7439" width="6.7109375" style="260" customWidth="1"/>
    <col min="7440" max="7441" width="7.5703125" style="260" customWidth="1"/>
    <col min="7442" max="7443" width="8.42578125" style="260" customWidth="1"/>
    <col min="7444" max="7444" width="6.7109375" style="260" customWidth="1"/>
    <col min="7445" max="7446" width="7.5703125" style="260" customWidth="1"/>
    <col min="7447" max="7448" width="8.42578125" style="260" customWidth="1"/>
    <col min="7449" max="7449" width="6.7109375" style="260" customWidth="1"/>
    <col min="7450" max="7450" width="7.5703125" style="260" customWidth="1"/>
    <col min="7451" max="7690" width="6.28515625" style="260"/>
    <col min="7691" max="7691" width="43.5703125" style="260" customWidth="1"/>
    <col min="7692" max="7692" width="7.5703125" style="260" customWidth="1"/>
    <col min="7693" max="7694" width="8.42578125" style="260" customWidth="1"/>
    <col min="7695" max="7695" width="6.7109375" style="260" customWidth="1"/>
    <col min="7696" max="7697" width="7.5703125" style="260" customWidth="1"/>
    <col min="7698" max="7699" width="8.42578125" style="260" customWidth="1"/>
    <col min="7700" max="7700" width="6.7109375" style="260" customWidth="1"/>
    <col min="7701" max="7702" width="7.5703125" style="260" customWidth="1"/>
    <col min="7703" max="7704" width="8.42578125" style="260" customWidth="1"/>
    <col min="7705" max="7705" width="6.7109375" style="260" customWidth="1"/>
    <col min="7706" max="7706" width="7.5703125" style="260" customWidth="1"/>
    <col min="7707" max="7946" width="6.28515625" style="260"/>
    <col min="7947" max="7947" width="43.5703125" style="260" customWidth="1"/>
    <col min="7948" max="7948" width="7.5703125" style="260" customWidth="1"/>
    <col min="7949" max="7950" width="8.42578125" style="260" customWidth="1"/>
    <col min="7951" max="7951" width="6.7109375" style="260" customWidth="1"/>
    <col min="7952" max="7953" width="7.5703125" style="260" customWidth="1"/>
    <col min="7954" max="7955" width="8.42578125" style="260" customWidth="1"/>
    <col min="7956" max="7956" width="6.7109375" style="260" customWidth="1"/>
    <col min="7957" max="7958" width="7.5703125" style="260" customWidth="1"/>
    <col min="7959" max="7960" width="8.42578125" style="260" customWidth="1"/>
    <col min="7961" max="7961" width="6.7109375" style="260" customWidth="1"/>
    <col min="7962" max="7962" width="7.5703125" style="260" customWidth="1"/>
    <col min="7963" max="8202" width="6.28515625" style="260"/>
    <col min="8203" max="8203" width="43.5703125" style="260" customWidth="1"/>
    <col min="8204" max="8204" width="7.5703125" style="260" customWidth="1"/>
    <col min="8205" max="8206" width="8.42578125" style="260" customWidth="1"/>
    <col min="8207" max="8207" width="6.7109375" style="260" customWidth="1"/>
    <col min="8208" max="8209" width="7.5703125" style="260" customWidth="1"/>
    <col min="8210" max="8211" width="8.42578125" style="260" customWidth="1"/>
    <col min="8212" max="8212" width="6.7109375" style="260" customWidth="1"/>
    <col min="8213" max="8214" width="7.5703125" style="260" customWidth="1"/>
    <col min="8215" max="8216" width="8.42578125" style="260" customWidth="1"/>
    <col min="8217" max="8217" width="6.7109375" style="260" customWidth="1"/>
    <col min="8218" max="8218" width="7.5703125" style="260" customWidth="1"/>
    <col min="8219" max="8458" width="6.28515625" style="260"/>
    <col min="8459" max="8459" width="43.5703125" style="260" customWidth="1"/>
    <col min="8460" max="8460" width="7.5703125" style="260" customWidth="1"/>
    <col min="8461" max="8462" width="8.42578125" style="260" customWidth="1"/>
    <col min="8463" max="8463" width="6.7109375" style="260" customWidth="1"/>
    <col min="8464" max="8465" width="7.5703125" style="260" customWidth="1"/>
    <col min="8466" max="8467" width="8.42578125" style="260" customWidth="1"/>
    <col min="8468" max="8468" width="6.7109375" style="260" customWidth="1"/>
    <col min="8469" max="8470" width="7.5703125" style="260" customWidth="1"/>
    <col min="8471" max="8472" width="8.42578125" style="260" customWidth="1"/>
    <col min="8473" max="8473" width="6.7109375" style="260" customWidth="1"/>
    <col min="8474" max="8474" width="7.5703125" style="260" customWidth="1"/>
    <col min="8475" max="8714" width="6.28515625" style="260"/>
    <col min="8715" max="8715" width="43.5703125" style="260" customWidth="1"/>
    <col min="8716" max="8716" width="7.5703125" style="260" customWidth="1"/>
    <col min="8717" max="8718" width="8.42578125" style="260" customWidth="1"/>
    <col min="8719" max="8719" width="6.7109375" style="260" customWidth="1"/>
    <col min="8720" max="8721" width="7.5703125" style="260" customWidth="1"/>
    <col min="8722" max="8723" width="8.42578125" style="260" customWidth="1"/>
    <col min="8724" max="8724" width="6.7109375" style="260" customWidth="1"/>
    <col min="8725" max="8726" width="7.5703125" style="260" customWidth="1"/>
    <col min="8727" max="8728" width="8.42578125" style="260" customWidth="1"/>
    <col min="8729" max="8729" width="6.7109375" style="260" customWidth="1"/>
    <col min="8730" max="8730" width="7.5703125" style="260" customWidth="1"/>
    <col min="8731" max="8970" width="6.28515625" style="260"/>
    <col min="8971" max="8971" width="43.5703125" style="260" customWidth="1"/>
    <col min="8972" max="8972" width="7.5703125" style="260" customWidth="1"/>
    <col min="8973" max="8974" width="8.42578125" style="260" customWidth="1"/>
    <col min="8975" max="8975" width="6.7109375" style="260" customWidth="1"/>
    <col min="8976" max="8977" width="7.5703125" style="260" customWidth="1"/>
    <col min="8978" max="8979" width="8.42578125" style="260" customWidth="1"/>
    <col min="8980" max="8980" width="6.7109375" style="260" customWidth="1"/>
    <col min="8981" max="8982" width="7.5703125" style="260" customWidth="1"/>
    <col min="8983" max="8984" width="8.42578125" style="260" customWidth="1"/>
    <col min="8985" max="8985" width="6.7109375" style="260" customWidth="1"/>
    <col min="8986" max="8986" width="7.5703125" style="260" customWidth="1"/>
    <col min="8987" max="9226" width="6.28515625" style="260"/>
    <col min="9227" max="9227" width="43.5703125" style="260" customWidth="1"/>
    <col min="9228" max="9228" width="7.5703125" style="260" customWidth="1"/>
    <col min="9229" max="9230" width="8.42578125" style="260" customWidth="1"/>
    <col min="9231" max="9231" width="6.7109375" style="260" customWidth="1"/>
    <col min="9232" max="9233" width="7.5703125" style="260" customWidth="1"/>
    <col min="9234" max="9235" width="8.42578125" style="260" customWidth="1"/>
    <col min="9236" max="9236" width="6.7109375" style="260" customWidth="1"/>
    <col min="9237" max="9238" width="7.5703125" style="260" customWidth="1"/>
    <col min="9239" max="9240" width="8.42578125" style="260" customWidth="1"/>
    <col min="9241" max="9241" width="6.7109375" style="260" customWidth="1"/>
    <col min="9242" max="9242" width="7.5703125" style="260" customWidth="1"/>
    <col min="9243" max="9482" width="6.28515625" style="260"/>
    <col min="9483" max="9483" width="43.5703125" style="260" customWidth="1"/>
    <col min="9484" max="9484" width="7.5703125" style="260" customWidth="1"/>
    <col min="9485" max="9486" width="8.42578125" style="260" customWidth="1"/>
    <col min="9487" max="9487" width="6.7109375" style="260" customWidth="1"/>
    <col min="9488" max="9489" width="7.5703125" style="260" customWidth="1"/>
    <col min="9490" max="9491" width="8.42578125" style="260" customWidth="1"/>
    <col min="9492" max="9492" width="6.7109375" style="260" customWidth="1"/>
    <col min="9493" max="9494" width="7.5703125" style="260" customWidth="1"/>
    <col min="9495" max="9496" width="8.42578125" style="260" customWidth="1"/>
    <col min="9497" max="9497" width="6.7109375" style="260" customWidth="1"/>
    <col min="9498" max="9498" width="7.5703125" style="260" customWidth="1"/>
    <col min="9499" max="9738" width="6.28515625" style="260"/>
    <col min="9739" max="9739" width="43.5703125" style="260" customWidth="1"/>
    <col min="9740" max="9740" width="7.5703125" style="260" customWidth="1"/>
    <col min="9741" max="9742" width="8.42578125" style="260" customWidth="1"/>
    <col min="9743" max="9743" width="6.7109375" style="260" customWidth="1"/>
    <col min="9744" max="9745" width="7.5703125" style="260" customWidth="1"/>
    <col min="9746" max="9747" width="8.42578125" style="260" customWidth="1"/>
    <col min="9748" max="9748" width="6.7109375" style="260" customWidth="1"/>
    <col min="9749" max="9750" width="7.5703125" style="260" customWidth="1"/>
    <col min="9751" max="9752" width="8.42578125" style="260" customWidth="1"/>
    <col min="9753" max="9753" width="6.7109375" style="260" customWidth="1"/>
    <col min="9754" max="9754" width="7.5703125" style="260" customWidth="1"/>
    <col min="9755" max="9994" width="6.28515625" style="260"/>
    <col min="9995" max="9995" width="43.5703125" style="260" customWidth="1"/>
    <col min="9996" max="9996" width="7.5703125" style="260" customWidth="1"/>
    <col min="9997" max="9998" width="8.42578125" style="260" customWidth="1"/>
    <col min="9999" max="9999" width="6.7109375" style="260" customWidth="1"/>
    <col min="10000" max="10001" width="7.5703125" style="260" customWidth="1"/>
    <col min="10002" max="10003" width="8.42578125" style="260" customWidth="1"/>
    <col min="10004" max="10004" width="6.7109375" style="260" customWidth="1"/>
    <col min="10005" max="10006" width="7.5703125" style="260" customWidth="1"/>
    <col min="10007" max="10008" width="8.42578125" style="260" customWidth="1"/>
    <col min="10009" max="10009" width="6.7109375" style="260" customWidth="1"/>
    <col min="10010" max="10010" width="7.5703125" style="260" customWidth="1"/>
    <col min="10011" max="10250" width="6.28515625" style="260"/>
    <col min="10251" max="10251" width="43.5703125" style="260" customWidth="1"/>
    <col min="10252" max="10252" width="7.5703125" style="260" customWidth="1"/>
    <col min="10253" max="10254" width="8.42578125" style="260" customWidth="1"/>
    <col min="10255" max="10255" width="6.7109375" style="260" customWidth="1"/>
    <col min="10256" max="10257" width="7.5703125" style="260" customWidth="1"/>
    <col min="10258" max="10259" width="8.42578125" style="260" customWidth="1"/>
    <col min="10260" max="10260" width="6.7109375" style="260" customWidth="1"/>
    <col min="10261" max="10262" width="7.5703125" style="260" customWidth="1"/>
    <col min="10263" max="10264" width="8.42578125" style="260" customWidth="1"/>
    <col min="10265" max="10265" width="6.7109375" style="260" customWidth="1"/>
    <col min="10266" max="10266" width="7.5703125" style="260" customWidth="1"/>
    <col min="10267" max="10506" width="6.28515625" style="260"/>
    <col min="10507" max="10507" width="43.5703125" style="260" customWidth="1"/>
    <col min="10508" max="10508" width="7.5703125" style="260" customWidth="1"/>
    <col min="10509" max="10510" width="8.42578125" style="260" customWidth="1"/>
    <col min="10511" max="10511" width="6.7109375" style="260" customWidth="1"/>
    <col min="10512" max="10513" width="7.5703125" style="260" customWidth="1"/>
    <col min="10514" max="10515" width="8.42578125" style="260" customWidth="1"/>
    <col min="10516" max="10516" width="6.7109375" style="260" customWidth="1"/>
    <col min="10517" max="10518" width="7.5703125" style="260" customWidth="1"/>
    <col min="10519" max="10520" width="8.42578125" style="260" customWidth="1"/>
    <col min="10521" max="10521" width="6.7109375" style="260" customWidth="1"/>
    <col min="10522" max="10522" width="7.5703125" style="260" customWidth="1"/>
    <col min="10523" max="10762" width="6.28515625" style="260"/>
    <col min="10763" max="10763" width="43.5703125" style="260" customWidth="1"/>
    <col min="10764" max="10764" width="7.5703125" style="260" customWidth="1"/>
    <col min="10765" max="10766" width="8.42578125" style="260" customWidth="1"/>
    <col min="10767" max="10767" width="6.7109375" style="260" customWidth="1"/>
    <col min="10768" max="10769" width="7.5703125" style="260" customWidth="1"/>
    <col min="10770" max="10771" width="8.42578125" style="260" customWidth="1"/>
    <col min="10772" max="10772" width="6.7109375" style="260" customWidth="1"/>
    <col min="10773" max="10774" width="7.5703125" style="260" customWidth="1"/>
    <col min="10775" max="10776" width="8.42578125" style="260" customWidth="1"/>
    <col min="10777" max="10777" width="6.7109375" style="260" customWidth="1"/>
    <col min="10778" max="10778" width="7.5703125" style="260" customWidth="1"/>
    <col min="10779" max="11018" width="6.28515625" style="260"/>
    <col min="11019" max="11019" width="43.5703125" style="260" customWidth="1"/>
    <col min="11020" max="11020" width="7.5703125" style="260" customWidth="1"/>
    <col min="11021" max="11022" width="8.42578125" style="260" customWidth="1"/>
    <col min="11023" max="11023" width="6.7109375" style="260" customWidth="1"/>
    <col min="11024" max="11025" width="7.5703125" style="260" customWidth="1"/>
    <col min="11026" max="11027" width="8.42578125" style="260" customWidth="1"/>
    <col min="11028" max="11028" width="6.7109375" style="260" customWidth="1"/>
    <col min="11029" max="11030" width="7.5703125" style="260" customWidth="1"/>
    <col min="11031" max="11032" width="8.42578125" style="260" customWidth="1"/>
    <col min="11033" max="11033" width="6.7109375" style="260" customWidth="1"/>
    <col min="11034" max="11034" width="7.5703125" style="260" customWidth="1"/>
    <col min="11035" max="11274" width="6.28515625" style="260"/>
    <col min="11275" max="11275" width="43.5703125" style="260" customWidth="1"/>
    <col min="11276" max="11276" width="7.5703125" style="260" customWidth="1"/>
    <col min="11277" max="11278" width="8.42578125" style="260" customWidth="1"/>
    <col min="11279" max="11279" width="6.7109375" style="260" customWidth="1"/>
    <col min="11280" max="11281" width="7.5703125" style="260" customWidth="1"/>
    <col min="11282" max="11283" width="8.42578125" style="260" customWidth="1"/>
    <col min="11284" max="11284" width="6.7109375" style="260" customWidth="1"/>
    <col min="11285" max="11286" width="7.5703125" style="260" customWidth="1"/>
    <col min="11287" max="11288" width="8.42578125" style="260" customWidth="1"/>
    <col min="11289" max="11289" width="6.7109375" style="260" customWidth="1"/>
    <col min="11290" max="11290" width="7.5703125" style="260" customWidth="1"/>
    <col min="11291" max="11530" width="6.28515625" style="260"/>
    <col min="11531" max="11531" width="43.5703125" style="260" customWidth="1"/>
    <col min="11532" max="11532" width="7.5703125" style="260" customWidth="1"/>
    <col min="11533" max="11534" width="8.42578125" style="260" customWidth="1"/>
    <col min="11535" max="11535" width="6.7109375" style="260" customWidth="1"/>
    <col min="11536" max="11537" width="7.5703125" style="260" customWidth="1"/>
    <col min="11538" max="11539" width="8.42578125" style="260" customWidth="1"/>
    <col min="11540" max="11540" width="6.7109375" style="260" customWidth="1"/>
    <col min="11541" max="11542" width="7.5703125" style="260" customWidth="1"/>
    <col min="11543" max="11544" width="8.42578125" style="260" customWidth="1"/>
    <col min="11545" max="11545" width="6.7109375" style="260" customWidth="1"/>
    <col min="11546" max="11546" width="7.5703125" style="260" customWidth="1"/>
    <col min="11547" max="11786" width="6.28515625" style="260"/>
    <col min="11787" max="11787" width="43.5703125" style="260" customWidth="1"/>
    <col min="11788" max="11788" width="7.5703125" style="260" customWidth="1"/>
    <col min="11789" max="11790" width="8.42578125" style="260" customWidth="1"/>
    <col min="11791" max="11791" width="6.7109375" style="260" customWidth="1"/>
    <col min="11792" max="11793" width="7.5703125" style="260" customWidth="1"/>
    <col min="11794" max="11795" width="8.42578125" style="260" customWidth="1"/>
    <col min="11796" max="11796" width="6.7109375" style="260" customWidth="1"/>
    <col min="11797" max="11798" width="7.5703125" style="260" customWidth="1"/>
    <col min="11799" max="11800" width="8.42578125" style="260" customWidth="1"/>
    <col min="11801" max="11801" width="6.7109375" style="260" customWidth="1"/>
    <col min="11802" max="11802" width="7.5703125" style="260" customWidth="1"/>
    <col min="11803" max="12042" width="6.28515625" style="260"/>
    <col min="12043" max="12043" width="43.5703125" style="260" customWidth="1"/>
    <col min="12044" max="12044" width="7.5703125" style="260" customWidth="1"/>
    <col min="12045" max="12046" width="8.42578125" style="260" customWidth="1"/>
    <col min="12047" max="12047" width="6.7109375" style="260" customWidth="1"/>
    <col min="12048" max="12049" width="7.5703125" style="260" customWidth="1"/>
    <col min="12050" max="12051" width="8.42578125" style="260" customWidth="1"/>
    <col min="12052" max="12052" width="6.7109375" style="260" customWidth="1"/>
    <col min="12053" max="12054" width="7.5703125" style="260" customWidth="1"/>
    <col min="12055" max="12056" width="8.42578125" style="260" customWidth="1"/>
    <col min="12057" max="12057" width="6.7109375" style="260" customWidth="1"/>
    <col min="12058" max="12058" width="7.5703125" style="260" customWidth="1"/>
    <col min="12059" max="12298" width="6.28515625" style="260"/>
    <col min="12299" max="12299" width="43.5703125" style="260" customWidth="1"/>
    <col min="12300" max="12300" width="7.5703125" style="260" customWidth="1"/>
    <col min="12301" max="12302" width="8.42578125" style="260" customWidth="1"/>
    <col min="12303" max="12303" width="6.7109375" style="260" customWidth="1"/>
    <col min="12304" max="12305" width="7.5703125" style="260" customWidth="1"/>
    <col min="12306" max="12307" width="8.42578125" style="260" customWidth="1"/>
    <col min="12308" max="12308" width="6.7109375" style="260" customWidth="1"/>
    <col min="12309" max="12310" width="7.5703125" style="260" customWidth="1"/>
    <col min="12311" max="12312" width="8.42578125" style="260" customWidth="1"/>
    <col min="12313" max="12313" width="6.7109375" style="260" customWidth="1"/>
    <col min="12314" max="12314" width="7.5703125" style="260" customWidth="1"/>
    <col min="12315" max="12554" width="6.28515625" style="260"/>
    <col min="12555" max="12555" width="43.5703125" style="260" customWidth="1"/>
    <col min="12556" max="12556" width="7.5703125" style="260" customWidth="1"/>
    <col min="12557" max="12558" width="8.42578125" style="260" customWidth="1"/>
    <col min="12559" max="12559" width="6.7109375" style="260" customWidth="1"/>
    <col min="12560" max="12561" width="7.5703125" style="260" customWidth="1"/>
    <col min="12562" max="12563" width="8.42578125" style="260" customWidth="1"/>
    <col min="12564" max="12564" width="6.7109375" style="260" customWidth="1"/>
    <col min="12565" max="12566" width="7.5703125" style="260" customWidth="1"/>
    <col min="12567" max="12568" width="8.42578125" style="260" customWidth="1"/>
    <col min="12569" max="12569" width="6.7109375" style="260" customWidth="1"/>
    <col min="12570" max="12570" width="7.5703125" style="260" customWidth="1"/>
    <col min="12571" max="12810" width="6.28515625" style="260"/>
    <col min="12811" max="12811" width="43.5703125" style="260" customWidth="1"/>
    <col min="12812" max="12812" width="7.5703125" style="260" customWidth="1"/>
    <col min="12813" max="12814" width="8.42578125" style="260" customWidth="1"/>
    <col min="12815" max="12815" width="6.7109375" style="260" customWidth="1"/>
    <col min="12816" max="12817" width="7.5703125" style="260" customWidth="1"/>
    <col min="12818" max="12819" width="8.42578125" style="260" customWidth="1"/>
    <col min="12820" max="12820" width="6.7109375" style="260" customWidth="1"/>
    <col min="12821" max="12822" width="7.5703125" style="260" customWidth="1"/>
    <col min="12823" max="12824" width="8.42578125" style="260" customWidth="1"/>
    <col min="12825" max="12825" width="6.7109375" style="260" customWidth="1"/>
    <col min="12826" max="12826" width="7.5703125" style="260" customWidth="1"/>
    <col min="12827" max="13066" width="6.28515625" style="260"/>
    <col min="13067" max="13067" width="43.5703125" style="260" customWidth="1"/>
    <col min="13068" max="13068" width="7.5703125" style="260" customWidth="1"/>
    <col min="13069" max="13070" width="8.42578125" style="260" customWidth="1"/>
    <col min="13071" max="13071" width="6.7109375" style="260" customWidth="1"/>
    <col min="13072" max="13073" width="7.5703125" style="260" customWidth="1"/>
    <col min="13074" max="13075" width="8.42578125" style="260" customWidth="1"/>
    <col min="13076" max="13076" width="6.7109375" style="260" customWidth="1"/>
    <col min="13077" max="13078" width="7.5703125" style="260" customWidth="1"/>
    <col min="13079" max="13080" width="8.42578125" style="260" customWidth="1"/>
    <col min="13081" max="13081" width="6.7109375" style="260" customWidth="1"/>
    <col min="13082" max="13082" width="7.5703125" style="260" customWidth="1"/>
    <col min="13083" max="13322" width="6.28515625" style="260"/>
    <col min="13323" max="13323" width="43.5703125" style="260" customWidth="1"/>
    <col min="13324" max="13324" width="7.5703125" style="260" customWidth="1"/>
    <col min="13325" max="13326" width="8.42578125" style="260" customWidth="1"/>
    <col min="13327" max="13327" width="6.7109375" style="260" customWidth="1"/>
    <col min="13328" max="13329" width="7.5703125" style="260" customWidth="1"/>
    <col min="13330" max="13331" width="8.42578125" style="260" customWidth="1"/>
    <col min="13332" max="13332" width="6.7109375" style="260" customWidth="1"/>
    <col min="13333" max="13334" width="7.5703125" style="260" customWidth="1"/>
    <col min="13335" max="13336" width="8.42578125" style="260" customWidth="1"/>
    <col min="13337" max="13337" width="6.7109375" style="260" customWidth="1"/>
    <col min="13338" max="13338" width="7.5703125" style="260" customWidth="1"/>
    <col min="13339" max="13578" width="6.28515625" style="260"/>
    <col min="13579" max="13579" width="43.5703125" style="260" customWidth="1"/>
    <col min="13580" max="13580" width="7.5703125" style="260" customWidth="1"/>
    <col min="13581" max="13582" width="8.42578125" style="260" customWidth="1"/>
    <col min="13583" max="13583" width="6.7109375" style="260" customWidth="1"/>
    <col min="13584" max="13585" width="7.5703125" style="260" customWidth="1"/>
    <col min="13586" max="13587" width="8.42578125" style="260" customWidth="1"/>
    <col min="13588" max="13588" width="6.7109375" style="260" customWidth="1"/>
    <col min="13589" max="13590" width="7.5703125" style="260" customWidth="1"/>
    <col min="13591" max="13592" width="8.42578125" style="260" customWidth="1"/>
    <col min="13593" max="13593" width="6.7109375" style="260" customWidth="1"/>
    <col min="13594" max="13594" width="7.5703125" style="260" customWidth="1"/>
    <col min="13595" max="13834" width="6.28515625" style="260"/>
    <col min="13835" max="13835" width="43.5703125" style="260" customWidth="1"/>
    <col min="13836" max="13836" width="7.5703125" style="260" customWidth="1"/>
    <col min="13837" max="13838" width="8.42578125" style="260" customWidth="1"/>
    <col min="13839" max="13839" width="6.7109375" style="260" customWidth="1"/>
    <col min="13840" max="13841" width="7.5703125" style="260" customWidth="1"/>
    <col min="13842" max="13843" width="8.42578125" style="260" customWidth="1"/>
    <col min="13844" max="13844" width="6.7109375" style="260" customWidth="1"/>
    <col min="13845" max="13846" width="7.5703125" style="260" customWidth="1"/>
    <col min="13847" max="13848" width="8.42578125" style="260" customWidth="1"/>
    <col min="13849" max="13849" width="6.7109375" style="260" customWidth="1"/>
    <col min="13850" max="13850" width="7.5703125" style="260" customWidth="1"/>
    <col min="13851" max="14090" width="6.28515625" style="260"/>
    <col min="14091" max="14091" width="43.5703125" style="260" customWidth="1"/>
    <col min="14092" max="14092" width="7.5703125" style="260" customWidth="1"/>
    <col min="14093" max="14094" width="8.42578125" style="260" customWidth="1"/>
    <col min="14095" max="14095" width="6.7109375" style="260" customWidth="1"/>
    <col min="14096" max="14097" width="7.5703125" style="260" customWidth="1"/>
    <col min="14098" max="14099" width="8.42578125" style="260" customWidth="1"/>
    <col min="14100" max="14100" width="6.7109375" style="260" customWidth="1"/>
    <col min="14101" max="14102" width="7.5703125" style="260" customWidth="1"/>
    <col min="14103" max="14104" width="8.42578125" style="260" customWidth="1"/>
    <col min="14105" max="14105" width="6.7109375" style="260" customWidth="1"/>
    <col min="14106" max="14106" width="7.5703125" style="260" customWidth="1"/>
    <col min="14107" max="14346" width="6.28515625" style="260"/>
    <col min="14347" max="14347" width="43.5703125" style="260" customWidth="1"/>
    <col min="14348" max="14348" width="7.5703125" style="260" customWidth="1"/>
    <col min="14349" max="14350" width="8.42578125" style="260" customWidth="1"/>
    <col min="14351" max="14351" width="6.7109375" style="260" customWidth="1"/>
    <col min="14352" max="14353" width="7.5703125" style="260" customWidth="1"/>
    <col min="14354" max="14355" width="8.42578125" style="260" customWidth="1"/>
    <col min="14356" max="14356" width="6.7109375" style="260" customWidth="1"/>
    <col min="14357" max="14358" width="7.5703125" style="260" customWidth="1"/>
    <col min="14359" max="14360" width="8.42578125" style="260" customWidth="1"/>
    <col min="14361" max="14361" width="6.7109375" style="260" customWidth="1"/>
    <col min="14362" max="14362" width="7.5703125" style="260" customWidth="1"/>
    <col min="14363" max="14602" width="6.28515625" style="260"/>
    <col min="14603" max="14603" width="43.5703125" style="260" customWidth="1"/>
    <col min="14604" max="14604" width="7.5703125" style="260" customWidth="1"/>
    <col min="14605" max="14606" width="8.42578125" style="260" customWidth="1"/>
    <col min="14607" max="14607" width="6.7109375" style="260" customWidth="1"/>
    <col min="14608" max="14609" width="7.5703125" style="260" customWidth="1"/>
    <col min="14610" max="14611" width="8.42578125" style="260" customWidth="1"/>
    <col min="14612" max="14612" width="6.7109375" style="260" customWidth="1"/>
    <col min="14613" max="14614" width="7.5703125" style="260" customWidth="1"/>
    <col min="14615" max="14616" width="8.42578125" style="260" customWidth="1"/>
    <col min="14617" max="14617" width="6.7109375" style="260" customWidth="1"/>
    <col min="14618" max="14618" width="7.5703125" style="260" customWidth="1"/>
    <col min="14619" max="14858" width="6.28515625" style="260"/>
    <col min="14859" max="14859" width="43.5703125" style="260" customWidth="1"/>
    <col min="14860" max="14860" width="7.5703125" style="260" customWidth="1"/>
    <col min="14861" max="14862" width="8.42578125" style="260" customWidth="1"/>
    <col min="14863" max="14863" width="6.7109375" style="260" customWidth="1"/>
    <col min="14864" max="14865" width="7.5703125" style="260" customWidth="1"/>
    <col min="14866" max="14867" width="8.42578125" style="260" customWidth="1"/>
    <col min="14868" max="14868" width="6.7109375" style="260" customWidth="1"/>
    <col min="14869" max="14870" width="7.5703125" style="260" customWidth="1"/>
    <col min="14871" max="14872" width="8.42578125" style="260" customWidth="1"/>
    <col min="14873" max="14873" width="6.7109375" style="260" customWidth="1"/>
    <col min="14874" max="14874" width="7.5703125" style="260" customWidth="1"/>
    <col min="14875" max="15114" width="6.28515625" style="260"/>
    <col min="15115" max="15115" width="43.5703125" style="260" customWidth="1"/>
    <col min="15116" max="15116" width="7.5703125" style="260" customWidth="1"/>
    <col min="15117" max="15118" width="8.42578125" style="260" customWidth="1"/>
    <col min="15119" max="15119" width="6.7109375" style="260" customWidth="1"/>
    <col min="15120" max="15121" width="7.5703125" style="260" customWidth="1"/>
    <col min="15122" max="15123" width="8.42578125" style="260" customWidth="1"/>
    <col min="15124" max="15124" width="6.7109375" style="260" customWidth="1"/>
    <col min="15125" max="15126" width="7.5703125" style="260" customWidth="1"/>
    <col min="15127" max="15128" width="8.42578125" style="260" customWidth="1"/>
    <col min="15129" max="15129" width="6.7109375" style="260" customWidth="1"/>
    <col min="15130" max="15130" width="7.5703125" style="260" customWidth="1"/>
    <col min="15131" max="15370" width="6.28515625" style="260"/>
    <col min="15371" max="15371" width="43.5703125" style="260" customWidth="1"/>
    <col min="15372" max="15372" width="7.5703125" style="260" customWidth="1"/>
    <col min="15373" max="15374" width="8.42578125" style="260" customWidth="1"/>
    <col min="15375" max="15375" width="6.7109375" style="260" customWidth="1"/>
    <col min="15376" max="15377" width="7.5703125" style="260" customWidth="1"/>
    <col min="15378" max="15379" width="8.42578125" style="260" customWidth="1"/>
    <col min="15380" max="15380" width="6.7109375" style="260" customWidth="1"/>
    <col min="15381" max="15382" width="7.5703125" style="260" customWidth="1"/>
    <col min="15383" max="15384" width="8.42578125" style="260" customWidth="1"/>
    <col min="15385" max="15385" width="6.7109375" style="260" customWidth="1"/>
    <col min="15386" max="15386" width="7.5703125" style="260" customWidth="1"/>
    <col min="15387" max="15626" width="6.28515625" style="260"/>
    <col min="15627" max="15627" width="43.5703125" style="260" customWidth="1"/>
    <col min="15628" max="15628" width="7.5703125" style="260" customWidth="1"/>
    <col min="15629" max="15630" width="8.42578125" style="260" customWidth="1"/>
    <col min="15631" max="15631" width="6.7109375" style="260" customWidth="1"/>
    <col min="15632" max="15633" width="7.5703125" style="260" customWidth="1"/>
    <col min="15634" max="15635" width="8.42578125" style="260" customWidth="1"/>
    <col min="15636" max="15636" width="6.7109375" style="260" customWidth="1"/>
    <col min="15637" max="15638" width="7.5703125" style="260" customWidth="1"/>
    <col min="15639" max="15640" width="8.42578125" style="260" customWidth="1"/>
    <col min="15641" max="15641" width="6.7109375" style="260" customWidth="1"/>
    <col min="15642" max="15642" width="7.5703125" style="260" customWidth="1"/>
    <col min="15643" max="15882" width="6.28515625" style="260"/>
    <col min="15883" max="15883" width="43.5703125" style="260" customWidth="1"/>
    <col min="15884" max="15884" width="7.5703125" style="260" customWidth="1"/>
    <col min="15885" max="15886" width="8.42578125" style="260" customWidth="1"/>
    <col min="15887" max="15887" width="6.7109375" style="260" customWidth="1"/>
    <col min="15888" max="15889" width="7.5703125" style="260" customWidth="1"/>
    <col min="15890" max="15891" width="8.42578125" style="260" customWidth="1"/>
    <col min="15892" max="15892" width="6.7109375" style="260" customWidth="1"/>
    <col min="15893" max="15894" width="7.5703125" style="260" customWidth="1"/>
    <col min="15895" max="15896" width="8.42578125" style="260" customWidth="1"/>
    <col min="15897" max="15897" width="6.7109375" style="260" customWidth="1"/>
    <col min="15898" max="15898" width="7.5703125" style="260" customWidth="1"/>
    <col min="15899" max="16138" width="6.28515625" style="260"/>
    <col min="16139" max="16139" width="43.5703125" style="260" customWidth="1"/>
    <col min="16140" max="16140" width="7.5703125" style="260" customWidth="1"/>
    <col min="16141" max="16142" width="8.42578125" style="260" customWidth="1"/>
    <col min="16143" max="16143" width="6.7109375" style="260" customWidth="1"/>
    <col min="16144" max="16145" width="7.5703125" style="260" customWidth="1"/>
    <col min="16146" max="16147" width="8.42578125" style="260" customWidth="1"/>
    <col min="16148" max="16148" width="6.7109375" style="260" customWidth="1"/>
    <col min="16149" max="16150" width="7.5703125" style="260" customWidth="1"/>
    <col min="16151" max="16152" width="8.42578125" style="260" customWidth="1"/>
    <col min="16153" max="16153" width="6.7109375" style="260" customWidth="1"/>
    <col min="16154" max="16154" width="7.5703125" style="260" customWidth="1"/>
    <col min="16155" max="16384" width="6.28515625" style="260"/>
  </cols>
  <sheetData>
    <row r="1" spans="1:25" ht="15.75" x14ac:dyDescent="0.25">
      <c r="A1" s="18" t="str">
        <f>CONCATENATE("Industry Table 6  Employment status by Industry (SIC 2007) and Gender, ",B$5,"-",V$5,", ",Info!B5)</f>
        <v>Industry Table 6  Employment status by Industry (SIC 2007) and Gender, 2015-2035, North East</v>
      </c>
    </row>
    <row r="2" spans="1:25" x14ac:dyDescent="0.2">
      <c r="A2" s="1" t="s">
        <v>533</v>
      </c>
    </row>
    <row r="4" spans="1:25" x14ac:dyDescent="0.2">
      <c r="A4" s="264"/>
      <c r="B4" s="315"/>
      <c r="C4" s="316"/>
      <c r="D4" s="315"/>
      <c r="E4" s="315"/>
      <c r="F4" s="315"/>
      <c r="G4" s="315"/>
      <c r="H4" s="315"/>
      <c r="I4" s="315"/>
      <c r="J4" s="315"/>
      <c r="K4" s="315"/>
      <c r="L4" s="315"/>
      <c r="M4" s="315"/>
      <c r="N4" s="315"/>
      <c r="O4" s="315"/>
      <c r="P4" s="315"/>
      <c r="Q4" s="315"/>
      <c r="R4" s="315"/>
      <c r="S4" s="315"/>
      <c r="T4" s="315"/>
      <c r="U4" s="315"/>
      <c r="V4" s="315"/>
      <c r="W4" s="315"/>
      <c r="X4" s="315"/>
      <c r="Y4" s="315" t="s">
        <v>35</v>
      </c>
    </row>
    <row r="5" spans="1:25" ht="15" x14ac:dyDescent="0.25">
      <c r="A5" s="265" t="str">
        <f>"Industry 1 : "&amp; name!B4</f>
        <v>Industry 1 : Agriculture</v>
      </c>
      <c r="B5" s="371">
        <v>2015</v>
      </c>
      <c r="C5" s="371"/>
      <c r="D5" s="371"/>
      <c r="E5" s="371"/>
      <c r="F5" s="317"/>
      <c r="G5" s="371">
        <v>2019</v>
      </c>
      <c r="H5" s="371"/>
      <c r="I5" s="371"/>
      <c r="J5" s="371"/>
      <c r="K5" s="318"/>
      <c r="L5" s="371">
        <v>2020</v>
      </c>
      <c r="M5" s="371"/>
      <c r="N5" s="371"/>
      <c r="O5" s="371"/>
      <c r="P5" s="318"/>
      <c r="Q5" s="371">
        <v>2025</v>
      </c>
      <c r="R5" s="371"/>
      <c r="S5" s="371"/>
      <c r="T5" s="371"/>
      <c r="U5" s="317"/>
      <c r="V5" s="371">
        <v>2035</v>
      </c>
      <c r="W5" s="371"/>
      <c r="X5" s="371"/>
      <c r="Y5" s="371"/>
    </row>
    <row r="6" spans="1:25" x14ac:dyDescent="0.2">
      <c r="A6" s="267"/>
      <c r="B6" s="268" t="str">
        <f>name!$J$5</f>
        <v>FT</v>
      </c>
      <c r="C6" s="268" t="str">
        <f>name!$J$6</f>
        <v>PT</v>
      </c>
      <c r="D6" s="268" t="str">
        <f>name!$J$4</f>
        <v>SE</v>
      </c>
      <c r="E6" s="268" t="s">
        <v>32</v>
      </c>
      <c r="F6" s="268"/>
      <c r="G6" s="268" t="str">
        <f>name!$J$5</f>
        <v>FT</v>
      </c>
      <c r="H6" s="268" t="str">
        <f>name!$J$6</f>
        <v>PT</v>
      </c>
      <c r="I6" s="268" t="str">
        <f>name!$J$4</f>
        <v>SE</v>
      </c>
      <c r="J6" s="268" t="s">
        <v>32</v>
      </c>
      <c r="K6" s="268"/>
      <c r="L6" s="268" t="str">
        <f>name!$J$5</f>
        <v>FT</v>
      </c>
      <c r="M6" s="268" t="str">
        <f>name!$J$6</f>
        <v>PT</v>
      </c>
      <c r="N6" s="268" t="str">
        <f>name!$J$4</f>
        <v>SE</v>
      </c>
      <c r="O6" s="268" t="s">
        <v>32</v>
      </c>
      <c r="P6" s="268"/>
      <c r="Q6" s="268" t="str">
        <f>name!$J$5</f>
        <v>FT</v>
      </c>
      <c r="R6" s="268" t="str">
        <f>name!$J$6</f>
        <v>PT</v>
      </c>
      <c r="S6" s="268" t="str">
        <f>name!$J$4</f>
        <v>SE</v>
      </c>
      <c r="T6" s="268" t="s">
        <v>32</v>
      </c>
      <c r="U6" s="268"/>
      <c r="V6" s="268" t="str">
        <f>name!$J$5</f>
        <v>FT</v>
      </c>
      <c r="W6" s="268" t="str">
        <f>name!$J$6</f>
        <v>PT</v>
      </c>
      <c r="X6" s="268" t="str">
        <f>name!$J$4</f>
        <v>SE</v>
      </c>
      <c r="Y6" s="268" t="s">
        <v>32</v>
      </c>
    </row>
    <row r="7" spans="1:25" x14ac:dyDescent="0.2">
      <c r="A7" s="269"/>
      <c r="C7" s="319"/>
      <c r="D7" s="319"/>
      <c r="E7" s="319"/>
      <c r="F7" s="319"/>
      <c r="G7" s="319"/>
      <c r="H7" s="319"/>
      <c r="I7" s="319"/>
      <c r="J7" s="319"/>
      <c r="K7" s="319"/>
      <c r="L7" s="319"/>
      <c r="M7" s="319"/>
      <c r="N7" s="319"/>
      <c r="O7" s="319"/>
      <c r="P7" s="319"/>
      <c r="Q7" s="319"/>
      <c r="R7" s="319"/>
      <c r="S7" s="319"/>
      <c r="T7" s="319"/>
      <c r="U7" s="319"/>
      <c r="V7" s="319"/>
      <c r="W7" s="319"/>
      <c r="X7" s="319"/>
      <c r="Y7" s="319"/>
    </row>
    <row r="8" spans="1:25" x14ac:dyDescent="0.2">
      <c r="A8" s="261" t="str">
        <f>name!A4</f>
        <v>Agriculture, etc</v>
      </c>
      <c r="C8" s="263"/>
    </row>
    <row r="9" spans="1:25" x14ac:dyDescent="0.2">
      <c r="A9" s="260" t="s">
        <v>356</v>
      </c>
      <c r="B9" s="300">
        <v>8.199999999987613E-2</v>
      </c>
      <c r="C9" s="300">
        <v>4.5000000000360016E-2</v>
      </c>
      <c r="D9" s="300">
        <v>0</v>
      </c>
      <c r="E9" s="300">
        <f>SUM(B9:D9)</f>
        <v>0.12700000000023615</v>
      </c>
      <c r="F9" s="300"/>
      <c r="G9" s="300">
        <v>1.2569999999761854</v>
      </c>
      <c r="H9" s="300">
        <v>4.5000000000048418E-2</v>
      </c>
      <c r="I9" s="300">
        <v>0.51700000001302859</v>
      </c>
      <c r="J9" s="300">
        <f>SUM(G9:I9)</f>
        <v>1.8189999999892623</v>
      </c>
      <c r="K9" s="300"/>
      <c r="L9" s="300">
        <v>0.10499999999855732</v>
      </c>
      <c r="M9" s="300">
        <v>5.6000000000182536E-2</v>
      </c>
      <c r="N9" s="300">
        <v>1.5419999999469218</v>
      </c>
      <c r="O9" s="300">
        <f>SUM(L9:N9)</f>
        <v>1.7029999999456618</v>
      </c>
      <c r="P9" s="300"/>
      <c r="Q9" s="300">
        <v>0.10800000000399282</v>
      </c>
      <c r="R9" s="300">
        <v>5.6000000001989146E-2</v>
      </c>
      <c r="S9" s="300">
        <v>1.620000000017928</v>
      </c>
      <c r="T9" s="300">
        <f>SUM(Q9:S9)</f>
        <v>1.78400000002391</v>
      </c>
      <c r="U9" s="300"/>
      <c r="V9" s="300">
        <v>0.11100000000075932</v>
      </c>
      <c r="W9" s="300">
        <v>5.3999999999783256E-2</v>
      </c>
      <c r="X9" s="300">
        <v>1.7149999999970387</v>
      </c>
      <c r="Y9" s="300">
        <f>SUM(V9:X9)</f>
        <v>1.8799999999975812</v>
      </c>
    </row>
    <row r="10" spans="1:25" x14ac:dyDescent="0.2">
      <c r="A10" s="260" t="s">
        <v>355</v>
      </c>
      <c r="B10" s="300">
        <v>3.4790000000146275</v>
      </c>
      <c r="C10" s="300">
        <v>0.865000000004428</v>
      </c>
      <c r="D10" s="300">
        <v>3.0920000000132029</v>
      </c>
      <c r="E10" s="300">
        <f t="shared" ref="E10:E11" si="0">SUM(B10:D10)</f>
        <v>7.4360000000322586</v>
      </c>
      <c r="F10" s="300"/>
      <c r="G10" s="300">
        <v>2.0190000000036425</v>
      </c>
      <c r="H10" s="300">
        <v>2.7000000000075245E-2</v>
      </c>
      <c r="I10" s="300">
        <v>1.7870000000174646</v>
      </c>
      <c r="J10" s="300">
        <f t="shared" ref="J10:J11" si="1">SUM(G10:I10)</f>
        <v>3.8330000000211824</v>
      </c>
      <c r="K10" s="300"/>
      <c r="L10" s="300">
        <v>1.4080000000012955</v>
      </c>
      <c r="M10" s="300">
        <v>3.1000000000012622E-2</v>
      </c>
      <c r="N10" s="300">
        <v>2.3089999999543296</v>
      </c>
      <c r="O10" s="300">
        <f t="shared" ref="O10:O11" si="2">SUM(L10:N10)</f>
        <v>3.7479999999556375</v>
      </c>
      <c r="P10" s="300"/>
      <c r="Q10" s="300">
        <v>1.5059999999893572</v>
      </c>
      <c r="R10" s="300">
        <v>3.2999999999886433E-2</v>
      </c>
      <c r="S10" s="300">
        <v>2.3189999998780095</v>
      </c>
      <c r="T10" s="300">
        <f t="shared" ref="T10:T11" si="3">SUM(Q10:S10)</f>
        <v>3.8579999998672534</v>
      </c>
      <c r="U10" s="300"/>
      <c r="V10" s="300">
        <v>1.6789999999854093</v>
      </c>
      <c r="W10" s="300">
        <v>3.3999999999882478E-2</v>
      </c>
      <c r="X10" s="300">
        <v>2.2069999999169201</v>
      </c>
      <c r="Y10" s="300">
        <f t="shared" ref="Y10:Y11" si="4">SUM(V10:X10)</f>
        <v>3.9199999999022119</v>
      </c>
    </row>
    <row r="11" spans="1:25" x14ac:dyDescent="0.2">
      <c r="A11" s="264" t="s">
        <v>354</v>
      </c>
      <c r="B11" s="301">
        <f>SUM(B9:B10)</f>
        <v>3.5610000000145035</v>
      </c>
      <c r="C11" s="301">
        <f t="shared" ref="C11:D11" si="5">SUM(C9:C10)</f>
        <v>0.91000000000478798</v>
      </c>
      <c r="D11" s="301">
        <f t="shared" si="5"/>
        <v>3.0920000000132029</v>
      </c>
      <c r="E11" s="301">
        <f t="shared" si="0"/>
        <v>7.5630000000324937</v>
      </c>
      <c r="F11" s="301"/>
      <c r="G11" s="301">
        <f>SUM(G9:G10)</f>
        <v>3.2759999999798279</v>
      </c>
      <c r="H11" s="301">
        <f t="shared" ref="H11" si="6">SUM(H9:H10)</f>
        <v>7.200000000012366E-2</v>
      </c>
      <c r="I11" s="301">
        <f t="shared" ref="I11" si="7">SUM(I9:I10)</f>
        <v>2.3040000000304932</v>
      </c>
      <c r="J11" s="301">
        <f t="shared" si="1"/>
        <v>5.6520000000104442</v>
      </c>
      <c r="K11" s="301"/>
      <c r="L11" s="301">
        <f>SUM(L9:L10)</f>
        <v>1.5129999999998529</v>
      </c>
      <c r="M11" s="301">
        <f t="shared" ref="M11" si="8">SUM(M9:M10)</f>
        <v>8.7000000000195157E-2</v>
      </c>
      <c r="N11" s="301">
        <f t="shared" ref="N11" si="9">SUM(N9:N10)</f>
        <v>3.8509999999012514</v>
      </c>
      <c r="O11" s="301">
        <f t="shared" si="2"/>
        <v>5.450999999901299</v>
      </c>
      <c r="P11" s="301"/>
      <c r="Q11" s="301">
        <f>SUM(Q9:Q10)</f>
        <v>1.6139999999933501</v>
      </c>
      <c r="R11" s="301">
        <f t="shared" ref="R11" si="10">SUM(R9:R10)</f>
        <v>8.9000000001875579E-2</v>
      </c>
      <c r="S11" s="301">
        <f t="shared" ref="S11" si="11">SUM(S9:S10)</f>
        <v>3.9389999998959375</v>
      </c>
      <c r="T11" s="301">
        <f t="shared" si="3"/>
        <v>5.641999999891163</v>
      </c>
      <c r="U11" s="301"/>
      <c r="V11" s="301">
        <f>SUM(V9:V10)</f>
        <v>1.7899999999861687</v>
      </c>
      <c r="W11" s="301">
        <f t="shared" ref="W11" si="12">SUM(W9:W10)</f>
        <v>8.7999999999665734E-2</v>
      </c>
      <c r="X11" s="301">
        <f t="shared" ref="X11" si="13">SUM(X9:X10)</f>
        <v>3.9219999999139588</v>
      </c>
      <c r="Y11" s="301">
        <f t="shared" si="4"/>
        <v>5.7999999998997929</v>
      </c>
    </row>
    <row r="13" spans="1:25" x14ac:dyDescent="0.2">
      <c r="A13" s="261"/>
    </row>
    <row r="14" spans="1:25" x14ac:dyDescent="0.2">
      <c r="C14" s="263"/>
    </row>
    <row r="15" spans="1:25" ht="15" x14ac:dyDescent="0.25">
      <c r="A15" s="265" t="str">
        <f>"Industry 2 : "&amp; name!B5</f>
        <v>Industry 2 : Mining and quarrying</v>
      </c>
      <c r="B15" s="371">
        <f>$B$5</f>
        <v>2015</v>
      </c>
      <c r="C15" s="371"/>
      <c r="D15" s="371"/>
      <c r="E15" s="371"/>
      <c r="F15" s="320"/>
      <c r="G15" s="371">
        <f>$G$5</f>
        <v>2019</v>
      </c>
      <c r="H15" s="371"/>
      <c r="I15" s="371"/>
      <c r="J15" s="371"/>
      <c r="K15" s="320"/>
      <c r="L15" s="371">
        <f>$L$5</f>
        <v>2020</v>
      </c>
      <c r="M15" s="371"/>
      <c r="N15" s="371"/>
      <c r="O15" s="371"/>
      <c r="P15" s="318"/>
      <c r="Q15" s="371">
        <f>$Q$5</f>
        <v>2025</v>
      </c>
      <c r="R15" s="371"/>
      <c r="S15" s="371"/>
      <c r="T15" s="371"/>
      <c r="U15" s="320"/>
      <c r="V15" s="371">
        <f>$V$5</f>
        <v>2035</v>
      </c>
      <c r="W15" s="371"/>
      <c r="X15" s="371"/>
      <c r="Y15" s="371"/>
    </row>
    <row r="16" spans="1:25" x14ac:dyDescent="0.2">
      <c r="A16" s="264"/>
      <c r="B16" s="268" t="str">
        <f>$B$6</f>
        <v>FT</v>
      </c>
      <c r="C16" s="268" t="str">
        <f>$C$6</f>
        <v>PT</v>
      </c>
      <c r="D16" s="268" t="str">
        <f>$D$6</f>
        <v>SE</v>
      </c>
      <c r="E16" s="268" t="str">
        <f>$E$6</f>
        <v>Total</v>
      </c>
      <c r="F16" s="268"/>
      <c r="G16" s="268" t="str">
        <f>$B$6</f>
        <v>FT</v>
      </c>
      <c r="H16" s="268" t="str">
        <f>$C$6</f>
        <v>PT</v>
      </c>
      <c r="I16" s="268" t="str">
        <f>$D$6</f>
        <v>SE</v>
      </c>
      <c r="J16" s="268" t="str">
        <f>$E$6</f>
        <v>Total</v>
      </c>
      <c r="K16" s="268"/>
      <c r="L16" s="268" t="str">
        <f>$L$6</f>
        <v>FT</v>
      </c>
      <c r="M16" s="268" t="str">
        <f>$M$6</f>
        <v>PT</v>
      </c>
      <c r="N16" s="268" t="str">
        <f>$N$6</f>
        <v>SE</v>
      </c>
      <c r="O16" s="268" t="str">
        <f>$O$6</f>
        <v>Total</v>
      </c>
      <c r="P16" s="268"/>
      <c r="Q16" s="268" t="str">
        <f>$L$6</f>
        <v>FT</v>
      </c>
      <c r="R16" s="268" t="str">
        <f>$M$6</f>
        <v>PT</v>
      </c>
      <c r="S16" s="268" t="str">
        <f>$N$6</f>
        <v>SE</v>
      </c>
      <c r="T16" s="268" t="str">
        <f>$O$6</f>
        <v>Total</v>
      </c>
      <c r="U16" s="268"/>
      <c r="V16" s="268" t="str">
        <f>$V$6</f>
        <v>FT</v>
      </c>
      <c r="W16" s="268" t="str">
        <f>$W$6</f>
        <v>PT</v>
      </c>
      <c r="X16" s="268" t="str">
        <f>$X$6</f>
        <v>SE</v>
      </c>
      <c r="Y16" s="268" t="str">
        <f>$Y$6</f>
        <v>Total</v>
      </c>
    </row>
    <row r="17" spans="1:25" x14ac:dyDescent="0.2">
      <c r="C17" s="319"/>
      <c r="D17" s="319"/>
      <c r="E17" s="319"/>
      <c r="F17" s="319"/>
      <c r="G17" s="319"/>
      <c r="H17" s="319"/>
      <c r="I17" s="319"/>
      <c r="J17" s="319"/>
      <c r="K17" s="319"/>
      <c r="L17" s="319"/>
      <c r="M17" s="319"/>
      <c r="N17" s="319"/>
      <c r="O17" s="319"/>
      <c r="P17" s="319"/>
      <c r="Q17" s="319"/>
      <c r="R17" s="319"/>
      <c r="S17" s="319"/>
      <c r="T17" s="319"/>
      <c r="U17" s="319"/>
      <c r="V17" s="319"/>
      <c r="W17" s="319"/>
      <c r="X17" s="319"/>
      <c r="Y17" s="319"/>
    </row>
    <row r="18" spans="1:25" x14ac:dyDescent="0.2">
      <c r="A18" s="261" t="str">
        <f>name!A5</f>
        <v>Coal, oil &amp; gas; Mining &amp; related</v>
      </c>
      <c r="C18" s="263"/>
    </row>
    <row r="19" spans="1:25" x14ac:dyDescent="0.2">
      <c r="A19" s="260" t="s">
        <v>356</v>
      </c>
      <c r="B19" s="300">
        <v>9.9999999999182604E-2</v>
      </c>
      <c r="C19" s="300">
        <v>3.6000000000332925E-2</v>
      </c>
      <c r="D19" s="300">
        <v>1.0000000000020882E-3</v>
      </c>
      <c r="E19" s="300">
        <f>SUM(B19:D19)</f>
        <v>0.13699999999951762</v>
      </c>
      <c r="F19" s="300"/>
      <c r="G19" s="300">
        <v>0.14999999999856875</v>
      </c>
      <c r="H19" s="300">
        <v>2.6000000000018019E-2</v>
      </c>
      <c r="I19" s="300">
        <v>1.0000000000182129E-3</v>
      </c>
      <c r="J19" s="300">
        <f>SUM(G19:I19)</f>
        <v>0.17699999999860497</v>
      </c>
      <c r="K19" s="300"/>
      <c r="L19" s="300">
        <v>0.19899999999850154</v>
      </c>
      <c r="M19" s="300">
        <v>7.2000000000324985E-2</v>
      </c>
      <c r="N19" s="300">
        <v>0</v>
      </c>
      <c r="O19" s="300">
        <f>SUM(L19:N19)</f>
        <v>0.27099999999882651</v>
      </c>
      <c r="P19" s="300"/>
      <c r="Q19" s="300">
        <v>0.17499999999796526</v>
      </c>
      <c r="R19" s="300">
        <v>6.4000000001694202E-2</v>
      </c>
      <c r="S19" s="300">
        <v>0</v>
      </c>
      <c r="T19" s="300">
        <f>SUM(Q19:S19)</f>
        <v>0.23899999999965946</v>
      </c>
      <c r="U19" s="300"/>
      <c r="V19" s="300">
        <v>0.14700000000118549</v>
      </c>
      <c r="W19" s="300">
        <v>5.80000000007092E-2</v>
      </c>
      <c r="X19" s="300">
        <v>0</v>
      </c>
      <c r="Y19" s="300">
        <f>SUM(V19:X19)</f>
        <v>0.20500000000189469</v>
      </c>
    </row>
    <row r="20" spans="1:25" x14ac:dyDescent="0.2">
      <c r="A20" s="260" t="s">
        <v>355</v>
      </c>
      <c r="B20" s="300">
        <v>1.9780000000006546</v>
      </c>
      <c r="C20" s="300">
        <v>6.9999999999931341E-3</v>
      </c>
      <c r="D20" s="300">
        <v>0</v>
      </c>
      <c r="E20" s="300">
        <f t="shared" ref="E20:E21" si="14">SUM(B20:D20)</f>
        <v>1.9850000000006478</v>
      </c>
      <c r="F20" s="300"/>
      <c r="G20" s="300">
        <v>1.2729999999988746</v>
      </c>
      <c r="H20" s="300">
        <v>9.999999999980632E-3</v>
      </c>
      <c r="I20" s="300">
        <v>0</v>
      </c>
      <c r="J20" s="300">
        <f t="shared" ref="J20:J21" si="15">SUM(G20:I20)</f>
        <v>1.2829999999988553</v>
      </c>
      <c r="K20" s="300"/>
      <c r="L20" s="300">
        <v>1.4609999999992331</v>
      </c>
      <c r="M20" s="300">
        <v>7.899999999994764E-2</v>
      </c>
      <c r="N20" s="300">
        <v>0</v>
      </c>
      <c r="O20" s="300">
        <f t="shared" ref="O20:O21" si="16">SUM(L20:N20)</f>
        <v>1.5399999999991807</v>
      </c>
      <c r="P20" s="300"/>
      <c r="Q20" s="300">
        <v>1.2879999999934906</v>
      </c>
      <c r="R20" s="300">
        <v>7.3000000000030707E-2</v>
      </c>
      <c r="S20" s="300">
        <v>0</v>
      </c>
      <c r="T20" s="300">
        <f t="shared" ref="T20:T21" si="17">SUM(Q20:S20)</f>
        <v>1.3609999999935214</v>
      </c>
      <c r="U20" s="300"/>
      <c r="V20" s="300">
        <v>1.1249999999920237</v>
      </c>
      <c r="W20" s="300">
        <v>6.7999999999950989E-2</v>
      </c>
      <c r="X20" s="300">
        <v>0</v>
      </c>
      <c r="Y20" s="300">
        <f t="shared" ref="Y20:Y21" si="18">SUM(V20:X20)</f>
        <v>1.1929999999919747</v>
      </c>
    </row>
    <row r="21" spans="1:25" x14ac:dyDescent="0.2">
      <c r="A21" s="264" t="s">
        <v>354</v>
      </c>
      <c r="B21" s="301">
        <f>SUM(B19:B20)</f>
        <v>2.0779999999998373</v>
      </c>
      <c r="C21" s="301">
        <f t="shared" ref="C21" si="19">SUM(C19:C20)</f>
        <v>4.3000000000326062E-2</v>
      </c>
      <c r="D21" s="301">
        <f t="shared" ref="D21" si="20">SUM(D19:D20)</f>
        <v>1.0000000000020882E-3</v>
      </c>
      <c r="E21" s="301">
        <f t="shared" si="14"/>
        <v>2.1220000000001655</v>
      </c>
      <c r="F21" s="301"/>
      <c r="G21" s="301">
        <f>SUM(G19:G20)</f>
        <v>1.4229999999974434</v>
      </c>
      <c r="H21" s="301">
        <f t="shared" ref="H21" si="21">SUM(H19:H20)</f>
        <v>3.5999999999998651E-2</v>
      </c>
      <c r="I21" s="301">
        <f t="shared" ref="I21" si="22">SUM(I19:I20)</f>
        <v>1.0000000000182129E-3</v>
      </c>
      <c r="J21" s="301">
        <f t="shared" si="15"/>
        <v>1.4599999999974604</v>
      </c>
      <c r="K21" s="301"/>
      <c r="L21" s="301">
        <f>SUM(L19:L20)</f>
        <v>1.6599999999977346</v>
      </c>
      <c r="M21" s="301">
        <f t="shared" ref="M21" si="23">SUM(M19:M20)</f>
        <v>0.15100000000027264</v>
      </c>
      <c r="N21" s="301">
        <f t="shared" ref="N21" si="24">SUM(N19:N20)</f>
        <v>0</v>
      </c>
      <c r="O21" s="301">
        <f t="shared" si="16"/>
        <v>1.8109999999980073</v>
      </c>
      <c r="P21" s="301"/>
      <c r="Q21" s="301">
        <f>SUM(Q19:Q20)</f>
        <v>1.4629999999914558</v>
      </c>
      <c r="R21" s="301">
        <f t="shared" ref="R21" si="25">SUM(R19:R20)</f>
        <v>0.13700000000172491</v>
      </c>
      <c r="S21" s="301">
        <f t="shared" ref="S21" si="26">SUM(S19:S20)</f>
        <v>0</v>
      </c>
      <c r="T21" s="301">
        <f t="shared" si="17"/>
        <v>1.5999999999931807</v>
      </c>
      <c r="U21" s="301"/>
      <c r="V21" s="301">
        <f>SUM(V19:V20)</f>
        <v>1.2719999999932092</v>
      </c>
      <c r="W21" s="301">
        <f t="shared" ref="W21" si="27">SUM(W19:W20)</f>
        <v>0.1260000000006602</v>
      </c>
      <c r="X21" s="301">
        <f t="shared" ref="X21" si="28">SUM(X19:X20)</f>
        <v>0</v>
      </c>
      <c r="Y21" s="301">
        <f t="shared" si="18"/>
        <v>1.3979999999938695</v>
      </c>
    </row>
    <row r="22" spans="1:25" x14ac:dyDescent="0.2">
      <c r="A22" s="262"/>
    </row>
    <row r="23" spans="1:25" x14ac:dyDescent="0.2">
      <c r="A23" s="262"/>
    </row>
    <row r="24" spans="1:25" x14ac:dyDescent="0.2">
      <c r="A24" s="262"/>
    </row>
    <row r="25" spans="1:25" ht="15" x14ac:dyDescent="0.25">
      <c r="A25" s="265" t="str">
        <f>"Industry 3 : "&amp; name!B6</f>
        <v>Industry 3 : Food drink and tobacco</v>
      </c>
      <c r="B25" s="371">
        <f>$B$5</f>
        <v>2015</v>
      </c>
      <c r="C25" s="371"/>
      <c r="D25" s="371"/>
      <c r="E25" s="371"/>
      <c r="F25" s="320"/>
      <c r="G25" s="371">
        <f>$G$5</f>
        <v>2019</v>
      </c>
      <c r="H25" s="371"/>
      <c r="I25" s="371"/>
      <c r="J25" s="371"/>
      <c r="K25" s="320"/>
      <c r="L25" s="371">
        <f>$L$5</f>
        <v>2020</v>
      </c>
      <c r="M25" s="371"/>
      <c r="N25" s="371"/>
      <c r="O25" s="371"/>
      <c r="P25" s="318"/>
      <c r="Q25" s="371">
        <f>$Q$5</f>
        <v>2025</v>
      </c>
      <c r="R25" s="371"/>
      <c r="S25" s="371"/>
      <c r="T25" s="371"/>
      <c r="U25" s="320"/>
      <c r="V25" s="371">
        <f>$V$5</f>
        <v>2035</v>
      </c>
      <c r="W25" s="371"/>
      <c r="X25" s="371"/>
      <c r="Y25" s="371"/>
    </row>
    <row r="26" spans="1:25" x14ac:dyDescent="0.2">
      <c r="A26" s="264"/>
      <c r="B26" s="268" t="str">
        <f>$B$6</f>
        <v>FT</v>
      </c>
      <c r="C26" s="268" t="str">
        <f>$C$6</f>
        <v>PT</v>
      </c>
      <c r="D26" s="268" t="str">
        <f>$D$6</f>
        <v>SE</v>
      </c>
      <c r="E26" s="268" t="str">
        <f>$E$6</f>
        <v>Total</v>
      </c>
      <c r="F26" s="268"/>
      <c r="G26" s="268" t="str">
        <f>$B$6</f>
        <v>FT</v>
      </c>
      <c r="H26" s="268" t="str">
        <f>$C$6</f>
        <v>PT</v>
      </c>
      <c r="I26" s="268" t="str">
        <f>$D$6</f>
        <v>SE</v>
      </c>
      <c r="J26" s="268" t="str">
        <f>$E$6</f>
        <v>Total</v>
      </c>
      <c r="K26" s="268"/>
      <c r="L26" s="268" t="str">
        <f>$L$6</f>
        <v>FT</v>
      </c>
      <c r="M26" s="268" t="str">
        <f>$M$6</f>
        <v>PT</v>
      </c>
      <c r="N26" s="268" t="str">
        <f>$N$6</f>
        <v>SE</v>
      </c>
      <c r="O26" s="268" t="str">
        <f>$O$6</f>
        <v>Total</v>
      </c>
      <c r="P26" s="268"/>
      <c r="Q26" s="268" t="str">
        <f>$L$6</f>
        <v>FT</v>
      </c>
      <c r="R26" s="268" t="str">
        <f>$M$6</f>
        <v>PT</v>
      </c>
      <c r="S26" s="268" t="str">
        <f>$N$6</f>
        <v>SE</v>
      </c>
      <c r="T26" s="268" t="str">
        <f>$O$6</f>
        <v>Total</v>
      </c>
      <c r="U26" s="268"/>
      <c r="V26" s="268" t="str">
        <f>$V$6</f>
        <v>FT</v>
      </c>
      <c r="W26" s="268" t="str">
        <f>$W$6</f>
        <v>PT</v>
      </c>
      <c r="X26" s="268" t="str">
        <f>$X$6</f>
        <v>SE</v>
      </c>
      <c r="Y26" s="268" t="str">
        <f>$Y$6</f>
        <v>Total</v>
      </c>
    </row>
    <row r="27" spans="1:25" x14ac:dyDescent="0.2">
      <c r="C27" s="319"/>
      <c r="D27" s="319"/>
      <c r="E27" s="319"/>
      <c r="F27" s="319"/>
      <c r="G27" s="319"/>
      <c r="H27" s="319"/>
      <c r="I27" s="319"/>
      <c r="J27" s="319"/>
      <c r="K27" s="319"/>
      <c r="L27" s="319"/>
      <c r="M27" s="319"/>
      <c r="N27" s="319"/>
      <c r="O27" s="319"/>
      <c r="P27" s="319"/>
      <c r="Q27" s="319"/>
      <c r="R27" s="319"/>
      <c r="S27" s="319"/>
      <c r="T27" s="319"/>
      <c r="U27" s="319"/>
      <c r="V27" s="319"/>
      <c r="W27" s="319"/>
      <c r="X27" s="319"/>
      <c r="Y27" s="319"/>
    </row>
    <row r="28" spans="1:25" x14ac:dyDescent="0.2">
      <c r="A28" s="261" t="str">
        <f>name!A6</f>
        <v>Food products</v>
      </c>
      <c r="C28" s="263"/>
    </row>
    <row r="29" spans="1:25" x14ac:dyDescent="0.2">
      <c r="A29" s="260" t="s">
        <v>356</v>
      </c>
      <c r="B29" s="300">
        <v>2.1069999999927522</v>
      </c>
      <c r="C29" s="300">
        <v>0.81300000002821993</v>
      </c>
      <c r="D29" s="300">
        <v>0.11200000000317556</v>
      </c>
      <c r="E29" s="300">
        <f>SUM(B29:D29)</f>
        <v>3.0320000000241478</v>
      </c>
      <c r="F29" s="300"/>
      <c r="G29" s="300">
        <v>2.9079999998992698</v>
      </c>
      <c r="H29" s="300">
        <v>1.5510000000141595</v>
      </c>
      <c r="I29" s="300">
        <v>0</v>
      </c>
      <c r="J29" s="300">
        <f>SUM(G29:I29)</f>
        <v>4.4589999999134289</v>
      </c>
      <c r="K29" s="300"/>
      <c r="L29" s="300">
        <v>2.6719999999331718</v>
      </c>
      <c r="M29" s="300">
        <v>1.1530000000195684</v>
      </c>
      <c r="N29" s="300">
        <v>9.7999999997371245E-2</v>
      </c>
      <c r="O29" s="300">
        <f>SUM(L29:N29)</f>
        <v>3.9229999999501115</v>
      </c>
      <c r="P29" s="300"/>
      <c r="Q29" s="300">
        <v>2.7820000001909388</v>
      </c>
      <c r="R29" s="300">
        <v>1.1550000000923029</v>
      </c>
      <c r="S29" s="300">
        <v>0.10100000000181725</v>
      </c>
      <c r="T29" s="300">
        <f>SUM(Q29:S29)</f>
        <v>4.0380000002850593</v>
      </c>
      <c r="U29" s="300"/>
      <c r="V29" s="300">
        <v>2.8599999999878536</v>
      </c>
      <c r="W29" s="300">
        <v>1.1039999999936432</v>
      </c>
      <c r="X29" s="300">
        <v>0.10199999999994007</v>
      </c>
      <c r="Y29" s="300">
        <f>SUM(V29:X29)</f>
        <v>4.0659999999814369</v>
      </c>
    </row>
    <row r="30" spans="1:25" x14ac:dyDescent="0.2">
      <c r="A30" s="260" t="s">
        <v>355</v>
      </c>
      <c r="B30" s="300">
        <v>5.8780000000417241</v>
      </c>
      <c r="C30" s="300">
        <v>0.43300000000156091</v>
      </c>
      <c r="D30" s="300">
        <v>5.299999999985832E-2</v>
      </c>
      <c r="E30" s="300">
        <f t="shared" ref="E30:E31" si="29">SUM(B30:D30)</f>
        <v>6.364000000043144</v>
      </c>
      <c r="F30" s="300"/>
      <c r="G30" s="300">
        <v>5.9030000000157798</v>
      </c>
      <c r="H30" s="300">
        <v>0.53300000000127012</v>
      </c>
      <c r="I30" s="300">
        <v>1.5000000000103585E-2</v>
      </c>
      <c r="J30" s="300">
        <f t="shared" ref="J30:J31" si="30">SUM(G30:I30)</f>
        <v>6.4510000000171539</v>
      </c>
      <c r="K30" s="300"/>
      <c r="L30" s="300">
        <v>6.1960000000108186</v>
      </c>
      <c r="M30" s="300">
        <v>0.37299999999742089</v>
      </c>
      <c r="N30" s="300">
        <v>0</v>
      </c>
      <c r="O30" s="300">
        <f t="shared" ref="O30:O31" si="31">SUM(L30:N30)</f>
        <v>6.5690000000082396</v>
      </c>
      <c r="P30" s="300"/>
      <c r="Q30" s="300">
        <v>6.1509999999340597</v>
      </c>
      <c r="R30" s="300">
        <v>0.37400000000200867</v>
      </c>
      <c r="S30" s="300">
        <v>0</v>
      </c>
      <c r="T30" s="300">
        <f t="shared" ref="T30:T31" si="32">SUM(Q30:S30)</f>
        <v>6.5249999999360684</v>
      </c>
      <c r="U30" s="300"/>
      <c r="V30" s="300">
        <v>5.7909999999338337</v>
      </c>
      <c r="W30" s="300">
        <v>0.36000000000290028</v>
      </c>
      <c r="X30" s="300">
        <v>0</v>
      </c>
      <c r="Y30" s="300">
        <f t="shared" ref="Y30:Y31" si="33">SUM(V30:X30)</f>
        <v>6.150999999936734</v>
      </c>
    </row>
    <row r="31" spans="1:25" x14ac:dyDescent="0.2">
      <c r="A31" s="260" t="s">
        <v>354</v>
      </c>
      <c r="B31" s="300">
        <f>SUM(B29:B30)</f>
        <v>7.9850000000344767</v>
      </c>
      <c r="C31" s="300">
        <f t="shared" ref="C31" si="34">SUM(C29:C30)</f>
        <v>1.2460000000297808</v>
      </c>
      <c r="D31" s="300">
        <f t="shared" ref="D31" si="35">SUM(D29:D30)</f>
        <v>0.16500000000303389</v>
      </c>
      <c r="E31" s="300">
        <f t="shared" si="29"/>
        <v>9.396000000067291</v>
      </c>
      <c r="F31" s="300"/>
      <c r="G31" s="300">
        <f>SUM(G29:G30)</f>
        <v>8.8109999999150492</v>
      </c>
      <c r="H31" s="300">
        <f t="shared" ref="H31" si="36">SUM(H29:H30)</f>
        <v>2.0840000000154295</v>
      </c>
      <c r="I31" s="300">
        <f t="shared" ref="I31" si="37">SUM(I29:I30)</f>
        <v>1.5000000000103585E-2</v>
      </c>
      <c r="J31" s="300">
        <f t="shared" si="30"/>
        <v>10.909999999930582</v>
      </c>
      <c r="K31" s="300"/>
      <c r="L31" s="300">
        <f>SUM(L29:L30)</f>
        <v>8.86799999994399</v>
      </c>
      <c r="M31" s="300">
        <f t="shared" ref="M31" si="38">SUM(M29:M30)</f>
        <v>1.5260000000169893</v>
      </c>
      <c r="N31" s="300">
        <f t="shared" ref="N31" si="39">SUM(N29:N30)</f>
        <v>9.7999999997371245E-2</v>
      </c>
      <c r="O31" s="300">
        <f t="shared" si="31"/>
        <v>10.491999999958351</v>
      </c>
      <c r="P31" s="300"/>
      <c r="Q31" s="300">
        <f>SUM(Q29:Q30)</f>
        <v>8.9330000001249985</v>
      </c>
      <c r="R31" s="300">
        <f t="shared" ref="R31" si="40">SUM(R29:R30)</f>
        <v>1.5290000000943116</v>
      </c>
      <c r="S31" s="300">
        <f t="shared" ref="S31" si="41">SUM(S29:S30)</f>
        <v>0.10100000000181725</v>
      </c>
      <c r="T31" s="300">
        <f t="shared" si="32"/>
        <v>10.563000000221129</v>
      </c>
      <c r="U31" s="300"/>
      <c r="V31" s="300">
        <f>SUM(V29:V30)</f>
        <v>8.6509999999216873</v>
      </c>
      <c r="W31" s="300">
        <f t="shared" ref="W31" si="42">SUM(W29:W30)</f>
        <v>1.4639999999965434</v>
      </c>
      <c r="X31" s="300">
        <f t="shared" ref="X31" si="43">SUM(X29:X30)</f>
        <v>0.10199999999994007</v>
      </c>
      <c r="Y31" s="300">
        <f t="shared" si="33"/>
        <v>10.216999999918171</v>
      </c>
    </row>
    <row r="32" spans="1:25" x14ac:dyDescent="0.2">
      <c r="C32" s="319"/>
      <c r="D32" s="319"/>
      <c r="E32" s="319"/>
      <c r="F32" s="319"/>
      <c r="G32" s="319"/>
      <c r="H32" s="319"/>
      <c r="I32" s="319"/>
      <c r="J32" s="319"/>
      <c r="K32" s="319"/>
      <c r="L32" s="319"/>
      <c r="M32" s="319"/>
      <c r="N32" s="319"/>
      <c r="O32" s="319"/>
      <c r="P32" s="319"/>
      <c r="Q32" s="319"/>
      <c r="R32" s="319"/>
      <c r="S32" s="319"/>
      <c r="T32" s="319"/>
      <c r="U32" s="319"/>
      <c r="V32" s="319"/>
      <c r="W32" s="319"/>
      <c r="X32" s="319"/>
      <c r="Y32" s="319"/>
    </row>
    <row r="33" spans="1:25" x14ac:dyDescent="0.2">
      <c r="A33" s="261" t="str">
        <f>name!A7</f>
        <v>Beverages and tobacco</v>
      </c>
      <c r="C33" s="263"/>
    </row>
    <row r="34" spans="1:25" x14ac:dyDescent="0.2">
      <c r="A34" s="260" t="s">
        <v>356</v>
      </c>
      <c r="B34" s="300">
        <v>0.80399999999253413</v>
      </c>
      <c r="C34" s="300">
        <v>0.30900000000277644</v>
      </c>
      <c r="D34" s="300">
        <v>1.2000000000120449E-2</v>
      </c>
      <c r="E34" s="300">
        <f>SUM(B34:D34)</f>
        <v>1.124999999995431</v>
      </c>
      <c r="F34" s="300"/>
      <c r="G34" s="300">
        <v>0.99499999999026567</v>
      </c>
      <c r="H34" s="300">
        <v>8.0999999999460379E-2</v>
      </c>
      <c r="I34" s="300">
        <v>0</v>
      </c>
      <c r="J34" s="300">
        <f>SUM(G34:I34)</f>
        <v>1.0759999999897261</v>
      </c>
      <c r="K34" s="300"/>
      <c r="L34" s="300">
        <v>0.91499999999370463</v>
      </c>
      <c r="M34" s="300">
        <v>5.9999999999690912E-2</v>
      </c>
      <c r="N34" s="300">
        <v>7.999999999925891E-3</v>
      </c>
      <c r="O34" s="300">
        <f>SUM(L34:N34)</f>
        <v>0.98299999999332144</v>
      </c>
      <c r="P34" s="300"/>
      <c r="Q34" s="300">
        <v>0.95200000001922902</v>
      </c>
      <c r="R34" s="300">
        <v>6.0000000002146295E-2</v>
      </c>
      <c r="S34" s="300">
        <v>9.000000000083979E-3</v>
      </c>
      <c r="T34" s="300">
        <f>SUM(Q34:S34)</f>
        <v>1.0210000000214594</v>
      </c>
      <c r="U34" s="300"/>
      <c r="V34" s="300">
        <v>0.97899999999964937</v>
      </c>
      <c r="W34" s="300">
        <v>5.7999999999971394E-2</v>
      </c>
      <c r="X34" s="300">
        <v>8.9999999999785321E-3</v>
      </c>
      <c r="Y34" s="300">
        <f>SUM(V34:X34)</f>
        <v>1.0459999999995993</v>
      </c>
    </row>
    <row r="35" spans="1:25" x14ac:dyDescent="0.2">
      <c r="A35" s="260" t="s">
        <v>355</v>
      </c>
      <c r="B35" s="300">
        <v>0.6440000000033117</v>
      </c>
      <c r="C35" s="300">
        <v>3.9999999999992542E-2</v>
      </c>
      <c r="D35" s="300">
        <v>7.0000000000777661E-3</v>
      </c>
      <c r="E35" s="300">
        <f t="shared" ref="E35:E36" si="44">SUM(B35:D35)</f>
        <v>0.69100000000338191</v>
      </c>
      <c r="F35" s="300"/>
      <c r="G35" s="300">
        <v>0.58000000000114316</v>
      </c>
      <c r="H35" s="300">
        <v>6.9999999999803058E-3</v>
      </c>
      <c r="I35" s="300">
        <v>2.0000000000090132E-3</v>
      </c>
      <c r="J35" s="300">
        <f t="shared" ref="J35:J36" si="45">SUM(G35:I35)</f>
        <v>0.58900000000113251</v>
      </c>
      <c r="K35" s="300"/>
      <c r="L35" s="300">
        <v>0.60900000000080101</v>
      </c>
      <c r="M35" s="300">
        <v>5.0000000000054671E-3</v>
      </c>
      <c r="N35" s="300">
        <v>0</v>
      </c>
      <c r="O35" s="300">
        <f t="shared" ref="O35:O36" si="46">SUM(L35:N35)</f>
        <v>0.61400000000080646</v>
      </c>
      <c r="P35" s="300"/>
      <c r="Q35" s="300">
        <v>0.60399999999504383</v>
      </c>
      <c r="R35" s="300">
        <v>5.000000000021626E-3</v>
      </c>
      <c r="S35" s="300">
        <v>0</v>
      </c>
      <c r="T35" s="300">
        <f t="shared" ref="T35:T36" si="47">SUM(Q35:S35)</f>
        <v>0.60899999999506549</v>
      </c>
      <c r="U35" s="300"/>
      <c r="V35" s="300">
        <v>0.56899999999516582</v>
      </c>
      <c r="W35" s="300">
        <v>5.0000000000187507E-3</v>
      </c>
      <c r="X35" s="300">
        <v>0</v>
      </c>
      <c r="Y35" s="300">
        <f t="shared" ref="Y35:Y36" si="48">SUM(V35:X35)</f>
        <v>0.57399999999518458</v>
      </c>
    </row>
    <row r="36" spans="1:25" x14ac:dyDescent="0.2">
      <c r="A36" s="260" t="s">
        <v>354</v>
      </c>
      <c r="B36" s="300">
        <f>SUM(B34:B35)</f>
        <v>1.4479999999958459</v>
      </c>
      <c r="C36" s="300">
        <f t="shared" ref="C36" si="49">SUM(C34:C35)</f>
        <v>0.34900000000276898</v>
      </c>
      <c r="D36" s="300">
        <f t="shared" ref="D36" si="50">SUM(D34:D35)</f>
        <v>1.9000000000198216E-2</v>
      </c>
      <c r="E36" s="300">
        <f t="shared" si="44"/>
        <v>1.8159999999988132</v>
      </c>
      <c r="F36" s="300"/>
      <c r="G36" s="300">
        <f>SUM(G34:G35)</f>
        <v>1.5749999999914088</v>
      </c>
      <c r="H36" s="300">
        <f t="shared" ref="H36" si="51">SUM(H34:H35)</f>
        <v>8.7999999999440678E-2</v>
      </c>
      <c r="I36" s="300">
        <f t="shared" ref="I36" si="52">SUM(I34:I35)</f>
        <v>2.0000000000090132E-3</v>
      </c>
      <c r="J36" s="300">
        <f t="shared" si="45"/>
        <v>1.6649999999908587</v>
      </c>
      <c r="K36" s="300"/>
      <c r="L36" s="300">
        <f>SUM(L34:L35)</f>
        <v>1.5239999999945057</v>
      </c>
      <c r="M36" s="300">
        <f t="shared" ref="M36" si="53">SUM(M34:M35)</f>
        <v>6.4999999999696384E-2</v>
      </c>
      <c r="N36" s="300">
        <f t="shared" ref="N36" si="54">SUM(N34:N35)</f>
        <v>7.999999999925891E-3</v>
      </c>
      <c r="O36" s="300">
        <f t="shared" si="46"/>
        <v>1.596999999994128</v>
      </c>
      <c r="P36" s="300"/>
      <c r="Q36" s="300">
        <f>SUM(Q34:Q35)</f>
        <v>1.5560000000142729</v>
      </c>
      <c r="R36" s="300">
        <f t="shared" ref="R36" si="55">SUM(R34:R35)</f>
        <v>6.5000000002167921E-2</v>
      </c>
      <c r="S36" s="300">
        <f t="shared" ref="S36" si="56">SUM(S34:S35)</f>
        <v>9.000000000083979E-3</v>
      </c>
      <c r="T36" s="300">
        <f t="shared" si="47"/>
        <v>1.6300000000165249</v>
      </c>
      <c r="U36" s="300"/>
      <c r="V36" s="300">
        <f>SUM(V34:V35)</f>
        <v>1.5479999999948153</v>
      </c>
      <c r="W36" s="300">
        <f t="shared" ref="W36" si="57">SUM(W34:W35)</f>
        <v>6.2999999999990147E-2</v>
      </c>
      <c r="X36" s="300">
        <f t="shared" ref="X36" si="58">SUM(X34:X35)</f>
        <v>8.9999999999785321E-3</v>
      </c>
      <c r="Y36" s="300">
        <f t="shared" si="48"/>
        <v>1.6199999999947841</v>
      </c>
    </row>
    <row r="37" spans="1:25" x14ac:dyDescent="0.2">
      <c r="C37" s="263"/>
    </row>
    <row r="38" spans="1:25" x14ac:dyDescent="0.2">
      <c r="A38" s="261" t="s">
        <v>372</v>
      </c>
    </row>
    <row r="39" spans="1:25" x14ac:dyDescent="0.2">
      <c r="A39" s="260" t="s">
        <v>356</v>
      </c>
      <c r="B39" s="300">
        <f>SUM(B29,B34)</f>
        <v>2.9109999999852865</v>
      </c>
      <c r="C39" s="300">
        <f t="shared" ref="C39:D40" si="59">SUM(C29,C34)</f>
        <v>1.1220000000309964</v>
      </c>
      <c r="D39" s="300">
        <f t="shared" si="59"/>
        <v>0.124000000003296</v>
      </c>
      <c r="E39" s="300">
        <f>SUM(B39:D39)</f>
        <v>4.157000000019579</v>
      </c>
      <c r="F39" s="300"/>
      <c r="G39" s="300">
        <f>SUM(G29,G34)</f>
        <v>3.9029999998895355</v>
      </c>
      <c r="H39" s="300">
        <f t="shared" ref="H39:I39" si="60">SUM(H29,H34)</f>
        <v>1.6320000000136199</v>
      </c>
      <c r="I39" s="300">
        <f t="shared" si="60"/>
        <v>0</v>
      </c>
      <c r="J39" s="300">
        <f>SUM(G39:I39)</f>
        <v>5.5349999999031549</v>
      </c>
      <c r="K39" s="300"/>
      <c r="L39" s="300">
        <f>SUM(L29,L34)</f>
        <v>3.5869999999268765</v>
      </c>
      <c r="M39" s="300">
        <f t="shared" ref="M39:N39" si="61">SUM(M29,M34)</f>
        <v>1.2130000000192593</v>
      </c>
      <c r="N39" s="300">
        <f t="shared" si="61"/>
        <v>0.10599999999729713</v>
      </c>
      <c r="O39" s="300">
        <f>SUM(L39:N39)</f>
        <v>4.9059999999434334</v>
      </c>
      <c r="P39" s="300"/>
      <c r="Q39" s="300">
        <f>SUM(Q29,Q34)</f>
        <v>3.7340000002101679</v>
      </c>
      <c r="R39" s="300">
        <f t="shared" ref="R39:S39" si="62">SUM(R29,R34)</f>
        <v>1.2150000000944492</v>
      </c>
      <c r="S39" s="300">
        <f t="shared" si="62"/>
        <v>0.11000000000190123</v>
      </c>
      <c r="T39" s="300">
        <f>SUM(Q39:S39)</f>
        <v>5.0590000003065176</v>
      </c>
      <c r="U39" s="300"/>
      <c r="V39" s="300">
        <f>SUM(V29,V34)</f>
        <v>3.8389999999875029</v>
      </c>
      <c r="W39" s="300">
        <f t="shared" ref="W39:X39" si="63">SUM(W29,W34)</f>
        <v>1.1619999999936146</v>
      </c>
      <c r="X39" s="300">
        <f t="shared" si="63"/>
        <v>0.11099999999991861</v>
      </c>
      <c r="Y39" s="300">
        <f>SUM(V39:X39)</f>
        <v>5.1119999999810366</v>
      </c>
    </row>
    <row r="40" spans="1:25" x14ac:dyDescent="0.2">
      <c r="A40" s="260" t="s">
        <v>355</v>
      </c>
      <c r="B40" s="300">
        <f>SUM(B30,B35)</f>
        <v>6.5220000000450362</v>
      </c>
      <c r="C40" s="300">
        <f t="shared" si="59"/>
        <v>0.47300000000155346</v>
      </c>
      <c r="D40" s="300">
        <f t="shared" si="59"/>
        <v>5.9999999999936084E-2</v>
      </c>
      <c r="E40" s="300">
        <f t="shared" ref="E40:E41" si="64">SUM(B40:D40)</f>
        <v>7.0550000000465252</v>
      </c>
      <c r="F40" s="300"/>
      <c r="G40" s="300">
        <f>SUM(G30,G35)</f>
        <v>6.483000000016923</v>
      </c>
      <c r="H40" s="300">
        <f t="shared" ref="H40:I40" si="65">SUM(H30,H35)</f>
        <v>0.54000000000125048</v>
      </c>
      <c r="I40" s="300">
        <f t="shared" si="65"/>
        <v>1.7000000000112599E-2</v>
      </c>
      <c r="J40" s="300">
        <f t="shared" ref="J40:J41" si="66">SUM(G40:I40)</f>
        <v>7.0400000000182859</v>
      </c>
      <c r="K40" s="300"/>
      <c r="L40" s="300">
        <f>SUM(L30,L35)</f>
        <v>6.8050000000116198</v>
      </c>
      <c r="M40" s="300">
        <f t="shared" ref="M40:N40" si="67">SUM(M30,M35)</f>
        <v>0.37799999999742634</v>
      </c>
      <c r="N40" s="300">
        <f t="shared" si="67"/>
        <v>0</v>
      </c>
      <c r="O40" s="300">
        <f t="shared" ref="O40:O41" si="68">SUM(L40:N40)</f>
        <v>7.1830000000090459</v>
      </c>
      <c r="P40" s="300"/>
      <c r="Q40" s="300">
        <f>SUM(Q30,Q35)</f>
        <v>6.7549999999291037</v>
      </c>
      <c r="R40" s="300">
        <f t="shared" ref="R40:S40" si="69">SUM(R30,R35)</f>
        <v>0.37900000000203027</v>
      </c>
      <c r="S40" s="300">
        <f t="shared" si="69"/>
        <v>0</v>
      </c>
      <c r="T40" s="300">
        <f t="shared" ref="T40:T41" si="70">SUM(Q40:S40)</f>
        <v>7.1339999999311337</v>
      </c>
      <c r="U40" s="300"/>
      <c r="V40" s="300">
        <f>SUM(V30,V35)</f>
        <v>6.3599999999289993</v>
      </c>
      <c r="W40" s="300">
        <f t="shared" ref="W40:X40" si="71">SUM(W30,W35)</f>
        <v>0.36500000000291905</v>
      </c>
      <c r="X40" s="300">
        <f t="shared" si="71"/>
        <v>0</v>
      </c>
      <c r="Y40" s="300">
        <f t="shared" ref="Y40:Y41" si="72">SUM(V40:X40)</f>
        <v>6.7249999999319181</v>
      </c>
    </row>
    <row r="41" spans="1:25" x14ac:dyDescent="0.2">
      <c r="A41" s="264" t="s">
        <v>354</v>
      </c>
      <c r="B41" s="301">
        <f>SUM(B39:B40)</f>
        <v>9.4330000000303222</v>
      </c>
      <c r="C41" s="301">
        <f t="shared" ref="C41" si="73">SUM(C39:C40)</f>
        <v>1.5950000000325499</v>
      </c>
      <c r="D41" s="301">
        <f t="shared" ref="D41" si="74">SUM(D39:D40)</f>
        <v>0.18400000000323208</v>
      </c>
      <c r="E41" s="301">
        <f t="shared" si="64"/>
        <v>11.212000000066105</v>
      </c>
      <c r="F41" s="301"/>
      <c r="G41" s="301">
        <f>SUM(G39:G40)</f>
        <v>10.385999999906458</v>
      </c>
      <c r="H41" s="301">
        <f t="shared" ref="H41" si="75">SUM(H39:H40)</f>
        <v>2.1720000000148705</v>
      </c>
      <c r="I41" s="301">
        <f t="shared" ref="I41" si="76">SUM(I39:I40)</f>
        <v>1.7000000000112599E-2</v>
      </c>
      <c r="J41" s="301">
        <f t="shared" si="66"/>
        <v>12.574999999921442</v>
      </c>
      <c r="K41" s="301"/>
      <c r="L41" s="301">
        <f>SUM(L39:L40)</f>
        <v>10.391999999938497</v>
      </c>
      <c r="M41" s="301">
        <f t="shared" ref="M41" si="77">SUM(M39:M40)</f>
        <v>1.5910000000166857</v>
      </c>
      <c r="N41" s="301">
        <f t="shared" ref="N41" si="78">SUM(N39:N40)</f>
        <v>0.10599999999729713</v>
      </c>
      <c r="O41" s="301">
        <f t="shared" si="68"/>
        <v>12.088999999952479</v>
      </c>
      <c r="P41" s="301"/>
      <c r="Q41" s="301">
        <f>SUM(Q39:Q40)</f>
        <v>10.489000000139271</v>
      </c>
      <c r="R41" s="301">
        <f t="shared" ref="R41" si="79">SUM(R39:R40)</f>
        <v>1.5940000000964796</v>
      </c>
      <c r="S41" s="301">
        <f t="shared" ref="S41" si="80">SUM(S39:S40)</f>
        <v>0.11000000000190123</v>
      </c>
      <c r="T41" s="301">
        <f t="shared" si="70"/>
        <v>12.193000000237651</v>
      </c>
      <c r="U41" s="301"/>
      <c r="V41" s="301">
        <f>SUM(V39:V40)</f>
        <v>10.198999999916502</v>
      </c>
      <c r="W41" s="301">
        <f t="shared" ref="W41" si="81">SUM(W39:W40)</f>
        <v>1.5269999999965336</v>
      </c>
      <c r="X41" s="301">
        <f t="shared" ref="X41" si="82">SUM(X39:X40)</f>
        <v>0.11099999999991861</v>
      </c>
      <c r="Y41" s="301">
        <f t="shared" si="72"/>
        <v>11.836999999912955</v>
      </c>
    </row>
    <row r="45" spans="1:25" ht="15" x14ac:dyDescent="0.25">
      <c r="A45" s="265" t="str">
        <f>"Industry 4 : "&amp; name!B7</f>
        <v>Industry 4 : Engineering</v>
      </c>
      <c r="B45" s="371">
        <f>$B$5</f>
        <v>2015</v>
      </c>
      <c r="C45" s="371"/>
      <c r="D45" s="371"/>
      <c r="E45" s="371"/>
      <c r="F45" s="320"/>
      <c r="G45" s="371">
        <f>$G$5</f>
        <v>2019</v>
      </c>
      <c r="H45" s="371"/>
      <c r="I45" s="371"/>
      <c r="J45" s="371"/>
      <c r="K45" s="320"/>
      <c r="L45" s="371">
        <f>$L$5</f>
        <v>2020</v>
      </c>
      <c r="M45" s="371"/>
      <c r="N45" s="371"/>
      <c r="O45" s="371"/>
      <c r="P45" s="318"/>
      <c r="Q45" s="371">
        <f>$Q$5</f>
        <v>2025</v>
      </c>
      <c r="R45" s="371"/>
      <c r="S45" s="371"/>
      <c r="T45" s="371"/>
      <c r="U45" s="320"/>
      <c r="V45" s="371">
        <f>$V$5</f>
        <v>2035</v>
      </c>
      <c r="W45" s="371"/>
      <c r="X45" s="371"/>
      <c r="Y45" s="371"/>
    </row>
    <row r="46" spans="1:25" x14ac:dyDescent="0.2">
      <c r="A46" s="264"/>
      <c r="B46" s="268" t="str">
        <f>$B$6</f>
        <v>FT</v>
      </c>
      <c r="C46" s="268" t="str">
        <f>$C$6</f>
        <v>PT</v>
      </c>
      <c r="D46" s="268" t="str">
        <f>$D$6</f>
        <v>SE</v>
      </c>
      <c r="E46" s="268" t="str">
        <f>$E$6</f>
        <v>Total</v>
      </c>
      <c r="F46" s="268"/>
      <c r="G46" s="268" t="str">
        <f>$B$6</f>
        <v>FT</v>
      </c>
      <c r="H46" s="268" t="str">
        <f>$C$6</f>
        <v>PT</v>
      </c>
      <c r="I46" s="268" t="str">
        <f>$D$6</f>
        <v>SE</v>
      </c>
      <c r="J46" s="268" t="str">
        <f>$E$6</f>
        <v>Total</v>
      </c>
      <c r="K46" s="268"/>
      <c r="L46" s="268" t="str">
        <f>$L$6</f>
        <v>FT</v>
      </c>
      <c r="M46" s="268" t="str">
        <f>$M$6</f>
        <v>PT</v>
      </c>
      <c r="N46" s="268" t="str">
        <f>$N$6</f>
        <v>SE</v>
      </c>
      <c r="O46" s="268" t="str">
        <f>$O$6</f>
        <v>Total</v>
      </c>
      <c r="P46" s="268"/>
      <c r="Q46" s="268" t="str">
        <f>$L$6</f>
        <v>FT</v>
      </c>
      <c r="R46" s="268" t="str">
        <f>$M$6</f>
        <v>PT</v>
      </c>
      <c r="S46" s="268" t="str">
        <f>$N$6</f>
        <v>SE</v>
      </c>
      <c r="T46" s="268" t="str">
        <f>$O$6</f>
        <v>Total</v>
      </c>
      <c r="U46" s="268"/>
      <c r="V46" s="268" t="str">
        <f>$V$6</f>
        <v>FT</v>
      </c>
      <c r="W46" s="268" t="str">
        <f>$W$6</f>
        <v>PT</v>
      </c>
      <c r="X46" s="268" t="str">
        <f>$X$6</f>
        <v>SE</v>
      </c>
      <c r="Y46" s="268" t="str">
        <f>$Y$6</f>
        <v>Total</v>
      </c>
    </row>
    <row r="47" spans="1:25" x14ac:dyDescent="0.2">
      <c r="C47" s="319"/>
      <c r="D47" s="319"/>
      <c r="E47" s="319"/>
      <c r="F47" s="319"/>
      <c r="G47" s="319"/>
      <c r="H47" s="319"/>
      <c r="I47" s="319"/>
      <c r="J47" s="319"/>
      <c r="K47" s="319"/>
      <c r="L47" s="319"/>
      <c r="M47" s="319"/>
      <c r="N47" s="319"/>
      <c r="O47" s="319"/>
      <c r="P47" s="319"/>
      <c r="Q47" s="319"/>
      <c r="R47" s="319"/>
      <c r="S47" s="319"/>
      <c r="T47" s="319"/>
      <c r="U47" s="319"/>
      <c r="V47" s="319"/>
      <c r="W47" s="319"/>
      <c r="X47" s="319"/>
      <c r="Y47" s="319"/>
    </row>
    <row r="48" spans="1:25" x14ac:dyDescent="0.2">
      <c r="A48" s="261" t="str">
        <f>name!A19</f>
        <v>Computer, etc</v>
      </c>
      <c r="C48" s="263"/>
    </row>
    <row r="49" spans="1:25" x14ac:dyDescent="0.2">
      <c r="A49" s="260" t="s">
        <v>356</v>
      </c>
      <c r="B49" s="300">
        <v>0.90699999999360692</v>
      </c>
      <c r="C49" s="300">
        <v>7.0000000001439258E-2</v>
      </c>
      <c r="D49" s="300">
        <v>1.7000000000390342E-2</v>
      </c>
      <c r="E49" s="300">
        <f>SUM(B49:D49)</f>
        <v>0.99399999999543653</v>
      </c>
      <c r="F49" s="300"/>
      <c r="G49" s="300">
        <v>0.7199999999893395</v>
      </c>
      <c r="H49" s="300">
        <v>0.1820000000001474</v>
      </c>
      <c r="I49" s="300">
        <v>1.0000000000100759E-3</v>
      </c>
      <c r="J49" s="300">
        <f>SUM(G49:I49)</f>
        <v>0.90299999998949698</v>
      </c>
      <c r="K49" s="300"/>
      <c r="L49" s="300">
        <v>0.86599999999154054</v>
      </c>
      <c r="M49" s="300">
        <v>0.12000000000058349</v>
      </c>
      <c r="N49" s="300">
        <v>1.8999999999564542E-2</v>
      </c>
      <c r="O49" s="300">
        <f>SUM(L49:N49)</f>
        <v>1.0049999999916885</v>
      </c>
      <c r="P49" s="300"/>
      <c r="Q49" s="300">
        <v>1.1240000000263661</v>
      </c>
      <c r="R49" s="300">
        <v>0.1640000000097307</v>
      </c>
      <c r="S49" s="300">
        <v>2.6000000000436799E-2</v>
      </c>
      <c r="T49" s="300">
        <f>SUM(Q49:S49)</f>
        <v>1.3140000000365335</v>
      </c>
      <c r="U49" s="300"/>
      <c r="V49" s="300">
        <v>1.1679999999997435</v>
      </c>
      <c r="W49" s="300">
        <v>0.18399999999960379</v>
      </c>
      <c r="X49" s="300">
        <v>3.0999999999804868E-2</v>
      </c>
      <c r="Y49" s="300">
        <f>SUM(V49:X49)</f>
        <v>1.3829999999991522</v>
      </c>
    </row>
    <row r="50" spans="1:25" x14ac:dyDescent="0.2">
      <c r="A50" s="260" t="s">
        <v>355</v>
      </c>
      <c r="B50" s="300">
        <v>1.7759999999925742</v>
      </c>
      <c r="C50" s="300">
        <v>5.1000000000087781E-2</v>
      </c>
      <c r="D50" s="300">
        <v>3.8000000000317571E-2</v>
      </c>
      <c r="E50" s="300">
        <f t="shared" ref="E50:E51" si="83">SUM(B50:D50)</f>
        <v>1.8649999999929796</v>
      </c>
      <c r="F50" s="300"/>
      <c r="G50" s="300">
        <v>1.3609999999971856</v>
      </c>
      <c r="H50" s="300">
        <v>7.3999999999841776E-2</v>
      </c>
      <c r="I50" s="300">
        <v>4.300000000022014E-2</v>
      </c>
      <c r="J50" s="300">
        <f t="shared" ref="J50:J51" si="84">SUM(G50:I50)</f>
        <v>1.4779999999972475</v>
      </c>
      <c r="K50" s="300"/>
      <c r="L50" s="300">
        <v>1.4399999999973654</v>
      </c>
      <c r="M50" s="300">
        <v>6.9000000000137049E-2</v>
      </c>
      <c r="N50" s="300">
        <v>1.0000000000025249E-3</v>
      </c>
      <c r="O50" s="300">
        <f t="shared" ref="O50:O51" si="85">SUM(L50:N50)</f>
        <v>1.5099999999975049</v>
      </c>
      <c r="P50" s="300"/>
      <c r="Q50" s="300">
        <v>2.0149999999994761</v>
      </c>
      <c r="R50" s="300">
        <v>9.9000000000009206E-2</v>
      </c>
      <c r="S50" s="300">
        <v>1.0000000000029514E-3</v>
      </c>
      <c r="T50" s="300">
        <f t="shared" ref="T50:T51" si="86">SUM(Q50:S50)</f>
        <v>2.1149999999994882</v>
      </c>
      <c r="U50" s="300"/>
      <c r="V50" s="300">
        <v>2.4139999999936101</v>
      </c>
      <c r="W50" s="300">
        <v>0.12200000000016746</v>
      </c>
      <c r="X50" s="300">
        <v>1.0000000000018828E-3</v>
      </c>
      <c r="Y50" s="300">
        <f t="shared" ref="Y50:Y51" si="87">SUM(V50:X50)</f>
        <v>2.5369999999937791</v>
      </c>
    </row>
    <row r="51" spans="1:25" x14ac:dyDescent="0.2">
      <c r="A51" s="260" t="s">
        <v>354</v>
      </c>
      <c r="B51" s="300">
        <f>SUM(B49:B50)</f>
        <v>2.6829999999861811</v>
      </c>
      <c r="C51" s="300">
        <f t="shared" ref="C51" si="88">SUM(C49:C50)</f>
        <v>0.12100000000152704</v>
      </c>
      <c r="D51" s="300">
        <f t="shared" ref="D51" si="89">SUM(D49:D50)</f>
        <v>5.5000000000707913E-2</v>
      </c>
      <c r="E51" s="300">
        <f t="shared" si="83"/>
        <v>2.8589999999884164</v>
      </c>
      <c r="F51" s="300"/>
      <c r="G51" s="300">
        <f>SUM(G49:G50)</f>
        <v>2.080999999986525</v>
      </c>
      <c r="H51" s="300">
        <f t="shared" ref="H51" si="90">SUM(H49:H50)</f>
        <v>0.25599999999998918</v>
      </c>
      <c r="I51" s="300">
        <f t="shared" ref="I51" si="91">SUM(I49:I50)</f>
        <v>4.4000000000230216E-2</v>
      </c>
      <c r="J51" s="300">
        <f t="shared" si="84"/>
        <v>2.3809999999867442</v>
      </c>
      <c r="K51" s="300"/>
      <c r="L51" s="300">
        <f>SUM(L49:L50)</f>
        <v>2.3059999999889058</v>
      </c>
      <c r="M51" s="300">
        <f t="shared" ref="M51" si="92">SUM(M49:M50)</f>
        <v>0.18900000000072054</v>
      </c>
      <c r="N51" s="300">
        <f t="shared" ref="N51" si="93">SUM(N49:N50)</f>
        <v>1.9999999999567065E-2</v>
      </c>
      <c r="O51" s="300">
        <f t="shared" si="85"/>
        <v>2.5149999999891932</v>
      </c>
      <c r="P51" s="300"/>
      <c r="Q51" s="300">
        <f>SUM(Q49:Q50)</f>
        <v>3.1390000000258422</v>
      </c>
      <c r="R51" s="300">
        <f t="shared" ref="R51" si="94">SUM(R49:R50)</f>
        <v>0.26300000000973989</v>
      </c>
      <c r="S51" s="300">
        <f t="shared" ref="S51" si="95">SUM(S49:S50)</f>
        <v>2.7000000000439749E-2</v>
      </c>
      <c r="T51" s="300">
        <f t="shared" si="86"/>
        <v>3.4290000000360221</v>
      </c>
      <c r="U51" s="300"/>
      <c r="V51" s="300">
        <f>SUM(V49:V50)</f>
        <v>3.5819999999933536</v>
      </c>
      <c r="W51" s="300">
        <f t="shared" ref="W51" si="96">SUM(W49:W50)</f>
        <v>0.30599999999977123</v>
      </c>
      <c r="X51" s="300">
        <f t="shared" ref="X51" si="97">SUM(X49:X50)</f>
        <v>3.1999999999806752E-2</v>
      </c>
      <c r="Y51" s="300">
        <f t="shared" si="87"/>
        <v>3.9199999999929318</v>
      </c>
    </row>
    <row r="52" spans="1:25" x14ac:dyDescent="0.2">
      <c r="C52" s="319"/>
      <c r="D52" s="319"/>
      <c r="E52" s="319"/>
      <c r="F52" s="319"/>
      <c r="G52" s="319"/>
      <c r="H52" s="319"/>
      <c r="I52" s="319"/>
      <c r="J52" s="319"/>
      <c r="K52" s="319"/>
      <c r="L52" s="319"/>
      <c r="M52" s="319"/>
      <c r="N52" s="319"/>
      <c r="O52" s="319"/>
      <c r="P52" s="319"/>
      <c r="Q52" s="319"/>
      <c r="R52" s="319"/>
      <c r="S52" s="319"/>
      <c r="T52" s="319"/>
      <c r="U52" s="319"/>
      <c r="V52" s="319"/>
      <c r="W52" s="319"/>
      <c r="X52" s="319"/>
      <c r="Y52" s="319"/>
    </row>
    <row r="53" spans="1:25" x14ac:dyDescent="0.2">
      <c r="A53" s="261" t="str">
        <f>name!A20</f>
        <v>Electrical equipment</v>
      </c>
      <c r="C53" s="263"/>
    </row>
    <row r="54" spans="1:25" x14ac:dyDescent="0.2">
      <c r="A54" s="260" t="s">
        <v>356</v>
      </c>
      <c r="B54" s="300">
        <v>1.2959999999930127</v>
      </c>
      <c r="C54" s="300">
        <v>9.3000000000968239E-2</v>
      </c>
      <c r="D54" s="300">
        <v>3.0000000000433055E-2</v>
      </c>
      <c r="E54" s="300">
        <f>SUM(B54:D54)</f>
        <v>1.4189999999944141</v>
      </c>
      <c r="F54" s="300"/>
      <c r="G54" s="300">
        <v>0.93799999998201244</v>
      </c>
      <c r="H54" s="300">
        <v>0.11999999999955294</v>
      </c>
      <c r="I54" s="300">
        <v>1.0000000000080838E-3</v>
      </c>
      <c r="J54" s="300">
        <f>SUM(G54:I54)</f>
        <v>1.0589999999815736</v>
      </c>
      <c r="K54" s="300"/>
      <c r="L54" s="300">
        <v>0.79799999998960092</v>
      </c>
      <c r="M54" s="300">
        <v>5.999999999986156E-2</v>
      </c>
      <c r="N54" s="300">
        <v>8.5999999998786852E-2</v>
      </c>
      <c r="O54" s="300">
        <f>SUM(L54:N54)</f>
        <v>0.94399999998824935</v>
      </c>
      <c r="P54" s="300"/>
      <c r="Q54" s="300">
        <v>0.79300000002603299</v>
      </c>
      <c r="R54" s="300">
        <v>6.2000000002242359E-2</v>
      </c>
      <c r="S54" s="300">
        <v>8.6000000000424598E-2</v>
      </c>
      <c r="T54" s="300">
        <f>SUM(Q54:S54)</f>
        <v>0.94100000002869999</v>
      </c>
      <c r="U54" s="300"/>
      <c r="V54" s="300">
        <v>0.75999999999945156</v>
      </c>
      <c r="W54" s="300">
        <v>6.1999999999848017E-2</v>
      </c>
      <c r="X54" s="300">
        <v>8.1999999999910325E-2</v>
      </c>
      <c r="Y54" s="300">
        <f>SUM(V54:X54)</f>
        <v>0.90399999999920999</v>
      </c>
    </row>
    <row r="55" spans="1:25" x14ac:dyDescent="0.2">
      <c r="A55" s="260" t="s">
        <v>355</v>
      </c>
      <c r="B55" s="300">
        <v>4.3729999999926363</v>
      </c>
      <c r="C55" s="300">
        <v>8.4000000000374359E-2</v>
      </c>
      <c r="D55" s="300">
        <v>3.5999999999852074E-2</v>
      </c>
      <c r="E55" s="300">
        <f t="shared" ref="E55:E56" si="98">SUM(B55:D55)</f>
        <v>4.4929999999928629</v>
      </c>
      <c r="F55" s="300"/>
      <c r="G55" s="300">
        <v>2.519999999997157</v>
      </c>
      <c r="H55" s="300">
        <v>6.7999999999989111E-2</v>
      </c>
      <c r="I55" s="300">
        <v>0.11400000000098415</v>
      </c>
      <c r="J55" s="300">
        <f t="shared" ref="J55:J56" si="99">SUM(G55:I55)</f>
        <v>2.7019999999981299</v>
      </c>
      <c r="K55" s="300"/>
      <c r="L55" s="300">
        <v>2.233999999997391</v>
      </c>
      <c r="M55" s="300">
        <v>7.4000000000117749E-2</v>
      </c>
      <c r="N55" s="300">
        <v>9.9999999999191773E-4</v>
      </c>
      <c r="O55" s="300">
        <f t="shared" ref="O55:O56" si="100">SUM(L55:N55)</f>
        <v>2.3089999999975004</v>
      </c>
      <c r="P55" s="300"/>
      <c r="Q55" s="300">
        <v>2.1129999999934239</v>
      </c>
      <c r="R55" s="300">
        <v>7.4999999999900868E-2</v>
      </c>
      <c r="S55" s="300">
        <v>9.9999999997005371E-4</v>
      </c>
      <c r="T55" s="300">
        <f t="shared" ref="T55:T56" si="101">SUM(Q55:S55)</f>
        <v>2.1889999999932948</v>
      </c>
      <c r="U55" s="300"/>
      <c r="V55" s="300">
        <v>1.8369999999902644</v>
      </c>
      <c r="W55" s="300">
        <v>7.4000000000021035E-2</v>
      </c>
      <c r="X55" s="300">
        <v>9.9999999997628874E-4</v>
      </c>
      <c r="Y55" s="300">
        <f t="shared" ref="Y55:Y56" si="102">SUM(V55:X55)</f>
        <v>1.9119999999902617</v>
      </c>
    </row>
    <row r="56" spans="1:25" x14ac:dyDescent="0.2">
      <c r="A56" s="260" t="s">
        <v>354</v>
      </c>
      <c r="B56" s="300">
        <f>SUM(B54:B55)</f>
        <v>5.6689999999856493</v>
      </c>
      <c r="C56" s="300">
        <f t="shared" ref="C56" si="103">SUM(C54:C55)</f>
        <v>0.17700000000134258</v>
      </c>
      <c r="D56" s="300">
        <f t="shared" ref="D56" si="104">SUM(D54:D55)</f>
        <v>6.6000000000285136E-2</v>
      </c>
      <c r="E56" s="300">
        <f t="shared" si="98"/>
        <v>5.9119999999872768</v>
      </c>
      <c r="F56" s="300"/>
      <c r="G56" s="300">
        <f>SUM(G54:G55)</f>
        <v>3.4579999999791693</v>
      </c>
      <c r="H56" s="300">
        <f t="shared" ref="H56" si="105">SUM(H54:H55)</f>
        <v>0.18799999999954203</v>
      </c>
      <c r="I56" s="300">
        <f t="shared" ref="I56" si="106">SUM(I54:I55)</f>
        <v>0.11500000000099223</v>
      </c>
      <c r="J56" s="300">
        <f t="shared" si="99"/>
        <v>3.7609999999797035</v>
      </c>
      <c r="K56" s="300"/>
      <c r="L56" s="300">
        <f>SUM(L54:L55)</f>
        <v>3.0319999999869918</v>
      </c>
      <c r="M56" s="300">
        <f t="shared" ref="M56" si="107">SUM(M54:M55)</f>
        <v>0.1339999999999793</v>
      </c>
      <c r="N56" s="300">
        <f t="shared" ref="N56" si="108">SUM(N54:N55)</f>
        <v>8.6999999998778776E-2</v>
      </c>
      <c r="O56" s="300">
        <f t="shared" si="100"/>
        <v>3.2529999999857502</v>
      </c>
      <c r="P56" s="300"/>
      <c r="Q56" s="300">
        <f>SUM(Q54:Q55)</f>
        <v>2.906000000019457</v>
      </c>
      <c r="R56" s="300">
        <f t="shared" ref="R56" si="109">SUM(R54:R55)</f>
        <v>0.13700000000214324</v>
      </c>
      <c r="S56" s="300">
        <f t="shared" ref="S56" si="110">SUM(S54:S55)</f>
        <v>8.7000000000394651E-2</v>
      </c>
      <c r="T56" s="300">
        <f t="shared" si="101"/>
        <v>3.1300000000219947</v>
      </c>
      <c r="U56" s="300"/>
      <c r="V56" s="300">
        <f>SUM(V54:V55)</f>
        <v>2.5969999999897162</v>
      </c>
      <c r="W56" s="300">
        <f t="shared" ref="W56" si="111">SUM(W54:W55)</f>
        <v>0.13599999999986906</v>
      </c>
      <c r="X56" s="300">
        <f t="shared" ref="X56" si="112">SUM(X54:X55)</f>
        <v>8.2999999999886609E-2</v>
      </c>
      <c r="Y56" s="300">
        <f t="shared" si="102"/>
        <v>2.8159999999894718</v>
      </c>
    </row>
    <row r="57" spans="1:25" x14ac:dyDescent="0.2">
      <c r="C57" s="319"/>
      <c r="D57" s="319"/>
      <c r="E57" s="319"/>
      <c r="F57" s="319"/>
      <c r="G57" s="319"/>
      <c r="H57" s="319"/>
      <c r="I57" s="319"/>
      <c r="J57" s="319"/>
      <c r="K57" s="319"/>
      <c r="L57" s="319"/>
      <c r="M57" s="319"/>
      <c r="N57" s="319"/>
      <c r="O57" s="319"/>
      <c r="P57" s="319"/>
      <c r="Q57" s="319"/>
      <c r="R57" s="319"/>
      <c r="S57" s="319"/>
      <c r="T57" s="319"/>
      <c r="U57" s="319"/>
      <c r="V57" s="319"/>
      <c r="W57" s="319"/>
      <c r="X57" s="319"/>
      <c r="Y57" s="319"/>
    </row>
    <row r="58" spans="1:25" x14ac:dyDescent="0.2">
      <c r="A58" s="261" t="str">
        <f>name!A21</f>
        <v>Machinery n.e.c.</v>
      </c>
      <c r="C58" s="263"/>
    </row>
    <row r="59" spans="1:25" x14ac:dyDescent="0.2">
      <c r="A59" s="260" t="s">
        <v>356</v>
      </c>
      <c r="B59" s="300">
        <v>1.4469999999924434</v>
      </c>
      <c r="C59" s="300">
        <v>9.2000000000889065E-2</v>
      </c>
      <c r="D59" s="300">
        <v>6.2000000000813807E-2</v>
      </c>
      <c r="E59" s="300">
        <f>SUM(B59:D59)</f>
        <v>1.6009999999941464</v>
      </c>
      <c r="F59" s="300"/>
      <c r="G59" s="300">
        <v>1.8649999999663798</v>
      </c>
      <c r="H59" s="300">
        <v>0.2259999999989864</v>
      </c>
      <c r="I59" s="300">
        <v>1.0000000000077117E-3</v>
      </c>
      <c r="J59" s="300">
        <f>SUM(G59:I59)</f>
        <v>2.091999999965374</v>
      </c>
      <c r="K59" s="300"/>
      <c r="L59" s="300">
        <v>1.8569999999772442</v>
      </c>
      <c r="M59" s="300">
        <v>0.19499999999943354</v>
      </c>
      <c r="N59" s="300">
        <v>7.299999999902046E-2</v>
      </c>
      <c r="O59" s="300">
        <f>SUM(L59:N59)</f>
        <v>2.1249999999756981</v>
      </c>
      <c r="P59" s="300"/>
      <c r="Q59" s="300">
        <v>1.7960000000577683</v>
      </c>
      <c r="R59" s="300">
        <v>0.18800000000677991</v>
      </c>
      <c r="S59" s="300">
        <v>7.3000000000353463E-2</v>
      </c>
      <c r="T59" s="300">
        <f>SUM(Q59:S59)</f>
        <v>2.0570000000649018</v>
      </c>
      <c r="U59" s="300"/>
      <c r="V59" s="300">
        <v>1.5039999999990801</v>
      </c>
      <c r="W59" s="300">
        <v>0.15799999999964384</v>
      </c>
      <c r="X59" s="300">
        <v>6.4999999999918789E-2</v>
      </c>
      <c r="Y59" s="300">
        <f>SUM(V59:X59)</f>
        <v>1.7269999999986427</v>
      </c>
    </row>
    <row r="60" spans="1:25" x14ac:dyDescent="0.2">
      <c r="A60" s="260" t="s">
        <v>355</v>
      </c>
      <c r="B60" s="300">
        <v>9.5529999999816351</v>
      </c>
      <c r="C60" s="300">
        <v>5.8000000000109242E-2</v>
      </c>
      <c r="D60" s="300">
        <v>0.2199999999995309</v>
      </c>
      <c r="E60" s="300">
        <f t="shared" ref="E60:E61" si="113">SUM(B60:D60)</f>
        <v>9.8309999999812767</v>
      </c>
      <c r="F60" s="300"/>
      <c r="G60" s="300">
        <v>9.1469999999882177</v>
      </c>
      <c r="H60" s="300">
        <v>9.4999999999747051E-2</v>
      </c>
      <c r="I60" s="300">
        <v>0.35100000000433751</v>
      </c>
      <c r="J60" s="300">
        <f t="shared" ref="J60:J61" si="114">SUM(G60:I60)</f>
        <v>9.5929999999923012</v>
      </c>
      <c r="K60" s="300"/>
      <c r="L60" s="300">
        <v>8.7089999999883556</v>
      </c>
      <c r="M60" s="300">
        <v>7.700000000020038E-2</v>
      </c>
      <c r="N60" s="300">
        <v>9.9999999999358198E-4</v>
      </c>
      <c r="O60" s="300">
        <f t="shared" ref="O60:O61" si="115">SUM(L60:N60)</f>
        <v>8.7869999999885504</v>
      </c>
      <c r="P60" s="300"/>
      <c r="Q60" s="300">
        <v>8.5229999999736901</v>
      </c>
      <c r="R60" s="300">
        <v>7.7999999999977462E-2</v>
      </c>
      <c r="S60" s="300">
        <v>9.9999999996813619E-4</v>
      </c>
      <c r="T60" s="300">
        <f t="shared" ref="T60:T61" si="116">SUM(Q60:S60)</f>
        <v>8.6019999999736356</v>
      </c>
      <c r="U60" s="300"/>
      <c r="V60" s="300">
        <v>7.3099999999609171</v>
      </c>
      <c r="W60" s="300">
        <v>7.2000000000068759E-2</v>
      </c>
      <c r="X60" s="300">
        <v>9.9999999997499246E-4</v>
      </c>
      <c r="Y60" s="300">
        <f t="shared" ref="Y60:Y61" si="117">SUM(V60:X60)</f>
        <v>7.3829999999609601</v>
      </c>
    </row>
    <row r="61" spans="1:25" x14ac:dyDescent="0.2">
      <c r="A61" s="260" t="s">
        <v>354</v>
      </c>
      <c r="B61" s="300">
        <f>SUM(B59:B60)</f>
        <v>10.999999999974079</v>
      </c>
      <c r="C61" s="300">
        <f t="shared" ref="C61" si="118">SUM(C59:C60)</f>
        <v>0.15000000000099831</v>
      </c>
      <c r="D61" s="300">
        <f t="shared" ref="D61" si="119">SUM(D59:D60)</f>
        <v>0.2820000000003447</v>
      </c>
      <c r="E61" s="300">
        <f t="shared" si="113"/>
        <v>11.431999999975423</v>
      </c>
      <c r="F61" s="300"/>
      <c r="G61" s="300">
        <f>SUM(G59:G60)</f>
        <v>11.011999999954597</v>
      </c>
      <c r="H61" s="300">
        <f t="shared" ref="H61" si="120">SUM(H59:H60)</f>
        <v>0.32099999999873347</v>
      </c>
      <c r="I61" s="300">
        <f t="shared" ref="I61" si="121">SUM(I59:I60)</f>
        <v>0.35200000000434523</v>
      </c>
      <c r="J61" s="300">
        <f t="shared" si="114"/>
        <v>11.684999999957675</v>
      </c>
      <c r="K61" s="300"/>
      <c r="L61" s="300">
        <f>SUM(L59:L60)</f>
        <v>10.5659999999656</v>
      </c>
      <c r="M61" s="300">
        <f t="shared" ref="M61" si="122">SUM(M59:M60)</f>
        <v>0.27199999999963392</v>
      </c>
      <c r="N61" s="300">
        <f t="shared" ref="N61" si="123">SUM(N59:N60)</f>
        <v>7.3999999999014035E-2</v>
      </c>
      <c r="O61" s="300">
        <f t="shared" si="115"/>
        <v>10.911999999964248</v>
      </c>
      <c r="P61" s="300"/>
      <c r="Q61" s="300">
        <f>SUM(Q59:Q60)</f>
        <v>10.319000000031458</v>
      </c>
      <c r="R61" s="300">
        <f t="shared" ref="R61" si="124">SUM(R59:R60)</f>
        <v>0.26600000000675739</v>
      </c>
      <c r="S61" s="300">
        <f t="shared" ref="S61" si="125">SUM(S59:S60)</f>
        <v>7.40000000003216E-2</v>
      </c>
      <c r="T61" s="300">
        <f t="shared" si="116"/>
        <v>10.659000000038537</v>
      </c>
      <c r="U61" s="300"/>
      <c r="V61" s="300">
        <f>SUM(V59:V60)</f>
        <v>8.8139999999599965</v>
      </c>
      <c r="W61" s="300">
        <f t="shared" ref="W61" si="126">SUM(W59:W60)</f>
        <v>0.2299999999997126</v>
      </c>
      <c r="X61" s="300">
        <f t="shared" ref="X61" si="127">SUM(X59:X60)</f>
        <v>6.5999999999893783E-2</v>
      </c>
      <c r="Y61" s="300">
        <f t="shared" si="117"/>
        <v>9.1099999999596033</v>
      </c>
    </row>
    <row r="62" spans="1:25" x14ac:dyDescent="0.2">
      <c r="C62" s="263"/>
    </row>
    <row r="63" spans="1:25" x14ac:dyDescent="0.2">
      <c r="A63" s="261" t="s">
        <v>371</v>
      </c>
    </row>
    <row r="64" spans="1:25" x14ac:dyDescent="0.2">
      <c r="A64" s="260" t="s">
        <v>356</v>
      </c>
      <c r="B64" s="300">
        <f>SUM(B49,B54,B59)</f>
        <v>3.6499999999790633</v>
      </c>
      <c r="C64" s="300">
        <f t="shared" ref="C64:D65" si="128">SUM(C49,C54,C59)</f>
        <v>0.25500000000329659</v>
      </c>
      <c r="D64" s="300">
        <f t="shared" si="128"/>
        <v>0.1090000000016372</v>
      </c>
      <c r="E64" s="300">
        <f>SUM(B64:D64)</f>
        <v>4.013999999983997</v>
      </c>
      <c r="F64" s="300"/>
      <c r="G64" s="300">
        <f>SUM(G49,G54,G59)</f>
        <v>3.5229999999377317</v>
      </c>
      <c r="H64" s="300">
        <f t="shared" ref="H64:I64" si="129">SUM(H49,H54,H59)</f>
        <v>0.52799999999868674</v>
      </c>
      <c r="I64" s="300">
        <f t="shared" si="129"/>
        <v>3.0000000000258717E-3</v>
      </c>
      <c r="J64" s="300">
        <f>SUM(G64:I64)</f>
        <v>4.053999999936444</v>
      </c>
      <c r="K64" s="300"/>
      <c r="L64" s="300">
        <f>SUM(L49,L54,L59)</f>
        <v>3.5209999999583856</v>
      </c>
      <c r="M64" s="300">
        <f t="shared" ref="M64:N64" si="130">SUM(M49,M54,M59)</f>
        <v>0.3749999999998786</v>
      </c>
      <c r="N64" s="300">
        <f t="shared" si="130"/>
        <v>0.17799999999737187</v>
      </c>
      <c r="O64" s="300">
        <f>SUM(L64:N64)</f>
        <v>4.0739999999556362</v>
      </c>
      <c r="P64" s="300"/>
      <c r="Q64" s="300">
        <f>SUM(Q49,Q54,Q59)</f>
        <v>3.7130000001101675</v>
      </c>
      <c r="R64" s="300">
        <f t="shared" ref="R64:S64" si="131">SUM(R49,R54,R59)</f>
        <v>0.41400000001875298</v>
      </c>
      <c r="S64" s="300">
        <f t="shared" si="131"/>
        <v>0.18500000000121486</v>
      </c>
      <c r="T64" s="300">
        <f>SUM(Q64:S64)</f>
        <v>4.3120000001301353</v>
      </c>
      <c r="U64" s="300"/>
      <c r="V64" s="300">
        <f>SUM(V49,V54,V59)</f>
        <v>3.4319999999982751</v>
      </c>
      <c r="W64" s="300">
        <f t="shared" ref="W64:X64" si="132">SUM(W49,W54,W59)</f>
        <v>0.40399999999909564</v>
      </c>
      <c r="X64" s="300">
        <f t="shared" si="132"/>
        <v>0.17799999999963398</v>
      </c>
      <c r="Y64" s="300">
        <f>SUM(V64:X64)</f>
        <v>4.0139999999970044</v>
      </c>
    </row>
    <row r="65" spans="1:25" x14ac:dyDescent="0.2">
      <c r="A65" s="260" t="s">
        <v>355</v>
      </c>
      <c r="B65" s="300">
        <f>SUM(B50,B55,B60)</f>
        <v>15.701999999966846</v>
      </c>
      <c r="C65" s="300">
        <f t="shared" si="128"/>
        <v>0.19300000000057138</v>
      </c>
      <c r="D65" s="300">
        <f t="shared" si="128"/>
        <v>0.29399999999970056</v>
      </c>
      <c r="E65" s="300">
        <f t="shared" ref="E65:E66" si="133">SUM(B65:D65)</f>
        <v>16.18899999996712</v>
      </c>
      <c r="F65" s="300"/>
      <c r="G65" s="300">
        <f>SUM(G50,G55,G60)</f>
        <v>13.02799999998256</v>
      </c>
      <c r="H65" s="300">
        <f t="shared" ref="H65:I65" si="134">SUM(H50,H55,H60)</f>
        <v>0.23699999999957794</v>
      </c>
      <c r="I65" s="300">
        <f t="shared" si="134"/>
        <v>0.5080000000055418</v>
      </c>
      <c r="J65" s="300">
        <f t="shared" ref="J65:J66" si="135">SUM(G65:I65)</f>
        <v>13.772999999987679</v>
      </c>
      <c r="K65" s="300"/>
      <c r="L65" s="300">
        <f>SUM(L50,L55,L60)</f>
        <v>12.382999999983113</v>
      </c>
      <c r="M65" s="300">
        <f t="shared" ref="M65:N65" si="136">SUM(M50,M55,M60)</f>
        <v>0.22000000000045519</v>
      </c>
      <c r="N65" s="300">
        <f t="shared" si="136"/>
        <v>2.9999999999880248E-3</v>
      </c>
      <c r="O65" s="300">
        <f t="shared" ref="O65:O66" si="137">SUM(L65:N65)</f>
        <v>12.605999999983556</v>
      </c>
      <c r="P65" s="300"/>
      <c r="Q65" s="300">
        <f>SUM(Q50,Q55,Q60)</f>
        <v>12.65099999996659</v>
      </c>
      <c r="R65" s="300">
        <f t="shared" ref="R65:S65" si="138">SUM(R50,R55,R60)</f>
        <v>0.25199999999988754</v>
      </c>
      <c r="S65" s="300">
        <f t="shared" si="138"/>
        <v>2.9999999999411413E-3</v>
      </c>
      <c r="T65" s="300">
        <f t="shared" ref="T65:T66" si="139">SUM(Q65:S65)</f>
        <v>12.905999999966419</v>
      </c>
      <c r="U65" s="300"/>
      <c r="V65" s="300">
        <f>SUM(V50,V55,V60)</f>
        <v>11.560999999944791</v>
      </c>
      <c r="W65" s="300">
        <f t="shared" ref="W65:X65" si="140">SUM(W50,W55,W60)</f>
        <v>0.26800000000025725</v>
      </c>
      <c r="X65" s="300">
        <f t="shared" si="140"/>
        <v>2.9999999999531643E-3</v>
      </c>
      <c r="Y65" s="300">
        <f t="shared" ref="Y65:Y66" si="141">SUM(V65:X65)</f>
        <v>11.831999999945001</v>
      </c>
    </row>
    <row r="66" spans="1:25" x14ac:dyDescent="0.2">
      <c r="A66" s="264" t="s">
        <v>354</v>
      </c>
      <c r="B66" s="301">
        <f>SUM(B64:B65)</f>
        <v>19.35199999994591</v>
      </c>
      <c r="C66" s="301">
        <f t="shared" ref="C66" si="142">SUM(C64:C65)</f>
        <v>0.44800000000386797</v>
      </c>
      <c r="D66" s="301">
        <f t="shared" ref="D66" si="143">SUM(D64:D65)</f>
        <v>0.40300000000133773</v>
      </c>
      <c r="E66" s="301">
        <f t="shared" si="133"/>
        <v>20.202999999951118</v>
      </c>
      <c r="F66" s="301"/>
      <c r="G66" s="301">
        <f>SUM(G64:G65)</f>
        <v>16.550999999920293</v>
      </c>
      <c r="H66" s="301">
        <f t="shared" ref="H66" si="144">SUM(H64:H65)</f>
        <v>0.76499999999826462</v>
      </c>
      <c r="I66" s="301">
        <f t="shared" ref="I66" si="145">SUM(I64:I65)</f>
        <v>0.51100000000556767</v>
      </c>
      <c r="J66" s="301">
        <f t="shared" si="135"/>
        <v>17.826999999924123</v>
      </c>
      <c r="K66" s="301"/>
      <c r="L66" s="301">
        <f>SUM(L64:L65)</f>
        <v>15.903999999941499</v>
      </c>
      <c r="M66" s="301">
        <f t="shared" ref="M66" si="146">SUM(M64:M65)</f>
        <v>0.59500000000033382</v>
      </c>
      <c r="N66" s="301">
        <f t="shared" ref="N66" si="147">SUM(N64:N65)</f>
        <v>0.18099999999735988</v>
      </c>
      <c r="O66" s="301">
        <f t="shared" si="137"/>
        <v>16.679999999939195</v>
      </c>
      <c r="P66" s="301"/>
      <c r="Q66" s="301">
        <f>SUM(Q64:Q65)</f>
        <v>16.364000000076757</v>
      </c>
      <c r="R66" s="301">
        <f t="shared" ref="R66" si="148">SUM(R64:R65)</f>
        <v>0.66600000001864057</v>
      </c>
      <c r="S66" s="301">
        <f t="shared" ref="S66" si="149">SUM(S64:S65)</f>
        <v>0.18800000000115599</v>
      </c>
      <c r="T66" s="301">
        <f t="shared" si="139"/>
        <v>17.218000000096556</v>
      </c>
      <c r="U66" s="301"/>
      <c r="V66" s="301">
        <f>SUM(V64:V65)</f>
        <v>14.992999999943066</v>
      </c>
      <c r="W66" s="301">
        <f t="shared" ref="W66" si="150">SUM(W64:W65)</f>
        <v>0.67199999999935289</v>
      </c>
      <c r="X66" s="301">
        <f t="shared" ref="X66" si="151">SUM(X64:X65)</f>
        <v>0.18099999999958713</v>
      </c>
      <c r="Y66" s="301">
        <f t="shared" si="141"/>
        <v>15.845999999942006</v>
      </c>
    </row>
    <row r="67" spans="1:25" x14ac:dyDescent="0.2">
      <c r="C67" s="263"/>
    </row>
    <row r="68" spans="1:25" x14ac:dyDescent="0.2">
      <c r="C68" s="263"/>
    </row>
    <row r="69" spans="1:25" x14ac:dyDescent="0.2">
      <c r="A69" s="261"/>
    </row>
    <row r="70" spans="1:25" ht="15" x14ac:dyDescent="0.25">
      <c r="A70" s="265" t="str">
        <f>"Industry 5 : "&amp; name!B8</f>
        <v>Industry 5 : Rest of manufacturing</v>
      </c>
      <c r="B70" s="371">
        <f>$B$5</f>
        <v>2015</v>
      </c>
      <c r="C70" s="371"/>
      <c r="D70" s="371"/>
      <c r="E70" s="371"/>
      <c r="F70" s="320"/>
      <c r="G70" s="371">
        <f>$G$5</f>
        <v>2019</v>
      </c>
      <c r="H70" s="371"/>
      <c r="I70" s="371"/>
      <c r="J70" s="371"/>
      <c r="K70" s="320"/>
      <c r="L70" s="371">
        <f>$L$5</f>
        <v>2020</v>
      </c>
      <c r="M70" s="371"/>
      <c r="N70" s="371"/>
      <c r="O70" s="371"/>
      <c r="P70" s="318"/>
      <c r="Q70" s="371">
        <f>$Q$5</f>
        <v>2025</v>
      </c>
      <c r="R70" s="371"/>
      <c r="S70" s="371"/>
      <c r="T70" s="371"/>
      <c r="U70" s="320"/>
      <c r="V70" s="371">
        <f>$V$5</f>
        <v>2035</v>
      </c>
      <c r="W70" s="371"/>
      <c r="X70" s="371"/>
      <c r="Y70" s="371"/>
    </row>
    <row r="71" spans="1:25" x14ac:dyDescent="0.2">
      <c r="A71" s="264"/>
      <c r="B71" s="268" t="str">
        <f>$B$6</f>
        <v>FT</v>
      </c>
      <c r="C71" s="268" t="str">
        <f>$C$6</f>
        <v>PT</v>
      </c>
      <c r="D71" s="268" t="str">
        <f>$D$6</f>
        <v>SE</v>
      </c>
      <c r="E71" s="268" t="str">
        <f>$E$6</f>
        <v>Total</v>
      </c>
      <c r="F71" s="268"/>
      <c r="G71" s="268" t="str">
        <f>$B$6</f>
        <v>FT</v>
      </c>
      <c r="H71" s="268" t="str">
        <f>$C$6</f>
        <v>PT</v>
      </c>
      <c r="I71" s="268" t="str">
        <f>$D$6</f>
        <v>SE</v>
      </c>
      <c r="J71" s="268" t="str">
        <f>$E$6</f>
        <v>Total</v>
      </c>
      <c r="K71" s="268"/>
      <c r="L71" s="268" t="str">
        <f>$L$6</f>
        <v>FT</v>
      </c>
      <c r="M71" s="268" t="str">
        <f>$M$6</f>
        <v>PT</v>
      </c>
      <c r="N71" s="268" t="str">
        <f>$N$6</f>
        <v>SE</v>
      </c>
      <c r="O71" s="268" t="str">
        <f>$O$6</f>
        <v>Total</v>
      </c>
      <c r="P71" s="268"/>
      <c r="Q71" s="268" t="str">
        <f>$L$6</f>
        <v>FT</v>
      </c>
      <c r="R71" s="268" t="str">
        <f>$M$6</f>
        <v>PT</v>
      </c>
      <c r="S71" s="268" t="str">
        <f>$N$6</f>
        <v>SE</v>
      </c>
      <c r="T71" s="268" t="str">
        <f>$O$6</f>
        <v>Total</v>
      </c>
      <c r="U71" s="268"/>
      <c r="V71" s="268" t="str">
        <f>$V$6</f>
        <v>FT</v>
      </c>
      <c r="W71" s="268" t="str">
        <f>$W$6</f>
        <v>PT</v>
      </c>
      <c r="X71" s="268" t="str">
        <f>$X$6</f>
        <v>SE</v>
      </c>
      <c r="Y71" s="268" t="str">
        <f>$Y$6</f>
        <v>Total</v>
      </c>
    </row>
    <row r="72" spans="1:25" x14ac:dyDescent="0.2">
      <c r="C72" s="319"/>
      <c r="D72" s="319"/>
      <c r="E72" s="319"/>
      <c r="F72" s="319"/>
      <c r="G72" s="319"/>
      <c r="H72" s="319"/>
      <c r="I72" s="319"/>
      <c r="J72" s="319"/>
      <c r="K72" s="319"/>
      <c r="L72" s="319"/>
      <c r="M72" s="319"/>
      <c r="N72" s="319"/>
      <c r="O72" s="319"/>
      <c r="P72" s="319"/>
      <c r="Q72" s="319"/>
      <c r="R72" s="319"/>
      <c r="S72" s="319"/>
      <c r="T72" s="319"/>
      <c r="U72" s="319"/>
      <c r="V72" s="319"/>
      <c r="W72" s="319"/>
      <c r="X72" s="319"/>
      <c r="Y72" s="319"/>
    </row>
    <row r="73" spans="1:25" x14ac:dyDescent="0.2">
      <c r="A73" s="261" t="str">
        <f>name!A8</f>
        <v>Textiles</v>
      </c>
      <c r="C73" s="263"/>
    </row>
    <row r="74" spans="1:25" x14ac:dyDescent="0.2">
      <c r="A74" s="260" t="s">
        <v>356</v>
      </c>
      <c r="B74" s="300">
        <v>0.37899999999812206</v>
      </c>
      <c r="C74" s="300">
        <v>0.43300000000966443</v>
      </c>
      <c r="D74" s="300">
        <v>0.47800000000289788</v>
      </c>
      <c r="E74" s="300">
        <f>SUM(B74:D74)</f>
        <v>1.2900000000106844</v>
      </c>
      <c r="F74" s="300"/>
      <c r="G74" s="300">
        <v>0.35299999999245657</v>
      </c>
      <c r="H74" s="300">
        <v>8.9000000000578519E-2</v>
      </c>
      <c r="I74" s="300">
        <v>0</v>
      </c>
      <c r="J74" s="300">
        <f>SUM(G74:I74)</f>
        <v>0.44199999999303508</v>
      </c>
      <c r="K74" s="300"/>
      <c r="L74" s="300">
        <v>0.32999999999531615</v>
      </c>
      <c r="M74" s="300">
        <v>7.1000000000813426E-2</v>
      </c>
      <c r="N74" s="300">
        <v>0.32499999999931922</v>
      </c>
      <c r="O74" s="300">
        <f>SUM(L74:N74)</f>
        <v>0.72599999999544873</v>
      </c>
      <c r="P74" s="300"/>
      <c r="Q74" s="300">
        <v>0.29300000001028798</v>
      </c>
      <c r="R74" s="300">
        <v>6.1000000002856734E-2</v>
      </c>
      <c r="S74" s="300">
        <v>0.2829999999993158</v>
      </c>
      <c r="T74" s="300">
        <f>SUM(Q74:S74)</f>
        <v>0.63700000001246049</v>
      </c>
      <c r="U74" s="300"/>
      <c r="V74" s="300">
        <v>0.25400000000061113</v>
      </c>
      <c r="W74" s="300">
        <v>5.2000000000276873E-2</v>
      </c>
      <c r="X74" s="300">
        <v>0.23900000000270624</v>
      </c>
      <c r="Y74" s="300">
        <f>SUM(V74:X74)</f>
        <v>0.54500000000359428</v>
      </c>
    </row>
    <row r="75" spans="1:25" x14ac:dyDescent="0.2">
      <c r="A75" s="260" t="s">
        <v>355</v>
      </c>
      <c r="B75" s="300">
        <v>0.97600000000179232</v>
      </c>
      <c r="C75" s="300">
        <v>4.2000000000303593E-2</v>
      </c>
      <c r="D75" s="300">
        <v>0.16600000000199497</v>
      </c>
      <c r="E75" s="300">
        <f t="shared" ref="E75:E76" si="152">SUM(B75:D75)</f>
        <v>1.1840000000040909</v>
      </c>
      <c r="F75" s="300"/>
      <c r="G75" s="300">
        <v>0.50299999999992073</v>
      </c>
      <c r="H75" s="300">
        <v>6.0000000000227423E-3</v>
      </c>
      <c r="I75" s="300">
        <v>2.6000000000107135E-2</v>
      </c>
      <c r="J75" s="300">
        <f t="shared" ref="J75:J76" si="153">SUM(G75:I75)</f>
        <v>0.53500000000005066</v>
      </c>
      <c r="K75" s="300"/>
      <c r="L75" s="300">
        <v>0.52099999999980862</v>
      </c>
      <c r="M75" s="300">
        <v>1.1000000000040028E-2</v>
      </c>
      <c r="N75" s="300">
        <v>0</v>
      </c>
      <c r="O75" s="300">
        <f t="shared" ref="O75:O76" si="154">SUM(L75:N75)</f>
        <v>0.53199999999984859</v>
      </c>
      <c r="P75" s="300"/>
      <c r="Q75" s="300">
        <v>0.4659999999976332</v>
      </c>
      <c r="R75" s="300">
        <v>9.9999999999645095E-3</v>
      </c>
      <c r="S75" s="300">
        <v>0</v>
      </c>
      <c r="T75" s="300">
        <f t="shared" ref="T75:T76" si="155">SUM(Q75:S75)</f>
        <v>0.47599999999759768</v>
      </c>
      <c r="U75" s="300"/>
      <c r="V75" s="300">
        <v>0.39399999999741042</v>
      </c>
      <c r="W75" s="300">
        <v>7.9999999999890471E-3</v>
      </c>
      <c r="X75" s="300">
        <v>0</v>
      </c>
      <c r="Y75" s="300">
        <f t="shared" ref="Y75:Y76" si="156">SUM(V75:X75)</f>
        <v>0.40199999999739949</v>
      </c>
    </row>
    <row r="76" spans="1:25" x14ac:dyDescent="0.2">
      <c r="A76" s="260" t="s">
        <v>354</v>
      </c>
      <c r="B76" s="300">
        <f>SUM(B74:B75)</f>
        <v>1.3549999999999143</v>
      </c>
      <c r="C76" s="300">
        <f t="shared" ref="C76" si="157">SUM(C74:C75)</f>
        <v>0.475000000009968</v>
      </c>
      <c r="D76" s="300">
        <f t="shared" ref="D76" si="158">SUM(D74:D75)</f>
        <v>0.64400000000489288</v>
      </c>
      <c r="E76" s="300">
        <f t="shared" si="152"/>
        <v>2.474000000014775</v>
      </c>
      <c r="F76" s="300"/>
      <c r="G76" s="300">
        <f>SUM(G74:G75)</f>
        <v>0.8559999999923773</v>
      </c>
      <c r="H76" s="300">
        <f t="shared" ref="H76" si="159">SUM(H74:H75)</f>
        <v>9.5000000000601256E-2</v>
      </c>
      <c r="I76" s="300">
        <f t="shared" ref="I76" si="160">SUM(I74:I75)</f>
        <v>2.6000000000107135E-2</v>
      </c>
      <c r="J76" s="300">
        <f t="shared" si="153"/>
        <v>0.97699999999308573</v>
      </c>
      <c r="K76" s="300"/>
      <c r="L76" s="300">
        <f>SUM(L74:L75)</f>
        <v>0.85099999999512477</v>
      </c>
      <c r="M76" s="300">
        <f t="shared" ref="M76" si="161">SUM(M74:M75)</f>
        <v>8.200000000085346E-2</v>
      </c>
      <c r="N76" s="300">
        <f t="shared" ref="N76" si="162">SUM(N74:N75)</f>
        <v>0.32499999999931922</v>
      </c>
      <c r="O76" s="300">
        <f t="shared" si="154"/>
        <v>1.2579999999952975</v>
      </c>
      <c r="P76" s="300"/>
      <c r="Q76" s="300">
        <f>SUM(Q74:Q75)</f>
        <v>0.75900000000792112</v>
      </c>
      <c r="R76" s="300">
        <f t="shared" ref="R76" si="163">SUM(R74:R75)</f>
        <v>7.1000000002821251E-2</v>
      </c>
      <c r="S76" s="300">
        <f t="shared" ref="S76" si="164">SUM(S74:S75)</f>
        <v>0.2829999999993158</v>
      </c>
      <c r="T76" s="300">
        <f t="shared" si="155"/>
        <v>1.1130000000100582</v>
      </c>
      <c r="U76" s="300"/>
      <c r="V76" s="300">
        <f>SUM(V74:V75)</f>
        <v>0.64799999999802149</v>
      </c>
      <c r="W76" s="300">
        <f t="shared" ref="W76" si="165">SUM(W74:W75)</f>
        <v>6.0000000000265924E-2</v>
      </c>
      <c r="X76" s="300">
        <f t="shared" ref="X76" si="166">SUM(X74:X75)</f>
        <v>0.23900000000270624</v>
      </c>
      <c r="Y76" s="300">
        <f t="shared" si="156"/>
        <v>0.94700000000099371</v>
      </c>
    </row>
    <row r="77" spans="1:25" x14ac:dyDescent="0.2">
      <c r="C77" s="319"/>
      <c r="D77" s="319"/>
      <c r="E77" s="319"/>
      <c r="F77" s="319"/>
      <c r="G77" s="319"/>
      <c r="H77" s="319"/>
      <c r="I77" s="319"/>
      <c r="J77" s="319"/>
      <c r="K77" s="319"/>
      <c r="L77" s="319"/>
      <c r="M77" s="319"/>
      <c r="N77" s="319"/>
      <c r="O77" s="319"/>
      <c r="P77" s="319"/>
      <c r="Q77" s="319"/>
      <c r="R77" s="319"/>
      <c r="S77" s="319"/>
      <c r="T77" s="319"/>
      <c r="U77" s="319"/>
      <c r="V77" s="319"/>
      <c r="W77" s="319"/>
      <c r="X77" s="319"/>
      <c r="Y77" s="319"/>
    </row>
    <row r="78" spans="1:25" x14ac:dyDescent="0.2">
      <c r="A78" s="261" t="str">
        <f>name!A9</f>
        <v>Wearing apparel; Leather, etc</v>
      </c>
      <c r="C78" s="263"/>
    </row>
    <row r="79" spans="1:25" x14ac:dyDescent="0.2">
      <c r="A79" s="260" t="s">
        <v>356</v>
      </c>
      <c r="B79" s="300">
        <v>0.74500000000013256</v>
      </c>
      <c r="C79" s="300">
        <v>0.33700000000467945</v>
      </c>
      <c r="D79" s="300">
        <v>0.2870000000070122</v>
      </c>
      <c r="E79" s="300">
        <f>SUM(B79:D79)</f>
        <v>1.3690000000118241</v>
      </c>
      <c r="F79" s="300"/>
      <c r="G79" s="300">
        <v>0.20899999999693558</v>
      </c>
      <c r="H79" s="300">
        <v>4.5999999999754446E-2</v>
      </c>
      <c r="I79" s="300">
        <v>0</v>
      </c>
      <c r="J79" s="300">
        <f>SUM(G79:I79)</f>
        <v>0.25499999999669004</v>
      </c>
      <c r="K79" s="300"/>
      <c r="L79" s="300">
        <v>0.19499999999819448</v>
      </c>
      <c r="M79" s="300">
        <v>3.6999999999902673E-2</v>
      </c>
      <c r="N79" s="300">
        <v>4.5999999998814586E-2</v>
      </c>
      <c r="O79" s="300">
        <f>SUM(L79:N79)</f>
        <v>0.27799999999691172</v>
      </c>
      <c r="P79" s="300"/>
      <c r="Q79" s="300">
        <v>0.17400000000383331</v>
      </c>
      <c r="R79" s="300">
        <v>3.1000000000792213E-2</v>
      </c>
      <c r="S79" s="300">
        <v>4.0000000000644145E-2</v>
      </c>
      <c r="T79" s="300">
        <f>SUM(Q79:S79)</f>
        <v>0.24500000000526967</v>
      </c>
      <c r="U79" s="300"/>
      <c r="V79" s="300">
        <v>0.15000000000076935</v>
      </c>
      <c r="W79" s="300">
        <v>2.7000000000121999E-2</v>
      </c>
      <c r="X79" s="300">
        <v>3.4000000000733679E-2</v>
      </c>
      <c r="Y79" s="300">
        <f>SUM(V79:X79)</f>
        <v>0.21100000000162505</v>
      </c>
    </row>
    <row r="80" spans="1:25" x14ac:dyDescent="0.2">
      <c r="A80" s="260" t="s">
        <v>355</v>
      </c>
      <c r="B80" s="300">
        <v>0.31300000000180622</v>
      </c>
      <c r="C80" s="300">
        <v>3.0000000000216864E-2</v>
      </c>
      <c r="D80" s="300">
        <v>4.6000000000450549E-2</v>
      </c>
      <c r="E80" s="300">
        <f t="shared" ref="E80:E81" si="167">SUM(B80:D80)</f>
        <v>0.38900000000247364</v>
      </c>
      <c r="F80" s="300"/>
      <c r="G80" s="300">
        <v>5.0000000000094226E-2</v>
      </c>
      <c r="H80" s="300">
        <v>1.0000000000037906E-3</v>
      </c>
      <c r="I80" s="300">
        <v>3.0000000000209933E-3</v>
      </c>
      <c r="J80" s="300">
        <f t="shared" ref="J80:J81" si="168">SUM(G80:I80)</f>
        <v>5.4000000000119008E-2</v>
      </c>
      <c r="K80" s="300"/>
      <c r="L80" s="300">
        <v>5.200000000007178E-2</v>
      </c>
      <c r="M80" s="300">
        <v>3.0000000000109158E-3</v>
      </c>
      <c r="N80" s="300">
        <v>0</v>
      </c>
      <c r="O80" s="300">
        <f t="shared" ref="O80:O81" si="169">SUM(L80:N80)</f>
        <v>5.5000000000082698E-2</v>
      </c>
      <c r="P80" s="300"/>
      <c r="Q80" s="300">
        <v>4.5999999999634458E-2</v>
      </c>
      <c r="R80" s="300">
        <v>1.9999999999929024E-3</v>
      </c>
      <c r="S80" s="300">
        <v>0</v>
      </c>
      <c r="T80" s="300">
        <f t="shared" ref="T80:T81" si="170">SUM(Q80:S80)</f>
        <v>4.7999999999627362E-2</v>
      </c>
      <c r="U80" s="300"/>
      <c r="V80" s="300">
        <v>3.8999999999670451E-2</v>
      </c>
      <c r="W80" s="300">
        <v>1.9999999999972609E-3</v>
      </c>
      <c r="X80" s="300">
        <v>0</v>
      </c>
      <c r="Y80" s="300">
        <f t="shared" ref="Y80:Y81" si="171">SUM(V80:X80)</f>
        <v>4.0999999999667712E-2</v>
      </c>
    </row>
    <row r="81" spans="1:25" x14ac:dyDescent="0.2">
      <c r="A81" s="260" t="s">
        <v>354</v>
      </c>
      <c r="B81" s="300">
        <f>SUM(B79:B80)</f>
        <v>1.0580000000019387</v>
      </c>
      <c r="C81" s="300">
        <f t="shared" ref="C81" si="172">SUM(C79:C80)</f>
        <v>0.3670000000048963</v>
      </c>
      <c r="D81" s="300">
        <f t="shared" ref="D81" si="173">SUM(D79:D80)</f>
        <v>0.33300000000746277</v>
      </c>
      <c r="E81" s="300">
        <f t="shared" si="167"/>
        <v>1.7580000000142979</v>
      </c>
      <c r="F81" s="300"/>
      <c r="G81" s="300">
        <f>SUM(G79:G80)</f>
        <v>0.25899999999702983</v>
      </c>
      <c r="H81" s="300">
        <f t="shared" ref="H81" si="174">SUM(H79:H80)</f>
        <v>4.6999999999758235E-2</v>
      </c>
      <c r="I81" s="300">
        <f t="shared" ref="I81" si="175">SUM(I79:I80)</f>
        <v>3.0000000000209933E-3</v>
      </c>
      <c r="J81" s="300">
        <f t="shared" si="168"/>
        <v>0.30899999999680905</v>
      </c>
      <c r="K81" s="300"/>
      <c r="L81" s="300">
        <f>SUM(L79:L80)</f>
        <v>0.24699999999826627</v>
      </c>
      <c r="M81" s="300">
        <f t="shared" ref="M81" si="176">SUM(M79:M80)</f>
        <v>3.9999999999913591E-2</v>
      </c>
      <c r="N81" s="300">
        <f t="shared" ref="N81" si="177">SUM(N79:N80)</f>
        <v>4.5999999998814586E-2</v>
      </c>
      <c r="O81" s="300">
        <f t="shared" si="169"/>
        <v>0.33299999999699448</v>
      </c>
      <c r="P81" s="300"/>
      <c r="Q81" s="300">
        <f>SUM(Q79:Q80)</f>
        <v>0.22000000000346775</v>
      </c>
      <c r="R81" s="300">
        <f t="shared" ref="R81" si="178">SUM(R79:R80)</f>
        <v>3.3000000000785117E-2</v>
      </c>
      <c r="S81" s="300">
        <f t="shared" ref="S81" si="179">SUM(S79:S80)</f>
        <v>4.0000000000644145E-2</v>
      </c>
      <c r="T81" s="300">
        <f t="shared" si="170"/>
        <v>0.29300000000489701</v>
      </c>
      <c r="U81" s="300"/>
      <c r="V81" s="300">
        <f>SUM(V79:V80)</f>
        <v>0.18900000000043982</v>
      </c>
      <c r="W81" s="300">
        <f t="shared" ref="W81" si="180">SUM(W79:W80)</f>
        <v>2.900000000011926E-2</v>
      </c>
      <c r="X81" s="300">
        <f t="shared" ref="X81" si="181">SUM(X79:X80)</f>
        <v>3.4000000000733679E-2</v>
      </c>
      <c r="Y81" s="300">
        <f t="shared" si="171"/>
        <v>0.25200000000129275</v>
      </c>
    </row>
    <row r="82" spans="1:25" x14ac:dyDescent="0.2">
      <c r="C82" s="319"/>
      <c r="D82" s="319"/>
      <c r="E82" s="319"/>
      <c r="F82" s="319"/>
      <c r="G82" s="319"/>
      <c r="H82" s="319"/>
      <c r="I82" s="319"/>
      <c r="J82" s="319"/>
      <c r="K82" s="319"/>
      <c r="L82" s="319"/>
      <c r="M82" s="319"/>
      <c r="N82" s="319"/>
      <c r="O82" s="319"/>
      <c r="P82" s="319"/>
      <c r="Q82" s="319"/>
      <c r="R82" s="319"/>
      <c r="S82" s="319"/>
      <c r="T82" s="319"/>
      <c r="U82" s="319"/>
      <c r="V82" s="319"/>
      <c r="W82" s="319"/>
      <c r="X82" s="319"/>
      <c r="Y82" s="319"/>
    </row>
    <row r="83" spans="1:25" x14ac:dyDescent="0.2">
      <c r="A83" s="261" t="str">
        <f>name!A10</f>
        <v xml:space="preserve">Wood and cork </v>
      </c>
      <c r="C83" s="263"/>
    </row>
    <row r="84" spans="1:25" x14ac:dyDescent="0.2">
      <c r="A84" s="260" t="s">
        <v>356</v>
      </c>
      <c r="B84" s="300">
        <v>0.19399999999847284</v>
      </c>
      <c r="C84" s="300">
        <v>0.64300000000884905</v>
      </c>
      <c r="D84" s="300">
        <v>9.0000000002305042E-3</v>
      </c>
      <c r="E84" s="300">
        <f>SUM(B84:D84)</f>
        <v>0.84600000000755238</v>
      </c>
      <c r="F84" s="300"/>
      <c r="G84" s="300">
        <v>0.40899999999583819</v>
      </c>
      <c r="H84" s="300">
        <v>1.1449999999922953</v>
      </c>
      <c r="I84" s="300">
        <v>0</v>
      </c>
      <c r="J84" s="300">
        <f>SUM(G84:I84)</f>
        <v>1.5539999999881335</v>
      </c>
      <c r="K84" s="300"/>
      <c r="L84" s="300">
        <v>0.3839999999975432</v>
      </c>
      <c r="M84" s="300">
        <v>0.40899999999887265</v>
      </c>
      <c r="N84" s="300">
        <v>1.3999999999630846E-2</v>
      </c>
      <c r="O84" s="300">
        <f>SUM(L84:N84)</f>
        <v>0.80699999999604677</v>
      </c>
      <c r="P84" s="300"/>
      <c r="Q84" s="300">
        <v>0.37900000000601103</v>
      </c>
      <c r="R84" s="300">
        <v>0.40500000001815656</v>
      </c>
      <c r="S84" s="300">
        <v>1.4000000000187614E-2</v>
      </c>
      <c r="T84" s="300">
        <f>SUM(Q84:S84)</f>
        <v>0.79800000002435523</v>
      </c>
      <c r="U84" s="300"/>
      <c r="V84" s="300">
        <v>0.37100000000035332</v>
      </c>
      <c r="W84" s="300">
        <v>0.39999999999983804</v>
      </c>
      <c r="X84" s="300">
        <v>1.4000000000099103E-2</v>
      </c>
      <c r="Y84" s="300">
        <f>SUM(V84:X84)</f>
        <v>0.78500000000029047</v>
      </c>
    </row>
    <row r="85" spans="1:25" x14ac:dyDescent="0.2">
      <c r="A85" s="260" t="s">
        <v>355</v>
      </c>
      <c r="B85" s="300">
        <v>2.4050000000132994</v>
      </c>
      <c r="C85" s="300">
        <v>5.0000000000807204E-2</v>
      </c>
      <c r="D85" s="300">
        <v>0.37099999999197297</v>
      </c>
      <c r="E85" s="300">
        <f t="shared" ref="E85:E86" si="182">SUM(B85:D85)</f>
        <v>2.8260000000060796</v>
      </c>
      <c r="F85" s="300"/>
      <c r="G85" s="300">
        <v>2.9330000000053427</v>
      </c>
      <c r="H85" s="300">
        <v>0.23300000000238832</v>
      </c>
      <c r="I85" s="300">
        <v>0.25300000000276712</v>
      </c>
      <c r="J85" s="300">
        <f t="shared" ref="J85:J86" si="183">SUM(G85:I85)</f>
        <v>3.4190000000104983</v>
      </c>
      <c r="K85" s="300"/>
      <c r="L85" s="300">
        <v>2.9760000000035167</v>
      </c>
      <c r="M85" s="300">
        <v>0.15700000000016859</v>
      </c>
      <c r="N85" s="300">
        <v>0</v>
      </c>
      <c r="O85" s="300">
        <f t="shared" ref="O85:O86" si="184">SUM(L85:N85)</f>
        <v>3.1330000000036855</v>
      </c>
      <c r="P85" s="300"/>
      <c r="Q85" s="300">
        <v>2.8779999999694672</v>
      </c>
      <c r="R85" s="300">
        <v>0.15699999999872447</v>
      </c>
      <c r="S85" s="300">
        <v>0</v>
      </c>
      <c r="T85" s="300">
        <f t="shared" ref="T85:T86" si="185">SUM(Q85:S85)</f>
        <v>3.0349999999681918</v>
      </c>
      <c r="U85" s="300"/>
      <c r="V85" s="300">
        <v>2.7459999999647322</v>
      </c>
      <c r="W85" s="300">
        <v>0.15699999999926537</v>
      </c>
      <c r="X85" s="300">
        <v>0</v>
      </c>
      <c r="Y85" s="300">
        <f t="shared" ref="Y85:Y86" si="186">SUM(V85:X85)</f>
        <v>2.9029999999639977</v>
      </c>
    </row>
    <row r="86" spans="1:25" x14ac:dyDescent="0.2">
      <c r="A86" s="260" t="s">
        <v>354</v>
      </c>
      <c r="B86" s="300">
        <f>SUM(B84:B85)</f>
        <v>2.5990000000117721</v>
      </c>
      <c r="C86" s="300">
        <f t="shared" ref="C86" si="187">SUM(C84:C85)</f>
        <v>0.69300000000965623</v>
      </c>
      <c r="D86" s="300">
        <f t="shared" ref="D86" si="188">SUM(D84:D85)</f>
        <v>0.37999999999220346</v>
      </c>
      <c r="E86" s="300">
        <f t="shared" si="182"/>
        <v>3.6720000000136319</v>
      </c>
      <c r="F86" s="300"/>
      <c r="G86" s="300">
        <f>SUM(G84:G85)</f>
        <v>3.3420000000011809</v>
      </c>
      <c r="H86" s="300">
        <f t="shared" ref="H86" si="189">SUM(H84:H85)</f>
        <v>1.3779999999946837</v>
      </c>
      <c r="I86" s="300">
        <f t="shared" ref="I86" si="190">SUM(I84:I85)</f>
        <v>0.25300000000276712</v>
      </c>
      <c r="J86" s="300">
        <f t="shared" si="183"/>
        <v>4.9729999999986312</v>
      </c>
      <c r="K86" s="300"/>
      <c r="L86" s="300">
        <f>SUM(L84:L85)</f>
        <v>3.3600000000010599</v>
      </c>
      <c r="M86" s="300">
        <f t="shared" ref="M86" si="191">SUM(M84:M85)</f>
        <v>0.56599999999904127</v>
      </c>
      <c r="N86" s="300">
        <f t="shared" ref="N86" si="192">SUM(N84:N85)</f>
        <v>1.3999999999630846E-2</v>
      </c>
      <c r="O86" s="300">
        <f t="shared" si="184"/>
        <v>3.9399999999997322</v>
      </c>
      <c r="P86" s="300"/>
      <c r="Q86" s="300">
        <f>SUM(Q84:Q85)</f>
        <v>3.2569999999754784</v>
      </c>
      <c r="R86" s="300">
        <f t="shared" ref="R86" si="193">SUM(R84:R85)</f>
        <v>0.562000000016881</v>
      </c>
      <c r="S86" s="300">
        <f t="shared" ref="S86" si="194">SUM(S84:S85)</f>
        <v>1.4000000000187614E-2</v>
      </c>
      <c r="T86" s="300">
        <f t="shared" si="185"/>
        <v>3.832999999992547</v>
      </c>
      <c r="U86" s="300"/>
      <c r="V86" s="300">
        <f>SUM(V84:V85)</f>
        <v>3.1169999999650857</v>
      </c>
      <c r="W86" s="300">
        <f t="shared" ref="W86" si="195">SUM(W84:W85)</f>
        <v>0.55699999999910343</v>
      </c>
      <c r="X86" s="300">
        <f t="shared" ref="X86" si="196">SUM(X84:X85)</f>
        <v>1.4000000000099103E-2</v>
      </c>
      <c r="Y86" s="300">
        <f t="shared" si="186"/>
        <v>3.6879999999642883</v>
      </c>
    </row>
    <row r="87" spans="1:25" x14ac:dyDescent="0.2">
      <c r="C87" s="319"/>
      <c r="D87" s="319"/>
      <c r="E87" s="319"/>
      <c r="F87" s="319"/>
      <c r="G87" s="319"/>
      <c r="H87" s="319"/>
      <c r="I87" s="319"/>
      <c r="J87" s="319"/>
      <c r="K87" s="319"/>
      <c r="L87" s="319"/>
      <c r="M87" s="319"/>
      <c r="N87" s="319"/>
      <c r="O87" s="319"/>
      <c r="P87" s="319"/>
      <c r="Q87" s="319"/>
      <c r="R87" s="319"/>
      <c r="S87" s="319"/>
      <c r="T87" s="319"/>
      <c r="U87" s="319"/>
      <c r="V87" s="319"/>
      <c r="W87" s="319"/>
      <c r="X87" s="319"/>
      <c r="Y87" s="319"/>
    </row>
    <row r="88" spans="1:25" x14ac:dyDescent="0.2">
      <c r="A88" s="261" t="str">
        <f>name!A11</f>
        <v>Paper, etc</v>
      </c>
      <c r="C88" s="263"/>
    </row>
    <row r="89" spans="1:25" x14ac:dyDescent="0.2">
      <c r="A89" s="260" t="s">
        <v>356</v>
      </c>
      <c r="B89" s="300">
        <v>0.45199999999717666</v>
      </c>
      <c r="C89" s="300">
        <v>0.11500000000249413</v>
      </c>
      <c r="D89" s="300">
        <v>2.000000000014784E-2</v>
      </c>
      <c r="E89" s="300">
        <f>SUM(B89:D89)</f>
        <v>0.58699999999981856</v>
      </c>
      <c r="F89" s="300"/>
      <c r="G89" s="300">
        <v>0.36699999999255706</v>
      </c>
      <c r="H89" s="300">
        <v>4.9000000000029333E-2</v>
      </c>
      <c r="I89" s="300">
        <v>0</v>
      </c>
      <c r="J89" s="300">
        <f>SUM(G89:I89)</f>
        <v>0.41599999999258641</v>
      </c>
      <c r="K89" s="300"/>
      <c r="L89" s="300">
        <v>0.34499999999511421</v>
      </c>
      <c r="M89" s="300">
        <v>1.7000000000105084E-2</v>
      </c>
      <c r="N89" s="300">
        <v>1.0999999999945697E-2</v>
      </c>
      <c r="O89" s="300">
        <f>SUM(L89:N89)</f>
        <v>0.37299999999516503</v>
      </c>
      <c r="P89" s="300"/>
      <c r="Q89" s="300">
        <v>0.34000000001269698</v>
      </c>
      <c r="R89" s="300">
        <v>1.7000000000989321E-2</v>
      </c>
      <c r="S89" s="300">
        <v>9.9999999999663639E-3</v>
      </c>
      <c r="T89" s="300">
        <f>SUM(Q89:S89)</f>
        <v>0.36700000001365268</v>
      </c>
      <c r="U89" s="300"/>
      <c r="V89" s="300">
        <v>0.33299999999973873</v>
      </c>
      <c r="W89" s="300">
        <v>1.7000000000027885E-2</v>
      </c>
      <c r="X89" s="300">
        <v>1.1000000000241483E-2</v>
      </c>
      <c r="Y89" s="300">
        <f>SUM(V89:X89)</f>
        <v>0.36100000000000809</v>
      </c>
    </row>
    <row r="90" spans="1:25" x14ac:dyDescent="0.2">
      <c r="A90" s="260" t="s">
        <v>355</v>
      </c>
      <c r="B90" s="300">
        <v>3.119000000011769</v>
      </c>
      <c r="C90" s="300">
        <v>4.300000000045659E-2</v>
      </c>
      <c r="D90" s="300">
        <v>0.38300000000383433</v>
      </c>
      <c r="E90" s="300">
        <f t="shared" ref="E90:E91" si="197">SUM(B90:D90)</f>
        <v>3.54500000001606</v>
      </c>
      <c r="F90" s="300"/>
      <c r="G90" s="300">
        <v>1.4630000000012107</v>
      </c>
      <c r="H90" s="300">
        <v>4.900000000027542E-2</v>
      </c>
      <c r="I90" s="300">
        <v>9.4000000000728043E-2</v>
      </c>
      <c r="J90" s="300">
        <f t="shared" ref="J90:J91" si="198">SUM(G90:I90)</f>
        <v>1.6060000000022141</v>
      </c>
      <c r="K90" s="300"/>
      <c r="L90" s="300">
        <v>1.4850000000005252</v>
      </c>
      <c r="M90" s="300">
        <v>3.3000000000030776E-2</v>
      </c>
      <c r="N90" s="300">
        <v>0</v>
      </c>
      <c r="O90" s="300">
        <f t="shared" ref="O90:O91" si="199">SUM(L90:N90)</f>
        <v>1.518000000000556</v>
      </c>
      <c r="P90" s="300"/>
      <c r="Q90" s="300">
        <v>1.4349999999890306</v>
      </c>
      <c r="R90" s="300">
        <v>3.2999999999862778E-2</v>
      </c>
      <c r="S90" s="300">
        <v>0</v>
      </c>
      <c r="T90" s="300">
        <f t="shared" ref="T90:T91" si="200">SUM(Q90:S90)</f>
        <v>1.4679999999888933</v>
      </c>
      <c r="U90" s="300"/>
      <c r="V90" s="300">
        <v>1.369999999987233</v>
      </c>
      <c r="W90" s="300">
        <v>3.2999999999963996E-2</v>
      </c>
      <c r="X90" s="300">
        <v>0</v>
      </c>
      <c r="Y90" s="300">
        <f t="shared" ref="Y90:Y91" si="201">SUM(V90:X90)</f>
        <v>1.4029999999871969</v>
      </c>
    </row>
    <row r="91" spans="1:25" x14ac:dyDescent="0.2">
      <c r="A91" s="260" t="s">
        <v>354</v>
      </c>
      <c r="B91" s="300">
        <f>SUM(B89:B90)</f>
        <v>3.5710000000089455</v>
      </c>
      <c r="C91" s="300">
        <f t="shared" ref="C91" si="202">SUM(C89:C90)</f>
        <v>0.15800000000295072</v>
      </c>
      <c r="D91" s="300">
        <f t="shared" ref="D91" si="203">SUM(D89:D90)</f>
        <v>0.40300000000398217</v>
      </c>
      <c r="E91" s="300">
        <f t="shared" si="197"/>
        <v>4.1320000000158785</v>
      </c>
      <c r="F91" s="300"/>
      <c r="G91" s="300">
        <f>SUM(G89:G90)</f>
        <v>1.8299999999937677</v>
      </c>
      <c r="H91" s="300">
        <f t="shared" ref="H91" si="204">SUM(H89:H90)</f>
        <v>9.800000000030476E-2</v>
      </c>
      <c r="I91" s="300">
        <f t="shared" ref="I91" si="205">SUM(I89:I90)</f>
        <v>9.4000000000728043E-2</v>
      </c>
      <c r="J91" s="300">
        <f t="shared" si="198"/>
        <v>2.0219999999948004</v>
      </c>
      <c r="K91" s="300"/>
      <c r="L91" s="300">
        <f>SUM(L89:L90)</f>
        <v>1.8299999999956396</v>
      </c>
      <c r="M91" s="300">
        <f t="shared" ref="M91" si="206">SUM(M89:M90)</f>
        <v>5.0000000000135859E-2</v>
      </c>
      <c r="N91" s="300">
        <f t="shared" ref="N91" si="207">SUM(N89:N90)</f>
        <v>1.0999999999945697E-2</v>
      </c>
      <c r="O91" s="300">
        <f t="shared" si="199"/>
        <v>1.8909999999957212</v>
      </c>
      <c r="P91" s="300"/>
      <c r="Q91" s="300">
        <f>SUM(Q89:Q90)</f>
        <v>1.7750000000017276</v>
      </c>
      <c r="R91" s="300">
        <f t="shared" ref="R91" si="208">SUM(R89:R90)</f>
        <v>5.0000000000852099E-2</v>
      </c>
      <c r="S91" s="300">
        <f t="shared" ref="S91" si="209">SUM(S89:S90)</f>
        <v>9.9999999999663639E-3</v>
      </c>
      <c r="T91" s="300">
        <f t="shared" si="200"/>
        <v>1.8350000000025459</v>
      </c>
      <c r="U91" s="300"/>
      <c r="V91" s="300">
        <f>SUM(V89:V90)</f>
        <v>1.7029999999869716</v>
      </c>
      <c r="W91" s="300">
        <f t="shared" ref="W91" si="210">SUM(W89:W90)</f>
        <v>4.9999999999991884E-2</v>
      </c>
      <c r="X91" s="300">
        <f t="shared" ref="X91" si="211">SUM(X89:X90)</f>
        <v>1.1000000000241483E-2</v>
      </c>
      <c r="Y91" s="300">
        <f t="shared" si="201"/>
        <v>1.7639999999872049</v>
      </c>
    </row>
    <row r="92" spans="1:25" x14ac:dyDescent="0.2">
      <c r="C92" s="319"/>
      <c r="D92" s="319"/>
      <c r="E92" s="319"/>
      <c r="F92" s="319"/>
      <c r="G92" s="319"/>
      <c r="H92" s="319"/>
      <c r="I92" s="319"/>
      <c r="J92" s="319"/>
      <c r="K92" s="319"/>
      <c r="L92" s="319"/>
      <c r="M92" s="319"/>
      <c r="N92" s="319"/>
      <c r="O92" s="319"/>
      <c r="P92" s="319"/>
      <c r="Q92" s="319"/>
      <c r="R92" s="319"/>
      <c r="S92" s="319"/>
      <c r="T92" s="319"/>
      <c r="U92" s="319"/>
      <c r="V92" s="319"/>
      <c r="W92" s="319"/>
      <c r="X92" s="319"/>
      <c r="Y92" s="319"/>
    </row>
    <row r="93" spans="1:25" x14ac:dyDescent="0.2">
      <c r="A93" s="261" t="str">
        <f>name!A12</f>
        <v>Printing and recording</v>
      </c>
      <c r="C93" s="263"/>
    </row>
    <row r="94" spans="1:25" x14ac:dyDescent="0.2">
      <c r="A94" s="260" t="s">
        <v>356</v>
      </c>
      <c r="B94" s="300">
        <v>1.845999999983176</v>
      </c>
      <c r="C94" s="300">
        <v>0.59300000000919884</v>
      </c>
      <c r="D94" s="300">
        <v>0.29700000000193111</v>
      </c>
      <c r="E94" s="300">
        <f>SUM(B94:D94)</f>
        <v>2.7359999999943061</v>
      </c>
      <c r="F94" s="300"/>
      <c r="G94" s="300">
        <v>1.23399999998467</v>
      </c>
      <c r="H94" s="300">
        <v>0.27199999999941449</v>
      </c>
      <c r="I94" s="300">
        <v>1.0000000000126195E-3</v>
      </c>
      <c r="J94" s="300">
        <f>SUM(G94:I94)</f>
        <v>1.5069999999840971</v>
      </c>
      <c r="K94" s="300"/>
      <c r="L94" s="300">
        <v>1.0179999999916456</v>
      </c>
      <c r="M94" s="300">
        <v>0.14200000000024365</v>
      </c>
      <c r="N94" s="300">
        <v>7.3999999999683819E-2</v>
      </c>
      <c r="O94" s="300">
        <f>SUM(L94:N94)</f>
        <v>1.2339999999915732</v>
      </c>
      <c r="P94" s="300"/>
      <c r="Q94" s="300">
        <v>0.94300000002119166</v>
      </c>
      <c r="R94" s="300">
        <v>0.13200000000566803</v>
      </c>
      <c r="S94" s="300">
        <v>6.7999999999557956E-2</v>
      </c>
      <c r="T94" s="300">
        <f>SUM(Q94:S94)</f>
        <v>1.1430000000264176</v>
      </c>
      <c r="U94" s="300"/>
      <c r="V94" s="300">
        <v>0.80200000000038452</v>
      </c>
      <c r="W94" s="300">
        <v>0.11300000000019748</v>
      </c>
      <c r="X94" s="300">
        <v>5.7000000000393042E-2</v>
      </c>
      <c r="Y94" s="300">
        <f>SUM(V94:X94)</f>
        <v>0.97200000000097508</v>
      </c>
    </row>
    <row r="95" spans="1:25" x14ac:dyDescent="0.2">
      <c r="A95" s="260" t="s">
        <v>355</v>
      </c>
      <c r="B95" s="300">
        <v>4.3179999999942895</v>
      </c>
      <c r="C95" s="300">
        <v>7.3000000000782744E-2</v>
      </c>
      <c r="D95" s="300">
        <v>0.37000000000617916</v>
      </c>
      <c r="E95" s="300">
        <f t="shared" ref="E95:E96" si="212">SUM(B95:D95)</f>
        <v>4.7610000000012516</v>
      </c>
      <c r="F95" s="300"/>
      <c r="G95" s="300">
        <v>2.2469999999959538</v>
      </c>
      <c r="H95" s="300">
        <v>0.17400000000098642</v>
      </c>
      <c r="I95" s="300">
        <v>3.5000000000193564E-2</v>
      </c>
      <c r="J95" s="300">
        <f t="shared" ref="J95:J96" si="213">SUM(G95:I95)</f>
        <v>2.4559999999971338</v>
      </c>
      <c r="K95" s="300"/>
      <c r="L95" s="300">
        <v>2.0729999999964317</v>
      </c>
      <c r="M95" s="300">
        <v>9.8000000000093165E-2</v>
      </c>
      <c r="N95" s="300">
        <v>1.0000000000159339E-3</v>
      </c>
      <c r="O95" s="300">
        <f t="shared" ref="O95:O96" si="214">SUM(L95:N95)</f>
        <v>2.1719999999965407</v>
      </c>
      <c r="P95" s="300"/>
      <c r="Q95" s="300">
        <v>1.8519999999979495</v>
      </c>
      <c r="R95" s="300">
        <v>8.9999999999626074E-2</v>
      </c>
      <c r="S95" s="300">
        <v>1.0000000000479703E-3</v>
      </c>
      <c r="T95" s="300">
        <f t="shared" ref="T95:T96" si="215">SUM(Q95:S95)</f>
        <v>1.9429999999976237</v>
      </c>
      <c r="U95" s="300"/>
      <c r="V95" s="300">
        <v>1.463999999996489</v>
      </c>
      <c r="W95" s="300">
        <v>7.6999999999921076E-2</v>
      </c>
      <c r="X95" s="300">
        <v>1.0000000000447049E-3</v>
      </c>
      <c r="Y95" s="300">
        <f t="shared" ref="Y95:Y96" si="216">SUM(V95:X95)</f>
        <v>1.5419999999964549</v>
      </c>
    </row>
    <row r="96" spans="1:25" x14ac:dyDescent="0.2">
      <c r="A96" s="260" t="s">
        <v>354</v>
      </c>
      <c r="B96" s="300">
        <f>SUM(B94:B95)</f>
        <v>6.1639999999774657</v>
      </c>
      <c r="C96" s="300">
        <f t="shared" ref="C96" si="217">SUM(C94:C95)</f>
        <v>0.66600000000998161</v>
      </c>
      <c r="D96" s="300">
        <f t="shared" ref="D96" si="218">SUM(D94:D95)</f>
        <v>0.66700000000811022</v>
      </c>
      <c r="E96" s="300">
        <f t="shared" si="212"/>
        <v>7.4969999999955572</v>
      </c>
      <c r="F96" s="300"/>
      <c r="G96" s="300">
        <f>SUM(G94:G95)</f>
        <v>3.4809999999806238</v>
      </c>
      <c r="H96" s="300">
        <f t="shared" ref="H96" si="219">SUM(H94:H95)</f>
        <v>0.44600000000040091</v>
      </c>
      <c r="I96" s="300">
        <f t="shared" ref="I96" si="220">SUM(I94:I95)</f>
        <v>3.6000000000206187E-2</v>
      </c>
      <c r="J96" s="300">
        <f t="shared" si="213"/>
        <v>3.9629999999812306</v>
      </c>
      <c r="K96" s="300"/>
      <c r="L96" s="300">
        <f>SUM(L94:L95)</f>
        <v>3.0909999999880773</v>
      </c>
      <c r="M96" s="300">
        <f t="shared" ref="M96" si="221">SUM(M94:M95)</f>
        <v>0.24000000000033683</v>
      </c>
      <c r="N96" s="300">
        <f t="shared" ref="N96" si="222">SUM(N94:N95)</f>
        <v>7.4999999999699751E-2</v>
      </c>
      <c r="O96" s="300">
        <f t="shared" si="214"/>
        <v>3.4059999999881141</v>
      </c>
      <c r="P96" s="300"/>
      <c r="Q96" s="300">
        <f>SUM(Q94:Q95)</f>
        <v>2.7950000000191411</v>
      </c>
      <c r="R96" s="300">
        <f t="shared" ref="R96" si="223">SUM(R94:R95)</f>
        <v>0.2220000000052941</v>
      </c>
      <c r="S96" s="300">
        <f t="shared" ref="S96" si="224">SUM(S94:S95)</f>
        <v>6.8999999999605932E-2</v>
      </c>
      <c r="T96" s="300">
        <f t="shared" si="215"/>
        <v>3.0860000000240411</v>
      </c>
      <c r="U96" s="300"/>
      <c r="V96" s="300">
        <f>SUM(V94:V95)</f>
        <v>2.2659999999968736</v>
      </c>
      <c r="W96" s="300">
        <f t="shared" ref="W96" si="225">SUM(W94:W95)</f>
        <v>0.19000000000011857</v>
      </c>
      <c r="X96" s="300">
        <f t="shared" ref="X96" si="226">SUM(X94:X95)</f>
        <v>5.800000000043775E-2</v>
      </c>
      <c r="Y96" s="300">
        <f t="shared" si="216"/>
        <v>2.5139999999974298</v>
      </c>
    </row>
    <row r="97" spans="1:25" x14ac:dyDescent="0.2">
      <c r="A97" s="262"/>
      <c r="C97" s="319"/>
      <c r="D97" s="319"/>
      <c r="E97" s="319"/>
      <c r="F97" s="319"/>
      <c r="G97" s="319"/>
      <c r="H97" s="319"/>
      <c r="I97" s="319"/>
      <c r="J97" s="319"/>
      <c r="K97" s="319"/>
      <c r="L97" s="319"/>
      <c r="M97" s="319"/>
      <c r="N97" s="319"/>
      <c r="O97" s="319"/>
      <c r="P97" s="319"/>
      <c r="Q97" s="319"/>
      <c r="R97" s="319"/>
      <c r="S97" s="319"/>
      <c r="T97" s="319"/>
      <c r="U97" s="319"/>
      <c r="V97" s="319"/>
      <c r="W97" s="319"/>
      <c r="X97" s="319"/>
      <c r="Y97" s="319"/>
    </row>
    <row r="98" spans="1:25" x14ac:dyDescent="0.2">
      <c r="A98" s="261" t="str">
        <f>name!A13</f>
        <v>Coke and petroleum; Chemicals, etc</v>
      </c>
      <c r="C98" s="263"/>
    </row>
    <row r="99" spans="1:25" x14ac:dyDescent="0.2">
      <c r="A99" s="260" t="s">
        <v>356</v>
      </c>
      <c r="B99" s="300">
        <v>1.3889999999918168</v>
      </c>
      <c r="C99" s="300">
        <v>0.16300000000378695</v>
      </c>
      <c r="D99" s="300">
        <v>3.7000000001089717E-2</v>
      </c>
      <c r="E99" s="300">
        <f>SUM(B99:D99)</f>
        <v>1.5889999999966935</v>
      </c>
      <c r="F99" s="300"/>
      <c r="G99" s="300">
        <v>1.4899999999697027</v>
      </c>
      <c r="H99" s="300">
        <v>0.62700000000102341</v>
      </c>
      <c r="I99" s="300">
        <v>0</v>
      </c>
      <c r="J99" s="300">
        <f>SUM(G99:I99)</f>
        <v>2.1169999999707261</v>
      </c>
      <c r="K99" s="300"/>
      <c r="L99" s="300">
        <v>1.4379999999799176</v>
      </c>
      <c r="M99" s="300">
        <v>0.60200000000450504</v>
      </c>
      <c r="N99" s="300">
        <v>9.8999999997097896E-2</v>
      </c>
      <c r="O99" s="300">
        <f>SUM(L99:N99)</f>
        <v>2.1389999999815208</v>
      </c>
      <c r="P99" s="300"/>
      <c r="Q99" s="300">
        <v>1.1960000000436486</v>
      </c>
      <c r="R99" s="300">
        <v>0.5180000000299807</v>
      </c>
      <c r="S99" s="300">
        <v>7.8000000002765996E-2</v>
      </c>
      <c r="T99" s="300">
        <f>SUM(Q99:S99)</f>
        <v>1.7920000000763954</v>
      </c>
      <c r="U99" s="300"/>
      <c r="V99" s="300">
        <v>0.96600000000021236</v>
      </c>
      <c r="W99" s="300">
        <v>0.41500000000117654</v>
      </c>
      <c r="X99" s="300">
        <v>6.0000000000181186E-2</v>
      </c>
      <c r="Y99" s="300">
        <f>SUM(V99:X99)</f>
        <v>1.4410000000015701</v>
      </c>
    </row>
    <row r="100" spans="1:25" x14ac:dyDescent="0.2">
      <c r="A100" s="260" t="s">
        <v>355</v>
      </c>
      <c r="B100" s="300">
        <v>7.1819999999862052</v>
      </c>
      <c r="C100" s="300">
        <v>9.9000000001011529E-2</v>
      </c>
      <c r="D100" s="300">
        <v>0.1679999999979723</v>
      </c>
      <c r="E100" s="300">
        <f t="shared" ref="E100:E101" si="227">SUM(B100:D100)</f>
        <v>7.4489999999851895</v>
      </c>
      <c r="F100" s="300"/>
      <c r="G100" s="300">
        <v>5.9269999999868999</v>
      </c>
      <c r="H100" s="300">
        <v>0.30000000000167121</v>
      </c>
      <c r="I100" s="300">
        <v>0.31700000000434425</v>
      </c>
      <c r="J100" s="300">
        <f t="shared" ref="J100:J101" si="228">SUM(G100:I100)</f>
        <v>6.5439999999929155</v>
      </c>
      <c r="K100" s="300"/>
      <c r="L100" s="300">
        <v>5.8929999999872278</v>
      </c>
      <c r="M100" s="300">
        <v>0.38300000000040574</v>
      </c>
      <c r="N100" s="300">
        <v>0</v>
      </c>
      <c r="O100" s="300">
        <f t="shared" ref="O100:O101" si="229">SUM(L100:N100)</f>
        <v>6.2759999999876337</v>
      </c>
      <c r="P100" s="300"/>
      <c r="Q100" s="300">
        <v>4.8420000000003736</v>
      </c>
      <c r="R100" s="300">
        <v>0.31799999999870193</v>
      </c>
      <c r="S100" s="300">
        <v>0</v>
      </c>
      <c r="T100" s="300">
        <f t="shared" ref="T100:T101" si="230">SUM(Q100:S100)</f>
        <v>5.1599999999990755</v>
      </c>
      <c r="U100" s="300"/>
      <c r="V100" s="300">
        <v>3.6619999999961403</v>
      </c>
      <c r="W100" s="300">
        <v>0.26699999999951485</v>
      </c>
      <c r="X100" s="300">
        <v>0</v>
      </c>
      <c r="Y100" s="300">
        <f t="shared" ref="Y100:Y101" si="231">SUM(V100:X100)</f>
        <v>3.9289999999956553</v>
      </c>
    </row>
    <row r="101" spans="1:25" x14ac:dyDescent="0.2">
      <c r="A101" s="260" t="s">
        <v>354</v>
      </c>
      <c r="B101" s="300">
        <f>SUM(B99:B100)</f>
        <v>8.5709999999780226</v>
      </c>
      <c r="C101" s="300">
        <f t="shared" ref="C101" si="232">SUM(C99:C100)</f>
        <v>0.26200000000479851</v>
      </c>
      <c r="D101" s="300">
        <f t="shared" ref="D101" si="233">SUM(D99:D100)</f>
        <v>0.20499999999906202</v>
      </c>
      <c r="E101" s="300">
        <f t="shared" si="227"/>
        <v>9.0379999999818832</v>
      </c>
      <c r="F101" s="300"/>
      <c r="G101" s="300">
        <f>SUM(G99:G100)</f>
        <v>7.4169999999566025</v>
      </c>
      <c r="H101" s="300">
        <f t="shared" ref="H101" si="234">SUM(H99:H100)</f>
        <v>0.92700000000269456</v>
      </c>
      <c r="I101" s="300">
        <f t="shared" ref="I101" si="235">SUM(I99:I100)</f>
        <v>0.31700000000434425</v>
      </c>
      <c r="J101" s="300">
        <f t="shared" si="228"/>
        <v>8.6609999999636429</v>
      </c>
      <c r="K101" s="300"/>
      <c r="L101" s="300">
        <f>SUM(L99:L100)</f>
        <v>7.3309999999671458</v>
      </c>
      <c r="M101" s="300">
        <f t="shared" ref="M101" si="236">SUM(M99:M100)</f>
        <v>0.98500000000491084</v>
      </c>
      <c r="N101" s="300">
        <f t="shared" ref="N101" si="237">SUM(N99:N100)</f>
        <v>9.8999999997097896E-2</v>
      </c>
      <c r="O101" s="300">
        <f t="shared" si="229"/>
        <v>8.4149999999691545</v>
      </c>
      <c r="P101" s="300"/>
      <c r="Q101" s="300">
        <f>SUM(Q99:Q100)</f>
        <v>6.0380000000440219</v>
      </c>
      <c r="R101" s="300">
        <f t="shared" ref="R101" si="238">SUM(R99:R100)</f>
        <v>0.83600000002868269</v>
      </c>
      <c r="S101" s="300">
        <f t="shared" ref="S101" si="239">SUM(S99:S100)</f>
        <v>7.8000000002765996E-2</v>
      </c>
      <c r="T101" s="300">
        <f t="shared" si="230"/>
        <v>6.9520000000754711</v>
      </c>
      <c r="U101" s="300"/>
      <c r="V101" s="300">
        <f>SUM(V99:V100)</f>
        <v>4.6279999999963524</v>
      </c>
      <c r="W101" s="300">
        <f t="shared" ref="W101" si="240">SUM(W99:W100)</f>
        <v>0.68200000000069139</v>
      </c>
      <c r="X101" s="300">
        <f t="shared" ref="X101" si="241">SUM(X99:X100)</f>
        <v>6.0000000000181186E-2</v>
      </c>
      <c r="Y101" s="300">
        <f t="shared" si="231"/>
        <v>5.3699999999972245</v>
      </c>
    </row>
    <row r="102" spans="1:25" x14ac:dyDescent="0.2">
      <c r="C102" s="319"/>
      <c r="D102" s="319"/>
      <c r="E102" s="319"/>
      <c r="F102" s="319"/>
      <c r="G102" s="319"/>
      <c r="H102" s="319"/>
      <c r="I102" s="319"/>
      <c r="J102" s="319"/>
      <c r="K102" s="319"/>
      <c r="L102" s="319"/>
      <c r="M102" s="319"/>
      <c r="N102" s="319"/>
      <c r="O102" s="319"/>
      <c r="P102" s="319"/>
      <c r="Q102" s="319"/>
      <c r="R102" s="319"/>
      <c r="S102" s="319"/>
      <c r="T102" s="319"/>
      <c r="U102" s="319"/>
      <c r="V102" s="319"/>
      <c r="W102" s="319"/>
      <c r="X102" s="319"/>
      <c r="Y102" s="319"/>
    </row>
    <row r="103" spans="1:25" x14ac:dyDescent="0.2">
      <c r="A103" s="261" t="str">
        <f>name!A14</f>
        <v>Pharmaceuticals</v>
      </c>
      <c r="C103" s="263"/>
    </row>
    <row r="104" spans="1:25" x14ac:dyDescent="0.2">
      <c r="A104" s="260" t="s">
        <v>356</v>
      </c>
      <c r="B104" s="300">
        <v>0.83299999999401386</v>
      </c>
      <c r="C104" s="300">
        <v>6.1000000000719437E-2</v>
      </c>
      <c r="D104" s="300">
        <v>8.0000000000989516E-2</v>
      </c>
      <c r="E104" s="300">
        <f>SUM(B104:D104)</f>
        <v>0.97399999999572284</v>
      </c>
      <c r="F104" s="300"/>
      <c r="G104" s="300">
        <v>1.3309999999904303</v>
      </c>
      <c r="H104" s="300">
        <v>0.11299999999981661</v>
      </c>
      <c r="I104" s="300">
        <v>1.0000000000144678E-3</v>
      </c>
      <c r="J104" s="300">
        <f>SUM(G104:I104)</f>
        <v>1.4449999999902614</v>
      </c>
      <c r="K104" s="300"/>
      <c r="L104" s="300">
        <v>1.372999999994897</v>
      </c>
      <c r="M104" s="300">
        <v>8.6000000000075044E-2</v>
      </c>
      <c r="N104" s="300">
        <v>2.5999999999895287E-2</v>
      </c>
      <c r="O104" s="300">
        <f>SUM(L104:N104)</f>
        <v>1.4849999999948673</v>
      </c>
      <c r="P104" s="300"/>
      <c r="Q104" s="300">
        <v>1.5070000000152777</v>
      </c>
      <c r="R104" s="300">
        <v>0.10200000000278862</v>
      </c>
      <c r="S104" s="300">
        <v>3.0999999999642865E-2</v>
      </c>
      <c r="T104" s="300">
        <f>SUM(Q104:S104)</f>
        <v>1.6400000000177091</v>
      </c>
      <c r="U104" s="300"/>
      <c r="V104" s="300">
        <v>1.4430000000052141</v>
      </c>
      <c r="W104" s="300">
        <v>0.11400000000027058</v>
      </c>
      <c r="X104" s="300">
        <v>3.5000000000569624E-2</v>
      </c>
      <c r="Y104" s="300">
        <f>SUM(V104:X104)</f>
        <v>1.5920000000060543</v>
      </c>
    </row>
    <row r="105" spans="1:25" x14ac:dyDescent="0.2">
      <c r="A105" s="260" t="s">
        <v>355</v>
      </c>
      <c r="B105" s="300">
        <v>1.6409999999929676</v>
      </c>
      <c r="C105" s="300">
        <v>0.11300000000097378</v>
      </c>
      <c r="D105" s="300">
        <v>7.1000000000986344E-2</v>
      </c>
      <c r="E105" s="300">
        <f t="shared" ref="E105:E106" si="242">SUM(B105:D105)</f>
        <v>1.8249999999949278</v>
      </c>
      <c r="F105" s="300"/>
      <c r="G105" s="300">
        <v>1.8559999999942374</v>
      </c>
      <c r="H105" s="300">
        <v>0.11700000000050759</v>
      </c>
      <c r="I105" s="300">
        <v>0.19600000000195031</v>
      </c>
      <c r="J105" s="300">
        <f t="shared" ref="J105:J106" si="243">SUM(G105:I105)</f>
        <v>2.1689999999966951</v>
      </c>
      <c r="K105" s="300"/>
      <c r="L105" s="300">
        <v>2.1409999999949543</v>
      </c>
      <c r="M105" s="300">
        <v>2.3000000000056489E-2</v>
      </c>
      <c r="N105" s="300">
        <v>1.0000000000089208E-3</v>
      </c>
      <c r="O105" s="300">
        <f t="shared" ref="O105:O106" si="244">SUM(L105:N105)</f>
        <v>2.1649999999950196</v>
      </c>
      <c r="P105" s="300"/>
      <c r="Q105" s="300">
        <v>2.3860000000077566</v>
      </c>
      <c r="R105" s="300">
        <v>2.8999999999871413E-2</v>
      </c>
      <c r="S105" s="300">
        <v>1.0000000000062778E-3</v>
      </c>
      <c r="T105" s="300">
        <f t="shared" ref="T105:T106" si="245">SUM(Q105:S105)</f>
        <v>2.4160000000076343</v>
      </c>
      <c r="U105" s="300"/>
      <c r="V105" s="300">
        <v>2.3850000000042226</v>
      </c>
      <c r="W105" s="300">
        <v>3.5999999999927736E-2</v>
      </c>
      <c r="X105" s="300">
        <v>1.0000000000009556E-3</v>
      </c>
      <c r="Y105" s="300">
        <f t="shared" ref="Y105:Y106" si="246">SUM(V105:X105)</f>
        <v>2.4220000000041511</v>
      </c>
    </row>
    <row r="106" spans="1:25" x14ac:dyDescent="0.2">
      <c r="A106" s="260" t="s">
        <v>354</v>
      </c>
      <c r="B106" s="300">
        <f>SUM(B104:B105)</f>
        <v>2.4739999999869813</v>
      </c>
      <c r="C106" s="300">
        <f t="shared" ref="C106" si="247">SUM(C104:C105)</f>
        <v>0.17400000000169322</v>
      </c>
      <c r="D106" s="300">
        <f t="shared" ref="D106" si="248">SUM(D104:D105)</f>
        <v>0.15100000000197586</v>
      </c>
      <c r="E106" s="300">
        <f t="shared" si="242"/>
        <v>2.7989999999906505</v>
      </c>
      <c r="F106" s="300"/>
      <c r="G106" s="300">
        <f>SUM(G104:G105)</f>
        <v>3.1869999999846677</v>
      </c>
      <c r="H106" s="300">
        <f t="shared" ref="H106" si="249">SUM(H104:H105)</f>
        <v>0.2300000000003242</v>
      </c>
      <c r="I106" s="300">
        <f t="shared" ref="I106" si="250">SUM(I104:I105)</f>
        <v>0.19700000000196477</v>
      </c>
      <c r="J106" s="300">
        <f t="shared" si="243"/>
        <v>3.6139999999869565</v>
      </c>
      <c r="K106" s="300"/>
      <c r="L106" s="300">
        <f>SUM(L104:L105)</f>
        <v>3.513999999989851</v>
      </c>
      <c r="M106" s="300">
        <f t="shared" ref="M106" si="251">SUM(M104:M105)</f>
        <v>0.10900000000013153</v>
      </c>
      <c r="N106" s="300">
        <f t="shared" ref="N106" si="252">SUM(N104:N105)</f>
        <v>2.6999999999904208E-2</v>
      </c>
      <c r="O106" s="300">
        <f t="shared" si="244"/>
        <v>3.6499999999898867</v>
      </c>
      <c r="P106" s="300"/>
      <c r="Q106" s="300">
        <f>SUM(Q104:Q105)</f>
        <v>3.8930000000230343</v>
      </c>
      <c r="R106" s="300">
        <f t="shared" ref="R106" si="253">SUM(R104:R105)</f>
        <v>0.13100000000266004</v>
      </c>
      <c r="S106" s="300">
        <f t="shared" ref="S106" si="254">SUM(S104:S105)</f>
        <v>3.1999999999649142E-2</v>
      </c>
      <c r="T106" s="300">
        <f t="shared" si="245"/>
        <v>4.0560000000253433</v>
      </c>
      <c r="U106" s="300"/>
      <c r="V106" s="300">
        <f>SUM(V104:V105)</f>
        <v>3.8280000000094367</v>
      </c>
      <c r="W106" s="300">
        <f t="shared" ref="W106" si="255">SUM(W104:W105)</f>
        <v>0.15000000000019831</v>
      </c>
      <c r="X106" s="300">
        <f t="shared" ref="X106" si="256">SUM(X104:X105)</f>
        <v>3.6000000000570583E-2</v>
      </c>
      <c r="Y106" s="300">
        <f t="shared" si="246"/>
        <v>4.0140000000102054</v>
      </c>
    </row>
    <row r="107" spans="1:25" x14ac:dyDescent="0.2">
      <c r="C107" s="319"/>
      <c r="D107" s="319"/>
      <c r="E107" s="319"/>
      <c r="F107" s="319"/>
      <c r="G107" s="319"/>
      <c r="H107" s="319"/>
      <c r="I107" s="319"/>
      <c r="J107" s="319"/>
      <c r="K107" s="319"/>
      <c r="L107" s="319"/>
      <c r="M107" s="319"/>
      <c r="N107" s="319"/>
      <c r="O107" s="319"/>
      <c r="P107" s="319"/>
      <c r="Q107" s="319"/>
      <c r="R107" s="319"/>
      <c r="S107" s="319"/>
      <c r="T107" s="319"/>
      <c r="U107" s="319"/>
      <c r="V107" s="319"/>
      <c r="W107" s="319"/>
      <c r="X107" s="319"/>
      <c r="Y107" s="319"/>
    </row>
    <row r="108" spans="1:25" x14ac:dyDescent="0.2">
      <c r="A108" s="261" t="str">
        <f>name!A15</f>
        <v>Rubber and plastic</v>
      </c>
      <c r="C108" s="263"/>
    </row>
    <row r="109" spans="1:25" x14ac:dyDescent="0.2">
      <c r="A109" s="260" t="s">
        <v>356</v>
      </c>
      <c r="B109" s="300">
        <v>0.43899999999760952</v>
      </c>
      <c r="C109" s="300">
        <v>0.11800000000192239</v>
      </c>
      <c r="D109" s="300">
        <v>5.7000000001349437E-2</v>
      </c>
      <c r="E109" s="300">
        <f>SUM(B109:D109)</f>
        <v>0.61400000000088129</v>
      </c>
      <c r="F109" s="300"/>
      <c r="G109" s="300">
        <v>0.44799999998912016</v>
      </c>
      <c r="H109" s="300">
        <v>0.15999999999942818</v>
      </c>
      <c r="I109" s="300">
        <v>0</v>
      </c>
      <c r="J109" s="300">
        <f>SUM(G109:I109)</f>
        <v>0.60799999998854837</v>
      </c>
      <c r="K109" s="300"/>
      <c r="L109" s="300">
        <v>0.48699999999163163</v>
      </c>
      <c r="M109" s="300">
        <v>0.15700000000011019</v>
      </c>
      <c r="N109" s="300">
        <v>2.0999999999471809E-2</v>
      </c>
      <c r="O109" s="300">
        <f>SUM(L109:N109)</f>
        <v>0.66499999999121362</v>
      </c>
      <c r="P109" s="300"/>
      <c r="Q109" s="300">
        <v>0.50200000002310097</v>
      </c>
      <c r="R109" s="300">
        <v>0.16900000000787097</v>
      </c>
      <c r="S109" s="300">
        <v>2.1000000000771089E-2</v>
      </c>
      <c r="T109" s="300">
        <f>SUM(Q109:S109)</f>
        <v>0.692000000031743</v>
      </c>
      <c r="U109" s="300"/>
      <c r="V109" s="300">
        <v>0.4439999999993528</v>
      </c>
      <c r="W109" s="300">
        <v>0.16200000000023018</v>
      </c>
      <c r="X109" s="300">
        <v>1.8999999999983454E-2</v>
      </c>
      <c r="Y109" s="300">
        <f>SUM(V109:X109)</f>
        <v>0.62499999999956646</v>
      </c>
    </row>
    <row r="110" spans="1:25" x14ac:dyDescent="0.2">
      <c r="A110" s="260" t="s">
        <v>355</v>
      </c>
      <c r="B110" s="300">
        <v>6.8910000000219496</v>
      </c>
      <c r="C110" s="300">
        <v>6.5000000000805538E-2</v>
      </c>
      <c r="D110" s="300">
        <v>0.27600000000557551</v>
      </c>
      <c r="E110" s="300">
        <f t="shared" ref="E110:E111" si="257">SUM(B110:D110)</f>
        <v>7.2320000000283313</v>
      </c>
      <c r="F110" s="300"/>
      <c r="G110" s="300">
        <v>6.0070000000030195</v>
      </c>
      <c r="H110" s="300">
        <v>8.2000000000607545E-2</v>
      </c>
      <c r="I110" s="300">
        <v>0.16100000000105219</v>
      </c>
      <c r="J110" s="300">
        <f t="shared" ref="J110:J111" si="258">SUM(G110:I110)</f>
        <v>6.2500000000046789</v>
      </c>
      <c r="K110" s="300"/>
      <c r="L110" s="300">
        <v>6.5680000000002421</v>
      </c>
      <c r="M110" s="300">
        <v>0.13700000000007259</v>
      </c>
      <c r="N110" s="300">
        <v>0</v>
      </c>
      <c r="O110" s="300">
        <f t="shared" ref="O110:O111" si="259">SUM(L110:N110)</f>
        <v>6.7050000000003145</v>
      </c>
      <c r="P110" s="300"/>
      <c r="Q110" s="300">
        <v>6.9239999999507678</v>
      </c>
      <c r="R110" s="300">
        <v>0.14799999999924773</v>
      </c>
      <c r="S110" s="300">
        <v>0</v>
      </c>
      <c r="T110" s="300">
        <f t="shared" ref="T110:T111" si="260">SUM(Q110:S110)</f>
        <v>7.0719999999500152</v>
      </c>
      <c r="U110" s="300"/>
      <c r="V110" s="300">
        <v>6.3679999999427146</v>
      </c>
      <c r="W110" s="300">
        <v>0.14099999999963594</v>
      </c>
      <c r="X110" s="300">
        <v>0</v>
      </c>
      <c r="Y110" s="300">
        <f t="shared" ref="Y110:Y111" si="261">SUM(V110:X110)</f>
        <v>6.5089999999423505</v>
      </c>
    </row>
    <row r="111" spans="1:25" x14ac:dyDescent="0.2">
      <c r="A111" s="260" t="s">
        <v>354</v>
      </c>
      <c r="B111" s="300">
        <f>SUM(B109:B110)</f>
        <v>7.3300000000195595</v>
      </c>
      <c r="C111" s="300">
        <f t="shared" ref="C111" si="262">SUM(C109:C110)</f>
        <v>0.18300000000272792</v>
      </c>
      <c r="D111" s="300">
        <f t="shared" ref="D111" si="263">SUM(D109:D110)</f>
        <v>0.33300000000692492</v>
      </c>
      <c r="E111" s="300">
        <f t="shared" si="257"/>
        <v>7.8460000000292132</v>
      </c>
      <c r="F111" s="300"/>
      <c r="G111" s="300">
        <f>SUM(G109:G110)</f>
        <v>6.4549999999921397</v>
      </c>
      <c r="H111" s="300">
        <f t="shared" ref="H111" si="264">SUM(H109:H110)</f>
        <v>0.24200000000003574</v>
      </c>
      <c r="I111" s="300">
        <f t="shared" ref="I111" si="265">SUM(I109:I110)</f>
        <v>0.16100000000105219</v>
      </c>
      <c r="J111" s="300">
        <f t="shared" si="258"/>
        <v>6.8579999999932273</v>
      </c>
      <c r="K111" s="300"/>
      <c r="L111" s="300">
        <f>SUM(L109:L110)</f>
        <v>7.0549999999918738</v>
      </c>
      <c r="M111" s="300">
        <f t="shared" ref="M111" si="266">SUM(M109:M110)</f>
        <v>0.29400000000018278</v>
      </c>
      <c r="N111" s="300">
        <f t="shared" ref="N111" si="267">SUM(N109:N110)</f>
        <v>2.0999999999471809E-2</v>
      </c>
      <c r="O111" s="300">
        <f t="shared" si="259"/>
        <v>7.3699999999915278</v>
      </c>
      <c r="P111" s="300"/>
      <c r="Q111" s="300">
        <f>SUM(Q109:Q110)</f>
        <v>7.4259999999738691</v>
      </c>
      <c r="R111" s="300">
        <f t="shared" ref="R111" si="268">SUM(R109:R110)</f>
        <v>0.3170000000071187</v>
      </c>
      <c r="S111" s="300">
        <f t="shared" ref="S111" si="269">SUM(S109:S110)</f>
        <v>2.1000000000771089E-2</v>
      </c>
      <c r="T111" s="300">
        <f t="shared" si="260"/>
        <v>7.7639999999817588</v>
      </c>
      <c r="U111" s="300"/>
      <c r="V111" s="300">
        <f>SUM(V109:V110)</f>
        <v>6.8119999999420671</v>
      </c>
      <c r="W111" s="300">
        <f t="shared" ref="W111" si="270">SUM(W109:W110)</f>
        <v>0.30299999999986615</v>
      </c>
      <c r="X111" s="300">
        <f t="shared" ref="X111" si="271">SUM(X109:X110)</f>
        <v>1.8999999999983454E-2</v>
      </c>
      <c r="Y111" s="300">
        <f t="shared" si="261"/>
        <v>7.1339999999419161</v>
      </c>
    </row>
    <row r="112" spans="1:25" x14ac:dyDescent="0.2">
      <c r="C112" s="319"/>
      <c r="D112" s="319"/>
      <c r="E112" s="319"/>
      <c r="F112" s="319"/>
      <c r="G112" s="319"/>
      <c r="H112" s="319"/>
      <c r="I112" s="319"/>
      <c r="J112" s="319"/>
      <c r="K112" s="319"/>
      <c r="L112" s="319"/>
      <c r="M112" s="319"/>
      <c r="N112" s="319"/>
      <c r="O112" s="319"/>
      <c r="P112" s="319"/>
      <c r="Q112" s="319"/>
      <c r="R112" s="319"/>
      <c r="S112" s="319"/>
      <c r="T112" s="319"/>
      <c r="U112" s="319"/>
      <c r="V112" s="319"/>
      <c r="W112" s="319"/>
      <c r="X112" s="319"/>
      <c r="Y112" s="319"/>
    </row>
    <row r="113" spans="1:25" x14ac:dyDescent="0.2">
      <c r="A113" s="261" t="str">
        <f>name!A16</f>
        <v>Other non-metallic</v>
      </c>
      <c r="C113" s="263"/>
    </row>
    <row r="114" spans="1:25" x14ac:dyDescent="0.2">
      <c r="A114" s="260" t="s">
        <v>356</v>
      </c>
      <c r="B114" s="300">
        <v>0.49399999999588429</v>
      </c>
      <c r="C114" s="300">
        <v>4.2000000000793715E-2</v>
      </c>
      <c r="D114" s="300">
        <v>2.0000000000383593E-2</v>
      </c>
      <c r="E114" s="300">
        <f>SUM(B114:D114)</f>
        <v>0.55599999999706162</v>
      </c>
      <c r="F114" s="300"/>
      <c r="G114" s="300">
        <v>0.74099999999328281</v>
      </c>
      <c r="H114" s="300">
        <v>0.160999999999212</v>
      </c>
      <c r="I114" s="300">
        <v>0</v>
      </c>
      <c r="J114" s="300">
        <f>SUM(G114:I114)</f>
        <v>0.90199999999249481</v>
      </c>
      <c r="K114" s="300"/>
      <c r="L114" s="300">
        <v>0.80599999999506999</v>
      </c>
      <c r="M114" s="300">
        <v>0.15800000000007083</v>
      </c>
      <c r="N114" s="300">
        <v>1.099999999978154E-2</v>
      </c>
      <c r="O114" s="300">
        <f>SUM(L114:N114)</f>
        <v>0.97499999999492237</v>
      </c>
      <c r="P114" s="300"/>
      <c r="Q114" s="300">
        <v>0.83100000001286667</v>
      </c>
      <c r="R114" s="300">
        <v>0.17000000000900861</v>
      </c>
      <c r="S114" s="300">
        <v>1.0999999999929884E-2</v>
      </c>
      <c r="T114" s="300">
        <f>SUM(Q114:S114)</f>
        <v>1.0120000000218052</v>
      </c>
      <c r="U114" s="300"/>
      <c r="V114" s="300">
        <v>0.73500000000007204</v>
      </c>
      <c r="W114" s="300">
        <v>0.16300000000034406</v>
      </c>
      <c r="X114" s="300">
        <v>1.000000000023559E-2</v>
      </c>
      <c r="Y114" s="300">
        <f>SUM(V114:X114)</f>
        <v>0.90800000000065173</v>
      </c>
    </row>
    <row r="115" spans="1:25" x14ac:dyDescent="0.2">
      <c r="A115" s="260" t="s">
        <v>355</v>
      </c>
      <c r="B115" s="300">
        <v>2.3180000000086856</v>
      </c>
      <c r="C115" s="300">
        <v>1.3000000000031034E-2</v>
      </c>
      <c r="D115" s="300">
        <v>9.0999999998937445E-2</v>
      </c>
      <c r="E115" s="300">
        <f t="shared" ref="E115:E116" si="272">SUM(B115:D115)</f>
        <v>2.422000000007654</v>
      </c>
      <c r="F115" s="300"/>
      <c r="G115" s="300">
        <v>2.9780000000025493</v>
      </c>
      <c r="H115" s="300">
        <v>4.6999999999954335E-2</v>
      </c>
      <c r="I115" s="300">
        <v>8.0000000000714167E-2</v>
      </c>
      <c r="J115" s="300">
        <f t="shared" ref="J115:J116" si="273">SUM(G115:I115)</f>
        <v>3.1050000000032179</v>
      </c>
      <c r="K115" s="300"/>
      <c r="L115" s="300">
        <v>3.2560000000011828</v>
      </c>
      <c r="M115" s="300">
        <v>7.8000000000112146E-2</v>
      </c>
      <c r="N115" s="300">
        <v>0</v>
      </c>
      <c r="O115" s="300">
        <f t="shared" ref="O115:O116" si="274">SUM(L115:N115)</f>
        <v>3.334000000001295</v>
      </c>
      <c r="P115" s="300"/>
      <c r="Q115" s="300">
        <v>3.4319999999743187</v>
      </c>
      <c r="R115" s="300">
        <v>8.4999999999906761E-2</v>
      </c>
      <c r="S115" s="300">
        <v>0</v>
      </c>
      <c r="T115" s="300">
        <f t="shared" ref="T115:T116" si="275">SUM(Q115:S115)</f>
        <v>3.5169999999742254</v>
      </c>
      <c r="U115" s="300"/>
      <c r="V115" s="300">
        <v>3.1559999999720665</v>
      </c>
      <c r="W115" s="300">
        <v>8.1000000000008385E-2</v>
      </c>
      <c r="X115" s="300">
        <v>0</v>
      </c>
      <c r="Y115" s="300">
        <f t="shared" ref="Y115:Y116" si="276">SUM(V115:X115)</f>
        <v>3.2369999999720749</v>
      </c>
    </row>
    <row r="116" spans="1:25" x14ac:dyDescent="0.2">
      <c r="A116" s="260" t="s">
        <v>354</v>
      </c>
      <c r="B116" s="300">
        <f>SUM(B114:B115)</f>
        <v>2.81200000000457</v>
      </c>
      <c r="C116" s="300">
        <f t="shared" ref="C116" si="277">SUM(C114:C115)</f>
        <v>5.500000000082475E-2</v>
      </c>
      <c r="D116" s="300">
        <f t="shared" ref="D116" si="278">SUM(D114:D115)</f>
        <v>0.11099999999932103</v>
      </c>
      <c r="E116" s="300">
        <f t="shared" si="272"/>
        <v>2.978000000004716</v>
      </c>
      <c r="F116" s="300"/>
      <c r="G116" s="300">
        <f>SUM(G114:G115)</f>
        <v>3.7189999999958321</v>
      </c>
      <c r="H116" s="300">
        <f t="shared" ref="H116" si="279">SUM(H114:H115)</f>
        <v>0.20799999999916632</v>
      </c>
      <c r="I116" s="300">
        <f t="shared" ref="I116" si="280">SUM(I114:I115)</f>
        <v>8.0000000000714167E-2</v>
      </c>
      <c r="J116" s="300">
        <f t="shared" si="273"/>
        <v>4.0069999999957124</v>
      </c>
      <c r="K116" s="300"/>
      <c r="L116" s="300">
        <f>SUM(L114:L115)</f>
        <v>4.0619999999962531</v>
      </c>
      <c r="M116" s="300">
        <f t="shared" ref="M116" si="281">SUM(M114:M115)</f>
        <v>0.23600000000018298</v>
      </c>
      <c r="N116" s="300">
        <f t="shared" ref="N116" si="282">SUM(N114:N115)</f>
        <v>1.099999999978154E-2</v>
      </c>
      <c r="O116" s="300">
        <f t="shared" si="274"/>
        <v>4.3089999999962174</v>
      </c>
      <c r="P116" s="300"/>
      <c r="Q116" s="300">
        <f>SUM(Q114:Q115)</f>
        <v>4.2629999999871853</v>
      </c>
      <c r="R116" s="300">
        <f t="shared" ref="R116" si="283">SUM(R114:R115)</f>
        <v>0.25500000000891537</v>
      </c>
      <c r="S116" s="300">
        <f t="shared" ref="S116" si="284">SUM(S114:S115)</f>
        <v>1.0999999999929884E-2</v>
      </c>
      <c r="T116" s="300">
        <f t="shared" si="275"/>
        <v>4.5289999999960306</v>
      </c>
      <c r="U116" s="300"/>
      <c r="V116" s="300">
        <f>SUM(V114:V115)</f>
        <v>3.8909999999721387</v>
      </c>
      <c r="W116" s="300">
        <f t="shared" ref="W116" si="285">SUM(W114:W115)</f>
        <v>0.24400000000035243</v>
      </c>
      <c r="X116" s="300">
        <f t="shared" ref="X116" si="286">SUM(X114:X115)</f>
        <v>1.000000000023559E-2</v>
      </c>
      <c r="Y116" s="300">
        <f t="shared" si="276"/>
        <v>4.1449999999727263</v>
      </c>
    </row>
    <row r="117" spans="1:25" x14ac:dyDescent="0.2">
      <c r="C117" s="319"/>
      <c r="D117" s="319"/>
      <c r="E117" s="319"/>
      <c r="F117" s="319"/>
      <c r="G117" s="319"/>
      <c r="H117" s="319"/>
      <c r="I117" s="319"/>
      <c r="J117" s="319"/>
      <c r="K117" s="319"/>
      <c r="L117" s="319"/>
      <c r="M117" s="319"/>
      <c r="N117" s="319"/>
      <c r="O117" s="319"/>
      <c r="P117" s="319"/>
      <c r="Q117" s="319"/>
      <c r="R117" s="319"/>
      <c r="S117" s="319"/>
      <c r="T117" s="319"/>
      <c r="U117" s="319"/>
      <c r="V117" s="319"/>
      <c r="W117" s="319"/>
      <c r="X117" s="319"/>
      <c r="Y117" s="319"/>
    </row>
    <row r="118" spans="1:25" x14ac:dyDescent="0.2">
      <c r="A118" s="261" t="str">
        <f>name!A17</f>
        <v>Basic metals</v>
      </c>
      <c r="C118" s="263"/>
    </row>
    <row r="119" spans="1:25" x14ac:dyDescent="0.2">
      <c r="A119" s="260" t="s">
        <v>356</v>
      </c>
      <c r="B119" s="300">
        <v>1.2999999999951453E-2</v>
      </c>
      <c r="C119" s="300">
        <v>4.000000000065256E-3</v>
      </c>
      <c r="D119" s="300">
        <v>1.0000000000207441E-3</v>
      </c>
      <c r="E119" s="300">
        <f>SUM(B119:D119)</f>
        <v>1.8000000000037455E-2</v>
      </c>
      <c r="F119" s="300"/>
      <c r="G119" s="300">
        <v>2.199999999981914E-2</v>
      </c>
      <c r="H119" s="300">
        <v>6.8999999999421607E-2</v>
      </c>
      <c r="I119" s="300">
        <v>0</v>
      </c>
      <c r="J119" s="300">
        <f>SUM(G119:I119)</f>
        <v>9.0999999999240744E-2</v>
      </c>
      <c r="K119" s="300"/>
      <c r="L119" s="300">
        <v>1.8999999999901606E-2</v>
      </c>
      <c r="M119" s="300">
        <v>4.999999999981259E-2</v>
      </c>
      <c r="N119" s="300">
        <v>2.9999999999451373E-3</v>
      </c>
      <c r="O119" s="300">
        <f>SUM(L119:N119)</f>
        <v>7.1999999999659337E-2</v>
      </c>
      <c r="P119" s="300"/>
      <c r="Q119" s="300">
        <v>1.9000000000232213E-2</v>
      </c>
      <c r="R119" s="300">
        <v>5.1000000002227638E-2</v>
      </c>
      <c r="S119" s="300">
        <v>3.0000000000462174E-3</v>
      </c>
      <c r="T119" s="300">
        <f>SUM(Q119:S119)</f>
        <v>7.300000000250606E-2</v>
      </c>
      <c r="U119" s="300"/>
      <c r="V119" s="300">
        <v>1.8000000000063025E-2</v>
      </c>
      <c r="W119" s="300">
        <v>4.6000000000251381E-2</v>
      </c>
      <c r="X119" s="300">
        <v>3.0000000000247251E-3</v>
      </c>
      <c r="Y119" s="300">
        <f>SUM(V119:X119)</f>
        <v>6.7000000000339122E-2</v>
      </c>
    </row>
    <row r="120" spans="1:25" x14ac:dyDescent="0.2">
      <c r="A120" s="260" t="s">
        <v>355</v>
      </c>
      <c r="B120" s="300">
        <v>2.1170000000019455</v>
      </c>
      <c r="C120" s="300">
        <v>1.1000000000219596E-2</v>
      </c>
      <c r="D120" s="300">
        <v>2.8999999999559111E-2</v>
      </c>
      <c r="E120" s="300">
        <f t="shared" ref="E120:E121" si="287">SUM(B120:D120)</f>
        <v>2.157000000001724</v>
      </c>
      <c r="F120" s="300"/>
      <c r="G120" s="300">
        <v>2.9589999999987491</v>
      </c>
      <c r="H120" s="300">
        <v>0.13100000000179696</v>
      </c>
      <c r="I120" s="300">
        <v>7.1000000000683891E-2</v>
      </c>
      <c r="J120" s="300">
        <f t="shared" ref="J120:J121" si="288">SUM(G120:I120)</f>
        <v>3.1610000000012302</v>
      </c>
      <c r="K120" s="300"/>
      <c r="L120" s="300">
        <v>2.5179999999988083</v>
      </c>
      <c r="M120" s="300">
        <v>0.1020000000001455</v>
      </c>
      <c r="N120" s="300">
        <v>0</v>
      </c>
      <c r="O120" s="300">
        <f t="shared" ref="O120:O121" si="289">SUM(L120:N120)</f>
        <v>2.6199999999989538</v>
      </c>
      <c r="P120" s="300"/>
      <c r="Q120" s="300">
        <v>2.4969999999904133</v>
      </c>
      <c r="R120" s="300">
        <v>0.10099999999866732</v>
      </c>
      <c r="S120" s="300">
        <v>0</v>
      </c>
      <c r="T120" s="300">
        <f t="shared" ref="T120:T121" si="290">SUM(Q120:S120)</f>
        <v>2.5979999999890806</v>
      </c>
      <c r="U120" s="300"/>
      <c r="V120" s="300">
        <v>2.1809999999890999</v>
      </c>
      <c r="W120" s="300">
        <v>8.6999999999013145E-2</v>
      </c>
      <c r="X120" s="300">
        <v>0</v>
      </c>
      <c r="Y120" s="300">
        <f t="shared" ref="Y120:Y121" si="291">SUM(V120:X120)</f>
        <v>2.2679999999881129</v>
      </c>
    </row>
    <row r="121" spans="1:25" x14ac:dyDescent="0.2">
      <c r="A121" s="260" t="s">
        <v>354</v>
      </c>
      <c r="B121" s="300">
        <f>SUM(B119:B120)</f>
        <v>2.130000000001897</v>
      </c>
      <c r="C121" s="300">
        <f t="shared" ref="C121" si="292">SUM(C119:C120)</f>
        <v>1.5000000000284851E-2</v>
      </c>
      <c r="D121" s="300">
        <f t="shared" ref="D121" si="293">SUM(D119:D120)</f>
        <v>2.9999999999579856E-2</v>
      </c>
      <c r="E121" s="300">
        <f t="shared" si="287"/>
        <v>2.1750000000017615</v>
      </c>
      <c r="F121" s="300"/>
      <c r="G121" s="300">
        <f>SUM(G119:G120)</f>
        <v>2.9809999999985681</v>
      </c>
      <c r="H121" s="300">
        <f t="shared" ref="H121" si="294">SUM(H119:H120)</f>
        <v>0.20000000000121856</v>
      </c>
      <c r="I121" s="300">
        <f t="shared" ref="I121" si="295">SUM(I119:I120)</f>
        <v>7.1000000000683891E-2</v>
      </c>
      <c r="J121" s="300">
        <f t="shared" si="288"/>
        <v>3.252000000000471</v>
      </c>
      <c r="K121" s="300"/>
      <c r="L121" s="300">
        <f>SUM(L119:L120)</f>
        <v>2.5369999999987098</v>
      </c>
      <c r="M121" s="300">
        <f t="shared" ref="M121" si="296">SUM(M119:M120)</f>
        <v>0.15199999999995809</v>
      </c>
      <c r="N121" s="300">
        <f t="shared" ref="N121" si="297">SUM(N119:N120)</f>
        <v>2.9999999999451373E-3</v>
      </c>
      <c r="O121" s="300">
        <f t="shared" si="289"/>
        <v>2.6919999999986128</v>
      </c>
      <c r="P121" s="300"/>
      <c r="Q121" s="300">
        <f>SUM(Q119:Q120)</f>
        <v>2.5159999999906457</v>
      </c>
      <c r="R121" s="300">
        <f t="shared" ref="R121" si="298">SUM(R119:R120)</f>
        <v>0.15200000000089497</v>
      </c>
      <c r="S121" s="300">
        <f t="shared" ref="S121" si="299">SUM(S119:S120)</f>
        <v>3.0000000000462174E-3</v>
      </c>
      <c r="T121" s="300">
        <f t="shared" si="290"/>
        <v>2.670999999991587</v>
      </c>
      <c r="U121" s="300"/>
      <c r="V121" s="300">
        <f>SUM(V119:V120)</f>
        <v>2.1989999999891627</v>
      </c>
      <c r="W121" s="300">
        <f t="shared" ref="W121" si="300">SUM(W119:W120)</f>
        <v>0.13299999999926454</v>
      </c>
      <c r="X121" s="300">
        <f t="shared" ref="X121" si="301">SUM(X119:X120)</f>
        <v>3.0000000000247251E-3</v>
      </c>
      <c r="Y121" s="300">
        <f t="shared" si="291"/>
        <v>2.3349999999884519</v>
      </c>
    </row>
    <row r="122" spans="1:25" x14ac:dyDescent="0.2">
      <c r="C122" s="319"/>
      <c r="D122" s="319"/>
      <c r="E122" s="319"/>
      <c r="F122" s="319"/>
      <c r="G122" s="319"/>
      <c r="H122" s="319"/>
      <c r="I122" s="319"/>
      <c r="J122" s="319"/>
      <c r="K122" s="319"/>
      <c r="L122" s="319"/>
      <c r="M122" s="319"/>
      <c r="N122" s="319"/>
      <c r="O122" s="319"/>
      <c r="P122" s="319"/>
      <c r="Q122" s="319"/>
      <c r="R122" s="319"/>
      <c r="S122" s="319"/>
      <c r="T122" s="319"/>
      <c r="U122" s="319"/>
      <c r="V122" s="319"/>
      <c r="W122" s="319"/>
      <c r="X122" s="319"/>
      <c r="Y122" s="319"/>
    </row>
    <row r="123" spans="1:25" x14ac:dyDescent="0.2">
      <c r="A123" s="261" t="str">
        <f>name!A18</f>
        <v>Metal products</v>
      </c>
      <c r="C123" s="263"/>
    </row>
    <row r="124" spans="1:25" x14ac:dyDescent="0.2">
      <c r="A124" s="260" t="s">
        <v>356</v>
      </c>
      <c r="B124" s="300">
        <v>1.2319999999915423</v>
      </c>
      <c r="C124" s="300">
        <v>0.24900000000366679</v>
      </c>
      <c r="D124" s="300">
        <v>1.2000000000122328E-2</v>
      </c>
      <c r="E124" s="300">
        <f>SUM(B124:D124)</f>
        <v>1.4929999999953314</v>
      </c>
      <c r="F124" s="300"/>
      <c r="G124" s="300">
        <v>1.5219999999700466</v>
      </c>
      <c r="H124" s="300">
        <v>0.43799999999801364</v>
      </c>
      <c r="I124" s="300">
        <v>0</v>
      </c>
      <c r="J124" s="300">
        <f>SUM(G124:I124)</f>
        <v>1.9599999999680602</v>
      </c>
      <c r="K124" s="300"/>
      <c r="L124" s="300">
        <v>1.2889999999820096</v>
      </c>
      <c r="M124" s="300">
        <v>0.32099999999981255</v>
      </c>
      <c r="N124" s="300">
        <v>2.7999999999735393E-2</v>
      </c>
      <c r="O124" s="300">
        <f>SUM(L124:N124)</f>
        <v>1.6379999999815575</v>
      </c>
      <c r="P124" s="300"/>
      <c r="Q124" s="300">
        <v>1.3310000000479143</v>
      </c>
      <c r="R124" s="300">
        <v>0.32400000001610213</v>
      </c>
      <c r="S124" s="300">
        <v>2.8999999999973661E-2</v>
      </c>
      <c r="T124" s="300">
        <f>SUM(Q124:S124)</f>
        <v>1.6840000000639901</v>
      </c>
      <c r="U124" s="300"/>
      <c r="V124" s="300">
        <v>1.2499999999969407</v>
      </c>
      <c r="W124" s="300">
        <v>0.29099999999980197</v>
      </c>
      <c r="X124" s="300">
        <v>2.7000000000160715E-2</v>
      </c>
      <c r="Y124" s="300">
        <f>SUM(V124:X124)</f>
        <v>1.5679999999969032</v>
      </c>
    </row>
    <row r="125" spans="1:25" x14ac:dyDescent="0.2">
      <c r="A125" s="260" t="s">
        <v>355</v>
      </c>
      <c r="B125" s="300">
        <v>13.9390000000122</v>
      </c>
      <c r="C125" s="300">
        <v>0.31900000000325751</v>
      </c>
      <c r="D125" s="300">
        <v>0.19599999999923137</v>
      </c>
      <c r="E125" s="300">
        <f t="shared" ref="E125:E126" si="302">SUM(B125:D125)</f>
        <v>14.454000000014688</v>
      </c>
      <c r="F125" s="300"/>
      <c r="G125" s="300">
        <v>13.934999999992673</v>
      </c>
      <c r="H125" s="300">
        <v>0.36200000000155486</v>
      </c>
      <c r="I125" s="300">
        <v>0.30600000000438943</v>
      </c>
      <c r="J125" s="300">
        <f t="shared" ref="J125:J126" si="303">SUM(G125:I125)</f>
        <v>14.602999999998616</v>
      </c>
      <c r="K125" s="300"/>
      <c r="L125" s="300">
        <v>11.858999999991333</v>
      </c>
      <c r="M125" s="300">
        <v>0.28100000000086089</v>
      </c>
      <c r="N125" s="300">
        <v>0</v>
      </c>
      <c r="O125" s="300">
        <f t="shared" ref="O125:O126" si="304">SUM(L125:N125)</f>
        <v>12.139999999992193</v>
      </c>
      <c r="P125" s="300"/>
      <c r="Q125" s="300">
        <v>11.75799999994206</v>
      </c>
      <c r="R125" s="300">
        <v>0.27799999999838476</v>
      </c>
      <c r="S125" s="300">
        <v>0</v>
      </c>
      <c r="T125" s="300">
        <f t="shared" ref="T125:T126" si="305">SUM(Q125:S125)</f>
        <v>12.035999999940444</v>
      </c>
      <c r="U125" s="300"/>
      <c r="V125" s="300">
        <v>10.268999999931083</v>
      </c>
      <c r="W125" s="300">
        <v>0.23999999999915006</v>
      </c>
      <c r="X125" s="300">
        <v>0</v>
      </c>
      <c r="Y125" s="300">
        <f t="shared" ref="Y125:Y126" si="306">SUM(V125:X125)</f>
        <v>10.508999999930232</v>
      </c>
    </row>
    <row r="126" spans="1:25" x14ac:dyDescent="0.2">
      <c r="A126" s="260" t="s">
        <v>354</v>
      </c>
      <c r="B126" s="300">
        <f>SUM(B124:B125)</f>
        <v>15.171000000003742</v>
      </c>
      <c r="C126" s="300">
        <f t="shared" ref="C126" si="307">SUM(C124:C125)</f>
        <v>0.5680000000069243</v>
      </c>
      <c r="D126" s="300">
        <f t="shared" ref="D126" si="308">SUM(D124:D125)</f>
        <v>0.2079999999993537</v>
      </c>
      <c r="E126" s="300">
        <f t="shared" si="302"/>
        <v>15.94700000001002</v>
      </c>
      <c r="F126" s="300"/>
      <c r="G126" s="300">
        <f>SUM(G124:G125)</f>
        <v>15.45699999996272</v>
      </c>
      <c r="H126" s="300">
        <f t="shared" ref="H126" si="309">SUM(H124:H125)</f>
        <v>0.7999999999995685</v>
      </c>
      <c r="I126" s="300">
        <f t="shared" ref="I126" si="310">SUM(I124:I125)</f>
        <v>0.30600000000438943</v>
      </c>
      <c r="J126" s="300">
        <f t="shared" si="303"/>
        <v>16.562999999966678</v>
      </c>
      <c r="K126" s="300"/>
      <c r="L126" s="300">
        <f>SUM(L124:L125)</f>
        <v>13.147999999973344</v>
      </c>
      <c r="M126" s="300">
        <f t="shared" ref="M126" si="311">SUM(M124:M125)</f>
        <v>0.60200000000067344</v>
      </c>
      <c r="N126" s="300">
        <f t="shared" ref="N126" si="312">SUM(N124:N125)</f>
        <v>2.7999999999735393E-2</v>
      </c>
      <c r="O126" s="300">
        <f t="shared" si="304"/>
        <v>13.777999999973753</v>
      </c>
      <c r="P126" s="300"/>
      <c r="Q126" s="300">
        <f>SUM(Q124:Q125)</f>
        <v>13.088999999989975</v>
      </c>
      <c r="R126" s="300">
        <f t="shared" ref="R126" si="313">SUM(R124:R125)</f>
        <v>0.60200000001448695</v>
      </c>
      <c r="S126" s="300">
        <f t="shared" ref="S126" si="314">SUM(S124:S125)</f>
        <v>2.8999999999973661E-2</v>
      </c>
      <c r="T126" s="300">
        <f t="shared" si="305"/>
        <v>13.720000000004434</v>
      </c>
      <c r="U126" s="300"/>
      <c r="V126" s="300">
        <f>SUM(V124:V125)</f>
        <v>11.518999999928024</v>
      </c>
      <c r="W126" s="300">
        <f t="shared" ref="W126" si="315">SUM(W124:W125)</f>
        <v>0.53099999999895209</v>
      </c>
      <c r="X126" s="300">
        <f t="shared" ref="X126" si="316">SUM(X124:X125)</f>
        <v>2.7000000000160715E-2</v>
      </c>
      <c r="Y126" s="300">
        <f t="shared" si="306"/>
        <v>12.076999999927137</v>
      </c>
    </row>
    <row r="127" spans="1:25" x14ac:dyDescent="0.2">
      <c r="C127" s="319"/>
      <c r="D127" s="319"/>
      <c r="E127" s="319"/>
      <c r="F127" s="319"/>
      <c r="G127" s="319"/>
      <c r="H127" s="319"/>
      <c r="I127" s="319"/>
      <c r="J127" s="319"/>
      <c r="K127" s="319"/>
      <c r="L127" s="319"/>
      <c r="M127" s="319"/>
      <c r="N127" s="319"/>
      <c r="O127" s="319"/>
      <c r="P127" s="319"/>
      <c r="Q127" s="319"/>
      <c r="R127" s="319"/>
      <c r="S127" s="319"/>
      <c r="T127" s="319"/>
      <c r="U127" s="319"/>
      <c r="V127" s="319"/>
      <c r="W127" s="319"/>
      <c r="X127" s="319"/>
      <c r="Y127" s="319"/>
    </row>
    <row r="128" spans="1:25" x14ac:dyDescent="0.2">
      <c r="A128" s="261" t="str">
        <f>name!A22</f>
        <v>Motor vehicles, etc</v>
      </c>
      <c r="C128" s="263"/>
    </row>
    <row r="129" spans="1:25" x14ac:dyDescent="0.2">
      <c r="A129" s="260" t="s">
        <v>356</v>
      </c>
      <c r="B129" s="300">
        <v>0.91099999999496395</v>
      </c>
      <c r="C129" s="300">
        <v>0.11800000000225901</v>
      </c>
      <c r="D129" s="300">
        <v>9.000000000145409E-3</v>
      </c>
      <c r="E129" s="300">
        <f>SUM(B129:D129)</f>
        <v>1.0379999999973684</v>
      </c>
      <c r="F129" s="300"/>
      <c r="G129" s="300">
        <v>1.8369999999609632</v>
      </c>
      <c r="H129" s="300">
        <v>0.15199999999972946</v>
      </c>
      <c r="I129" s="300">
        <v>1.0000000000122049E-3</v>
      </c>
      <c r="J129" s="300">
        <f>SUM(G129:I129)</f>
        <v>1.9899999999607048</v>
      </c>
      <c r="K129" s="300"/>
      <c r="L129" s="300">
        <v>1.2749999999806654</v>
      </c>
      <c r="M129" s="300">
        <v>0.10500000000031319</v>
      </c>
      <c r="N129" s="300">
        <v>6.9999999998967043E-3</v>
      </c>
      <c r="O129" s="300">
        <f>SUM(L129:N129)</f>
        <v>1.3869999999808753</v>
      </c>
      <c r="P129" s="300"/>
      <c r="Q129" s="300">
        <v>1.2480000000498455</v>
      </c>
      <c r="R129" s="300">
        <v>9.9000000005134869E-2</v>
      </c>
      <c r="S129" s="300">
        <v>6.999999999943626E-3</v>
      </c>
      <c r="T129" s="300">
        <f>SUM(Q129:S129)</f>
        <v>1.3540000000549242</v>
      </c>
      <c r="U129" s="300"/>
      <c r="V129" s="300">
        <v>1.2109999999952461</v>
      </c>
      <c r="W129" s="300">
        <v>8.5000000000173229E-2</v>
      </c>
      <c r="X129" s="300">
        <v>6.0000000000303222E-3</v>
      </c>
      <c r="Y129" s="300">
        <f>SUM(V129:X129)</f>
        <v>1.3019999999954497</v>
      </c>
    </row>
    <row r="130" spans="1:25" x14ac:dyDescent="0.2">
      <c r="A130" s="260" t="s">
        <v>355</v>
      </c>
      <c r="B130" s="300">
        <v>11.497000000009988</v>
      </c>
      <c r="C130" s="300">
        <v>7.0000000001085817E-3</v>
      </c>
      <c r="D130" s="300">
        <v>8.400000000002196E-2</v>
      </c>
      <c r="E130" s="300">
        <f t="shared" ref="E130:E131" si="317">SUM(B130:D130)</f>
        <v>11.588000000010119</v>
      </c>
      <c r="F130" s="300"/>
      <c r="G130" s="300">
        <v>12.970999999992076</v>
      </c>
      <c r="H130" s="300">
        <v>2.7000000000256756E-2</v>
      </c>
      <c r="I130" s="300">
        <v>5.7000000000580107E-2</v>
      </c>
      <c r="J130" s="300">
        <f t="shared" ref="J130:J131" si="318">SUM(G130:I130)</f>
        <v>13.054999999992912</v>
      </c>
      <c r="K130" s="300"/>
      <c r="L130" s="300">
        <v>11.318999999991428</v>
      </c>
      <c r="M130" s="300">
        <v>3.3000000000082796E-2</v>
      </c>
      <c r="N130" s="300">
        <v>1.0000000000031555E-3</v>
      </c>
      <c r="O130" s="300">
        <f t="shared" ref="O130:O131" si="319">SUM(L130:N130)</f>
        <v>11.352999999991514</v>
      </c>
      <c r="P130" s="300"/>
      <c r="Q130" s="300">
        <v>10.677999999956963</v>
      </c>
      <c r="R130" s="300">
        <v>3.2999999999686967E-2</v>
      </c>
      <c r="S130" s="300">
        <v>1.0000000000040916E-3</v>
      </c>
      <c r="T130" s="300">
        <f t="shared" ref="T130:T131" si="320">SUM(Q130:S130)</f>
        <v>10.711999999956655</v>
      </c>
      <c r="U130" s="300"/>
      <c r="V130" s="300">
        <v>9.6599999999478676</v>
      </c>
      <c r="W130" s="300">
        <v>3.1999999999794568E-2</v>
      </c>
      <c r="X130" s="300">
        <v>1.0000000000152981E-3</v>
      </c>
      <c r="Y130" s="300">
        <f t="shared" ref="Y130:Y131" si="321">SUM(V130:X130)</f>
        <v>9.692999999947677</v>
      </c>
    </row>
    <row r="131" spans="1:25" x14ac:dyDescent="0.2">
      <c r="A131" s="260" t="s">
        <v>354</v>
      </c>
      <c r="B131" s="300">
        <f>SUM(B129:B130)</f>
        <v>12.408000000004952</v>
      </c>
      <c r="C131" s="300">
        <f t="shared" ref="C131" si="322">SUM(C129:C130)</f>
        <v>0.12500000000236758</v>
      </c>
      <c r="D131" s="300">
        <f t="shared" ref="D131" si="323">SUM(D129:D130)</f>
        <v>9.3000000000167365E-2</v>
      </c>
      <c r="E131" s="300">
        <f t="shared" si="317"/>
        <v>12.626000000007487</v>
      </c>
      <c r="F131" s="300"/>
      <c r="G131" s="300">
        <f>SUM(G129:G130)</f>
        <v>14.807999999953038</v>
      </c>
      <c r="H131" s="300">
        <f t="shared" ref="H131" si="324">SUM(H129:H130)</f>
        <v>0.17899999999998623</v>
      </c>
      <c r="I131" s="300">
        <f t="shared" ref="I131" si="325">SUM(I129:I130)</f>
        <v>5.8000000000592314E-2</v>
      </c>
      <c r="J131" s="300">
        <f t="shared" si="318"/>
        <v>15.044999999953617</v>
      </c>
      <c r="K131" s="300"/>
      <c r="L131" s="300">
        <f>SUM(L129:L130)</f>
        <v>12.593999999972093</v>
      </c>
      <c r="M131" s="300">
        <f t="shared" ref="M131" si="326">SUM(M129:M130)</f>
        <v>0.13800000000039597</v>
      </c>
      <c r="N131" s="300">
        <f t="shared" ref="N131" si="327">SUM(N129:N130)</f>
        <v>7.9999999998998598E-3</v>
      </c>
      <c r="O131" s="300">
        <f t="shared" si="319"/>
        <v>12.739999999972389</v>
      </c>
      <c r="P131" s="300"/>
      <c r="Q131" s="300">
        <f>SUM(Q129:Q130)</f>
        <v>11.926000000006809</v>
      </c>
      <c r="R131" s="300">
        <f t="shared" ref="R131" si="328">SUM(R129:R130)</f>
        <v>0.13200000000482184</v>
      </c>
      <c r="S131" s="300">
        <f t="shared" ref="S131" si="329">SUM(S129:S130)</f>
        <v>7.9999999999477173E-3</v>
      </c>
      <c r="T131" s="300">
        <f t="shared" si="320"/>
        <v>12.066000000011579</v>
      </c>
      <c r="U131" s="300"/>
      <c r="V131" s="300">
        <f>SUM(V129:V130)</f>
        <v>10.870999999943114</v>
      </c>
      <c r="W131" s="300">
        <f t="shared" ref="W131" si="330">SUM(W129:W130)</f>
        <v>0.1169999999999678</v>
      </c>
      <c r="X131" s="300">
        <f t="shared" ref="X131" si="331">SUM(X129:X130)</f>
        <v>7.0000000000456208E-3</v>
      </c>
      <c r="Y131" s="300">
        <f t="shared" si="321"/>
        <v>10.994999999943127</v>
      </c>
    </row>
    <row r="132" spans="1:25" x14ac:dyDescent="0.2">
      <c r="C132" s="319"/>
      <c r="D132" s="319"/>
      <c r="E132" s="319"/>
      <c r="F132" s="319"/>
      <c r="G132" s="319"/>
      <c r="H132" s="319"/>
      <c r="I132" s="319"/>
      <c r="J132" s="319"/>
      <c r="K132" s="319"/>
      <c r="L132" s="319"/>
      <c r="M132" s="319"/>
      <c r="N132" s="319"/>
      <c r="O132" s="319"/>
      <c r="P132" s="319"/>
      <c r="Q132" s="319"/>
      <c r="R132" s="319"/>
      <c r="S132" s="319"/>
      <c r="T132" s="319"/>
      <c r="U132" s="319"/>
      <c r="V132" s="319"/>
      <c r="W132" s="319"/>
      <c r="X132" s="319"/>
      <c r="Y132" s="319"/>
    </row>
    <row r="133" spans="1:25" x14ac:dyDescent="0.2">
      <c r="A133" s="261" t="str">
        <f>name!A23</f>
        <v>Other transport equipment</v>
      </c>
      <c r="C133" s="263"/>
    </row>
    <row r="134" spans="1:25" x14ac:dyDescent="0.2">
      <c r="A134" s="260" t="s">
        <v>356</v>
      </c>
      <c r="B134" s="300">
        <v>0.11999999999931378</v>
      </c>
      <c r="C134" s="300">
        <v>2.0000000000171274E-3</v>
      </c>
      <c r="D134" s="300">
        <v>2.0000000000121253E-3</v>
      </c>
      <c r="E134" s="300">
        <f>SUM(B134:D134)</f>
        <v>0.12399999999934304</v>
      </c>
      <c r="F134" s="300"/>
      <c r="G134" s="300">
        <v>0.24299999999727312</v>
      </c>
      <c r="H134" s="300">
        <v>3.9999999999849739E-3</v>
      </c>
      <c r="I134" s="300">
        <v>1.000000000009593E-3</v>
      </c>
      <c r="J134" s="300">
        <f>SUM(G134:I134)</f>
        <v>0.24799999999726768</v>
      </c>
      <c r="K134" s="300"/>
      <c r="L134" s="300">
        <v>0.25299999999795986</v>
      </c>
      <c r="M134" s="300">
        <v>2.9999999999934788E-3</v>
      </c>
      <c r="N134" s="300">
        <v>9.9999999999790426E-4</v>
      </c>
      <c r="O134" s="300">
        <f>SUM(L134:N134)</f>
        <v>0.2569999999979512</v>
      </c>
      <c r="P134" s="300"/>
      <c r="Q134" s="300">
        <v>0.21600000000446273</v>
      </c>
      <c r="R134" s="300">
        <v>2.0000000000466446E-3</v>
      </c>
      <c r="S134" s="300">
        <v>9.9999999999758138E-4</v>
      </c>
      <c r="T134" s="300">
        <f>SUM(Q134:S134)</f>
        <v>0.21900000000450695</v>
      </c>
      <c r="U134" s="300"/>
      <c r="V134" s="300">
        <v>0.18199999999969493</v>
      </c>
      <c r="W134" s="300">
        <v>2.0000000000044119E-3</v>
      </c>
      <c r="X134" s="300">
        <v>1.0000000000113239E-3</v>
      </c>
      <c r="Y134" s="300">
        <f>SUM(V134:X134)</f>
        <v>0.18499999999971067</v>
      </c>
    </row>
    <row r="135" spans="1:25" x14ac:dyDescent="0.2">
      <c r="A135" s="260" t="s">
        <v>355</v>
      </c>
      <c r="B135" s="300">
        <v>1.7549999999983095</v>
      </c>
      <c r="C135" s="300">
        <v>1.0999999999980848E-2</v>
      </c>
      <c r="D135" s="300">
        <v>1.4999999999824329E-2</v>
      </c>
      <c r="E135" s="300">
        <f t="shared" ref="E135:E136" si="332">SUM(B135:D135)</f>
        <v>1.7809999999981145</v>
      </c>
      <c r="F135" s="300"/>
      <c r="G135" s="300">
        <v>2.4269999999960565</v>
      </c>
      <c r="H135" s="300">
        <v>2.7000000000102338E-2</v>
      </c>
      <c r="I135" s="300">
        <v>1.4000000000186074E-2</v>
      </c>
      <c r="J135" s="300">
        <f t="shared" ref="J135:J136" si="333">SUM(G135:I135)</f>
        <v>2.4679999999963447</v>
      </c>
      <c r="K135" s="300"/>
      <c r="L135" s="300">
        <v>2.3879999999962642</v>
      </c>
      <c r="M135" s="300">
        <v>1.8000000000065505E-2</v>
      </c>
      <c r="N135" s="300">
        <v>9.9999999998681114E-4</v>
      </c>
      <c r="O135" s="300">
        <f t="shared" ref="O135:O136" si="334">SUM(L135:N135)</f>
        <v>2.4069999999963168</v>
      </c>
      <c r="P135" s="300"/>
      <c r="Q135" s="300">
        <v>1.9229999999970189</v>
      </c>
      <c r="R135" s="300">
        <v>1.4999999999903504E-2</v>
      </c>
      <c r="S135" s="300">
        <v>9.999999999492418E-4</v>
      </c>
      <c r="T135" s="300">
        <f t="shared" ref="T135:T136" si="335">SUM(Q135:S135)</f>
        <v>1.9389999999968717</v>
      </c>
      <c r="U135" s="300"/>
      <c r="V135" s="300">
        <v>1.4339999999962247</v>
      </c>
      <c r="W135" s="300">
        <v>1.0999999999943333E-2</v>
      </c>
      <c r="X135" s="300">
        <v>9.9999999996512427E-4</v>
      </c>
      <c r="Y135" s="300">
        <f t="shared" ref="Y135:Y136" si="336">SUM(V135:X135)</f>
        <v>1.445999999996133</v>
      </c>
    </row>
    <row r="136" spans="1:25" x14ac:dyDescent="0.2">
      <c r="A136" s="260" t="s">
        <v>354</v>
      </c>
      <c r="B136" s="300">
        <f>SUM(B134:B135)</f>
        <v>1.8749999999976232</v>
      </c>
      <c r="C136" s="300">
        <f t="shared" ref="C136" si="337">SUM(C134:C135)</f>
        <v>1.2999999999997975E-2</v>
      </c>
      <c r="D136" s="300">
        <f t="shared" ref="D136" si="338">SUM(D134:D135)</f>
        <v>1.6999999999836455E-2</v>
      </c>
      <c r="E136" s="300">
        <f t="shared" si="332"/>
        <v>1.9049999999974576</v>
      </c>
      <c r="F136" s="300"/>
      <c r="G136" s="300">
        <f>SUM(G134:G135)</f>
        <v>2.6699999999933297</v>
      </c>
      <c r="H136" s="300">
        <f t="shared" ref="H136" si="339">SUM(H134:H135)</f>
        <v>3.1000000000087312E-2</v>
      </c>
      <c r="I136" s="300">
        <f t="shared" ref="I136" si="340">SUM(I134:I135)</f>
        <v>1.5000000000195666E-2</v>
      </c>
      <c r="J136" s="300">
        <f t="shared" si="333"/>
        <v>2.7159999999936124</v>
      </c>
      <c r="K136" s="300"/>
      <c r="L136" s="300">
        <f>SUM(L134:L135)</f>
        <v>2.6409999999942242</v>
      </c>
      <c r="M136" s="300">
        <f t="shared" ref="M136" si="341">SUM(M134:M135)</f>
        <v>2.1000000000058985E-2</v>
      </c>
      <c r="N136" s="300">
        <f t="shared" ref="N136" si="342">SUM(N134:N135)</f>
        <v>1.9999999999847154E-3</v>
      </c>
      <c r="O136" s="300">
        <f t="shared" si="334"/>
        <v>2.6639999999942678</v>
      </c>
      <c r="P136" s="300"/>
      <c r="Q136" s="300">
        <f>SUM(Q134:Q135)</f>
        <v>2.1390000000014817</v>
      </c>
      <c r="R136" s="300">
        <f t="shared" ref="R136" si="343">SUM(R134:R135)</f>
        <v>1.6999999999950149E-2</v>
      </c>
      <c r="S136" s="300">
        <f t="shared" ref="S136" si="344">SUM(S134:S135)</f>
        <v>1.999999999946823E-3</v>
      </c>
      <c r="T136" s="300">
        <f t="shared" si="335"/>
        <v>2.1580000000013788</v>
      </c>
      <c r="U136" s="300"/>
      <c r="V136" s="300">
        <f>SUM(V134:V135)</f>
        <v>1.6159999999959196</v>
      </c>
      <c r="W136" s="300">
        <f t="shared" ref="W136" si="345">SUM(W134:W135)</f>
        <v>1.2999999999947744E-2</v>
      </c>
      <c r="X136" s="300">
        <f t="shared" ref="X136" si="346">SUM(X134:X135)</f>
        <v>1.9999999999764481E-3</v>
      </c>
      <c r="Y136" s="300">
        <f t="shared" si="336"/>
        <v>1.6309999999958438</v>
      </c>
    </row>
    <row r="137" spans="1:25" x14ac:dyDescent="0.2">
      <c r="C137" s="319"/>
      <c r="D137" s="319"/>
      <c r="E137" s="319"/>
      <c r="F137" s="319"/>
      <c r="G137" s="319"/>
      <c r="H137" s="319"/>
      <c r="I137" s="319"/>
      <c r="J137" s="319"/>
      <c r="K137" s="319"/>
      <c r="L137" s="319"/>
      <c r="M137" s="319"/>
      <c r="N137" s="319"/>
      <c r="O137" s="319"/>
      <c r="P137" s="319"/>
      <c r="Q137" s="319"/>
      <c r="R137" s="319"/>
      <c r="S137" s="319"/>
      <c r="T137" s="319"/>
      <c r="U137" s="319"/>
      <c r="V137" s="319"/>
      <c r="W137" s="319"/>
      <c r="X137" s="319"/>
      <c r="Y137" s="319"/>
    </row>
    <row r="138" spans="1:25" x14ac:dyDescent="0.2">
      <c r="A138" s="261" t="str">
        <f>name!A24</f>
        <v>Furniture</v>
      </c>
      <c r="C138" s="263"/>
    </row>
    <row r="139" spans="1:25" x14ac:dyDescent="0.2">
      <c r="A139" s="260" t="s">
        <v>356</v>
      </c>
      <c r="B139" s="300">
        <v>0.23799999999832297</v>
      </c>
      <c r="C139" s="300">
        <v>0.17800000000289778</v>
      </c>
      <c r="D139" s="300">
        <v>0.17000000000602375</v>
      </c>
      <c r="E139" s="300">
        <f>SUM(B139:D139)</f>
        <v>0.5860000000072445</v>
      </c>
      <c r="F139" s="300"/>
      <c r="G139" s="300">
        <v>0.14299999999746871</v>
      </c>
      <c r="H139" s="300">
        <v>0.1719999999995051</v>
      </c>
      <c r="I139" s="300">
        <v>0</v>
      </c>
      <c r="J139" s="300">
        <f>SUM(G139:I139)</f>
        <v>0.31499999999697381</v>
      </c>
      <c r="K139" s="300"/>
      <c r="L139" s="300">
        <v>0.14299999999824423</v>
      </c>
      <c r="M139" s="300">
        <v>0.12300000000013346</v>
      </c>
      <c r="N139" s="300">
        <v>4.1999999998387071E-2</v>
      </c>
      <c r="O139" s="300">
        <f>SUM(L139:N139)</f>
        <v>0.30799999999676475</v>
      </c>
      <c r="P139" s="300"/>
      <c r="Q139" s="300">
        <v>0.12900000000407705</v>
      </c>
      <c r="R139" s="300">
        <v>0.11100000000525059</v>
      </c>
      <c r="S139" s="300">
        <v>3.6000000001581517E-2</v>
      </c>
      <c r="T139" s="300">
        <f>SUM(Q139:S139)</f>
        <v>0.27600000001090919</v>
      </c>
      <c r="U139" s="300"/>
      <c r="V139" s="300">
        <v>0.13199999999981415</v>
      </c>
      <c r="W139" s="300">
        <v>0.11299999999985651</v>
      </c>
      <c r="X139" s="300">
        <v>3.500000000000552E-2</v>
      </c>
      <c r="Y139" s="300">
        <f>SUM(V139:X139)</f>
        <v>0.27999999999967617</v>
      </c>
    </row>
    <row r="140" spans="1:25" x14ac:dyDescent="0.2">
      <c r="A140" s="260" t="s">
        <v>355</v>
      </c>
      <c r="B140" s="300">
        <v>4.6360000000159749</v>
      </c>
      <c r="C140" s="300">
        <v>5.5000000000747389E-2</v>
      </c>
      <c r="D140" s="300">
        <v>0.72899999999675358</v>
      </c>
      <c r="E140" s="300">
        <f t="shared" ref="E140:E141" si="347">SUM(B140:D140)</f>
        <v>5.4200000000134763</v>
      </c>
      <c r="F140" s="300"/>
      <c r="G140" s="300">
        <v>2.2870000000014477</v>
      </c>
      <c r="H140" s="300">
        <v>5.8000000000460003E-2</v>
      </c>
      <c r="I140" s="300">
        <v>0.16200000000022571</v>
      </c>
      <c r="J140" s="300">
        <f t="shared" ref="J140:J141" si="348">SUM(G140:I140)</f>
        <v>2.5070000000021331</v>
      </c>
      <c r="K140" s="300"/>
      <c r="L140" s="300">
        <v>2.4860000000004416</v>
      </c>
      <c r="M140" s="300">
        <v>6.1000000000043277E-2</v>
      </c>
      <c r="N140" s="300">
        <v>0</v>
      </c>
      <c r="O140" s="300">
        <f t="shared" ref="O140:O141" si="349">SUM(L140:N140)</f>
        <v>2.5470000000004851</v>
      </c>
      <c r="P140" s="300"/>
      <c r="Q140" s="300">
        <v>2.2439999999827678</v>
      </c>
      <c r="R140" s="300">
        <v>5.3999999999692683E-2</v>
      </c>
      <c r="S140" s="300">
        <v>0</v>
      </c>
      <c r="T140" s="300">
        <f t="shared" ref="T140:T141" si="350">SUM(Q140:S140)</f>
        <v>2.2979999999824603</v>
      </c>
      <c r="U140" s="300"/>
      <c r="V140" s="300">
        <v>2.2629999999782182</v>
      </c>
      <c r="W140" s="300">
        <v>5.2999999999865662E-2</v>
      </c>
      <c r="X140" s="300">
        <v>0</v>
      </c>
      <c r="Y140" s="300">
        <f t="shared" ref="Y140:Y141" si="351">SUM(V140:X140)</f>
        <v>2.315999999978084</v>
      </c>
    </row>
    <row r="141" spans="1:25" x14ac:dyDescent="0.2">
      <c r="A141" s="260" t="s">
        <v>354</v>
      </c>
      <c r="B141" s="300">
        <f>SUM(B139:B140)</f>
        <v>4.8740000000142976</v>
      </c>
      <c r="C141" s="300">
        <f t="shared" ref="C141" si="352">SUM(C139:C140)</f>
        <v>0.23300000000364518</v>
      </c>
      <c r="D141" s="300">
        <f t="shared" ref="D141" si="353">SUM(D139:D140)</f>
        <v>0.89900000000277736</v>
      </c>
      <c r="E141" s="300">
        <f t="shared" si="347"/>
        <v>6.0060000000207197</v>
      </c>
      <c r="F141" s="300"/>
      <c r="G141" s="300">
        <f>SUM(G139:G140)</f>
        <v>2.4299999999989161</v>
      </c>
      <c r="H141" s="300">
        <f t="shared" ref="H141" si="354">SUM(H139:H140)</f>
        <v>0.22999999999996512</v>
      </c>
      <c r="I141" s="300">
        <f t="shared" ref="I141" si="355">SUM(I139:I140)</f>
        <v>0.16200000000022571</v>
      </c>
      <c r="J141" s="300">
        <f t="shared" si="348"/>
        <v>2.8219999999991066</v>
      </c>
      <c r="K141" s="300"/>
      <c r="L141" s="300">
        <f>SUM(L139:L140)</f>
        <v>2.6289999999986859</v>
      </c>
      <c r="M141" s="300">
        <f t="shared" ref="M141" si="356">SUM(M139:M140)</f>
        <v>0.18400000000017674</v>
      </c>
      <c r="N141" s="300">
        <f t="shared" ref="N141" si="357">SUM(N139:N140)</f>
        <v>4.1999999998387071E-2</v>
      </c>
      <c r="O141" s="300">
        <f t="shared" si="349"/>
        <v>2.8549999999972497</v>
      </c>
      <c r="P141" s="300"/>
      <c r="Q141" s="300">
        <f>SUM(Q139:Q140)</f>
        <v>2.372999999986845</v>
      </c>
      <c r="R141" s="300">
        <f t="shared" ref="R141" si="358">SUM(R139:R140)</f>
        <v>0.16500000000494328</v>
      </c>
      <c r="S141" s="300">
        <f t="shared" ref="S141" si="359">SUM(S139:S140)</f>
        <v>3.6000000001581517E-2</v>
      </c>
      <c r="T141" s="300">
        <f t="shared" si="350"/>
        <v>2.5739999999933696</v>
      </c>
      <c r="U141" s="300"/>
      <c r="V141" s="300">
        <f>SUM(V139:V140)</f>
        <v>2.3949999999780323</v>
      </c>
      <c r="W141" s="300">
        <f t="shared" ref="W141" si="360">SUM(W139:W140)</f>
        <v>0.16599999999972218</v>
      </c>
      <c r="X141" s="300">
        <f t="shared" ref="X141" si="361">SUM(X139:X140)</f>
        <v>3.500000000000552E-2</v>
      </c>
      <c r="Y141" s="300">
        <f t="shared" si="351"/>
        <v>2.5959999999777601</v>
      </c>
    </row>
    <row r="142" spans="1:25" x14ac:dyDescent="0.2">
      <c r="C142" s="319"/>
      <c r="D142" s="319"/>
      <c r="E142" s="319"/>
      <c r="F142" s="319"/>
      <c r="G142" s="319"/>
      <c r="H142" s="319"/>
      <c r="I142" s="319"/>
      <c r="J142" s="319"/>
      <c r="K142" s="319"/>
      <c r="L142" s="319"/>
      <c r="M142" s="319"/>
      <c r="N142" s="319"/>
      <c r="O142" s="319"/>
      <c r="P142" s="319"/>
      <c r="Q142" s="319"/>
      <c r="R142" s="319"/>
      <c r="S142" s="319"/>
      <c r="T142" s="319"/>
      <c r="U142" s="319"/>
      <c r="V142" s="319"/>
      <c r="W142" s="319"/>
      <c r="X142" s="319"/>
      <c r="Y142" s="319"/>
    </row>
    <row r="143" spans="1:25" x14ac:dyDescent="0.2">
      <c r="A143" s="261" t="str">
        <f>name!A25</f>
        <v>Other manufacturing</v>
      </c>
      <c r="C143" s="263"/>
    </row>
    <row r="144" spans="1:25" x14ac:dyDescent="0.2">
      <c r="A144" s="260" t="s">
        <v>356</v>
      </c>
      <c r="B144" s="300">
        <v>1.6169999999885045</v>
      </c>
      <c r="C144" s="300">
        <v>0.19000000000308345</v>
      </c>
      <c r="D144" s="300">
        <v>0.24000000000850397</v>
      </c>
      <c r="E144" s="300">
        <f>SUM(B144:D144)</f>
        <v>2.0470000000000921</v>
      </c>
      <c r="F144" s="300"/>
      <c r="G144" s="300">
        <v>1.2119999999785134</v>
      </c>
      <c r="H144" s="300">
        <v>9.9999999999710806E-3</v>
      </c>
      <c r="I144" s="300">
        <v>0</v>
      </c>
      <c r="J144" s="300">
        <f>SUM(G144:I144)</f>
        <v>1.2219999999784845</v>
      </c>
      <c r="K144" s="300"/>
      <c r="L144" s="300">
        <v>1.2069999999851999</v>
      </c>
      <c r="M144" s="300">
        <v>7.0000000000074942E-3</v>
      </c>
      <c r="N144" s="300">
        <v>5.8999999997734233E-2</v>
      </c>
      <c r="O144" s="300">
        <f>SUM(L144:N144)</f>
        <v>1.2729999999829416</v>
      </c>
      <c r="P144" s="300"/>
      <c r="Q144" s="300">
        <v>1.092000000034332</v>
      </c>
      <c r="R144" s="300">
        <v>6.0000000002839483E-3</v>
      </c>
      <c r="S144" s="300">
        <v>5.1000000002240489E-2</v>
      </c>
      <c r="T144" s="300">
        <f>SUM(Q144:S144)</f>
        <v>1.1490000000368565</v>
      </c>
      <c r="U144" s="300"/>
      <c r="V144" s="300">
        <v>1.1129999999985793</v>
      </c>
      <c r="W144" s="300">
        <v>5.9999999999925989E-3</v>
      </c>
      <c r="X144" s="300">
        <v>4.9000000000007732E-2</v>
      </c>
      <c r="Y144" s="300">
        <f>SUM(V144:X144)</f>
        <v>1.1679999999985797</v>
      </c>
    </row>
    <row r="145" spans="1:25" x14ac:dyDescent="0.2">
      <c r="A145" s="260" t="s">
        <v>355</v>
      </c>
      <c r="B145" s="300">
        <v>2.7530000000077779</v>
      </c>
      <c r="C145" s="300">
        <v>0.10900000000134781</v>
      </c>
      <c r="D145" s="300">
        <v>0.41499999999868248</v>
      </c>
      <c r="E145" s="300">
        <f t="shared" ref="E145:E146" si="362">SUM(B145:D145)</f>
        <v>3.2770000000078081</v>
      </c>
      <c r="F145" s="300"/>
      <c r="G145" s="300">
        <v>1.6900000000005766</v>
      </c>
      <c r="H145" s="300">
        <v>6.0000000000407627E-3</v>
      </c>
      <c r="I145" s="300">
        <v>9.3000000000131283E-2</v>
      </c>
      <c r="J145" s="300">
        <f t="shared" ref="J145:J146" si="363">SUM(G145:I145)</f>
        <v>1.7890000000007487</v>
      </c>
      <c r="K145" s="300"/>
      <c r="L145" s="300">
        <v>1.8369999999999538</v>
      </c>
      <c r="M145" s="300">
        <v>6.0000000000067343E-3</v>
      </c>
      <c r="N145" s="300">
        <v>0</v>
      </c>
      <c r="O145" s="300">
        <f t="shared" ref="O145:O146" si="364">SUM(L145:N145)</f>
        <v>1.8429999999999604</v>
      </c>
      <c r="P145" s="300"/>
      <c r="Q145" s="300">
        <v>1.6579999999886965</v>
      </c>
      <c r="R145" s="300">
        <v>5.9999999999700796E-3</v>
      </c>
      <c r="S145" s="300">
        <v>0</v>
      </c>
      <c r="T145" s="300">
        <f t="shared" ref="T145:T146" si="365">SUM(Q145:S145)</f>
        <v>1.6639999999886665</v>
      </c>
      <c r="U145" s="300"/>
      <c r="V145" s="300">
        <v>1.671999999985492</v>
      </c>
      <c r="W145" s="300">
        <v>5.999999999988021E-3</v>
      </c>
      <c r="X145" s="300">
        <v>0</v>
      </c>
      <c r="Y145" s="300">
        <f t="shared" ref="Y145:Y146" si="366">SUM(V145:X145)</f>
        <v>1.67799999998548</v>
      </c>
    </row>
    <row r="146" spans="1:25" x14ac:dyDescent="0.2">
      <c r="A146" s="260" t="s">
        <v>354</v>
      </c>
      <c r="B146" s="300">
        <f>SUM(B144:B145)</f>
        <v>4.3699999999962822</v>
      </c>
      <c r="C146" s="300">
        <f t="shared" ref="C146" si="367">SUM(C144:C145)</f>
        <v>0.29900000000443128</v>
      </c>
      <c r="D146" s="300">
        <f t="shared" ref="D146" si="368">SUM(D144:D145)</f>
        <v>0.6550000000071865</v>
      </c>
      <c r="E146" s="300">
        <f t="shared" si="362"/>
        <v>5.3240000000079002</v>
      </c>
      <c r="F146" s="300"/>
      <c r="G146" s="300">
        <f>SUM(G144:G145)</f>
        <v>2.9019999999790898</v>
      </c>
      <c r="H146" s="300">
        <f t="shared" ref="H146" si="369">SUM(H144:H145)</f>
        <v>1.6000000000011845E-2</v>
      </c>
      <c r="I146" s="300">
        <f t="shared" ref="I146" si="370">SUM(I144:I145)</f>
        <v>9.3000000000131283E-2</v>
      </c>
      <c r="J146" s="300">
        <f t="shared" si="363"/>
        <v>3.0109999999792332</v>
      </c>
      <c r="K146" s="300"/>
      <c r="L146" s="300">
        <f>SUM(L144:L145)</f>
        <v>3.0439999999851537</v>
      </c>
      <c r="M146" s="300">
        <f t="shared" ref="M146" si="371">SUM(M144:M145)</f>
        <v>1.3000000000014229E-2</v>
      </c>
      <c r="N146" s="300">
        <f t="shared" ref="N146" si="372">SUM(N144:N145)</f>
        <v>5.8999999997734233E-2</v>
      </c>
      <c r="O146" s="300">
        <f t="shared" si="364"/>
        <v>3.1159999999829022</v>
      </c>
      <c r="P146" s="300"/>
      <c r="Q146" s="300">
        <f>SUM(Q144:Q145)</f>
        <v>2.7500000000230287</v>
      </c>
      <c r="R146" s="300">
        <f t="shared" ref="R146" si="373">SUM(R144:R145)</f>
        <v>1.2000000000254028E-2</v>
      </c>
      <c r="S146" s="300">
        <f t="shared" ref="S146" si="374">SUM(S144:S145)</f>
        <v>5.1000000002240489E-2</v>
      </c>
      <c r="T146" s="300">
        <f t="shared" si="365"/>
        <v>2.8130000000255233</v>
      </c>
      <c r="U146" s="300"/>
      <c r="V146" s="300">
        <f>SUM(V144:V145)</f>
        <v>2.7849999999840716</v>
      </c>
      <c r="W146" s="300">
        <f t="shared" ref="W146" si="375">SUM(W144:W145)</f>
        <v>1.199999999998062E-2</v>
      </c>
      <c r="X146" s="300">
        <f t="shared" ref="X146" si="376">SUM(X144:X145)</f>
        <v>4.9000000000007732E-2</v>
      </c>
      <c r="Y146" s="300">
        <f t="shared" si="366"/>
        <v>2.8459999999840599</v>
      </c>
    </row>
    <row r="147" spans="1:25" x14ac:dyDescent="0.2">
      <c r="C147" s="319"/>
      <c r="D147" s="319"/>
      <c r="E147" s="319"/>
      <c r="F147" s="319"/>
      <c r="G147" s="319"/>
      <c r="H147" s="319"/>
      <c r="I147" s="319"/>
      <c r="J147" s="319"/>
      <c r="K147" s="319"/>
      <c r="L147" s="319"/>
      <c r="M147" s="319"/>
      <c r="N147" s="319"/>
      <c r="O147" s="319"/>
      <c r="P147" s="319"/>
      <c r="Q147" s="319"/>
      <c r="R147" s="319"/>
      <c r="S147" s="319"/>
      <c r="T147" s="319"/>
      <c r="U147" s="319"/>
      <c r="V147" s="319"/>
      <c r="W147" s="319"/>
      <c r="X147" s="319"/>
      <c r="Y147" s="319"/>
    </row>
    <row r="148" spans="1:25" x14ac:dyDescent="0.2">
      <c r="A148" s="261" t="str">
        <f>name!A26</f>
        <v>Repair and installation</v>
      </c>
      <c r="C148" s="263"/>
    </row>
    <row r="149" spans="1:25" x14ac:dyDescent="0.2">
      <c r="A149" s="260" t="s">
        <v>356</v>
      </c>
      <c r="B149" s="300">
        <v>9.5999999999446542E-2</v>
      </c>
      <c r="C149" s="300">
        <v>0.27900000000344849</v>
      </c>
      <c r="D149" s="300">
        <v>8.5000000001199935E-2</v>
      </c>
      <c r="E149" s="300">
        <f>SUM(B149:D149)</f>
        <v>0.46000000000409497</v>
      </c>
      <c r="F149" s="300"/>
      <c r="G149" s="300">
        <v>5.5999999998970013E-2</v>
      </c>
      <c r="H149" s="300">
        <v>3.7999999999817097E-2</v>
      </c>
      <c r="I149" s="300">
        <v>0</v>
      </c>
      <c r="J149" s="300">
        <f>SUM(G149:I149)</f>
        <v>9.3999999998787109E-2</v>
      </c>
      <c r="K149" s="300"/>
      <c r="L149" s="300">
        <v>5.5999999999288209E-2</v>
      </c>
      <c r="M149" s="300">
        <v>2.699999999995005E-2</v>
      </c>
      <c r="N149" s="300">
        <v>1.5999999999803623E-2</v>
      </c>
      <c r="O149" s="300">
        <f>SUM(L149:N149)</f>
        <v>9.8999999999041882E-2</v>
      </c>
      <c r="P149" s="300"/>
      <c r="Q149" s="300">
        <v>5.1000000001675455E-2</v>
      </c>
      <c r="R149" s="300">
        <v>2.4000000000871238E-2</v>
      </c>
      <c r="S149" s="300">
        <v>1.4000000000015876E-2</v>
      </c>
      <c r="T149" s="300">
        <f>SUM(Q149:S149)</f>
        <v>8.9000000002562571E-2</v>
      </c>
      <c r="U149" s="300"/>
      <c r="V149" s="300">
        <v>5.1999999999916981E-2</v>
      </c>
      <c r="W149" s="300">
        <v>2.5000000000024562E-2</v>
      </c>
      <c r="X149" s="300">
        <v>1.3000000000406766E-2</v>
      </c>
      <c r="Y149" s="300">
        <f>SUM(V149:X149)</f>
        <v>9.0000000000348315E-2</v>
      </c>
    </row>
    <row r="150" spans="1:25" x14ac:dyDescent="0.2">
      <c r="A150" s="260" t="s">
        <v>355</v>
      </c>
      <c r="B150" s="300">
        <v>3.1699999999971498</v>
      </c>
      <c r="C150" s="300">
        <v>0.16500000000058007</v>
      </c>
      <c r="D150" s="300">
        <v>0.64999999999962099</v>
      </c>
      <c r="E150" s="300">
        <f t="shared" ref="E150:E151" si="377">SUM(B150:D150)</f>
        <v>3.9849999999973509</v>
      </c>
      <c r="F150" s="300"/>
      <c r="G150" s="300">
        <v>1.5289999999976194</v>
      </c>
      <c r="H150" s="300">
        <v>2.3999999999981543E-2</v>
      </c>
      <c r="I150" s="300">
        <v>0.10900000000124287</v>
      </c>
      <c r="J150" s="300">
        <f t="shared" ref="J150:J151" si="378">SUM(G150:I150)</f>
        <v>1.6619999999988437</v>
      </c>
      <c r="K150" s="300"/>
      <c r="L150" s="300">
        <v>1.6619999999973758</v>
      </c>
      <c r="M150" s="300">
        <v>2.5000000000060196E-2</v>
      </c>
      <c r="N150" s="300">
        <v>0</v>
      </c>
      <c r="O150" s="300">
        <f t="shared" ref="O150:O151" si="379">SUM(L150:N150)</f>
        <v>1.6869999999974361</v>
      </c>
      <c r="P150" s="300"/>
      <c r="Q150" s="300">
        <v>1.4999999999973963</v>
      </c>
      <c r="R150" s="300">
        <v>2.2999999999994119E-2</v>
      </c>
      <c r="S150" s="300">
        <v>0</v>
      </c>
      <c r="T150" s="300">
        <f t="shared" ref="T150:T151" si="380">SUM(Q150:S150)</f>
        <v>1.5229999999973904</v>
      </c>
      <c r="U150" s="300"/>
      <c r="V150" s="300">
        <v>1.512999999995565</v>
      </c>
      <c r="W150" s="300">
        <v>2.2000000000022925E-2</v>
      </c>
      <c r="X150" s="300">
        <v>0</v>
      </c>
      <c r="Y150" s="300">
        <f t="shared" ref="Y150:Y151" si="381">SUM(V150:X150)</f>
        <v>1.5349999999955879</v>
      </c>
    </row>
    <row r="151" spans="1:25" x14ac:dyDescent="0.2">
      <c r="A151" s="260" t="s">
        <v>354</v>
      </c>
      <c r="B151" s="300">
        <f>SUM(B149:B150)</f>
        <v>3.2659999999965965</v>
      </c>
      <c r="C151" s="300">
        <f t="shared" ref="C151" si="382">SUM(C149:C150)</f>
        <v>0.44400000000402856</v>
      </c>
      <c r="D151" s="300">
        <f t="shared" ref="D151" si="383">SUM(D149:D150)</f>
        <v>0.73500000000082089</v>
      </c>
      <c r="E151" s="300">
        <f t="shared" si="377"/>
        <v>4.4450000000014462</v>
      </c>
      <c r="F151" s="300"/>
      <c r="G151" s="300">
        <f>SUM(G149:G150)</f>
        <v>1.5849999999965894</v>
      </c>
      <c r="H151" s="300">
        <f t="shared" ref="H151" si="384">SUM(H149:H150)</f>
        <v>6.199999999979864E-2</v>
      </c>
      <c r="I151" s="300">
        <f t="shared" ref="I151" si="385">SUM(I149:I150)</f>
        <v>0.10900000000124287</v>
      </c>
      <c r="J151" s="300">
        <f t="shared" si="378"/>
        <v>1.7559999999976308</v>
      </c>
      <c r="K151" s="300"/>
      <c r="L151" s="300">
        <f>SUM(L149:L150)</f>
        <v>1.717999999996664</v>
      </c>
      <c r="M151" s="300">
        <f t="shared" ref="M151" si="386">SUM(M149:M150)</f>
        <v>5.2000000000010246E-2</v>
      </c>
      <c r="N151" s="300">
        <f t="shared" ref="N151" si="387">SUM(N149:N150)</f>
        <v>1.5999999999803623E-2</v>
      </c>
      <c r="O151" s="300">
        <f t="shared" si="379"/>
        <v>1.785999999996478</v>
      </c>
      <c r="P151" s="300"/>
      <c r="Q151" s="300">
        <f>SUM(Q149:Q150)</f>
        <v>1.5509999999990718</v>
      </c>
      <c r="R151" s="300">
        <f t="shared" ref="R151" si="388">SUM(R149:R150)</f>
        <v>4.7000000000865357E-2</v>
      </c>
      <c r="S151" s="300">
        <f t="shared" ref="S151" si="389">SUM(S149:S150)</f>
        <v>1.4000000000015876E-2</v>
      </c>
      <c r="T151" s="300">
        <f t="shared" si="380"/>
        <v>1.611999999999953</v>
      </c>
      <c r="U151" s="300"/>
      <c r="V151" s="300">
        <f>SUM(V149:V150)</f>
        <v>1.564999999995482</v>
      </c>
      <c r="W151" s="300">
        <f t="shared" ref="W151" si="390">SUM(W149:W150)</f>
        <v>4.700000000004749E-2</v>
      </c>
      <c r="X151" s="300">
        <f t="shared" ref="X151" si="391">SUM(X149:X150)</f>
        <v>1.3000000000406766E-2</v>
      </c>
      <c r="Y151" s="300">
        <f t="shared" si="381"/>
        <v>1.6249999999959361</v>
      </c>
    </row>
    <row r="152" spans="1:25" x14ac:dyDescent="0.2">
      <c r="C152" s="263"/>
    </row>
    <row r="153" spans="1:25" x14ac:dyDescent="0.2">
      <c r="A153" s="261" t="s">
        <v>370</v>
      </c>
    </row>
    <row r="154" spans="1:25" x14ac:dyDescent="0.2">
      <c r="A154" s="260" t="s">
        <v>356</v>
      </c>
      <c r="B154" s="300">
        <f>SUM(B74,B79,B84,B89,B94,B99,B104,B109,B114,B119,B124,B129,B134,B139,B144,B149)</f>
        <v>10.997999999928448</v>
      </c>
      <c r="C154" s="300">
        <f t="shared" ref="C154:D155" si="392">SUM(C74,C79,C84,C89,C94,C99,C104,C109,C114,C119,C124,C129,C134,C139,C144,C149)</f>
        <v>3.5250000000575463</v>
      </c>
      <c r="D154" s="300">
        <f t="shared" si="392"/>
        <v>1.80400000003206</v>
      </c>
      <c r="E154" s="300">
        <f>SUM(B154:D154)</f>
        <v>16.327000000018053</v>
      </c>
      <c r="F154" s="300"/>
      <c r="G154" s="300">
        <f>SUM(G74,G79,G84,G89,G94,G99,G104,G109,G114,G119,G124,G129,G134,G139,G144,G149)</f>
        <v>11.61699999980805</v>
      </c>
      <c r="H154" s="300">
        <f t="shared" ref="H154:I154" si="393">SUM(H74,H79,H84,H89,H94,H99,H104,H109,H114,H119,H124,H129,H134,H139,H144,H149)</f>
        <v>3.5449999999879953</v>
      </c>
      <c r="I154" s="300">
        <f t="shared" si="393"/>
        <v>4.0000000000488855E-3</v>
      </c>
      <c r="J154" s="300">
        <f>SUM(G154:I154)</f>
        <v>15.165999999796094</v>
      </c>
      <c r="K154" s="300"/>
      <c r="L154" s="300">
        <f>SUM(L74,L79,L84,L89,L94,L99,L104,L109,L114,L119,L124,L129,L134,L139,L144,L149)</f>
        <v>10.617999999882597</v>
      </c>
      <c r="M154" s="300">
        <f t="shared" ref="M154:N154" si="394">SUM(M74,M79,M84,M89,M94,M99,M104,M109,M114,M119,M124,M129,M134,M139,M144,M149)</f>
        <v>2.3150000000047215</v>
      </c>
      <c r="N154" s="300">
        <f t="shared" si="394"/>
        <v>0.78299999998914083</v>
      </c>
      <c r="O154" s="300">
        <f>SUM(L154:N154)</f>
        <v>13.715999999876459</v>
      </c>
      <c r="P154" s="300"/>
      <c r="Q154" s="300">
        <f>SUM(Q74,Q79,Q84,Q89,Q94,Q99,Q104,Q109,Q114,Q119,Q124,Q129,Q134,Q139,Q144,Q149)</f>
        <v>10.251000000291453</v>
      </c>
      <c r="R154" s="300">
        <f t="shared" ref="R154:S154" si="395">SUM(R74,R79,R84,R89,R94,R99,R104,R109,R114,R119,R124,R129,R134,R139,R144,R149)</f>
        <v>2.2220000001080291</v>
      </c>
      <c r="S154" s="300">
        <f t="shared" si="395"/>
        <v>0.69700000000658069</v>
      </c>
      <c r="T154" s="300">
        <f>SUM(Q154:S154)</f>
        <v>13.170000000406063</v>
      </c>
      <c r="U154" s="300"/>
      <c r="V154" s="300">
        <f>SUM(V74,V79,V84,V89,V94,V99,V104,V109,V114,V119,V124,V129,V134,V139,V144,V149)</f>
        <v>9.4559999999969637</v>
      </c>
      <c r="W154" s="300">
        <f t="shared" ref="W154:X154" si="396">SUM(W74,W79,W84,W89,W94,W99,W104,W109,W114,W119,W124,W129,W134,W139,W144,W149)</f>
        <v>2.0310000000025883</v>
      </c>
      <c r="X154" s="300">
        <f t="shared" si="396"/>
        <v>0.61300000000579047</v>
      </c>
      <c r="Y154" s="300">
        <f>SUM(V154:X154)</f>
        <v>12.100000000005343</v>
      </c>
    </row>
    <row r="155" spans="1:25" x14ac:dyDescent="0.2">
      <c r="A155" s="260" t="s">
        <v>355</v>
      </c>
      <c r="B155" s="300">
        <f>SUM(B75,B80,B85,B90,B95,B100,B105,B110,B115,B120,B125,B130,B135,B140,B145,B150)</f>
        <v>69.0300000000761</v>
      </c>
      <c r="C155" s="300">
        <f t="shared" si="392"/>
        <v>1.2050000000116305</v>
      </c>
      <c r="D155" s="300">
        <f t="shared" si="392"/>
        <v>4.0600000000015966</v>
      </c>
      <c r="E155" s="300">
        <f t="shared" ref="E155:E156" si="397">SUM(B155:D155)</f>
        <v>74.295000000089331</v>
      </c>
      <c r="F155" s="300"/>
      <c r="G155" s="300">
        <f>SUM(G75,G80,G85,G90,G95,G100,G105,G110,G115,G120,G125,G130,G135,G140,G145,G150)</f>
        <v>61.761999999968417</v>
      </c>
      <c r="H155" s="300">
        <f t="shared" ref="H155:I155" si="398">SUM(H75,H80,H85,H90,H95,H100,H105,H110,H115,H120,H125,H130,H135,H140,H145,H150)</f>
        <v>1.6440000000106108</v>
      </c>
      <c r="I155" s="300">
        <f t="shared" si="398"/>
        <v>1.9770000000193169</v>
      </c>
      <c r="J155" s="300">
        <f t="shared" ref="J155:J156" si="399">SUM(G155:I155)</f>
        <v>65.382999999998347</v>
      </c>
      <c r="K155" s="300"/>
      <c r="L155" s="300">
        <f>SUM(L75,L80,L85,L90,L95,L100,L105,L110,L115,L120,L125,L130,L135,L140,L145,L150)</f>
        <v>59.033999999959569</v>
      </c>
      <c r="M155" s="300">
        <f t="shared" ref="M155:N155" si="400">SUM(M75,M80,M85,M90,M95,M100,M105,M110,M115,M120,M125,M130,M135,M140,M145,M150)</f>
        <v>1.4490000000022554</v>
      </c>
      <c r="N155" s="300">
        <f t="shared" si="400"/>
        <v>4.0000000000148216E-3</v>
      </c>
      <c r="O155" s="300">
        <f t="shared" ref="O155:O156" si="401">SUM(L155:N155)</f>
        <v>60.486999999961839</v>
      </c>
      <c r="P155" s="300"/>
      <c r="Q155" s="300">
        <f>SUM(Q75,Q80,Q85,Q90,Q95,Q100,Q105,Q110,Q115,Q120,Q125,Q130,Q135,Q140,Q145,Q150)</f>
        <v>56.518999999742249</v>
      </c>
      <c r="R155" s="300">
        <f t="shared" ref="R155:S155" si="402">SUM(R75,R80,R85,R90,R95,R100,R105,R110,R115,R120,R125,R130,R135,R140,R145,R150)</f>
        <v>1.3819999999921979</v>
      </c>
      <c r="S155" s="300">
        <f t="shared" si="402"/>
        <v>4.0000000000075817E-3</v>
      </c>
      <c r="T155" s="300">
        <f t="shared" ref="T155:T156" si="403">SUM(Q155:S155)</f>
        <v>57.90499999973445</v>
      </c>
      <c r="U155" s="300"/>
      <c r="V155" s="300">
        <f>SUM(V75,V80,V85,V90,V95,V100,V105,V110,V115,V120,V125,V130,V135,V140,V145,V150)</f>
        <v>50.575999999684235</v>
      </c>
      <c r="W155" s="300">
        <f t="shared" ref="W155" si="404">SUM(W75,W80,W85,W90,W95,W100,W105,W110,W115,W120,W125,W130,W135,W140,W145,W150)</f>
        <v>1.2529999999960013</v>
      </c>
      <c r="X155" s="300">
        <f>SUM(X75,X80,X85,X90,X95,X100,X105,X110,X115,X120,X125,X130,X135,X140,X145,X150)</f>
        <v>4.0000000000260834E-3</v>
      </c>
      <c r="Y155" s="300">
        <f t="shared" ref="Y155:Y156" si="405">SUM(V155:X155)</f>
        <v>51.832999999680261</v>
      </c>
    </row>
    <row r="156" spans="1:25" x14ac:dyDescent="0.2">
      <c r="A156" s="264" t="s">
        <v>354</v>
      </c>
      <c r="B156" s="301">
        <f>SUM(B154:B155)</f>
        <v>80.028000000004553</v>
      </c>
      <c r="C156" s="301">
        <f t="shared" ref="C156" si="406">SUM(C154:C155)</f>
        <v>4.7300000000691771</v>
      </c>
      <c r="D156" s="301">
        <f t="shared" ref="D156" si="407">SUM(D154:D155)</f>
        <v>5.8640000000336565</v>
      </c>
      <c r="E156" s="301">
        <f t="shared" si="397"/>
        <v>90.622000000107391</v>
      </c>
      <c r="F156" s="301"/>
      <c r="G156" s="301">
        <f>SUM(G154:G155)</f>
        <v>73.378999999776468</v>
      </c>
      <c r="H156" s="301">
        <f t="shared" ref="H156" si="408">SUM(H154:H155)</f>
        <v>5.1889999999986056</v>
      </c>
      <c r="I156" s="301">
        <f t="shared" ref="I156" si="409">SUM(I154:I155)</f>
        <v>1.9810000000193657</v>
      </c>
      <c r="J156" s="301">
        <f t="shared" si="399"/>
        <v>80.548999999794432</v>
      </c>
      <c r="K156" s="301"/>
      <c r="L156" s="301">
        <f>SUM(L154:L155)</f>
        <v>69.651999999842161</v>
      </c>
      <c r="M156" s="301">
        <f t="shared" ref="M156" si="410">SUM(M154:M155)</f>
        <v>3.7640000000069769</v>
      </c>
      <c r="N156" s="301">
        <f t="shared" ref="N156" si="411">SUM(N154:N155)</f>
        <v>0.7869999999891556</v>
      </c>
      <c r="O156" s="301">
        <f t="shared" si="401"/>
        <v>74.202999999838283</v>
      </c>
      <c r="P156" s="301"/>
      <c r="Q156" s="301">
        <f>SUM(Q154:Q155)</f>
        <v>66.770000000033704</v>
      </c>
      <c r="R156" s="301">
        <f t="shared" ref="R156" si="412">SUM(R154:R155)</f>
        <v>3.604000000100227</v>
      </c>
      <c r="S156" s="301">
        <f t="shared" ref="S156" si="413">SUM(S154:S155)</f>
        <v>0.70100000000658824</v>
      </c>
      <c r="T156" s="301">
        <f t="shared" si="403"/>
        <v>71.07500000014052</v>
      </c>
      <c r="U156" s="301"/>
      <c r="V156" s="301">
        <f>SUM(V154:V155)</f>
        <v>60.031999999681197</v>
      </c>
      <c r="W156" s="301">
        <f t="shared" ref="W156" si="414">SUM(W154:W155)</f>
        <v>3.2839999999985894</v>
      </c>
      <c r="X156" s="301">
        <f t="shared" ref="X156" si="415">SUM(X154:X155)</f>
        <v>0.61700000000581656</v>
      </c>
      <c r="Y156" s="301">
        <f t="shared" si="405"/>
        <v>63.932999999685606</v>
      </c>
    </row>
    <row r="157" spans="1:25" x14ac:dyDescent="0.2">
      <c r="C157" s="263"/>
    </row>
    <row r="158" spans="1:25" x14ac:dyDescent="0.2">
      <c r="C158" s="263"/>
    </row>
    <row r="159" spans="1:25" x14ac:dyDescent="0.2">
      <c r="C159" s="263"/>
    </row>
    <row r="160" spans="1:25" ht="15" x14ac:dyDescent="0.25">
      <c r="A160" s="265" t="str">
        <f>"Industry 6 : "&amp; name!B9</f>
        <v>Industry 6 : Electricity and gas</v>
      </c>
      <c r="B160" s="371">
        <f>$B$5</f>
        <v>2015</v>
      </c>
      <c r="C160" s="371"/>
      <c r="D160" s="371"/>
      <c r="E160" s="371"/>
      <c r="F160" s="320"/>
      <c r="G160" s="371">
        <f>$G$5</f>
        <v>2019</v>
      </c>
      <c r="H160" s="371"/>
      <c r="I160" s="371"/>
      <c r="J160" s="371"/>
      <c r="K160" s="320"/>
      <c r="L160" s="371">
        <f>$L$5</f>
        <v>2020</v>
      </c>
      <c r="M160" s="371"/>
      <c r="N160" s="371"/>
      <c r="O160" s="371"/>
      <c r="P160" s="318"/>
      <c r="Q160" s="371">
        <f>$Q$5</f>
        <v>2025</v>
      </c>
      <c r="R160" s="371"/>
      <c r="S160" s="371"/>
      <c r="T160" s="371"/>
      <c r="U160" s="320"/>
      <c r="V160" s="371">
        <f>$V$5</f>
        <v>2035</v>
      </c>
      <c r="W160" s="371"/>
      <c r="X160" s="371"/>
      <c r="Y160" s="371"/>
    </row>
    <row r="161" spans="1:25" x14ac:dyDescent="0.2">
      <c r="A161" s="264"/>
      <c r="B161" s="268" t="str">
        <f>$B$6</f>
        <v>FT</v>
      </c>
      <c r="C161" s="268" t="str">
        <f>$C$6</f>
        <v>PT</v>
      </c>
      <c r="D161" s="268" t="str">
        <f>$D$6</f>
        <v>SE</v>
      </c>
      <c r="E161" s="268" t="str">
        <f>$E$6</f>
        <v>Total</v>
      </c>
      <c r="F161" s="268"/>
      <c r="G161" s="268" t="str">
        <f>$B$6</f>
        <v>FT</v>
      </c>
      <c r="H161" s="268" t="str">
        <f>$C$6</f>
        <v>PT</v>
      </c>
      <c r="I161" s="268" t="str">
        <f>$D$6</f>
        <v>SE</v>
      </c>
      <c r="J161" s="268" t="str">
        <f>$E$6</f>
        <v>Total</v>
      </c>
      <c r="K161" s="268"/>
      <c r="L161" s="268" t="str">
        <f>$L$6</f>
        <v>FT</v>
      </c>
      <c r="M161" s="268" t="str">
        <f>$M$6</f>
        <v>PT</v>
      </c>
      <c r="N161" s="268" t="str">
        <f>$N$6</f>
        <v>SE</v>
      </c>
      <c r="O161" s="268" t="str">
        <f>$O$6</f>
        <v>Total</v>
      </c>
      <c r="P161" s="268"/>
      <c r="Q161" s="268" t="str">
        <f>$L$6</f>
        <v>FT</v>
      </c>
      <c r="R161" s="268" t="str">
        <f>$M$6</f>
        <v>PT</v>
      </c>
      <c r="S161" s="268" t="str">
        <f>$N$6</f>
        <v>SE</v>
      </c>
      <c r="T161" s="268" t="str">
        <f>$O$6</f>
        <v>Total</v>
      </c>
      <c r="U161" s="268"/>
      <c r="V161" s="268" t="str">
        <f>$V$6</f>
        <v>FT</v>
      </c>
      <c r="W161" s="268" t="str">
        <f>$W$6</f>
        <v>PT</v>
      </c>
      <c r="X161" s="268" t="str">
        <f>$X$6</f>
        <v>SE</v>
      </c>
      <c r="Y161" s="268" t="str">
        <f>$Y$6</f>
        <v>Total</v>
      </c>
    </row>
    <row r="162" spans="1:25" x14ac:dyDescent="0.2">
      <c r="C162" s="319"/>
      <c r="D162" s="319"/>
      <c r="E162" s="319"/>
      <c r="F162" s="319"/>
      <c r="G162" s="319"/>
      <c r="H162" s="319"/>
      <c r="I162" s="319"/>
      <c r="J162" s="319"/>
      <c r="K162" s="319"/>
      <c r="L162" s="319"/>
      <c r="M162" s="319"/>
      <c r="N162" s="319"/>
      <c r="O162" s="319"/>
      <c r="P162" s="319"/>
      <c r="Q162" s="319"/>
      <c r="R162" s="319"/>
      <c r="S162" s="319"/>
      <c r="T162" s="319"/>
      <c r="U162" s="319"/>
      <c r="V162" s="319"/>
      <c r="W162" s="319"/>
      <c r="X162" s="319"/>
      <c r="Y162" s="319"/>
    </row>
    <row r="163" spans="1:25" x14ac:dyDescent="0.2">
      <c r="A163" s="261" t="str">
        <f>name!A27</f>
        <v>Electricity, gas, etc</v>
      </c>
      <c r="C163" s="263"/>
    </row>
    <row r="164" spans="1:25" x14ac:dyDescent="0.2">
      <c r="A164" s="260" t="s">
        <v>356</v>
      </c>
      <c r="B164" s="300">
        <v>1.0679999999965257</v>
      </c>
      <c r="C164" s="300">
        <v>0.33700000000475744</v>
      </c>
      <c r="D164" s="300">
        <v>1.00000000000633E-3</v>
      </c>
      <c r="E164" s="300">
        <f>SUM(B164:D164)</f>
        <v>1.4060000000012896</v>
      </c>
      <c r="F164" s="300"/>
      <c r="G164" s="300">
        <v>2.5249999999712864</v>
      </c>
      <c r="H164" s="300">
        <v>0.65700000000061387</v>
      </c>
      <c r="I164" s="300">
        <v>1.0000000000124109E-3</v>
      </c>
      <c r="J164" s="300">
        <f>SUM(G164:I164)</f>
        <v>3.1829999999719125</v>
      </c>
      <c r="K164" s="300"/>
      <c r="L164" s="300">
        <v>2.3949999999792668</v>
      </c>
      <c r="M164" s="300">
        <v>0.61900000000207867</v>
      </c>
      <c r="N164" s="300">
        <v>0</v>
      </c>
      <c r="O164" s="300">
        <f>SUM(L164:N164)</f>
        <v>3.0139999999813454</v>
      </c>
      <c r="P164" s="300"/>
      <c r="Q164" s="300">
        <v>2.3810000000647586</v>
      </c>
      <c r="R164" s="300">
        <v>0.60900000002599686</v>
      </c>
      <c r="S164" s="300">
        <v>0</v>
      </c>
      <c r="T164" s="300">
        <f>SUM(Q164:S164)</f>
        <v>2.9900000000907556</v>
      </c>
      <c r="U164" s="300"/>
      <c r="V164" s="300">
        <v>2.4780000000009554</v>
      </c>
      <c r="W164" s="300">
        <v>0.62199999999742639</v>
      </c>
      <c r="X164" s="300">
        <v>0</v>
      </c>
      <c r="Y164" s="300">
        <f>SUM(V164:X164)</f>
        <v>3.0999999999983818</v>
      </c>
    </row>
    <row r="165" spans="1:25" x14ac:dyDescent="0.2">
      <c r="A165" s="260" t="s">
        <v>355</v>
      </c>
      <c r="B165" s="300">
        <v>2.7019999999725481</v>
      </c>
      <c r="C165" s="300">
        <v>3.8999999999968046E-2</v>
      </c>
      <c r="D165" s="300">
        <v>9.9999999998889931E-4</v>
      </c>
      <c r="E165" s="300">
        <f t="shared" ref="E165:E166" si="416">SUM(B165:D165)</f>
        <v>2.7419999999725051</v>
      </c>
      <c r="F165" s="300"/>
      <c r="G165" s="300">
        <v>6.5289999999512585</v>
      </c>
      <c r="H165" s="300">
        <v>0.14599999999972055</v>
      </c>
      <c r="I165" s="300">
        <v>0</v>
      </c>
      <c r="J165" s="300">
        <f t="shared" ref="J165:J166" si="417">SUM(G165:I165)</f>
        <v>6.6749999999509786</v>
      </c>
      <c r="K165" s="300"/>
      <c r="L165" s="300">
        <v>6.4179999999541106</v>
      </c>
      <c r="M165" s="300">
        <v>8.6999999999911926E-2</v>
      </c>
      <c r="N165" s="300">
        <v>0.7159999999940766</v>
      </c>
      <c r="O165" s="300">
        <f t="shared" ref="O165:O166" si="418">SUM(L165:N165)</f>
        <v>7.2209999999480994</v>
      </c>
      <c r="P165" s="300"/>
      <c r="Q165" s="300">
        <v>6.2820000000712986</v>
      </c>
      <c r="R165" s="300">
        <v>8.7000000000205954E-2</v>
      </c>
      <c r="S165" s="300">
        <v>0.70800000002060559</v>
      </c>
      <c r="T165" s="300">
        <f t="shared" ref="T165:T166" si="419">SUM(Q165:S165)</f>
        <v>7.0770000000921103</v>
      </c>
      <c r="U165" s="300"/>
      <c r="V165" s="300">
        <v>6.334000000065914</v>
      </c>
      <c r="W165" s="300">
        <v>9.2000000000409962E-2</v>
      </c>
      <c r="X165" s="300">
        <v>0.73100000002253651</v>
      </c>
      <c r="Y165" s="300">
        <f t="shared" ref="Y165:Y166" si="420">SUM(V165:X165)</f>
        <v>7.1570000000888605</v>
      </c>
    </row>
    <row r="166" spans="1:25" x14ac:dyDescent="0.2">
      <c r="A166" s="264" t="s">
        <v>354</v>
      </c>
      <c r="B166" s="301">
        <f>SUM(B164:B165)</f>
        <v>3.7699999999690741</v>
      </c>
      <c r="C166" s="301">
        <f t="shared" ref="C166" si="421">SUM(C164:C165)</f>
        <v>0.3760000000047255</v>
      </c>
      <c r="D166" s="301">
        <f t="shared" ref="D166" si="422">SUM(D164:D165)</f>
        <v>1.9999999999952296E-3</v>
      </c>
      <c r="E166" s="301">
        <f t="shared" si="416"/>
        <v>4.1479999999737949</v>
      </c>
      <c r="F166" s="301"/>
      <c r="G166" s="301">
        <f>SUM(G164:G165)</f>
        <v>9.0539999999225458</v>
      </c>
      <c r="H166" s="301">
        <f t="shared" ref="H166" si="423">SUM(H164:H165)</f>
        <v>0.80300000000033445</v>
      </c>
      <c r="I166" s="301">
        <f t="shared" ref="I166" si="424">SUM(I164:I165)</f>
        <v>1.0000000000124109E-3</v>
      </c>
      <c r="J166" s="301">
        <f t="shared" si="417"/>
        <v>9.8579999999228924</v>
      </c>
      <c r="K166" s="301"/>
      <c r="L166" s="301">
        <f>SUM(L164:L165)</f>
        <v>8.8129999999333783</v>
      </c>
      <c r="M166" s="301">
        <f t="shared" ref="M166" si="425">SUM(M164:M165)</f>
        <v>0.70600000000199059</v>
      </c>
      <c r="N166" s="301">
        <f t="shared" ref="N166" si="426">SUM(N164:N165)</f>
        <v>0.7159999999940766</v>
      </c>
      <c r="O166" s="301">
        <f t="shared" si="418"/>
        <v>10.234999999929446</v>
      </c>
      <c r="P166" s="301"/>
      <c r="Q166" s="301">
        <f>SUM(Q164:Q165)</f>
        <v>8.6630000001360568</v>
      </c>
      <c r="R166" s="301">
        <f t="shared" ref="R166" si="427">SUM(R164:R165)</f>
        <v>0.69600000002620277</v>
      </c>
      <c r="S166" s="301">
        <f t="shared" ref="S166" si="428">SUM(S164:S165)</f>
        <v>0.70800000002060559</v>
      </c>
      <c r="T166" s="301">
        <f t="shared" si="419"/>
        <v>10.067000000182865</v>
      </c>
      <c r="U166" s="301"/>
      <c r="V166" s="301">
        <f>SUM(V164:V165)</f>
        <v>8.8120000000668703</v>
      </c>
      <c r="W166" s="301">
        <f t="shared" ref="W166" si="429">SUM(W164:W165)</f>
        <v>0.71399999999783637</v>
      </c>
      <c r="X166" s="301">
        <f t="shared" ref="X166" si="430">SUM(X164:X165)</f>
        <v>0.73100000002253651</v>
      </c>
      <c r="Y166" s="301">
        <f t="shared" si="420"/>
        <v>10.257000000087244</v>
      </c>
    </row>
    <row r="167" spans="1:25" x14ac:dyDescent="0.2">
      <c r="C167" s="263"/>
    </row>
    <row r="168" spans="1:25" x14ac:dyDescent="0.2">
      <c r="C168" s="263"/>
    </row>
    <row r="169" spans="1:25" x14ac:dyDescent="0.2">
      <c r="C169" s="263"/>
    </row>
    <row r="170" spans="1:25" ht="15" x14ac:dyDescent="0.25">
      <c r="A170" s="265" t="str">
        <f>"Industry 7 : "&amp; name!B10</f>
        <v>Industry 7 : Water and sewerage</v>
      </c>
      <c r="B170" s="371">
        <f>$B$5</f>
        <v>2015</v>
      </c>
      <c r="C170" s="371"/>
      <c r="D170" s="371"/>
      <c r="E170" s="371"/>
      <c r="F170" s="320"/>
      <c r="G170" s="371">
        <f>$G$5</f>
        <v>2019</v>
      </c>
      <c r="H170" s="371"/>
      <c r="I170" s="371"/>
      <c r="J170" s="371"/>
      <c r="K170" s="320"/>
      <c r="L170" s="371">
        <f>$L$5</f>
        <v>2020</v>
      </c>
      <c r="M170" s="371"/>
      <c r="N170" s="371"/>
      <c r="O170" s="371"/>
      <c r="P170" s="318"/>
      <c r="Q170" s="371">
        <f>$Q$5</f>
        <v>2025</v>
      </c>
      <c r="R170" s="371"/>
      <c r="S170" s="371"/>
      <c r="T170" s="371"/>
      <c r="U170" s="320"/>
      <c r="V170" s="371">
        <f>$V$5</f>
        <v>2035</v>
      </c>
      <c r="W170" s="371"/>
      <c r="X170" s="371"/>
      <c r="Y170" s="371"/>
    </row>
    <row r="171" spans="1:25" x14ac:dyDescent="0.2">
      <c r="A171" s="264"/>
      <c r="B171" s="268" t="str">
        <f>$B$6</f>
        <v>FT</v>
      </c>
      <c r="C171" s="268" t="str">
        <f>$C$6</f>
        <v>PT</v>
      </c>
      <c r="D171" s="268" t="str">
        <f>$D$6</f>
        <v>SE</v>
      </c>
      <c r="E171" s="268" t="str">
        <f>$E$6</f>
        <v>Total</v>
      </c>
      <c r="F171" s="268"/>
      <c r="G171" s="268" t="str">
        <f>$B$6</f>
        <v>FT</v>
      </c>
      <c r="H171" s="268" t="str">
        <f>$C$6</f>
        <v>PT</v>
      </c>
      <c r="I171" s="268" t="str">
        <f>$D$6</f>
        <v>SE</v>
      </c>
      <c r="J171" s="268" t="str">
        <f>$E$6</f>
        <v>Total</v>
      </c>
      <c r="K171" s="268"/>
      <c r="L171" s="268" t="str">
        <f>$L$6</f>
        <v>FT</v>
      </c>
      <c r="M171" s="268" t="str">
        <f>$M$6</f>
        <v>PT</v>
      </c>
      <c r="N171" s="268" t="str">
        <f>$N$6</f>
        <v>SE</v>
      </c>
      <c r="O171" s="268" t="str">
        <f>$O$6</f>
        <v>Total</v>
      </c>
      <c r="P171" s="268"/>
      <c r="Q171" s="268" t="str">
        <f>$L$6</f>
        <v>FT</v>
      </c>
      <c r="R171" s="268" t="str">
        <f>$M$6</f>
        <v>PT</v>
      </c>
      <c r="S171" s="268" t="str">
        <f>$N$6</f>
        <v>SE</v>
      </c>
      <c r="T171" s="268" t="str">
        <f>$O$6</f>
        <v>Total</v>
      </c>
      <c r="U171" s="268"/>
      <c r="V171" s="268" t="str">
        <f>$V$6</f>
        <v>FT</v>
      </c>
      <c r="W171" s="268" t="str">
        <f>$W$6</f>
        <v>PT</v>
      </c>
      <c r="X171" s="268" t="str">
        <f>$X$6</f>
        <v>SE</v>
      </c>
      <c r="Y171" s="268" t="str">
        <f>$Y$6</f>
        <v>Total</v>
      </c>
    </row>
    <row r="172" spans="1:25" x14ac:dyDescent="0.2">
      <c r="C172" s="319"/>
      <c r="D172" s="319"/>
      <c r="E172" s="319"/>
      <c r="F172" s="319"/>
      <c r="G172" s="319"/>
      <c r="H172" s="319"/>
      <c r="I172" s="319"/>
      <c r="J172" s="319"/>
      <c r="K172" s="319"/>
      <c r="L172" s="319"/>
      <c r="M172" s="319"/>
      <c r="N172" s="319"/>
      <c r="O172" s="319"/>
      <c r="P172" s="319"/>
      <c r="Q172" s="319"/>
      <c r="R172" s="319"/>
      <c r="S172" s="319"/>
      <c r="T172" s="319"/>
      <c r="U172" s="319"/>
      <c r="V172" s="319"/>
      <c r="W172" s="319"/>
      <c r="X172" s="319"/>
      <c r="Y172" s="319"/>
    </row>
    <row r="173" spans="1:25" x14ac:dyDescent="0.2">
      <c r="A173" s="261" t="str">
        <f>name!A28</f>
        <v>Water</v>
      </c>
      <c r="C173" s="263"/>
    </row>
    <row r="174" spans="1:25" x14ac:dyDescent="0.2">
      <c r="A174" s="260" t="s">
        <v>356</v>
      </c>
      <c r="B174" s="300">
        <v>0.53899999999550885</v>
      </c>
      <c r="C174" s="300">
        <v>0.40100000000046471</v>
      </c>
      <c r="D174" s="300">
        <v>0</v>
      </c>
      <c r="E174" s="300">
        <f>SUM(B174:D174)</f>
        <v>0.93999999999597361</v>
      </c>
      <c r="F174" s="300"/>
      <c r="G174" s="300">
        <v>0.50299999999650002</v>
      </c>
      <c r="H174" s="300">
        <v>0.48500000000078469</v>
      </c>
      <c r="I174" s="300">
        <v>0</v>
      </c>
      <c r="J174" s="300">
        <f>SUM(G174:I174)</f>
        <v>0.98799999999728472</v>
      </c>
      <c r="K174" s="300"/>
      <c r="L174" s="300">
        <v>0.40299999999814962</v>
      </c>
      <c r="M174" s="300">
        <v>0.49300000000079708</v>
      </c>
      <c r="N174" s="300">
        <v>4.4999999999880955E-2</v>
      </c>
      <c r="O174" s="300">
        <f>SUM(L174:N174)</f>
        <v>0.94099999999882766</v>
      </c>
      <c r="P174" s="300"/>
      <c r="Q174" s="300">
        <v>0.42900000000747768</v>
      </c>
      <c r="R174" s="300">
        <v>0.51100000000537915</v>
      </c>
      <c r="S174" s="300">
        <v>4.4999999999864433E-2</v>
      </c>
      <c r="T174" s="300">
        <f>SUM(Q174:S174)</f>
        <v>0.98500000001272126</v>
      </c>
      <c r="U174" s="300"/>
      <c r="V174" s="300">
        <v>0.47500000000244658</v>
      </c>
      <c r="W174" s="300">
        <v>0.5370000000029358</v>
      </c>
      <c r="X174" s="300">
        <v>4.6000000001605437E-2</v>
      </c>
      <c r="Y174" s="300">
        <f>SUM(V174:X174)</f>
        <v>1.0580000000069878</v>
      </c>
    </row>
    <row r="175" spans="1:25" x14ac:dyDescent="0.2">
      <c r="A175" s="260" t="s">
        <v>355</v>
      </c>
      <c r="B175" s="300">
        <v>1.6649999999880587</v>
      </c>
      <c r="C175" s="300">
        <v>7.3999999999703997E-2</v>
      </c>
      <c r="D175" s="300">
        <v>0</v>
      </c>
      <c r="E175" s="300">
        <f t="shared" ref="E175:E176" si="431">SUM(B175:D175)</f>
        <v>1.7389999999877628</v>
      </c>
      <c r="F175" s="300"/>
      <c r="G175" s="300">
        <v>1.6129999999919569</v>
      </c>
      <c r="H175" s="300">
        <v>0.10099999999970011</v>
      </c>
      <c r="I175" s="300">
        <v>0</v>
      </c>
      <c r="J175" s="300">
        <f t="shared" ref="J175:J176" si="432">SUM(G175:I175)</f>
        <v>1.7139999999916569</v>
      </c>
      <c r="K175" s="300"/>
      <c r="L175" s="300">
        <v>1.6549999999909391</v>
      </c>
      <c r="M175" s="300">
        <v>7.1999999999854222E-2</v>
      </c>
      <c r="N175" s="300">
        <v>0.32599999999837032</v>
      </c>
      <c r="O175" s="300">
        <f t="shared" ref="O175:O176" si="433">SUM(L175:N175)</f>
        <v>2.0529999999891637</v>
      </c>
      <c r="P175" s="300"/>
      <c r="Q175" s="300">
        <v>1.6820000000113959</v>
      </c>
      <c r="R175" s="300">
        <v>7.4000000000138927E-2</v>
      </c>
      <c r="S175" s="300">
        <v>0.32799999999777879</v>
      </c>
      <c r="T175" s="300">
        <f t="shared" ref="T175:T176" si="434">SUM(Q175:S175)</f>
        <v>2.0840000000093135</v>
      </c>
      <c r="U175" s="300"/>
      <c r="V175" s="300">
        <v>1.7060000000122721</v>
      </c>
      <c r="W175" s="300">
        <v>7.6000000000049098E-2</v>
      </c>
      <c r="X175" s="300">
        <v>0.33200000000096946</v>
      </c>
      <c r="Y175" s="300">
        <f t="shared" ref="Y175:Y176" si="435">SUM(V175:X175)</f>
        <v>2.1140000000132906</v>
      </c>
    </row>
    <row r="176" spans="1:25" x14ac:dyDescent="0.2">
      <c r="A176" s="260" t="s">
        <v>354</v>
      </c>
      <c r="B176" s="300">
        <f>SUM(B174:B175)</f>
        <v>2.2039999999835675</v>
      </c>
      <c r="C176" s="300">
        <f t="shared" ref="C176" si="436">SUM(C174:C175)</f>
        <v>0.47500000000016873</v>
      </c>
      <c r="D176" s="300">
        <f t="shared" ref="D176" si="437">SUM(D174:D175)</f>
        <v>0</v>
      </c>
      <c r="E176" s="300">
        <f t="shared" si="431"/>
        <v>2.6789999999837364</v>
      </c>
      <c r="F176" s="300"/>
      <c r="G176" s="300">
        <f>SUM(G174:G175)</f>
        <v>2.1159999999884569</v>
      </c>
      <c r="H176" s="300">
        <f t="shared" ref="H176" si="438">SUM(H174:H175)</f>
        <v>0.5860000000004848</v>
      </c>
      <c r="I176" s="300">
        <f t="shared" ref="I176" si="439">SUM(I174:I175)</f>
        <v>0</v>
      </c>
      <c r="J176" s="300">
        <f t="shared" si="432"/>
        <v>2.7019999999889417</v>
      </c>
      <c r="K176" s="300"/>
      <c r="L176" s="300">
        <f>SUM(L174:L175)</f>
        <v>2.0579999999890886</v>
      </c>
      <c r="M176" s="300">
        <f t="shared" ref="M176" si="440">SUM(M174:M175)</f>
        <v>0.56500000000065131</v>
      </c>
      <c r="N176" s="300">
        <f t="shared" ref="N176" si="441">SUM(N174:N175)</f>
        <v>0.37099999999825128</v>
      </c>
      <c r="O176" s="300">
        <f t="shared" si="433"/>
        <v>2.9939999999879912</v>
      </c>
      <c r="P176" s="300"/>
      <c r="Q176" s="300">
        <f>SUM(Q174:Q175)</f>
        <v>2.1110000000188736</v>
      </c>
      <c r="R176" s="300">
        <f t="shared" ref="R176" si="442">SUM(R174:R175)</f>
        <v>0.58500000000551811</v>
      </c>
      <c r="S176" s="300">
        <f t="shared" ref="S176" si="443">SUM(S174:S175)</f>
        <v>0.37299999999764322</v>
      </c>
      <c r="T176" s="300">
        <f t="shared" si="434"/>
        <v>3.0690000000220348</v>
      </c>
      <c r="U176" s="300"/>
      <c r="V176" s="300">
        <f>SUM(V174:V175)</f>
        <v>2.1810000000147189</v>
      </c>
      <c r="W176" s="300">
        <f t="shared" ref="W176" si="444">SUM(W174:W175)</f>
        <v>0.61300000000298493</v>
      </c>
      <c r="X176" s="300">
        <f t="shared" ref="X176" si="445">SUM(X174:X175)</f>
        <v>0.37800000000257489</v>
      </c>
      <c r="Y176" s="300">
        <f t="shared" si="435"/>
        <v>3.1720000000202786</v>
      </c>
    </row>
    <row r="177" spans="1:25" x14ac:dyDescent="0.2">
      <c r="C177" s="319"/>
      <c r="D177" s="319"/>
      <c r="E177" s="319"/>
      <c r="F177" s="319"/>
      <c r="G177" s="319"/>
      <c r="H177" s="319"/>
      <c r="I177" s="319"/>
      <c r="J177" s="319"/>
      <c r="K177" s="319"/>
      <c r="L177" s="319"/>
      <c r="M177" s="319"/>
      <c r="N177" s="319"/>
      <c r="O177" s="319"/>
      <c r="P177" s="319"/>
      <c r="Q177" s="319"/>
      <c r="R177" s="319"/>
      <c r="S177" s="319"/>
      <c r="T177" s="319"/>
      <c r="U177" s="319"/>
      <c r="V177" s="319"/>
      <c r="W177" s="319"/>
      <c r="X177" s="319"/>
      <c r="Y177" s="319"/>
    </row>
    <row r="178" spans="1:25" x14ac:dyDescent="0.2">
      <c r="A178" s="261" t="str">
        <f>name!A29</f>
        <v>Sewerage</v>
      </c>
      <c r="C178" s="263"/>
    </row>
    <row r="179" spans="1:25" x14ac:dyDescent="0.2">
      <c r="A179" s="260" t="s">
        <v>356</v>
      </c>
      <c r="B179" s="300">
        <v>0</v>
      </c>
      <c r="C179" s="300">
        <v>6.0000000000323388E-3</v>
      </c>
      <c r="D179" s="300">
        <v>0</v>
      </c>
      <c r="E179" s="300">
        <f>SUM(B179:D179)</f>
        <v>6.0000000000323388E-3</v>
      </c>
      <c r="F179" s="300"/>
      <c r="G179" s="300">
        <v>9.99999999990116E-4</v>
      </c>
      <c r="H179" s="300">
        <v>1.2000000000028646E-2</v>
      </c>
      <c r="I179" s="300">
        <v>0</v>
      </c>
      <c r="J179" s="300">
        <f>SUM(G179:I179)</f>
        <v>1.3000000000018762E-2</v>
      </c>
      <c r="K179" s="300"/>
      <c r="L179" s="300">
        <v>9.9999999999353232E-4</v>
      </c>
      <c r="M179" s="300">
        <v>1.3000000000061343E-2</v>
      </c>
      <c r="N179" s="300">
        <v>9.9999999999852659E-4</v>
      </c>
      <c r="O179" s="300">
        <f>SUM(L179:N179)</f>
        <v>1.5000000000053401E-2</v>
      </c>
      <c r="P179" s="300"/>
      <c r="Q179" s="300">
        <v>1.0000000000182207E-3</v>
      </c>
      <c r="R179" s="300">
        <v>1.3000000000289554E-2</v>
      </c>
      <c r="S179" s="300">
        <v>9.9999999999226966E-4</v>
      </c>
      <c r="T179" s="300">
        <f>SUM(Q179:S179)</f>
        <v>1.5000000000300044E-2</v>
      </c>
      <c r="U179" s="300"/>
      <c r="V179" s="300">
        <v>1.0000000000067548E-3</v>
      </c>
      <c r="W179" s="300">
        <v>1.4000000000068298E-2</v>
      </c>
      <c r="X179" s="300">
        <v>1.0000000000041545E-3</v>
      </c>
      <c r="Y179" s="300">
        <f>SUM(V179:X179)</f>
        <v>1.6000000000079208E-2</v>
      </c>
    </row>
    <row r="180" spans="1:25" x14ac:dyDescent="0.2">
      <c r="A180" s="260" t="s">
        <v>355</v>
      </c>
      <c r="B180" s="300">
        <v>0.17800000000142563</v>
      </c>
      <c r="C180" s="300">
        <v>2.0000000000247849E-3</v>
      </c>
      <c r="D180" s="300">
        <v>0</v>
      </c>
      <c r="E180" s="300">
        <f t="shared" ref="E180:E181" si="446">SUM(B180:D180)</f>
        <v>0.18000000000145042</v>
      </c>
      <c r="F180" s="300"/>
      <c r="G180" s="300">
        <v>0.13100000000038281</v>
      </c>
      <c r="H180" s="300">
        <v>5.0000000000386194E-3</v>
      </c>
      <c r="I180" s="300">
        <v>0</v>
      </c>
      <c r="J180" s="300">
        <f t="shared" ref="J180:J181" si="447">SUM(G180:I180)</f>
        <v>0.13600000000042142</v>
      </c>
      <c r="K180" s="300"/>
      <c r="L180" s="300">
        <v>0.13400000000029194</v>
      </c>
      <c r="M180" s="300">
        <v>3.0000000000079369E-3</v>
      </c>
      <c r="N180" s="300">
        <v>3.9999999999751727E-3</v>
      </c>
      <c r="O180" s="300">
        <f t="shared" ref="O180:O181" si="448">SUM(L180:N180)</f>
        <v>0.14100000000027504</v>
      </c>
      <c r="P180" s="300"/>
      <c r="Q180" s="300">
        <v>0.13699999999838294</v>
      </c>
      <c r="R180" s="300">
        <v>3.9999999999703146E-3</v>
      </c>
      <c r="S180" s="300">
        <v>3.9999999999722341E-3</v>
      </c>
      <c r="T180" s="300">
        <f t="shared" ref="T180:T181" si="449">SUM(Q180:S180)</f>
        <v>0.14499999999832547</v>
      </c>
      <c r="U180" s="300"/>
      <c r="V180" s="300">
        <v>0.13799999999823001</v>
      </c>
      <c r="W180" s="300">
        <v>3.9999999999804576E-3</v>
      </c>
      <c r="X180" s="300">
        <v>4.9999999999785546E-3</v>
      </c>
      <c r="Y180" s="300">
        <f t="shared" ref="Y180:Y181" si="450">SUM(V180:X180)</f>
        <v>0.14699999999818902</v>
      </c>
    </row>
    <row r="181" spans="1:25" x14ac:dyDescent="0.2">
      <c r="A181" s="260" t="s">
        <v>354</v>
      </c>
      <c r="B181" s="300">
        <f>SUM(B179:B180)</f>
        <v>0.17800000000142563</v>
      </c>
      <c r="C181" s="300">
        <f t="shared" ref="C181" si="451">SUM(C179:C180)</f>
        <v>8.0000000000571246E-3</v>
      </c>
      <c r="D181" s="300">
        <f t="shared" ref="D181" si="452">SUM(D179:D180)</f>
        <v>0</v>
      </c>
      <c r="E181" s="300">
        <f t="shared" si="446"/>
        <v>0.18600000000148276</v>
      </c>
      <c r="F181" s="300"/>
      <c r="G181" s="300">
        <f>SUM(G179:G180)</f>
        <v>0.13200000000037293</v>
      </c>
      <c r="H181" s="300">
        <f t="shared" ref="H181" si="453">SUM(H179:H180)</f>
        <v>1.7000000000067267E-2</v>
      </c>
      <c r="I181" s="300">
        <f t="shared" ref="I181" si="454">SUM(I179:I180)</f>
        <v>0</v>
      </c>
      <c r="J181" s="300">
        <f t="shared" si="447"/>
        <v>0.1490000000004402</v>
      </c>
      <c r="K181" s="300"/>
      <c r="L181" s="300">
        <f>SUM(L179:L180)</f>
        <v>0.13500000000028547</v>
      </c>
      <c r="M181" s="300">
        <f t="shared" ref="M181" si="455">SUM(M179:M180)</f>
        <v>1.6000000000069278E-2</v>
      </c>
      <c r="N181" s="300">
        <f t="shared" ref="N181" si="456">SUM(N179:N180)</f>
        <v>4.9999999999736991E-3</v>
      </c>
      <c r="O181" s="300">
        <f t="shared" si="448"/>
        <v>0.15600000000032843</v>
      </c>
      <c r="P181" s="300"/>
      <c r="Q181" s="300">
        <f>SUM(Q179:Q180)</f>
        <v>0.13799999999840115</v>
      </c>
      <c r="R181" s="300">
        <f t="shared" ref="R181" si="457">SUM(R179:R180)</f>
        <v>1.700000000025987E-2</v>
      </c>
      <c r="S181" s="300">
        <f t="shared" ref="S181" si="458">SUM(S179:S180)</f>
        <v>4.9999999999645033E-3</v>
      </c>
      <c r="T181" s="300">
        <f t="shared" si="449"/>
        <v>0.15999999999862552</v>
      </c>
      <c r="U181" s="300"/>
      <c r="V181" s="300">
        <f>SUM(V179:V180)</f>
        <v>0.13899999999823676</v>
      </c>
      <c r="W181" s="300">
        <f t="shared" ref="W181" si="459">SUM(W179:W180)</f>
        <v>1.8000000000048755E-2</v>
      </c>
      <c r="X181" s="300">
        <f t="shared" ref="X181" si="460">SUM(X179:X180)</f>
        <v>5.9999999999827093E-3</v>
      </c>
      <c r="Y181" s="300">
        <f t="shared" si="450"/>
        <v>0.16299999999826822</v>
      </c>
    </row>
    <row r="182" spans="1:25" x14ac:dyDescent="0.2">
      <c r="C182" s="319"/>
      <c r="D182" s="319"/>
      <c r="E182" s="319"/>
      <c r="F182" s="319"/>
      <c r="G182" s="319"/>
      <c r="H182" s="319"/>
      <c r="I182" s="319"/>
      <c r="J182" s="319"/>
      <c r="K182" s="319"/>
      <c r="L182" s="319"/>
      <c r="M182" s="319"/>
      <c r="N182" s="319"/>
      <c r="O182" s="319"/>
      <c r="P182" s="319"/>
      <c r="Q182" s="319"/>
      <c r="R182" s="319"/>
      <c r="S182" s="319"/>
      <c r="T182" s="319"/>
      <c r="U182" s="319"/>
      <c r="V182" s="319"/>
      <c r="W182" s="319"/>
      <c r="X182" s="319"/>
      <c r="Y182" s="319"/>
    </row>
    <row r="183" spans="1:25" x14ac:dyDescent="0.2">
      <c r="A183" s="261" t="str">
        <f>name!A30</f>
        <v>Waste management</v>
      </c>
      <c r="C183" s="263"/>
    </row>
    <row r="184" spans="1:25" x14ac:dyDescent="0.2">
      <c r="A184" s="260" t="s">
        <v>356</v>
      </c>
      <c r="B184" s="300">
        <v>0.75199999999423384</v>
      </c>
      <c r="C184" s="300">
        <v>0.28100000000231556</v>
      </c>
      <c r="D184" s="300">
        <v>0</v>
      </c>
      <c r="E184" s="300">
        <f>SUM(B184:D184)</f>
        <v>1.0329999999965493</v>
      </c>
      <c r="F184" s="300"/>
      <c r="G184" s="300">
        <v>1.0029999999900852</v>
      </c>
      <c r="H184" s="300">
        <v>0.25000000000059708</v>
      </c>
      <c r="I184" s="300">
        <v>0</v>
      </c>
      <c r="J184" s="300">
        <f>SUM(G184:I184)</f>
        <v>1.2529999999906822</v>
      </c>
      <c r="K184" s="300"/>
      <c r="L184" s="300">
        <v>0.80499999999479355</v>
      </c>
      <c r="M184" s="300">
        <v>0.25400000000119871</v>
      </c>
      <c r="N184" s="300">
        <v>3.3999999999743201E-2</v>
      </c>
      <c r="O184" s="300">
        <f>SUM(L184:N184)</f>
        <v>1.0929999999957354</v>
      </c>
      <c r="P184" s="300"/>
      <c r="Q184" s="300">
        <v>0.85600000001518473</v>
      </c>
      <c r="R184" s="300">
        <v>0.26300000000587276</v>
      </c>
      <c r="S184" s="300">
        <v>3.4999999999901325E-2</v>
      </c>
      <c r="T184" s="300">
        <f>SUM(Q184:S184)</f>
        <v>1.1540000000209589</v>
      </c>
      <c r="U184" s="300"/>
      <c r="V184" s="300">
        <v>0.94700000000628937</v>
      </c>
      <c r="W184" s="300">
        <v>0.27700000000132341</v>
      </c>
      <c r="X184" s="300">
        <v>3.5000000000051067E-2</v>
      </c>
      <c r="Y184" s="300">
        <f>SUM(V184:X184)</f>
        <v>1.2590000000076638</v>
      </c>
    </row>
    <row r="185" spans="1:25" x14ac:dyDescent="0.2">
      <c r="A185" s="260" t="s">
        <v>355</v>
      </c>
      <c r="B185" s="300">
        <v>2.552000000019746</v>
      </c>
      <c r="C185" s="300">
        <v>5.3000000000600705E-2</v>
      </c>
      <c r="D185" s="300">
        <v>0</v>
      </c>
      <c r="E185" s="300">
        <f t="shared" ref="E185:E186" si="461">SUM(B185:D185)</f>
        <v>2.6050000000203468</v>
      </c>
      <c r="F185" s="300"/>
      <c r="G185" s="300">
        <v>2.7440000000077318</v>
      </c>
      <c r="H185" s="300">
        <v>3.9000000000284002E-2</v>
      </c>
      <c r="I185" s="300">
        <v>0</v>
      </c>
      <c r="J185" s="300">
        <f t="shared" ref="J185:J186" si="462">SUM(G185:I185)</f>
        <v>2.7830000000080157</v>
      </c>
      <c r="K185" s="300"/>
      <c r="L185" s="300">
        <v>2.817000000005899</v>
      </c>
      <c r="M185" s="300">
        <v>2.7999999999982251E-2</v>
      </c>
      <c r="N185" s="300">
        <v>0.4959999999916036</v>
      </c>
      <c r="O185" s="300">
        <f t="shared" ref="O185:O186" si="463">SUM(L185:N185)</f>
        <v>3.3409999999974849</v>
      </c>
      <c r="P185" s="300"/>
      <c r="Q185" s="300">
        <v>2.8629999999665436</v>
      </c>
      <c r="R185" s="300">
        <v>2.8999999999616586E-2</v>
      </c>
      <c r="S185" s="300">
        <v>0.48299999998738485</v>
      </c>
      <c r="T185" s="300">
        <f t="shared" ref="T185:T186" si="464">SUM(Q185:S185)</f>
        <v>3.3749999999535452</v>
      </c>
      <c r="U185" s="300"/>
      <c r="V185" s="300">
        <v>2.902999999962705</v>
      </c>
      <c r="W185" s="300">
        <v>2.8999999999653338E-2</v>
      </c>
      <c r="X185" s="300">
        <v>0.43899999999511513</v>
      </c>
      <c r="Y185" s="300">
        <f t="shared" ref="Y185:Y186" si="465">SUM(V185:X185)</f>
        <v>3.3709999999574736</v>
      </c>
    </row>
    <row r="186" spans="1:25" x14ac:dyDescent="0.2">
      <c r="A186" s="260" t="s">
        <v>354</v>
      </c>
      <c r="B186" s="300">
        <f>SUM(B184:B185)</f>
        <v>3.3040000000139798</v>
      </c>
      <c r="C186" s="300">
        <f t="shared" ref="C186" si="466">SUM(C184:C185)</f>
        <v>0.3340000000029163</v>
      </c>
      <c r="D186" s="300">
        <f t="shared" ref="D186" si="467">SUM(D184:D185)</f>
        <v>0</v>
      </c>
      <c r="E186" s="300">
        <f t="shared" si="461"/>
        <v>3.6380000000168962</v>
      </c>
      <c r="F186" s="300"/>
      <c r="G186" s="300">
        <f>SUM(G184:G185)</f>
        <v>3.7469999999978167</v>
      </c>
      <c r="H186" s="300">
        <f t="shared" ref="H186" si="468">SUM(H184:H185)</f>
        <v>0.28900000000088111</v>
      </c>
      <c r="I186" s="300">
        <f t="shared" ref="I186" si="469">SUM(I184:I185)</f>
        <v>0</v>
      </c>
      <c r="J186" s="300">
        <f t="shared" si="462"/>
        <v>4.0359999999986975</v>
      </c>
      <c r="K186" s="300"/>
      <c r="L186" s="300">
        <f>SUM(L184:L185)</f>
        <v>3.6220000000006927</v>
      </c>
      <c r="M186" s="300">
        <f t="shared" ref="M186" si="470">SUM(M184:M185)</f>
        <v>0.28200000000118097</v>
      </c>
      <c r="N186" s="300">
        <f t="shared" ref="N186" si="471">SUM(N184:N185)</f>
        <v>0.52999999999134684</v>
      </c>
      <c r="O186" s="300">
        <f t="shared" si="463"/>
        <v>4.4339999999932207</v>
      </c>
      <c r="P186" s="300"/>
      <c r="Q186" s="300">
        <f>SUM(Q184:Q185)</f>
        <v>3.7189999999817283</v>
      </c>
      <c r="R186" s="300">
        <f t="shared" ref="R186" si="472">SUM(R184:R185)</f>
        <v>0.29200000000548937</v>
      </c>
      <c r="S186" s="300">
        <f t="shared" ref="S186" si="473">SUM(S184:S185)</f>
        <v>0.51799999998728619</v>
      </c>
      <c r="T186" s="300">
        <f t="shared" si="464"/>
        <v>4.5289999999745039</v>
      </c>
      <c r="U186" s="300"/>
      <c r="V186" s="300">
        <f>SUM(V184:V185)</f>
        <v>3.8499999999689942</v>
      </c>
      <c r="W186" s="300">
        <f t="shared" ref="W186" si="474">SUM(W184:W185)</f>
        <v>0.30600000000097677</v>
      </c>
      <c r="X186" s="300">
        <f t="shared" ref="X186" si="475">SUM(X184:X185)</f>
        <v>0.47399999999516618</v>
      </c>
      <c r="Y186" s="300">
        <f t="shared" si="465"/>
        <v>4.6299999999651371</v>
      </c>
    </row>
    <row r="188" spans="1:25" x14ac:dyDescent="0.2">
      <c r="A188" s="261" t="s">
        <v>369</v>
      </c>
      <c r="C188" s="263"/>
    </row>
    <row r="189" spans="1:25" x14ac:dyDescent="0.2">
      <c r="A189" s="260" t="s">
        <v>356</v>
      </c>
      <c r="B189" s="300">
        <f>SUM(B174,B179,B184)</f>
        <v>1.2909999999897428</v>
      </c>
      <c r="C189" s="300">
        <f t="shared" ref="C189:D189" si="476">SUM(C174,C179,C184)</f>
        <v>0.68800000000281258</v>
      </c>
      <c r="D189" s="300">
        <f t="shared" si="476"/>
        <v>0</v>
      </c>
      <c r="E189" s="300">
        <f>SUM(B189:D189)</f>
        <v>1.9789999999925554</v>
      </c>
      <c r="F189" s="300"/>
      <c r="G189" s="300">
        <f>SUM(G174,G179,G184)</f>
        <v>1.5069999999865753</v>
      </c>
      <c r="H189" s="300">
        <f t="shared" ref="H189:I189" si="477">SUM(H174,H179,H184)</f>
        <v>0.74700000000141042</v>
      </c>
      <c r="I189" s="300">
        <f t="shared" si="477"/>
        <v>0</v>
      </c>
      <c r="J189" s="300">
        <f>SUM(G189:I189)</f>
        <v>2.2539999999879856</v>
      </c>
      <c r="K189" s="300"/>
      <c r="L189" s="300">
        <f>SUM(L174,L179,L184)</f>
        <v>1.2089999999929366</v>
      </c>
      <c r="M189" s="300">
        <f t="shared" ref="M189:N189" si="478">SUM(M174,M179,M184)</f>
        <v>0.76000000000205714</v>
      </c>
      <c r="N189" s="300">
        <f t="shared" si="478"/>
        <v>7.9999999999622678E-2</v>
      </c>
      <c r="O189" s="300">
        <f>SUM(L189:N189)</f>
        <v>2.0489999999946162</v>
      </c>
      <c r="P189" s="300"/>
      <c r="Q189" s="300">
        <f>SUM(Q174,Q179,Q184)</f>
        <v>1.2860000000226806</v>
      </c>
      <c r="R189" s="300">
        <f t="shared" ref="R189:S189" si="479">SUM(R174,R179,R184)</f>
        <v>0.78700000001154147</v>
      </c>
      <c r="S189" s="300">
        <f t="shared" si="479"/>
        <v>8.0999999999758029E-2</v>
      </c>
      <c r="T189" s="300">
        <f>SUM(Q189:S189)</f>
        <v>2.1540000000339798</v>
      </c>
      <c r="U189" s="300"/>
      <c r="V189" s="300">
        <f>SUM(V174,V179,V184)</f>
        <v>1.4230000000087428</v>
      </c>
      <c r="W189" s="300">
        <f t="shared" ref="W189:X189" si="480">SUM(W174,W179,W184)</f>
        <v>0.8280000000043275</v>
      </c>
      <c r="X189" s="300">
        <f t="shared" si="480"/>
        <v>8.2000000001660661E-2</v>
      </c>
      <c r="Y189" s="300">
        <f>SUM(V189:X189)</f>
        <v>2.3330000000147311</v>
      </c>
    </row>
    <row r="190" spans="1:25" x14ac:dyDescent="0.2">
      <c r="A190" s="260" t="s">
        <v>355</v>
      </c>
      <c r="B190" s="300">
        <f>SUM(B175,B180,B185)</f>
        <v>4.3950000000092304</v>
      </c>
      <c r="C190" s="300">
        <f t="shared" ref="C190:D190" si="481">SUM(C175,C180,C185)</f>
        <v>0.12900000000032949</v>
      </c>
      <c r="D190" s="300">
        <f t="shared" si="481"/>
        <v>0</v>
      </c>
      <c r="E190" s="300">
        <f t="shared" ref="E190:E191" si="482">SUM(B190:D190)</f>
        <v>4.5240000000095595</v>
      </c>
      <c r="F190" s="300"/>
      <c r="G190" s="300">
        <f>SUM(G175,G180,G185)</f>
        <v>4.4880000000000715</v>
      </c>
      <c r="H190" s="300">
        <f t="shared" ref="H190:I190" si="483">SUM(H175,H180,H185)</f>
        <v>0.14500000000002272</v>
      </c>
      <c r="I190" s="300">
        <f t="shared" si="483"/>
        <v>0</v>
      </c>
      <c r="J190" s="300">
        <f t="shared" ref="J190:J191" si="484">SUM(G190:I190)</f>
        <v>4.6330000000000942</v>
      </c>
      <c r="K190" s="300"/>
      <c r="L190" s="300">
        <f>SUM(L175,L180,L185)</f>
        <v>4.6059999999971302</v>
      </c>
      <c r="M190" s="300">
        <f t="shared" ref="M190:N190" si="485">SUM(M175,M180,M185)</f>
        <v>0.10299999999984441</v>
      </c>
      <c r="N190" s="300">
        <f t="shared" si="485"/>
        <v>0.82599999998994911</v>
      </c>
      <c r="O190" s="300">
        <f t="shared" ref="O190:O191" si="486">SUM(L190:N190)</f>
        <v>5.5349999999869235</v>
      </c>
      <c r="P190" s="300"/>
      <c r="Q190" s="300">
        <f>SUM(Q175,Q180,Q185)</f>
        <v>4.6819999999763224</v>
      </c>
      <c r="R190" s="300">
        <f t="shared" ref="R190:S190" si="487">SUM(R175,R180,R185)</f>
        <v>0.10699999999972583</v>
      </c>
      <c r="S190" s="300">
        <f t="shared" si="487"/>
        <v>0.81499999998513584</v>
      </c>
      <c r="T190" s="300">
        <f t="shared" ref="T190:T191" si="488">SUM(Q190:S190)</f>
        <v>5.603999999961184</v>
      </c>
      <c r="U190" s="300"/>
      <c r="V190" s="300">
        <f>SUM(V175,V180,V185)</f>
        <v>4.7469999999732071</v>
      </c>
      <c r="W190" s="300">
        <f t="shared" ref="W190:X190" si="489">SUM(W175,W180,W185)</f>
        <v>0.10899999999968291</v>
      </c>
      <c r="X190" s="300">
        <f t="shared" si="489"/>
        <v>0.77599999999606317</v>
      </c>
      <c r="Y190" s="300">
        <f t="shared" ref="Y190:Y191" si="490">SUM(V190:X190)</f>
        <v>5.6319999999689534</v>
      </c>
    </row>
    <row r="191" spans="1:25" x14ac:dyDescent="0.2">
      <c r="A191" s="264" t="s">
        <v>354</v>
      </c>
      <c r="B191" s="301">
        <f>SUM(B189:B190)</f>
        <v>5.6859999999989732</v>
      </c>
      <c r="C191" s="301">
        <f t="shared" ref="C191" si="491">SUM(C189:C190)</f>
        <v>0.8170000000031421</v>
      </c>
      <c r="D191" s="301">
        <f t="shared" ref="D191" si="492">SUM(D189:D190)</f>
        <v>0</v>
      </c>
      <c r="E191" s="301">
        <f t="shared" si="482"/>
        <v>6.5030000000021158</v>
      </c>
      <c r="F191" s="301"/>
      <c r="G191" s="301">
        <f>SUM(G189:G190)</f>
        <v>5.9949999999866463</v>
      </c>
      <c r="H191" s="301">
        <f t="shared" ref="H191" si="493">SUM(H189:H190)</f>
        <v>0.8920000000014332</v>
      </c>
      <c r="I191" s="301">
        <f t="shared" ref="I191" si="494">SUM(I189:I190)</f>
        <v>0</v>
      </c>
      <c r="J191" s="301">
        <f t="shared" si="484"/>
        <v>6.8869999999880793</v>
      </c>
      <c r="K191" s="301"/>
      <c r="L191" s="301">
        <f>SUM(L189:L190)</f>
        <v>5.814999999990067</v>
      </c>
      <c r="M191" s="301">
        <f t="shared" ref="M191" si="495">SUM(M189:M190)</f>
        <v>0.86300000000190158</v>
      </c>
      <c r="N191" s="301">
        <f t="shared" ref="N191" si="496">SUM(N189:N190)</f>
        <v>0.90599999998957181</v>
      </c>
      <c r="O191" s="301">
        <f t="shared" si="486"/>
        <v>7.5839999999815397</v>
      </c>
      <c r="P191" s="301"/>
      <c r="Q191" s="301">
        <f>SUM(Q189:Q190)</f>
        <v>5.9679999999990034</v>
      </c>
      <c r="R191" s="301">
        <f t="shared" ref="R191" si="497">SUM(R189:R190)</f>
        <v>0.89400000001126734</v>
      </c>
      <c r="S191" s="301">
        <f t="shared" ref="S191" si="498">SUM(S189:S190)</f>
        <v>0.89599999998489388</v>
      </c>
      <c r="T191" s="301">
        <f t="shared" si="488"/>
        <v>7.7579999999951648</v>
      </c>
      <c r="U191" s="301"/>
      <c r="V191" s="301">
        <f>SUM(V189:V190)</f>
        <v>6.1699999999819504</v>
      </c>
      <c r="W191" s="301">
        <f t="shared" ref="W191" si="499">SUM(W189:W190)</f>
        <v>0.9370000000040104</v>
      </c>
      <c r="X191" s="301">
        <f t="shared" ref="X191" si="500">SUM(X189:X190)</f>
        <v>0.85799999999772381</v>
      </c>
      <c r="Y191" s="301">
        <f t="shared" si="490"/>
        <v>7.9649999999836849</v>
      </c>
    </row>
    <row r="195" spans="1:25" ht="15" x14ac:dyDescent="0.25">
      <c r="A195" s="265" t="str">
        <f>"Industry 8 : "&amp; name!B11</f>
        <v>Industry 8 : Construction</v>
      </c>
      <c r="B195" s="371">
        <f>$B$5</f>
        <v>2015</v>
      </c>
      <c r="C195" s="371"/>
      <c r="D195" s="371"/>
      <c r="E195" s="371"/>
      <c r="F195" s="320"/>
      <c r="G195" s="371">
        <f>$G$5</f>
        <v>2019</v>
      </c>
      <c r="H195" s="371"/>
      <c r="I195" s="371"/>
      <c r="J195" s="371"/>
      <c r="K195" s="320"/>
      <c r="L195" s="371">
        <f>$L$5</f>
        <v>2020</v>
      </c>
      <c r="M195" s="371"/>
      <c r="N195" s="371"/>
      <c r="O195" s="371"/>
      <c r="P195" s="318"/>
      <c r="Q195" s="371">
        <f>$Q$5</f>
        <v>2025</v>
      </c>
      <c r="R195" s="371"/>
      <c r="S195" s="371"/>
      <c r="T195" s="371"/>
      <c r="U195" s="320"/>
      <c r="V195" s="371">
        <f>$V$5</f>
        <v>2035</v>
      </c>
      <c r="W195" s="371"/>
      <c r="X195" s="371"/>
      <c r="Y195" s="371"/>
    </row>
    <row r="196" spans="1:25" x14ac:dyDescent="0.2">
      <c r="A196" s="264"/>
      <c r="B196" s="268" t="str">
        <f>$B$6</f>
        <v>FT</v>
      </c>
      <c r="C196" s="268" t="str">
        <f>$C$6</f>
        <v>PT</v>
      </c>
      <c r="D196" s="268" t="str">
        <f>$D$6</f>
        <v>SE</v>
      </c>
      <c r="E196" s="268" t="str">
        <f>$E$6</f>
        <v>Total</v>
      </c>
      <c r="F196" s="268"/>
      <c r="G196" s="268" t="str">
        <f>$B$6</f>
        <v>FT</v>
      </c>
      <c r="H196" s="268" t="str">
        <f>$C$6</f>
        <v>PT</v>
      </c>
      <c r="I196" s="268" t="str">
        <f>$D$6</f>
        <v>SE</v>
      </c>
      <c r="J196" s="268" t="str">
        <f>$E$6</f>
        <v>Total</v>
      </c>
      <c r="K196" s="268"/>
      <c r="L196" s="268" t="str">
        <f>$L$6</f>
        <v>FT</v>
      </c>
      <c r="M196" s="268" t="str">
        <f>$M$6</f>
        <v>PT</v>
      </c>
      <c r="N196" s="268" t="str">
        <f>$N$6</f>
        <v>SE</v>
      </c>
      <c r="O196" s="268" t="str">
        <f>$O$6</f>
        <v>Total</v>
      </c>
      <c r="P196" s="268"/>
      <c r="Q196" s="268" t="str">
        <f>$L$6</f>
        <v>FT</v>
      </c>
      <c r="R196" s="268" t="str">
        <f>$M$6</f>
        <v>PT</v>
      </c>
      <c r="S196" s="268" t="str">
        <f>$N$6</f>
        <v>SE</v>
      </c>
      <c r="T196" s="268" t="str">
        <f>$O$6</f>
        <v>Total</v>
      </c>
      <c r="U196" s="268"/>
      <c r="V196" s="268" t="str">
        <f>$V$6</f>
        <v>FT</v>
      </c>
      <c r="W196" s="268" t="str">
        <f>$W$6</f>
        <v>PT</v>
      </c>
      <c r="X196" s="268" t="str">
        <f>$X$6</f>
        <v>SE</v>
      </c>
      <c r="Y196" s="268" t="str">
        <f>$Y$6</f>
        <v>Total</v>
      </c>
    </row>
    <row r="197" spans="1:25" x14ac:dyDescent="0.2">
      <c r="C197" s="319"/>
      <c r="D197" s="319"/>
      <c r="E197" s="319"/>
      <c r="F197" s="319"/>
      <c r="G197" s="319"/>
      <c r="H197" s="319"/>
      <c r="I197" s="319"/>
      <c r="J197" s="319"/>
      <c r="K197" s="319"/>
      <c r="L197" s="319"/>
      <c r="M197" s="319"/>
      <c r="N197" s="319"/>
      <c r="O197" s="319"/>
      <c r="P197" s="319"/>
      <c r="Q197" s="319"/>
      <c r="R197" s="319"/>
      <c r="S197" s="319"/>
      <c r="T197" s="319"/>
      <c r="U197" s="319"/>
      <c r="V197" s="319"/>
      <c r="W197" s="319"/>
      <c r="X197" s="319"/>
      <c r="Y197" s="319"/>
    </row>
    <row r="198" spans="1:25" x14ac:dyDescent="0.2">
      <c r="A198" s="261" t="str">
        <f>name!A31</f>
        <v>Construction</v>
      </c>
      <c r="C198" s="263"/>
    </row>
    <row r="199" spans="1:25" x14ac:dyDescent="0.2">
      <c r="A199" s="260" t="s">
        <v>356</v>
      </c>
      <c r="B199" s="300">
        <v>1.8599999999829822</v>
      </c>
      <c r="C199" s="300">
        <v>0.53900000000687953</v>
      </c>
      <c r="D199" s="300">
        <v>1.2740000000275469</v>
      </c>
      <c r="E199" s="300">
        <f>SUM(B199:D199)</f>
        <v>3.6730000000174083</v>
      </c>
      <c r="F199" s="300"/>
      <c r="G199" s="300">
        <v>1.697999999984773</v>
      </c>
      <c r="H199" s="300">
        <v>0.73599999999925492</v>
      </c>
      <c r="I199" s="300">
        <v>0.32300000000189261</v>
      </c>
      <c r="J199" s="300">
        <f>SUM(G199:I199)</f>
        <v>2.7569999999859207</v>
      </c>
      <c r="K199" s="300"/>
      <c r="L199" s="300">
        <v>1.7029999999899119</v>
      </c>
      <c r="M199" s="300">
        <v>0.78100000000195968</v>
      </c>
      <c r="N199" s="300">
        <v>0.64799999998346258</v>
      </c>
      <c r="O199" s="300">
        <f>SUM(L199:N199)</f>
        <v>3.1319999999753341</v>
      </c>
      <c r="P199" s="300"/>
      <c r="Q199" s="300">
        <v>1.6590000000250869</v>
      </c>
      <c r="R199" s="300">
        <v>0.76600000002531654</v>
      </c>
      <c r="S199" s="300">
        <v>0.62000000001369515</v>
      </c>
      <c r="T199" s="300">
        <f>SUM(Q199:S199)</f>
        <v>3.0450000000640989</v>
      </c>
      <c r="U199" s="300"/>
      <c r="V199" s="300">
        <v>1.6800000000049873</v>
      </c>
      <c r="W199" s="300">
        <v>0.78399999999950021</v>
      </c>
      <c r="X199" s="300">
        <v>0.63799999999694668</v>
      </c>
      <c r="Y199" s="300">
        <f>SUM(V199:X199)</f>
        <v>3.1020000000014343</v>
      </c>
    </row>
    <row r="200" spans="1:25" x14ac:dyDescent="0.2">
      <c r="A200" s="260" t="s">
        <v>355</v>
      </c>
      <c r="B200" s="300">
        <v>12.916000000065132</v>
      </c>
      <c r="C200" s="300">
        <v>0.56900000000466933</v>
      </c>
      <c r="D200" s="300">
        <v>4.3059999998448086</v>
      </c>
      <c r="E200" s="300">
        <f t="shared" ref="E200:E201" si="501">SUM(B200:D200)</f>
        <v>17.790999999914611</v>
      </c>
      <c r="F200" s="300"/>
      <c r="G200" s="300">
        <v>11.016000000019737</v>
      </c>
      <c r="H200" s="300">
        <v>0.72100000000352904</v>
      </c>
      <c r="I200" s="300">
        <v>6.3830000001412674</v>
      </c>
      <c r="J200" s="300">
        <f t="shared" ref="J200:J201" si="502">SUM(G200:I200)</f>
        <v>18.120000000164534</v>
      </c>
      <c r="K200" s="300"/>
      <c r="L200" s="300">
        <v>10.930000000015209</v>
      </c>
      <c r="M200" s="300">
        <v>0.77800000000054925</v>
      </c>
      <c r="N200" s="300">
        <v>5.3829999998032756</v>
      </c>
      <c r="O200" s="300">
        <f t="shared" ref="O200:O201" si="503">SUM(L200:N200)</f>
        <v>17.090999999819033</v>
      </c>
      <c r="P200" s="300"/>
      <c r="Q200" s="300">
        <v>10.463999999885258</v>
      </c>
      <c r="R200" s="300">
        <v>0.76899999999634894</v>
      </c>
      <c r="S200" s="300">
        <v>5.2709999993416679</v>
      </c>
      <c r="T200" s="300">
        <f t="shared" ref="T200:T201" si="504">SUM(Q200:S200)</f>
        <v>16.503999999223275</v>
      </c>
      <c r="U200" s="300"/>
      <c r="V200" s="300">
        <v>10.124999999867498</v>
      </c>
      <c r="W200" s="300">
        <v>0.7959999999978995</v>
      </c>
      <c r="X200" s="300">
        <v>5.3839999994949137</v>
      </c>
      <c r="Y200" s="300">
        <f t="shared" ref="Y200:Y201" si="505">SUM(V200:X200)</f>
        <v>16.304999999360312</v>
      </c>
    </row>
    <row r="201" spans="1:25" x14ac:dyDescent="0.2">
      <c r="A201" s="260" t="s">
        <v>354</v>
      </c>
      <c r="B201" s="300">
        <f>SUM(B199:B200)</f>
        <v>14.776000000048114</v>
      </c>
      <c r="C201" s="300">
        <f t="shared" ref="C201" si="506">SUM(C199:C200)</f>
        <v>1.1080000000115489</v>
      </c>
      <c r="D201" s="300">
        <f t="shared" ref="D201" si="507">SUM(D199:D200)</f>
        <v>5.5799999998723555</v>
      </c>
      <c r="E201" s="300">
        <f t="shared" si="501"/>
        <v>21.463999999932017</v>
      </c>
      <c r="F201" s="300"/>
      <c r="G201" s="300">
        <f>SUM(G199:G200)</f>
        <v>12.714000000004511</v>
      </c>
      <c r="H201" s="300">
        <f t="shared" ref="H201" si="508">SUM(H199:H200)</f>
        <v>1.4570000000027838</v>
      </c>
      <c r="I201" s="300">
        <f t="shared" ref="I201" si="509">SUM(I199:I200)</f>
        <v>6.7060000001431597</v>
      </c>
      <c r="J201" s="300">
        <f t="shared" si="502"/>
        <v>20.877000000150453</v>
      </c>
      <c r="K201" s="300"/>
      <c r="L201" s="300">
        <f>SUM(L199:L200)</f>
        <v>12.63300000000512</v>
      </c>
      <c r="M201" s="300">
        <f t="shared" ref="M201" si="510">SUM(M199:M200)</f>
        <v>1.5590000000025088</v>
      </c>
      <c r="N201" s="300">
        <f t="shared" ref="N201" si="511">SUM(N199:N200)</f>
        <v>6.0309999997867383</v>
      </c>
      <c r="O201" s="300">
        <f t="shared" si="503"/>
        <v>20.222999999794368</v>
      </c>
      <c r="P201" s="300"/>
      <c r="Q201" s="300">
        <f>SUM(Q199:Q200)</f>
        <v>12.122999999910345</v>
      </c>
      <c r="R201" s="300">
        <f t="shared" ref="R201" si="512">SUM(R199:R200)</f>
        <v>1.5350000000216655</v>
      </c>
      <c r="S201" s="300">
        <f t="shared" ref="S201" si="513">SUM(S199:S200)</f>
        <v>5.8909999993553628</v>
      </c>
      <c r="T201" s="300">
        <f t="shared" si="504"/>
        <v>19.548999999287371</v>
      </c>
      <c r="U201" s="300"/>
      <c r="V201" s="300">
        <f>SUM(V199:V200)</f>
        <v>11.804999999872486</v>
      </c>
      <c r="W201" s="300">
        <f t="shared" ref="W201" si="514">SUM(W199:W200)</f>
        <v>1.5799999999973997</v>
      </c>
      <c r="X201" s="300">
        <f t="shared" ref="X201" si="515">SUM(X199:X200)</f>
        <v>6.02199999949186</v>
      </c>
      <c r="Y201" s="300">
        <f t="shared" si="505"/>
        <v>19.406999999361744</v>
      </c>
    </row>
    <row r="202" spans="1:25" x14ac:dyDescent="0.2">
      <c r="C202" s="319"/>
      <c r="D202" s="319"/>
      <c r="E202" s="319"/>
      <c r="F202" s="319"/>
      <c r="G202" s="319"/>
      <c r="H202" s="319"/>
      <c r="I202" s="319"/>
      <c r="J202" s="319"/>
      <c r="K202" s="319"/>
      <c r="L202" s="319"/>
      <c r="M202" s="319"/>
      <c r="N202" s="319"/>
      <c r="O202" s="319"/>
      <c r="P202" s="319"/>
      <c r="Q202" s="319"/>
      <c r="R202" s="319"/>
      <c r="S202" s="319"/>
      <c r="T202" s="319"/>
      <c r="U202" s="319"/>
      <c r="V202" s="319"/>
      <c r="W202" s="319"/>
      <c r="X202" s="319"/>
      <c r="Y202" s="319"/>
    </row>
    <row r="203" spans="1:25" x14ac:dyDescent="0.2">
      <c r="A203" s="261" t="str">
        <f>name!A32</f>
        <v>Civil engineering</v>
      </c>
      <c r="C203" s="263"/>
    </row>
    <row r="204" spans="1:25" x14ac:dyDescent="0.2">
      <c r="A204" s="260" t="s">
        <v>356</v>
      </c>
      <c r="B204" s="300">
        <v>0.95599999999125329</v>
      </c>
      <c r="C204" s="300">
        <v>0.37400000000477357</v>
      </c>
      <c r="D204" s="300">
        <v>0.29800000000644322</v>
      </c>
      <c r="E204" s="300">
        <f>SUM(B204:D204)</f>
        <v>1.6280000000024701</v>
      </c>
      <c r="F204" s="300"/>
      <c r="G204" s="300">
        <v>0.95899999999139973</v>
      </c>
      <c r="H204" s="300">
        <v>0.28299999999971337</v>
      </c>
      <c r="I204" s="300">
        <v>7.6000000000445378E-2</v>
      </c>
      <c r="J204" s="300">
        <f>SUM(G204:I204)</f>
        <v>1.3179999999915584</v>
      </c>
      <c r="K204" s="300"/>
      <c r="L204" s="300">
        <v>0.96199999999430352</v>
      </c>
      <c r="M204" s="300">
        <v>0.30000000000075239</v>
      </c>
      <c r="N204" s="300">
        <v>3.6999999999055733E-2</v>
      </c>
      <c r="O204" s="300">
        <f>SUM(L204:N204)</f>
        <v>1.2989999999941118</v>
      </c>
      <c r="P204" s="300"/>
      <c r="Q204" s="300">
        <v>0.93700000001416828</v>
      </c>
      <c r="R204" s="300">
        <v>0.2940000000097166</v>
      </c>
      <c r="S204" s="300">
        <v>4.5000000000994016E-2</v>
      </c>
      <c r="T204" s="300">
        <f>SUM(Q204:S204)</f>
        <v>1.2760000000248788</v>
      </c>
      <c r="U204" s="300"/>
      <c r="V204" s="300">
        <v>0.94900000000281781</v>
      </c>
      <c r="W204" s="300">
        <v>0.30099999999980803</v>
      </c>
      <c r="X204" s="300">
        <v>6.0999999999708093E-2</v>
      </c>
      <c r="Y204" s="300">
        <f>SUM(V204:X204)</f>
        <v>1.3110000000023341</v>
      </c>
    </row>
    <row r="205" spans="1:25" x14ac:dyDescent="0.2">
      <c r="A205" s="260" t="s">
        <v>355</v>
      </c>
      <c r="B205" s="300">
        <v>5.1250000000258398</v>
      </c>
      <c r="C205" s="300">
        <v>0.2970000000024372</v>
      </c>
      <c r="D205" s="300">
        <v>2.0489999999261506</v>
      </c>
      <c r="E205" s="300">
        <f t="shared" ref="E205:E206" si="516">SUM(B205:D205)</f>
        <v>7.4709999999544277</v>
      </c>
      <c r="F205" s="300"/>
      <c r="G205" s="300">
        <v>4.8080000000086116</v>
      </c>
      <c r="H205" s="300">
        <v>0.20900000000102312</v>
      </c>
      <c r="I205" s="300">
        <v>3.0680000000678982</v>
      </c>
      <c r="J205" s="300">
        <f t="shared" ref="J205:J206" si="517">SUM(G205:I205)</f>
        <v>8.0850000000775317</v>
      </c>
      <c r="K205" s="300"/>
      <c r="L205" s="300">
        <v>4.7700000000066396</v>
      </c>
      <c r="M205" s="300">
        <v>0.22500000000015882</v>
      </c>
      <c r="N205" s="300">
        <v>2.586999999905458</v>
      </c>
      <c r="O205" s="300">
        <f t="shared" ref="O205:O206" si="518">SUM(L205:N205)</f>
        <v>7.5819999999122558</v>
      </c>
      <c r="P205" s="300"/>
      <c r="Q205" s="300">
        <v>4.5669999999499211</v>
      </c>
      <c r="R205" s="300">
        <v>0.22299999999894135</v>
      </c>
      <c r="S205" s="300">
        <v>2.5329999996836365</v>
      </c>
      <c r="T205" s="300">
        <f t="shared" ref="T205:T206" si="519">SUM(Q205:S205)</f>
        <v>7.3229999996324988</v>
      </c>
      <c r="U205" s="300"/>
      <c r="V205" s="300">
        <v>4.4189999999421747</v>
      </c>
      <c r="W205" s="300">
        <v>0.22999999999939288</v>
      </c>
      <c r="X205" s="300">
        <v>2.5869999997573085</v>
      </c>
      <c r="Y205" s="300">
        <f t="shared" ref="Y205:Y206" si="520">SUM(V205:X205)</f>
        <v>7.2359999996988762</v>
      </c>
    </row>
    <row r="206" spans="1:25" x14ac:dyDescent="0.2">
      <c r="A206" s="260" t="s">
        <v>354</v>
      </c>
      <c r="B206" s="300">
        <f>SUM(B204:B205)</f>
        <v>6.0810000000170934</v>
      </c>
      <c r="C206" s="300">
        <f t="shared" ref="C206" si="521">SUM(C204:C205)</f>
        <v>0.67100000000721072</v>
      </c>
      <c r="D206" s="300">
        <f t="shared" ref="D206" si="522">SUM(D204:D205)</f>
        <v>2.3469999999325939</v>
      </c>
      <c r="E206" s="300">
        <f t="shared" si="516"/>
        <v>9.0989999999568987</v>
      </c>
      <c r="F206" s="300"/>
      <c r="G206" s="300">
        <f>SUM(G204:G205)</f>
        <v>5.767000000000011</v>
      </c>
      <c r="H206" s="300">
        <f t="shared" ref="H206" si="523">SUM(H204:H205)</f>
        <v>0.49200000000073651</v>
      </c>
      <c r="I206" s="300">
        <f t="shared" ref="I206" si="524">SUM(I204:I205)</f>
        <v>3.1440000000683437</v>
      </c>
      <c r="J206" s="300">
        <f t="shared" si="517"/>
        <v>9.4030000000690919</v>
      </c>
      <c r="K206" s="300"/>
      <c r="L206" s="300">
        <f>SUM(L204:L205)</f>
        <v>5.7320000000009435</v>
      </c>
      <c r="M206" s="300">
        <f t="shared" ref="M206" si="525">SUM(M204:M205)</f>
        <v>0.52500000000091118</v>
      </c>
      <c r="N206" s="300">
        <f t="shared" ref="N206" si="526">SUM(N204:N205)</f>
        <v>2.6239999999045138</v>
      </c>
      <c r="O206" s="300">
        <f t="shared" si="518"/>
        <v>8.8809999999063685</v>
      </c>
      <c r="P206" s="300"/>
      <c r="Q206" s="300">
        <f>SUM(Q204:Q205)</f>
        <v>5.5039999999640896</v>
      </c>
      <c r="R206" s="300">
        <f t="shared" ref="R206" si="527">SUM(R204:R205)</f>
        <v>0.51700000000865798</v>
      </c>
      <c r="S206" s="300">
        <f t="shared" ref="S206" si="528">SUM(S204:S205)</f>
        <v>2.5779999996846303</v>
      </c>
      <c r="T206" s="300">
        <f t="shared" si="519"/>
        <v>8.5989999996573783</v>
      </c>
      <c r="U206" s="300"/>
      <c r="V206" s="300">
        <f>SUM(V204:V205)</f>
        <v>5.3679999999449928</v>
      </c>
      <c r="W206" s="300">
        <f t="shared" ref="W206" si="529">SUM(W204:W205)</f>
        <v>0.53099999999920089</v>
      </c>
      <c r="X206" s="300">
        <f t="shared" ref="X206" si="530">SUM(X204:X205)</f>
        <v>2.6479999997570167</v>
      </c>
      <c r="Y206" s="300">
        <f t="shared" si="520"/>
        <v>8.5469999997012103</v>
      </c>
    </row>
    <row r="207" spans="1:25" x14ac:dyDescent="0.2">
      <c r="C207" s="319"/>
      <c r="D207" s="319"/>
      <c r="E207" s="319"/>
      <c r="F207" s="319"/>
      <c r="G207" s="319"/>
      <c r="H207" s="319"/>
      <c r="I207" s="319"/>
      <c r="J207" s="319"/>
      <c r="K207" s="319"/>
      <c r="L207" s="319"/>
      <c r="M207" s="319"/>
      <c r="N207" s="319"/>
      <c r="O207" s="319"/>
      <c r="P207" s="319"/>
      <c r="Q207" s="319"/>
      <c r="R207" s="319"/>
      <c r="S207" s="319"/>
      <c r="T207" s="319"/>
      <c r="U207" s="319"/>
      <c r="V207" s="319"/>
      <c r="W207" s="319"/>
      <c r="X207" s="319"/>
      <c r="Y207" s="319"/>
    </row>
    <row r="208" spans="1:25" x14ac:dyDescent="0.2">
      <c r="A208" s="261" t="str">
        <f>name!A33</f>
        <v>Specialised construction</v>
      </c>
      <c r="C208" s="263"/>
    </row>
    <row r="209" spans="1:25" x14ac:dyDescent="0.2">
      <c r="A209" s="260" t="s">
        <v>356</v>
      </c>
      <c r="B209" s="300">
        <v>2.2719999999792133</v>
      </c>
      <c r="C209" s="300">
        <v>1.3920000000177675</v>
      </c>
      <c r="D209" s="300">
        <v>1.179000000025493</v>
      </c>
      <c r="E209" s="300">
        <f>SUM(B209:D209)</f>
        <v>4.8430000000224736</v>
      </c>
      <c r="F209" s="300"/>
      <c r="G209" s="300">
        <v>2.4409999999781076</v>
      </c>
      <c r="H209" s="300">
        <v>1.8099999999981655</v>
      </c>
      <c r="I209" s="300">
        <v>0.34700000000203307</v>
      </c>
      <c r="J209" s="300">
        <f>SUM(G209:I209)</f>
        <v>4.5979999999783061</v>
      </c>
      <c r="K209" s="300"/>
      <c r="L209" s="300">
        <v>2.4489999999854932</v>
      </c>
      <c r="M209" s="300">
        <v>1.9200000000048147</v>
      </c>
      <c r="N209" s="300">
        <v>0.25999999999336454</v>
      </c>
      <c r="O209" s="300">
        <f>SUM(L209:N209)</f>
        <v>4.6289999999836722</v>
      </c>
      <c r="P209" s="300"/>
      <c r="Q209" s="300">
        <v>2.3840000000360471</v>
      </c>
      <c r="R209" s="300">
        <v>1.8820000000622004</v>
      </c>
      <c r="S209" s="300">
        <v>0.26000000000574341</v>
      </c>
      <c r="T209" s="300">
        <f>SUM(Q209:S209)</f>
        <v>4.5260000001039913</v>
      </c>
      <c r="U209" s="300"/>
      <c r="V209" s="300">
        <v>2.4150000000071699</v>
      </c>
      <c r="W209" s="300">
        <v>1.9269999999987713</v>
      </c>
      <c r="X209" s="300">
        <v>0.2639999999987363</v>
      </c>
      <c r="Y209" s="300">
        <f>SUM(V209:X209)</f>
        <v>4.606000000004677</v>
      </c>
    </row>
    <row r="210" spans="1:25" x14ac:dyDescent="0.2">
      <c r="A210" s="260" t="s">
        <v>355</v>
      </c>
      <c r="B210" s="300">
        <v>22.576000000113858</v>
      </c>
      <c r="C210" s="300">
        <v>0.63700000000522705</v>
      </c>
      <c r="D210" s="300">
        <v>8.3719999996982626</v>
      </c>
      <c r="E210" s="300">
        <f t="shared" ref="E210:E211" si="531">SUM(B210:D210)</f>
        <v>31.584999999817349</v>
      </c>
      <c r="F210" s="300"/>
      <c r="G210" s="300">
        <v>22.660000000040569</v>
      </c>
      <c r="H210" s="300">
        <v>0.76900000000376456</v>
      </c>
      <c r="I210" s="300">
        <v>14.368000000317984</v>
      </c>
      <c r="J210" s="300">
        <f t="shared" ref="J210:J211" si="532">SUM(G210:I210)</f>
        <v>37.797000000362317</v>
      </c>
      <c r="K210" s="300"/>
      <c r="L210" s="300">
        <v>22.484000000031273</v>
      </c>
      <c r="M210" s="300">
        <v>0.8300000000005866</v>
      </c>
      <c r="N210" s="300">
        <v>12.116999999557178</v>
      </c>
      <c r="O210" s="300">
        <f t="shared" ref="O210:O211" si="533">SUM(L210:N210)</f>
        <v>35.430999999589041</v>
      </c>
      <c r="P210" s="300"/>
      <c r="Q210" s="300">
        <v>21.524999999763939</v>
      </c>
      <c r="R210" s="300">
        <v>0.81999999999610718</v>
      </c>
      <c r="S210" s="300">
        <v>11.865999998517957</v>
      </c>
      <c r="T210" s="300">
        <f t="shared" ref="T210:T211" si="534">SUM(Q210:S210)</f>
        <v>34.210999998277998</v>
      </c>
      <c r="U210" s="300"/>
      <c r="V210" s="300">
        <v>20.827999999727442</v>
      </c>
      <c r="W210" s="300">
        <v>0.84899999999775999</v>
      </c>
      <c r="X210" s="300">
        <v>12.117999998863192</v>
      </c>
      <c r="Y210" s="300">
        <f t="shared" ref="Y210:Y211" si="535">SUM(V210:X210)</f>
        <v>33.794999998588395</v>
      </c>
    </row>
    <row r="211" spans="1:25" x14ac:dyDescent="0.2">
      <c r="A211" s="260" t="s">
        <v>354</v>
      </c>
      <c r="B211" s="300">
        <f>SUM(B209:B210)</f>
        <v>24.848000000093073</v>
      </c>
      <c r="C211" s="300">
        <f t="shared" ref="C211" si="536">SUM(C209:C210)</f>
        <v>2.0290000000229944</v>
      </c>
      <c r="D211" s="300">
        <f t="shared" ref="D211" si="537">SUM(D209:D210)</f>
        <v>9.5509999997237554</v>
      </c>
      <c r="E211" s="300">
        <f t="shared" si="531"/>
        <v>36.42799999983982</v>
      </c>
      <c r="F211" s="300"/>
      <c r="G211" s="300">
        <f>SUM(G209:G210)</f>
        <v>25.101000000018676</v>
      </c>
      <c r="H211" s="300">
        <f t="shared" ref="H211" si="538">SUM(H209:H210)</f>
        <v>2.5790000000019302</v>
      </c>
      <c r="I211" s="300">
        <f t="shared" ref="I211" si="539">SUM(I209:I210)</f>
        <v>14.715000000320018</v>
      </c>
      <c r="J211" s="300">
        <f t="shared" si="532"/>
        <v>42.395000000340623</v>
      </c>
      <c r="K211" s="300"/>
      <c r="L211" s="300">
        <f>SUM(L209:L210)</f>
        <v>24.933000000016765</v>
      </c>
      <c r="M211" s="300">
        <f t="shared" ref="M211" si="540">SUM(M209:M210)</f>
        <v>2.7500000000054015</v>
      </c>
      <c r="N211" s="300">
        <f t="shared" ref="N211" si="541">SUM(N209:N210)</f>
        <v>12.376999999550543</v>
      </c>
      <c r="O211" s="300">
        <f t="shared" si="533"/>
        <v>40.05999999957271</v>
      </c>
      <c r="P211" s="300"/>
      <c r="Q211" s="300">
        <f>SUM(Q209:Q210)</f>
        <v>23.908999999799985</v>
      </c>
      <c r="R211" s="300">
        <f t="shared" ref="R211" si="542">SUM(R209:R210)</f>
        <v>2.7020000000583075</v>
      </c>
      <c r="S211" s="300">
        <f t="shared" ref="S211" si="543">SUM(S209:S210)</f>
        <v>12.125999998523699</v>
      </c>
      <c r="T211" s="300">
        <f t="shared" si="534"/>
        <v>38.736999998381989</v>
      </c>
      <c r="U211" s="300"/>
      <c r="V211" s="300">
        <f>SUM(V209:V210)</f>
        <v>23.242999999734611</v>
      </c>
      <c r="W211" s="300">
        <f t="shared" ref="W211" si="544">SUM(W209:W210)</f>
        <v>2.7759999999965315</v>
      </c>
      <c r="X211" s="300">
        <f t="shared" ref="X211" si="545">SUM(X209:X210)</f>
        <v>12.381999998861929</v>
      </c>
      <c r="Y211" s="300">
        <f t="shared" si="535"/>
        <v>38.400999998593072</v>
      </c>
    </row>
    <row r="212" spans="1:25" x14ac:dyDescent="0.2">
      <c r="C212" s="263"/>
    </row>
    <row r="213" spans="1:25" x14ac:dyDescent="0.2">
      <c r="A213" s="261" t="s">
        <v>368</v>
      </c>
      <c r="C213" s="263"/>
    </row>
    <row r="214" spans="1:25" x14ac:dyDescent="0.2">
      <c r="A214" s="260" t="s">
        <v>356</v>
      </c>
      <c r="B214" s="300">
        <f>SUM(B199,B204,B209)</f>
        <v>5.0879999999534489</v>
      </c>
      <c r="C214" s="300">
        <f t="shared" ref="C214:D214" si="546">SUM(C199,C204,C209)</f>
        <v>2.3050000000294206</v>
      </c>
      <c r="D214" s="300">
        <f t="shared" si="546"/>
        <v>2.7510000000594834</v>
      </c>
      <c r="E214" s="300">
        <f>SUM(B214:D214)</f>
        <v>10.144000000042354</v>
      </c>
      <c r="F214" s="300"/>
      <c r="G214" s="300">
        <f>SUM(G199,G204,G209)</f>
        <v>5.0979999999542809</v>
      </c>
      <c r="H214" s="300">
        <f t="shared" ref="H214:I214" si="547">SUM(H199,H204,H209)</f>
        <v>2.8289999999971336</v>
      </c>
      <c r="I214" s="300">
        <f t="shared" si="547"/>
        <v>0.74600000000437106</v>
      </c>
      <c r="J214" s="300">
        <f>SUM(G214:I214)</f>
        <v>8.6729999999557847</v>
      </c>
      <c r="K214" s="300"/>
      <c r="L214" s="300">
        <f>SUM(L199,L204,L209)</f>
        <v>5.1139999999697086</v>
      </c>
      <c r="M214" s="300">
        <f t="shared" ref="M214:N214" si="548">SUM(M199,M204,M209)</f>
        <v>3.0010000000075268</v>
      </c>
      <c r="N214" s="300">
        <f t="shared" si="548"/>
        <v>0.9449999999758828</v>
      </c>
      <c r="O214" s="300">
        <f>SUM(L214:N214)</f>
        <v>9.0599999999531189</v>
      </c>
      <c r="P214" s="300"/>
      <c r="Q214" s="300">
        <f>SUM(Q199,Q204,Q209)</f>
        <v>4.980000000075302</v>
      </c>
      <c r="R214" s="300">
        <f t="shared" ref="R214:S214" si="549">SUM(R199,R204,R209)</f>
        <v>2.9420000000972335</v>
      </c>
      <c r="S214" s="300">
        <f t="shared" si="549"/>
        <v>0.92500000002043259</v>
      </c>
      <c r="T214" s="300">
        <f>SUM(Q214:S214)</f>
        <v>8.8470000001929687</v>
      </c>
      <c r="U214" s="300"/>
      <c r="V214" s="300">
        <f>SUM(V199,V204,V209)</f>
        <v>5.0440000000149752</v>
      </c>
      <c r="W214" s="300">
        <f t="shared" ref="W214:X214" si="550">SUM(W199,W204,W209)</f>
        <v>3.0119999999980793</v>
      </c>
      <c r="X214" s="300">
        <f t="shared" si="550"/>
        <v>0.9629999999953911</v>
      </c>
      <c r="Y214" s="300">
        <f>SUM(V214:X214)</f>
        <v>9.0190000000084449</v>
      </c>
    </row>
    <row r="215" spans="1:25" x14ac:dyDescent="0.2">
      <c r="A215" s="260" t="s">
        <v>355</v>
      </c>
      <c r="B215" s="300">
        <f>SUM(B200,B205,B210)</f>
        <v>40.617000000204825</v>
      </c>
      <c r="C215" s="300">
        <f t="shared" ref="C215:D215" si="551">SUM(C200,C205,C210)</f>
        <v>1.5030000000123336</v>
      </c>
      <c r="D215" s="300">
        <f t="shared" si="551"/>
        <v>14.726999999469221</v>
      </c>
      <c r="E215" s="300">
        <f t="shared" ref="E215:E216" si="552">SUM(B215:D215)</f>
        <v>56.846999999686382</v>
      </c>
      <c r="F215" s="300"/>
      <c r="G215" s="300">
        <f>SUM(G200,G205,G210)</f>
        <v>38.484000000068917</v>
      </c>
      <c r="H215" s="300">
        <f t="shared" ref="H215:I215" si="553">SUM(H200,H205,H210)</f>
        <v>1.6990000000083167</v>
      </c>
      <c r="I215" s="300">
        <f t="shared" si="553"/>
        <v>23.819000000527151</v>
      </c>
      <c r="J215" s="300">
        <f t="shared" ref="J215:J216" si="554">SUM(G215:I215)</f>
        <v>64.002000000604383</v>
      </c>
      <c r="K215" s="300"/>
      <c r="L215" s="300">
        <f>SUM(L200,L205,L210)</f>
        <v>38.184000000053118</v>
      </c>
      <c r="M215" s="300">
        <f t="shared" ref="M215:N215" si="555">SUM(M200,M205,M210)</f>
        <v>1.8330000000012947</v>
      </c>
      <c r="N215" s="300">
        <f t="shared" si="555"/>
        <v>20.086999999265913</v>
      </c>
      <c r="O215" s="300">
        <f t="shared" ref="O215:O216" si="556">SUM(L215:N215)</f>
        <v>60.103999999320322</v>
      </c>
      <c r="P215" s="300"/>
      <c r="Q215" s="300">
        <f>SUM(Q200,Q205,Q210)</f>
        <v>36.555999999599116</v>
      </c>
      <c r="R215" s="300">
        <f t="shared" ref="R215:S215" si="557">SUM(R200,R205,R210)</f>
        <v>1.8119999999913974</v>
      </c>
      <c r="S215" s="300">
        <f t="shared" si="557"/>
        <v>19.669999997543261</v>
      </c>
      <c r="T215" s="300">
        <f t="shared" ref="T215:T216" si="558">SUM(Q215:S215)</f>
        <v>58.037999997133781</v>
      </c>
      <c r="U215" s="300"/>
      <c r="V215" s="300">
        <f>SUM(V200,V205,V210)</f>
        <v>35.371999999537117</v>
      </c>
      <c r="W215" s="300">
        <f t="shared" ref="W215:X215" si="559">SUM(W200,W205,W210)</f>
        <v>1.8749999999950524</v>
      </c>
      <c r="X215" s="300">
        <f t="shared" si="559"/>
        <v>20.088999998115415</v>
      </c>
      <c r="Y215" s="300">
        <f t="shared" ref="Y215:Y216" si="560">SUM(V215:X215)</f>
        <v>57.33599999764759</v>
      </c>
    </row>
    <row r="216" spans="1:25" x14ac:dyDescent="0.2">
      <c r="A216" s="264" t="s">
        <v>354</v>
      </c>
      <c r="B216" s="301">
        <f>SUM(B214:B215)</f>
        <v>45.705000000158272</v>
      </c>
      <c r="C216" s="301">
        <f t="shared" ref="C216" si="561">SUM(C214:C215)</f>
        <v>3.808000000041754</v>
      </c>
      <c r="D216" s="301">
        <f t="shared" ref="D216" si="562">SUM(D214:D215)</f>
        <v>17.477999999528706</v>
      </c>
      <c r="E216" s="301">
        <f t="shared" si="552"/>
        <v>66.990999999728729</v>
      </c>
      <c r="F216" s="301"/>
      <c r="G216" s="301">
        <f>SUM(G214:G215)</f>
        <v>43.5820000000232</v>
      </c>
      <c r="H216" s="301">
        <f t="shared" ref="H216" si="563">SUM(H214:H215)</f>
        <v>4.5280000000054503</v>
      </c>
      <c r="I216" s="301">
        <f t="shared" ref="I216" si="564">SUM(I214:I215)</f>
        <v>24.565000000531523</v>
      </c>
      <c r="J216" s="301">
        <f t="shared" si="554"/>
        <v>72.675000000560175</v>
      </c>
      <c r="K216" s="301"/>
      <c r="L216" s="301">
        <f>SUM(L214:L215)</f>
        <v>43.298000000022824</v>
      </c>
      <c r="M216" s="301">
        <f t="shared" ref="M216" si="565">SUM(M214:M215)</f>
        <v>4.834000000008821</v>
      </c>
      <c r="N216" s="301">
        <f t="shared" ref="N216" si="566">SUM(N214:N215)</f>
        <v>21.031999999241798</v>
      </c>
      <c r="O216" s="301">
        <f t="shared" si="556"/>
        <v>69.163999999273443</v>
      </c>
      <c r="P216" s="301"/>
      <c r="Q216" s="301">
        <f>SUM(Q214:Q215)</f>
        <v>41.535999999674416</v>
      </c>
      <c r="R216" s="301">
        <f t="shared" ref="R216" si="567">SUM(R214:R215)</f>
        <v>4.7540000000886309</v>
      </c>
      <c r="S216" s="301">
        <f t="shared" ref="S216" si="568">SUM(S214:S215)</f>
        <v>20.594999997563693</v>
      </c>
      <c r="T216" s="301">
        <f t="shared" si="558"/>
        <v>66.884999997326744</v>
      </c>
      <c r="U216" s="301"/>
      <c r="V216" s="301">
        <f>SUM(V214:V215)</f>
        <v>40.415999999552092</v>
      </c>
      <c r="W216" s="301">
        <f t="shared" ref="W216" si="569">SUM(W214:W215)</f>
        <v>4.8869999999931313</v>
      </c>
      <c r="X216" s="301">
        <f t="shared" ref="X216" si="570">SUM(X214:X215)</f>
        <v>21.051999998110805</v>
      </c>
      <c r="Y216" s="301">
        <f t="shared" si="560"/>
        <v>66.354999997656023</v>
      </c>
    </row>
    <row r="217" spans="1:25" x14ac:dyDescent="0.2">
      <c r="C217" s="263"/>
    </row>
    <row r="218" spans="1:25" x14ac:dyDescent="0.2">
      <c r="C218" s="263"/>
    </row>
    <row r="219" spans="1:25" x14ac:dyDescent="0.2">
      <c r="C219" s="263"/>
    </row>
    <row r="220" spans="1:25" ht="15" x14ac:dyDescent="0.25">
      <c r="A220" s="265" t="str">
        <f>"Industry 9 : "&amp; name!B12</f>
        <v>Industry 9 : Wholesale and retail trade</v>
      </c>
      <c r="B220" s="371">
        <f>$B$5</f>
        <v>2015</v>
      </c>
      <c r="C220" s="371"/>
      <c r="D220" s="371"/>
      <c r="E220" s="371"/>
      <c r="F220" s="320"/>
      <c r="G220" s="371">
        <f>$G$5</f>
        <v>2019</v>
      </c>
      <c r="H220" s="371"/>
      <c r="I220" s="371"/>
      <c r="J220" s="371"/>
      <c r="K220" s="320"/>
      <c r="L220" s="371">
        <f>$L$5</f>
        <v>2020</v>
      </c>
      <c r="M220" s="371"/>
      <c r="N220" s="371"/>
      <c r="O220" s="371"/>
      <c r="P220" s="318"/>
      <c r="Q220" s="371">
        <f>$Q$5</f>
        <v>2025</v>
      </c>
      <c r="R220" s="371"/>
      <c r="S220" s="371"/>
      <c r="T220" s="371"/>
      <c r="U220" s="320"/>
      <c r="V220" s="371">
        <f>$V$5</f>
        <v>2035</v>
      </c>
      <c r="W220" s="371"/>
      <c r="X220" s="371"/>
      <c r="Y220" s="371"/>
    </row>
    <row r="221" spans="1:25" x14ac:dyDescent="0.2">
      <c r="A221" s="264"/>
      <c r="B221" s="268" t="str">
        <f>$B$6</f>
        <v>FT</v>
      </c>
      <c r="C221" s="268" t="str">
        <f>$C$6</f>
        <v>PT</v>
      </c>
      <c r="D221" s="268" t="str">
        <f>$D$6</f>
        <v>SE</v>
      </c>
      <c r="E221" s="268" t="str">
        <f>$E$6</f>
        <v>Total</v>
      </c>
      <c r="F221" s="268"/>
      <c r="G221" s="268" t="str">
        <f>$B$6</f>
        <v>FT</v>
      </c>
      <c r="H221" s="268" t="str">
        <f>$C$6</f>
        <v>PT</v>
      </c>
      <c r="I221" s="268" t="str">
        <f>$D$6</f>
        <v>SE</v>
      </c>
      <c r="J221" s="268" t="str">
        <f>$E$6</f>
        <v>Total</v>
      </c>
      <c r="K221" s="268"/>
      <c r="L221" s="268" t="str">
        <f>$L$6</f>
        <v>FT</v>
      </c>
      <c r="M221" s="268" t="str">
        <f>$M$6</f>
        <v>PT</v>
      </c>
      <c r="N221" s="268" t="str">
        <f>$N$6</f>
        <v>SE</v>
      </c>
      <c r="O221" s="268" t="str">
        <f>$O$6</f>
        <v>Total</v>
      </c>
      <c r="P221" s="268"/>
      <c r="Q221" s="268" t="str">
        <f>$L$6</f>
        <v>FT</v>
      </c>
      <c r="R221" s="268" t="str">
        <f>$M$6</f>
        <v>PT</v>
      </c>
      <c r="S221" s="268" t="str">
        <f>$N$6</f>
        <v>SE</v>
      </c>
      <c r="T221" s="268" t="str">
        <f>$O$6</f>
        <v>Total</v>
      </c>
      <c r="U221" s="268"/>
      <c r="V221" s="268" t="str">
        <f>$V$6</f>
        <v>FT</v>
      </c>
      <c r="W221" s="268" t="str">
        <f>$W$6</f>
        <v>PT</v>
      </c>
      <c r="X221" s="268" t="str">
        <f>$X$6</f>
        <v>SE</v>
      </c>
      <c r="Y221" s="268" t="str">
        <f>$Y$6</f>
        <v>Total</v>
      </c>
    </row>
    <row r="222" spans="1:25" x14ac:dyDescent="0.2">
      <c r="C222" s="319"/>
      <c r="D222" s="319"/>
      <c r="E222" s="319"/>
      <c r="F222" s="319"/>
      <c r="G222" s="319"/>
      <c r="H222" s="319"/>
      <c r="I222" s="319"/>
      <c r="J222" s="319"/>
      <c r="K222" s="319"/>
      <c r="L222" s="319"/>
      <c r="M222" s="319"/>
      <c r="N222" s="319"/>
      <c r="O222" s="319"/>
      <c r="P222" s="319"/>
      <c r="Q222" s="319"/>
      <c r="R222" s="319"/>
      <c r="S222" s="319"/>
      <c r="T222" s="319"/>
      <c r="U222" s="319"/>
      <c r="V222" s="319"/>
      <c r="W222" s="319"/>
      <c r="X222" s="319"/>
      <c r="Y222" s="319"/>
    </row>
    <row r="223" spans="1:25" x14ac:dyDescent="0.2">
      <c r="A223" s="261" t="str">
        <f>name!A34</f>
        <v>Motor vehicle trade</v>
      </c>
      <c r="C223" s="263"/>
    </row>
    <row r="224" spans="1:25" x14ac:dyDescent="0.2">
      <c r="A224" s="260" t="s">
        <v>356</v>
      </c>
      <c r="B224" s="300">
        <v>3.1450000000012923</v>
      </c>
      <c r="C224" s="300">
        <v>0.72400000003078446</v>
      </c>
      <c r="D224" s="300">
        <v>0.15900000000174336</v>
      </c>
      <c r="E224" s="300">
        <f>SUM(B224:D224)</f>
        <v>4.0280000000338205</v>
      </c>
      <c r="F224" s="300"/>
      <c r="G224" s="300">
        <v>1.9499999999711215</v>
      </c>
      <c r="H224" s="300">
        <v>0.5640000000080222</v>
      </c>
      <c r="I224" s="300">
        <v>0.32900000000066376</v>
      </c>
      <c r="J224" s="300">
        <f>SUM(G224:I224)</f>
        <v>2.8429999999798072</v>
      </c>
      <c r="K224" s="300"/>
      <c r="L224" s="300">
        <v>2.0689999999754525</v>
      </c>
      <c r="M224" s="300">
        <v>0.52300000001183278</v>
      </c>
      <c r="N224" s="300">
        <v>0.15999999999860171</v>
      </c>
      <c r="O224" s="300">
        <f>SUM(L224:N224)</f>
        <v>2.7519999999858871</v>
      </c>
      <c r="P224" s="300"/>
      <c r="Q224" s="300">
        <v>2.2490000000616286</v>
      </c>
      <c r="R224" s="300">
        <v>0.51900000004590685</v>
      </c>
      <c r="S224" s="300">
        <v>0.16500000000182932</v>
      </c>
      <c r="T224" s="300">
        <f>SUM(Q224:S224)</f>
        <v>2.9330000001093648</v>
      </c>
      <c r="U224" s="300"/>
      <c r="V224" s="300">
        <v>2.5349999999895863</v>
      </c>
      <c r="W224" s="300">
        <v>0.48199999999560045</v>
      </c>
      <c r="X224" s="300">
        <v>0.16999999999976179</v>
      </c>
      <c r="Y224" s="300">
        <f>SUM(V224:X224)</f>
        <v>3.1869999999849488</v>
      </c>
    </row>
    <row r="225" spans="1:25" x14ac:dyDescent="0.2">
      <c r="A225" s="260" t="s">
        <v>355</v>
      </c>
      <c r="B225" s="300">
        <v>12.431000000071155</v>
      </c>
      <c r="C225" s="300">
        <v>1.6170000000279516</v>
      </c>
      <c r="D225" s="300">
        <v>3.7520000000318059</v>
      </c>
      <c r="E225" s="300">
        <f t="shared" ref="E225:E226" si="571">SUM(B225:D225)</f>
        <v>17.800000000130911</v>
      </c>
      <c r="F225" s="300"/>
      <c r="G225" s="300">
        <v>13.524000000029476</v>
      </c>
      <c r="H225" s="300">
        <v>0.64400000000866009</v>
      </c>
      <c r="I225" s="300">
        <v>3.824000000059621</v>
      </c>
      <c r="J225" s="300">
        <f t="shared" ref="J225:J226" si="572">SUM(G225:I225)</f>
        <v>17.992000000097757</v>
      </c>
      <c r="K225" s="300"/>
      <c r="L225" s="300">
        <v>12.401000000018696</v>
      </c>
      <c r="M225" s="300">
        <v>0.87199999999934064</v>
      </c>
      <c r="N225" s="300">
        <v>1.8849999999957694</v>
      </c>
      <c r="O225" s="300">
        <f t="shared" ref="O225:O226" si="573">SUM(L225:N225)</f>
        <v>15.158000000013807</v>
      </c>
      <c r="P225" s="300"/>
      <c r="Q225" s="300">
        <v>13.085999999878396</v>
      </c>
      <c r="R225" s="300">
        <v>0.91099999999117831</v>
      </c>
      <c r="S225" s="300">
        <v>1.9879999999470697</v>
      </c>
      <c r="T225" s="300">
        <f t="shared" ref="T225:T226" si="574">SUM(Q225:S225)</f>
        <v>15.984999999816644</v>
      </c>
      <c r="U225" s="300"/>
      <c r="V225" s="300">
        <v>13.945999999857923</v>
      </c>
      <c r="W225" s="300">
        <v>0.94899999999424212</v>
      </c>
      <c r="X225" s="300">
        <v>2.1239999999647128</v>
      </c>
      <c r="Y225" s="300">
        <f t="shared" ref="Y225:Y226" si="575">SUM(V225:X225)</f>
        <v>17.018999999816877</v>
      </c>
    </row>
    <row r="226" spans="1:25" x14ac:dyDescent="0.2">
      <c r="A226" s="260" t="s">
        <v>354</v>
      </c>
      <c r="B226" s="300">
        <f>SUM(B224:B225)</f>
        <v>15.576000000072447</v>
      </c>
      <c r="C226" s="300">
        <f t="shared" ref="C226" si="576">SUM(C224:C225)</f>
        <v>2.3410000000587363</v>
      </c>
      <c r="D226" s="300">
        <f t="shared" ref="D226" si="577">SUM(D224:D225)</f>
        <v>3.9110000000335492</v>
      </c>
      <c r="E226" s="300">
        <f t="shared" si="571"/>
        <v>21.828000000164732</v>
      </c>
      <c r="F226" s="300"/>
      <c r="G226" s="300">
        <f>SUM(G224:G225)</f>
        <v>15.474000000000597</v>
      </c>
      <c r="H226" s="300">
        <f t="shared" ref="H226" si="578">SUM(H224:H225)</f>
        <v>1.2080000000166824</v>
      </c>
      <c r="I226" s="300">
        <f t="shared" ref="I226" si="579">SUM(I224:I225)</f>
        <v>4.1530000000602847</v>
      </c>
      <c r="J226" s="300">
        <f t="shared" si="572"/>
        <v>20.835000000077564</v>
      </c>
      <c r="K226" s="300"/>
      <c r="L226" s="300">
        <f>SUM(L224:L225)</f>
        <v>14.469999999994148</v>
      </c>
      <c r="M226" s="300">
        <f t="shared" ref="M226" si="580">SUM(M224:M225)</f>
        <v>1.3950000000111733</v>
      </c>
      <c r="N226" s="300">
        <f t="shared" ref="N226" si="581">SUM(N224:N225)</f>
        <v>2.0449999999943711</v>
      </c>
      <c r="O226" s="300">
        <f t="shared" si="573"/>
        <v>17.909999999999691</v>
      </c>
      <c r="P226" s="300"/>
      <c r="Q226" s="300">
        <f>SUM(Q224:Q225)</f>
        <v>15.334999999940024</v>
      </c>
      <c r="R226" s="300">
        <f t="shared" ref="R226" si="582">SUM(R224:R225)</f>
        <v>1.4300000000370852</v>
      </c>
      <c r="S226" s="300">
        <f t="shared" ref="S226" si="583">SUM(S224:S225)</f>
        <v>2.1529999999488991</v>
      </c>
      <c r="T226" s="300">
        <f t="shared" si="574"/>
        <v>18.91799999992601</v>
      </c>
      <c r="U226" s="300"/>
      <c r="V226" s="300">
        <f>SUM(V224:V225)</f>
        <v>16.480999999847509</v>
      </c>
      <c r="W226" s="300">
        <f t="shared" ref="W226" si="584">SUM(W224:W225)</f>
        <v>1.4309999999898426</v>
      </c>
      <c r="X226" s="300">
        <f t="shared" ref="X226" si="585">SUM(X224:X225)</f>
        <v>2.2939999999644747</v>
      </c>
      <c r="Y226" s="300">
        <f t="shared" si="575"/>
        <v>20.205999999801826</v>
      </c>
    </row>
    <row r="227" spans="1:25" x14ac:dyDescent="0.2">
      <c r="C227" s="319"/>
      <c r="D227" s="319"/>
      <c r="E227" s="319"/>
      <c r="F227" s="319"/>
      <c r="G227" s="319"/>
      <c r="H227" s="319"/>
      <c r="I227" s="319"/>
      <c r="J227" s="319"/>
      <c r="K227" s="319"/>
      <c r="L227" s="319"/>
      <c r="M227" s="319"/>
      <c r="N227" s="319"/>
      <c r="O227" s="319"/>
      <c r="P227" s="319"/>
      <c r="Q227" s="319"/>
      <c r="R227" s="319"/>
      <c r="S227" s="319"/>
      <c r="T227" s="319"/>
      <c r="U227" s="319"/>
      <c r="V227" s="319"/>
      <c r="W227" s="319"/>
      <c r="X227" s="319"/>
      <c r="Y227" s="319"/>
    </row>
    <row r="228" spans="1:25" x14ac:dyDescent="0.2">
      <c r="A228" s="261" t="str">
        <f>name!A35</f>
        <v>Wholesale trade</v>
      </c>
      <c r="C228" s="263"/>
    </row>
    <row r="229" spans="1:25" x14ac:dyDescent="0.2">
      <c r="A229" s="260" t="s">
        <v>356</v>
      </c>
      <c r="B229" s="300">
        <v>7.0529999999794812</v>
      </c>
      <c r="C229" s="300">
        <v>2.1720000000716584</v>
      </c>
      <c r="D229" s="300">
        <v>0.49200000000776212</v>
      </c>
      <c r="E229" s="300">
        <f>SUM(B229:D229)</f>
        <v>9.717000000058901</v>
      </c>
      <c r="F229" s="300"/>
      <c r="G229" s="300">
        <v>5.9209999998599061</v>
      </c>
      <c r="H229" s="300">
        <v>2.058000000015392</v>
      </c>
      <c r="I229" s="300">
        <v>0.38700000000258883</v>
      </c>
      <c r="J229" s="300">
        <f>SUM(G229:I229)</f>
        <v>8.3659999998778876</v>
      </c>
      <c r="K229" s="300"/>
      <c r="L229" s="300">
        <v>6.3349999998839008</v>
      </c>
      <c r="M229" s="300">
        <v>2.197000000030223</v>
      </c>
      <c r="N229" s="300">
        <v>0.19299999999718556</v>
      </c>
      <c r="O229" s="300">
        <f>SUM(L229:N229)</f>
        <v>8.7249999999113097</v>
      </c>
      <c r="P229" s="300"/>
      <c r="Q229" s="300">
        <v>6.5840000003227281</v>
      </c>
      <c r="R229" s="300">
        <v>2.0850000001464593</v>
      </c>
      <c r="S229" s="300">
        <v>0.19000000000108444</v>
      </c>
      <c r="T229" s="300">
        <f>SUM(Q229:S229)</f>
        <v>8.8590000004702727</v>
      </c>
      <c r="U229" s="300"/>
      <c r="V229" s="300">
        <v>7.2389999999448094</v>
      </c>
      <c r="W229" s="300">
        <v>1.9079999999866029</v>
      </c>
      <c r="X229" s="300">
        <v>0.19000000000109346</v>
      </c>
      <c r="Y229" s="300">
        <f>SUM(V229:X229)</f>
        <v>9.3369999999325053</v>
      </c>
    </row>
    <row r="230" spans="1:25" x14ac:dyDescent="0.2">
      <c r="A230" s="260" t="s">
        <v>355</v>
      </c>
      <c r="B230" s="300">
        <v>15.532000000095335</v>
      </c>
      <c r="C230" s="300">
        <v>1.7130000000252412</v>
      </c>
      <c r="D230" s="300">
        <v>1.7310000000358059</v>
      </c>
      <c r="E230" s="300">
        <f t="shared" ref="E230:E231" si="586">SUM(B230:D230)</f>
        <v>18.976000000156382</v>
      </c>
      <c r="F230" s="300"/>
      <c r="G230" s="300">
        <v>17.969000000043245</v>
      </c>
      <c r="H230" s="300">
        <v>1.4790000000144174</v>
      </c>
      <c r="I230" s="300">
        <v>1.0300000000075402</v>
      </c>
      <c r="J230" s="300">
        <f t="shared" ref="J230:J231" si="587">SUM(G230:I230)</f>
        <v>20.478000000065201</v>
      </c>
      <c r="K230" s="300"/>
      <c r="L230" s="300">
        <v>17.627000000028129</v>
      </c>
      <c r="M230" s="300">
        <v>1.4040000000019612</v>
      </c>
      <c r="N230" s="300">
        <v>1.3940000000167547</v>
      </c>
      <c r="O230" s="300">
        <f t="shared" ref="O230:O231" si="588">SUM(L230:N230)</f>
        <v>20.425000000046843</v>
      </c>
      <c r="P230" s="300"/>
      <c r="Q230" s="300">
        <v>17.158999999843708</v>
      </c>
      <c r="R230" s="300">
        <v>1.3759999999885049</v>
      </c>
      <c r="S230" s="300">
        <v>1.3840000000248054</v>
      </c>
      <c r="T230" s="300">
        <f t="shared" ref="T230:T231" si="589">SUM(Q230:S230)</f>
        <v>19.918999999857018</v>
      </c>
      <c r="U230" s="300"/>
      <c r="V230" s="300">
        <v>16.657999999839369</v>
      </c>
      <c r="W230" s="300">
        <v>1.3539999999942163</v>
      </c>
      <c r="X230" s="300">
        <v>1.4020000000193646</v>
      </c>
      <c r="Y230" s="300">
        <f t="shared" ref="Y230:Y231" si="590">SUM(V230:X230)</f>
        <v>19.413999999852948</v>
      </c>
    </row>
    <row r="231" spans="1:25" x14ac:dyDescent="0.2">
      <c r="A231" s="260" t="s">
        <v>354</v>
      </c>
      <c r="B231" s="300">
        <f>SUM(B229:B230)</f>
        <v>22.585000000074817</v>
      </c>
      <c r="C231" s="300">
        <f t="shared" ref="C231" si="591">SUM(C229:C230)</f>
        <v>3.8850000000968996</v>
      </c>
      <c r="D231" s="300">
        <f t="shared" ref="D231" si="592">SUM(D229:D230)</f>
        <v>2.2230000000435681</v>
      </c>
      <c r="E231" s="300">
        <f t="shared" si="586"/>
        <v>28.693000000215285</v>
      </c>
      <c r="F231" s="300"/>
      <c r="G231" s="300">
        <f>SUM(G229:G230)</f>
        <v>23.88999999990315</v>
      </c>
      <c r="H231" s="300">
        <f t="shared" ref="H231" si="593">SUM(H229:H230)</f>
        <v>3.5370000000298094</v>
      </c>
      <c r="I231" s="300">
        <f t="shared" ref="I231" si="594">SUM(I229:I230)</f>
        <v>1.417000000010129</v>
      </c>
      <c r="J231" s="300">
        <f t="shared" si="587"/>
        <v>28.84399999994309</v>
      </c>
      <c r="K231" s="300"/>
      <c r="L231" s="300">
        <f>SUM(L229:L230)</f>
        <v>23.961999999912031</v>
      </c>
      <c r="M231" s="300">
        <f t="shared" ref="M231" si="595">SUM(M229:M230)</f>
        <v>3.601000000032184</v>
      </c>
      <c r="N231" s="300">
        <f t="shared" ref="N231" si="596">SUM(N229:N230)</f>
        <v>1.5870000000139404</v>
      </c>
      <c r="O231" s="300">
        <f t="shared" si="588"/>
        <v>29.149999999958155</v>
      </c>
      <c r="P231" s="300"/>
      <c r="Q231" s="300">
        <f>SUM(Q229:Q230)</f>
        <v>23.743000000166436</v>
      </c>
      <c r="R231" s="300">
        <f t="shared" ref="R231" si="597">SUM(R229:R230)</f>
        <v>3.4610000001349643</v>
      </c>
      <c r="S231" s="300">
        <f t="shared" ref="S231" si="598">SUM(S229:S230)</f>
        <v>1.5740000000258898</v>
      </c>
      <c r="T231" s="300">
        <f t="shared" si="589"/>
        <v>28.778000000327289</v>
      </c>
      <c r="U231" s="300"/>
      <c r="V231" s="300">
        <f>SUM(V229:V230)</f>
        <v>23.896999999784178</v>
      </c>
      <c r="W231" s="300">
        <f t="shared" ref="W231" si="599">SUM(W229:W230)</f>
        <v>3.2619999999808194</v>
      </c>
      <c r="X231" s="300">
        <f t="shared" ref="X231" si="600">SUM(X229:X230)</f>
        <v>1.5920000000204582</v>
      </c>
      <c r="Y231" s="300">
        <f t="shared" si="590"/>
        <v>28.750999999785456</v>
      </c>
    </row>
    <row r="232" spans="1:25" x14ac:dyDescent="0.2">
      <c r="C232" s="319"/>
      <c r="D232" s="319"/>
      <c r="E232" s="319"/>
      <c r="F232" s="319"/>
      <c r="G232" s="319"/>
      <c r="H232" s="319"/>
      <c r="I232" s="319"/>
      <c r="J232" s="319"/>
      <c r="K232" s="319"/>
      <c r="L232" s="319"/>
      <c r="M232" s="319"/>
      <c r="N232" s="319"/>
      <c r="O232" s="319"/>
      <c r="P232" s="319"/>
      <c r="Q232" s="319"/>
      <c r="R232" s="319"/>
      <c r="S232" s="319"/>
      <c r="T232" s="319"/>
      <c r="U232" s="319"/>
      <c r="V232" s="319"/>
      <c r="W232" s="319"/>
      <c r="X232" s="319"/>
      <c r="Y232" s="319"/>
    </row>
    <row r="233" spans="1:25" x14ac:dyDescent="0.2">
      <c r="A233" s="261" t="str">
        <f>name!A36</f>
        <v>Retail trade</v>
      </c>
      <c r="C233" s="263"/>
    </row>
    <row r="234" spans="1:25" x14ac:dyDescent="0.2">
      <c r="A234" s="260" t="s">
        <v>356</v>
      </c>
      <c r="B234" s="300">
        <v>23.321999999956809</v>
      </c>
      <c r="C234" s="300">
        <v>48.497000002643425</v>
      </c>
      <c r="D234" s="300">
        <v>4.3700000000773427</v>
      </c>
      <c r="E234" s="300">
        <f>SUM(B234:D234)</f>
        <v>76.189000002677574</v>
      </c>
      <c r="F234" s="300"/>
      <c r="G234" s="300">
        <v>21.592999999405777</v>
      </c>
      <c r="H234" s="300">
        <v>43.63900000097717</v>
      </c>
      <c r="I234" s="300">
        <v>4.8050000000611233</v>
      </c>
      <c r="J234" s="300">
        <f>SUM(G234:I234)</f>
        <v>70.037000000444081</v>
      </c>
      <c r="K234" s="300"/>
      <c r="L234" s="300">
        <v>22.518999999521856</v>
      </c>
      <c r="M234" s="300">
        <v>46.238000001576061</v>
      </c>
      <c r="N234" s="300">
        <v>3.4649999999385899</v>
      </c>
      <c r="O234" s="300">
        <f>SUM(L234:N234)</f>
        <v>72.222000001036506</v>
      </c>
      <c r="P234" s="300"/>
      <c r="Q234" s="300">
        <v>22.810000001255091</v>
      </c>
      <c r="R234" s="300">
        <v>44.017000004861565</v>
      </c>
      <c r="S234" s="300">
        <v>3.5540000000090557</v>
      </c>
      <c r="T234" s="300">
        <f>SUM(Q234:S234)</f>
        <v>70.381000006125717</v>
      </c>
      <c r="U234" s="300"/>
      <c r="V234" s="300">
        <v>23.972999999814451</v>
      </c>
      <c r="W234" s="300">
        <v>40.795999999621891</v>
      </c>
      <c r="X234" s="300">
        <v>3.8250000003235529</v>
      </c>
      <c r="Y234" s="300">
        <f>SUM(V234:X234)</f>
        <v>68.593999999759902</v>
      </c>
    </row>
    <row r="235" spans="1:25" x14ac:dyDescent="0.2">
      <c r="A235" s="260" t="s">
        <v>355</v>
      </c>
      <c r="B235" s="300">
        <v>19.644000000106054</v>
      </c>
      <c r="C235" s="300">
        <v>21.683000000435904</v>
      </c>
      <c r="D235" s="300">
        <v>6.8200000001425352</v>
      </c>
      <c r="E235" s="300">
        <f t="shared" ref="E235:E236" si="601">SUM(B235:D235)</f>
        <v>48.147000000684493</v>
      </c>
      <c r="F235" s="300"/>
      <c r="G235" s="300">
        <v>28.603000000058827</v>
      </c>
      <c r="H235" s="300">
        <v>17.137000000281649</v>
      </c>
      <c r="I235" s="300">
        <v>4.9420000000561641</v>
      </c>
      <c r="J235" s="300">
        <f t="shared" ref="J235:J236" si="602">SUM(G235:I235)</f>
        <v>50.682000000396634</v>
      </c>
      <c r="K235" s="300"/>
      <c r="L235" s="300">
        <v>27.576000000035624</v>
      </c>
      <c r="M235" s="300">
        <v>19.337999999936244</v>
      </c>
      <c r="N235" s="300">
        <v>4.2740000000506209</v>
      </c>
      <c r="O235" s="300">
        <f t="shared" ref="O235:O236" si="603">SUM(L235:N235)</f>
        <v>51.188000000022484</v>
      </c>
      <c r="P235" s="300"/>
      <c r="Q235" s="300">
        <v>27.962999999795617</v>
      </c>
      <c r="R235" s="300">
        <v>19.114999999821183</v>
      </c>
      <c r="S235" s="300">
        <v>4.233000000061983</v>
      </c>
      <c r="T235" s="300">
        <f t="shared" ref="T235:T236" si="604">SUM(Q235:S235)</f>
        <v>51.310999999678785</v>
      </c>
      <c r="U235" s="300"/>
      <c r="V235" s="300">
        <v>29.443999999784303</v>
      </c>
      <c r="W235" s="300">
        <v>19.174999999905474</v>
      </c>
      <c r="X235" s="300">
        <v>4.2670000000467887</v>
      </c>
      <c r="Y235" s="300">
        <f t="shared" ref="Y235:Y236" si="605">SUM(V235:X235)</f>
        <v>52.885999999736569</v>
      </c>
    </row>
    <row r="236" spans="1:25" x14ac:dyDescent="0.2">
      <c r="A236" s="260" t="s">
        <v>354</v>
      </c>
      <c r="B236" s="300">
        <f>SUM(B234:B235)</f>
        <v>42.966000000062863</v>
      </c>
      <c r="C236" s="300">
        <f t="shared" ref="C236" si="606">SUM(C234:C235)</f>
        <v>70.180000003079329</v>
      </c>
      <c r="D236" s="300">
        <f t="shared" ref="D236" si="607">SUM(D234:D235)</f>
        <v>11.190000000219879</v>
      </c>
      <c r="E236" s="300">
        <f t="shared" si="601"/>
        <v>124.33600000336207</v>
      </c>
      <c r="F236" s="300"/>
      <c r="G236" s="300">
        <f>SUM(G234:G235)</f>
        <v>50.195999999464604</v>
      </c>
      <c r="H236" s="300">
        <f t="shared" ref="H236" si="608">SUM(H234:H235)</f>
        <v>60.776000001258822</v>
      </c>
      <c r="I236" s="300">
        <f t="shared" ref="I236" si="609">SUM(I234:I235)</f>
        <v>9.7470000001172874</v>
      </c>
      <c r="J236" s="300">
        <f t="shared" si="602"/>
        <v>120.71900000084071</v>
      </c>
      <c r="K236" s="300"/>
      <c r="L236" s="300">
        <f>SUM(L234:L235)</f>
        <v>50.09499999955748</v>
      </c>
      <c r="M236" s="300">
        <f t="shared" ref="M236" si="610">SUM(M234:M235)</f>
        <v>65.576000001512313</v>
      </c>
      <c r="N236" s="300">
        <f t="shared" ref="N236" si="611">SUM(N234:N235)</f>
        <v>7.7389999999892112</v>
      </c>
      <c r="O236" s="300">
        <f t="shared" si="603"/>
        <v>123.41000000105899</v>
      </c>
      <c r="P236" s="300"/>
      <c r="Q236" s="300">
        <f>SUM(Q234:Q235)</f>
        <v>50.773000001050704</v>
      </c>
      <c r="R236" s="300">
        <f t="shared" ref="R236" si="612">SUM(R234:R235)</f>
        <v>63.132000004682752</v>
      </c>
      <c r="S236" s="300">
        <f t="shared" ref="S236" si="613">SUM(S234:S235)</f>
        <v>7.7870000000710391</v>
      </c>
      <c r="T236" s="300">
        <f t="shared" si="604"/>
        <v>121.69200000580449</v>
      </c>
      <c r="U236" s="300"/>
      <c r="V236" s="300">
        <f>SUM(V234:V235)</f>
        <v>53.416999999598758</v>
      </c>
      <c r="W236" s="300">
        <f t="shared" ref="W236" si="614">SUM(W234:W235)</f>
        <v>59.970999999527365</v>
      </c>
      <c r="X236" s="300">
        <f t="shared" ref="X236" si="615">SUM(X234:X235)</f>
        <v>8.0920000003703407</v>
      </c>
      <c r="Y236" s="300">
        <f t="shared" si="605"/>
        <v>121.47999999949647</v>
      </c>
    </row>
    <row r="237" spans="1:25" x14ac:dyDescent="0.2">
      <c r="C237" s="263"/>
    </row>
    <row r="238" spans="1:25" x14ac:dyDescent="0.2">
      <c r="A238" s="261" t="s">
        <v>367</v>
      </c>
      <c r="C238" s="263"/>
    </row>
    <row r="239" spans="1:25" x14ac:dyDescent="0.2">
      <c r="A239" s="260" t="s">
        <v>356</v>
      </c>
      <c r="B239" s="300">
        <f>SUM(B224,B229,B234)</f>
        <v>33.519999999937582</v>
      </c>
      <c r="C239" s="300">
        <f t="shared" ref="C239:D239" si="616">SUM(C224,C229,C234)</f>
        <v>51.393000002745865</v>
      </c>
      <c r="D239" s="300">
        <f t="shared" si="616"/>
        <v>5.0210000000868487</v>
      </c>
      <c r="E239" s="300">
        <f>SUM(B239:D239)</f>
        <v>89.93400000277029</v>
      </c>
      <c r="F239" s="300"/>
      <c r="G239" s="300">
        <f>SUM(G224,G229,G234)</f>
        <v>29.463999999236805</v>
      </c>
      <c r="H239" s="300">
        <f t="shared" ref="H239:I239" si="617">SUM(H224,H229,H234)</f>
        <v>46.261000001000582</v>
      </c>
      <c r="I239" s="300">
        <f t="shared" si="617"/>
        <v>5.521000000064376</v>
      </c>
      <c r="J239" s="300">
        <f>SUM(G239:I239)</f>
        <v>81.246000000301763</v>
      </c>
      <c r="K239" s="300"/>
      <c r="L239" s="300">
        <f>SUM(L224,L229,L234)</f>
        <v>30.922999999381211</v>
      </c>
      <c r="M239" s="300">
        <f t="shared" ref="M239:N239" si="618">SUM(M224,M229,M234)</f>
        <v>48.958000001618117</v>
      </c>
      <c r="N239" s="300">
        <f t="shared" si="618"/>
        <v>3.817999999934377</v>
      </c>
      <c r="O239" s="300">
        <f>SUM(L239:N239)</f>
        <v>83.699000000933708</v>
      </c>
      <c r="P239" s="300"/>
      <c r="Q239" s="300">
        <f>SUM(Q224,Q229,Q234)</f>
        <v>31.643000001639447</v>
      </c>
      <c r="R239" s="300">
        <f t="shared" ref="R239:S239" si="619">SUM(R224,R229,R234)</f>
        <v>46.621000005053929</v>
      </c>
      <c r="S239" s="300">
        <f t="shared" si="619"/>
        <v>3.9090000000119693</v>
      </c>
      <c r="T239" s="300">
        <f>SUM(Q239:S239)</f>
        <v>82.173000006705351</v>
      </c>
      <c r="U239" s="300"/>
      <c r="V239" s="300">
        <f>SUM(V224,V229,V234)</f>
        <v>33.746999999748851</v>
      </c>
      <c r="W239" s="300">
        <f t="shared" ref="W239:X239" si="620">SUM(W224,W229,W234)</f>
        <v>43.185999999604093</v>
      </c>
      <c r="X239" s="300">
        <f t="shared" si="620"/>
        <v>4.1850000003244086</v>
      </c>
      <c r="Y239" s="300">
        <f>SUM(V239:X239)</f>
        <v>81.117999999677352</v>
      </c>
    </row>
    <row r="240" spans="1:25" x14ac:dyDescent="0.2">
      <c r="A240" s="260" t="s">
        <v>355</v>
      </c>
      <c r="B240" s="300">
        <f>SUM(B225,B230,B235)</f>
        <v>47.607000000272542</v>
      </c>
      <c r="C240" s="300">
        <f t="shared" ref="C240:D240" si="621">SUM(C225,C230,C235)</f>
        <v>25.013000000489097</v>
      </c>
      <c r="D240" s="300">
        <f t="shared" si="621"/>
        <v>12.303000000210147</v>
      </c>
      <c r="E240" s="300">
        <f t="shared" ref="E240:E241" si="622">SUM(B240:D240)</f>
        <v>84.923000000971783</v>
      </c>
      <c r="F240" s="300"/>
      <c r="G240" s="300">
        <f>SUM(G225,G230,G235)</f>
        <v>60.096000000131546</v>
      </c>
      <c r="H240" s="300">
        <f t="shared" ref="H240:I240" si="623">SUM(H225,H230,H235)</f>
        <v>19.260000000304728</v>
      </c>
      <c r="I240" s="300">
        <f t="shared" si="623"/>
        <v>9.7960000001233247</v>
      </c>
      <c r="J240" s="300">
        <f t="shared" ref="J240:J241" si="624">SUM(G240:I240)</f>
        <v>89.152000000559596</v>
      </c>
      <c r="K240" s="300"/>
      <c r="L240" s="300">
        <f>SUM(L225,L230,L235)</f>
        <v>57.604000000082451</v>
      </c>
      <c r="M240" s="300">
        <f t="shared" ref="M240:N240" si="625">SUM(M225,M230,M235)</f>
        <v>21.613999999937548</v>
      </c>
      <c r="N240" s="300">
        <f t="shared" si="625"/>
        <v>7.553000000063145</v>
      </c>
      <c r="O240" s="300">
        <f t="shared" ref="O240:O241" si="626">SUM(L240:N240)</f>
        <v>86.771000000083149</v>
      </c>
      <c r="P240" s="300"/>
      <c r="Q240" s="300">
        <f>SUM(Q225,Q230,Q235)</f>
        <v>58.207999999517725</v>
      </c>
      <c r="R240" s="300">
        <f t="shared" ref="R240:S240" si="627">SUM(R225,R230,R235)</f>
        <v>21.401999999800868</v>
      </c>
      <c r="S240" s="300">
        <f t="shared" si="627"/>
        <v>7.6050000000338578</v>
      </c>
      <c r="T240" s="300">
        <f t="shared" ref="T240:T241" si="628">SUM(Q240:S240)</f>
        <v>87.214999999352443</v>
      </c>
      <c r="U240" s="300"/>
      <c r="V240" s="300">
        <f>SUM(V225,V230,V235)</f>
        <v>60.047999999481597</v>
      </c>
      <c r="W240" s="300">
        <f t="shared" ref="W240:X240" si="629">SUM(W225,W230,W235)</f>
        <v>21.477999999893932</v>
      </c>
      <c r="X240" s="300">
        <f t="shared" si="629"/>
        <v>7.7930000000308661</v>
      </c>
      <c r="Y240" s="300">
        <f t="shared" ref="Y240:Y241" si="630">SUM(V240:X240)</f>
        <v>89.318999999406401</v>
      </c>
    </row>
    <row r="241" spans="1:25" x14ac:dyDescent="0.2">
      <c r="A241" s="264" t="s">
        <v>354</v>
      </c>
      <c r="B241" s="301">
        <f>SUM(B239:B240)</f>
        <v>81.127000000210131</v>
      </c>
      <c r="C241" s="301">
        <f t="shared" ref="C241" si="631">SUM(C239:C240)</f>
        <v>76.406000003234965</v>
      </c>
      <c r="D241" s="301">
        <f t="shared" ref="D241" si="632">SUM(D239:D240)</f>
        <v>17.324000000296998</v>
      </c>
      <c r="E241" s="301">
        <f t="shared" si="622"/>
        <v>174.85700000374209</v>
      </c>
      <c r="F241" s="301"/>
      <c r="G241" s="301">
        <f>SUM(G239:G240)</f>
        <v>89.559999999368358</v>
      </c>
      <c r="H241" s="301">
        <f t="shared" ref="H241" si="633">SUM(H239:H240)</f>
        <v>65.52100000130531</v>
      </c>
      <c r="I241" s="301">
        <f t="shared" ref="I241" si="634">SUM(I239:I240)</f>
        <v>15.317000000187701</v>
      </c>
      <c r="J241" s="301">
        <f t="shared" si="624"/>
        <v>170.39800000086137</v>
      </c>
      <c r="K241" s="301"/>
      <c r="L241" s="301">
        <f>SUM(L239:L240)</f>
        <v>88.526999999463669</v>
      </c>
      <c r="M241" s="301">
        <f t="shared" ref="M241" si="635">SUM(M239:M240)</f>
        <v>70.572000001555665</v>
      </c>
      <c r="N241" s="301">
        <f t="shared" ref="N241" si="636">SUM(N239:N240)</f>
        <v>11.370999999997522</v>
      </c>
      <c r="O241" s="301">
        <f t="shared" si="626"/>
        <v>170.47000000101684</v>
      </c>
      <c r="P241" s="301"/>
      <c r="Q241" s="301">
        <f>SUM(Q239:Q240)</f>
        <v>89.851000001157175</v>
      </c>
      <c r="R241" s="301">
        <f t="shared" ref="R241" si="637">SUM(R239:R240)</f>
        <v>68.023000004854794</v>
      </c>
      <c r="S241" s="301">
        <f t="shared" ref="S241" si="638">SUM(S239:S240)</f>
        <v>11.514000000045828</v>
      </c>
      <c r="T241" s="301">
        <f t="shared" si="628"/>
        <v>169.38800000605778</v>
      </c>
      <c r="U241" s="301"/>
      <c r="V241" s="301">
        <f>SUM(V239:V240)</f>
        <v>93.794999999230441</v>
      </c>
      <c r="W241" s="301">
        <f t="shared" ref="W241" si="639">SUM(W239:W240)</f>
        <v>64.663999999498031</v>
      </c>
      <c r="X241" s="301">
        <f t="shared" ref="X241" si="640">SUM(X239:X240)</f>
        <v>11.978000000355275</v>
      </c>
      <c r="Y241" s="301">
        <f t="shared" si="630"/>
        <v>170.43699999908375</v>
      </c>
    </row>
    <row r="242" spans="1:25" x14ac:dyDescent="0.2">
      <c r="A242" s="266"/>
      <c r="B242" s="320"/>
      <c r="C242" s="320"/>
      <c r="D242" s="320"/>
      <c r="E242" s="320"/>
      <c r="F242" s="320"/>
      <c r="G242" s="320"/>
      <c r="H242" s="320"/>
      <c r="I242" s="320"/>
      <c r="J242" s="320"/>
      <c r="K242" s="320"/>
      <c r="L242" s="320"/>
      <c r="M242" s="320"/>
      <c r="N242" s="320"/>
      <c r="O242" s="320"/>
      <c r="P242" s="320"/>
      <c r="Q242" s="320"/>
      <c r="R242" s="320"/>
      <c r="S242" s="320"/>
      <c r="T242" s="320"/>
      <c r="U242" s="320"/>
      <c r="V242" s="320"/>
      <c r="W242" s="320"/>
      <c r="X242" s="320"/>
      <c r="Y242" s="320"/>
    </row>
    <row r="243" spans="1:25" x14ac:dyDescent="0.2">
      <c r="C243" s="263"/>
    </row>
    <row r="244" spans="1:25" x14ac:dyDescent="0.2">
      <c r="A244" s="261"/>
    </row>
    <row r="245" spans="1:25" ht="15" x14ac:dyDescent="0.25">
      <c r="A245" s="265" t="str">
        <f>"Industry 10 : "&amp; name!B13</f>
        <v>Industry 10 : Transport and storage</v>
      </c>
      <c r="B245" s="371">
        <f>$B$5</f>
        <v>2015</v>
      </c>
      <c r="C245" s="371"/>
      <c r="D245" s="371"/>
      <c r="E245" s="371"/>
      <c r="F245" s="320"/>
      <c r="G245" s="371">
        <f>$G$5</f>
        <v>2019</v>
      </c>
      <c r="H245" s="371"/>
      <c r="I245" s="371"/>
      <c r="J245" s="371"/>
      <c r="K245" s="320"/>
      <c r="L245" s="371">
        <f>$L$5</f>
        <v>2020</v>
      </c>
      <c r="M245" s="371"/>
      <c r="N245" s="371"/>
      <c r="O245" s="371"/>
      <c r="P245" s="318"/>
      <c r="Q245" s="371">
        <f>$Q$5</f>
        <v>2025</v>
      </c>
      <c r="R245" s="371"/>
      <c r="S245" s="371"/>
      <c r="T245" s="371"/>
      <c r="U245" s="320"/>
      <c r="V245" s="371">
        <f>$V$5</f>
        <v>2035</v>
      </c>
      <c r="W245" s="371"/>
      <c r="X245" s="371"/>
      <c r="Y245" s="371"/>
    </row>
    <row r="246" spans="1:25" x14ac:dyDescent="0.2">
      <c r="A246" s="264"/>
      <c r="B246" s="268" t="str">
        <f>$B$6</f>
        <v>FT</v>
      </c>
      <c r="C246" s="268" t="str">
        <f>$C$6</f>
        <v>PT</v>
      </c>
      <c r="D246" s="268" t="str">
        <f>$D$6</f>
        <v>SE</v>
      </c>
      <c r="E246" s="268" t="str">
        <f>$E$6</f>
        <v>Total</v>
      </c>
      <c r="F246" s="268"/>
      <c r="G246" s="268" t="str">
        <f>$B$6</f>
        <v>FT</v>
      </c>
      <c r="H246" s="268" t="str">
        <f>$C$6</f>
        <v>PT</v>
      </c>
      <c r="I246" s="268" t="str">
        <f>$D$6</f>
        <v>SE</v>
      </c>
      <c r="J246" s="268" t="str">
        <f>$E$6</f>
        <v>Total</v>
      </c>
      <c r="K246" s="268"/>
      <c r="L246" s="268" t="str">
        <f>$L$6</f>
        <v>FT</v>
      </c>
      <c r="M246" s="268" t="str">
        <f>$M$6</f>
        <v>PT</v>
      </c>
      <c r="N246" s="268" t="str">
        <f>$N$6</f>
        <v>SE</v>
      </c>
      <c r="O246" s="268" t="str">
        <f>$O$6</f>
        <v>Total</v>
      </c>
      <c r="P246" s="268"/>
      <c r="Q246" s="268" t="str">
        <f>$L$6</f>
        <v>FT</v>
      </c>
      <c r="R246" s="268" t="str">
        <f>$M$6</f>
        <v>PT</v>
      </c>
      <c r="S246" s="268" t="str">
        <f>$N$6</f>
        <v>SE</v>
      </c>
      <c r="T246" s="268" t="str">
        <f>$O$6</f>
        <v>Total</v>
      </c>
      <c r="U246" s="268"/>
      <c r="V246" s="268" t="str">
        <f>$V$6</f>
        <v>FT</v>
      </c>
      <c r="W246" s="268" t="str">
        <f>$W$6</f>
        <v>PT</v>
      </c>
      <c r="X246" s="268" t="str">
        <f>$X$6</f>
        <v>SE</v>
      </c>
      <c r="Y246" s="268" t="str">
        <f>$Y$6</f>
        <v>Total</v>
      </c>
    </row>
    <row r="247" spans="1:25" x14ac:dyDescent="0.2">
      <c r="C247" s="319"/>
      <c r="D247" s="319"/>
      <c r="E247" s="319"/>
      <c r="F247" s="319"/>
      <c r="G247" s="319"/>
      <c r="H247" s="319"/>
      <c r="I247" s="319"/>
      <c r="J247" s="319"/>
      <c r="K247" s="319"/>
      <c r="L247" s="319"/>
      <c r="M247" s="319"/>
      <c r="N247" s="319"/>
      <c r="O247" s="319"/>
      <c r="P247" s="319"/>
      <c r="Q247" s="319"/>
      <c r="R247" s="319"/>
      <c r="S247" s="319"/>
      <c r="T247" s="319"/>
      <c r="U247" s="319"/>
      <c r="V247" s="319"/>
      <c r="W247" s="319"/>
      <c r="X247" s="319"/>
      <c r="Y247" s="319"/>
    </row>
    <row r="248" spans="1:25" x14ac:dyDescent="0.2">
      <c r="A248" s="261" t="str">
        <f>name!A37</f>
        <v>Land transport, etc</v>
      </c>
      <c r="C248" s="263"/>
    </row>
    <row r="249" spans="1:25" x14ac:dyDescent="0.2">
      <c r="A249" s="260" t="s">
        <v>356</v>
      </c>
      <c r="B249" s="300">
        <v>1.8409999999882469</v>
      </c>
      <c r="C249" s="300">
        <v>1.3030000000151645</v>
      </c>
      <c r="D249" s="300">
        <v>0.32500000000662332</v>
      </c>
      <c r="E249" s="300">
        <f>SUM(B249:D249)</f>
        <v>3.4690000000100349</v>
      </c>
      <c r="F249" s="300"/>
      <c r="G249" s="300">
        <v>2.4789999999645174</v>
      </c>
      <c r="H249" s="300">
        <v>1.3959999999874291</v>
      </c>
      <c r="I249" s="300">
        <v>0.40899999999824199</v>
      </c>
      <c r="J249" s="300">
        <f>SUM(G249:I249)</f>
        <v>4.2839999999501881</v>
      </c>
      <c r="K249" s="300"/>
      <c r="L249" s="300">
        <v>2.9239999999689399</v>
      </c>
      <c r="M249" s="300">
        <v>1.5159999999911411</v>
      </c>
      <c r="N249" s="300">
        <v>2.7919999999454057</v>
      </c>
      <c r="O249" s="300">
        <f>SUM(L249:N249)</f>
        <v>7.2319999999054865</v>
      </c>
      <c r="P249" s="300"/>
      <c r="Q249" s="300">
        <v>3.0910000000921518</v>
      </c>
      <c r="R249" s="300">
        <v>1.6230000000596847</v>
      </c>
      <c r="S249" s="300">
        <v>2.9340000000774387</v>
      </c>
      <c r="T249" s="300">
        <f>SUM(Q249:S249)</f>
        <v>7.648000000229275</v>
      </c>
      <c r="U249" s="300"/>
      <c r="V249" s="300">
        <v>3.2499999999951359</v>
      </c>
      <c r="W249" s="300">
        <v>1.7239999999955773</v>
      </c>
      <c r="X249" s="300">
        <v>2.9580000000491595</v>
      </c>
      <c r="Y249" s="300">
        <f>SUM(V249:X249)</f>
        <v>7.9320000000398725</v>
      </c>
    </row>
    <row r="250" spans="1:25" x14ac:dyDescent="0.2">
      <c r="A250" s="260" t="s">
        <v>355</v>
      </c>
      <c r="B250" s="300">
        <v>15.986000000102335</v>
      </c>
      <c r="C250" s="300">
        <v>1.6940000000333062</v>
      </c>
      <c r="D250" s="300">
        <v>5.7060000000623488</v>
      </c>
      <c r="E250" s="300">
        <f t="shared" ref="E250:E251" si="641">SUM(B250:D250)</f>
        <v>23.386000000197992</v>
      </c>
      <c r="F250" s="300"/>
      <c r="G250" s="300">
        <v>20.083000000044848</v>
      </c>
      <c r="H250" s="300">
        <v>1.5410000000210295</v>
      </c>
      <c r="I250" s="300">
        <v>9.1969999993441416</v>
      </c>
      <c r="J250" s="300">
        <f t="shared" ref="J250:J251" si="642">SUM(G250:I250)</f>
        <v>30.82099999941002</v>
      </c>
      <c r="K250" s="300"/>
      <c r="L250" s="300">
        <v>19.359000000027503</v>
      </c>
      <c r="M250" s="300">
        <v>1.8390000000040585</v>
      </c>
      <c r="N250" s="300">
        <v>7.2470000001899635</v>
      </c>
      <c r="O250" s="300">
        <f t="shared" ref="O250:O251" si="643">SUM(L250:N250)</f>
        <v>28.445000000221526</v>
      </c>
      <c r="P250" s="300"/>
      <c r="Q250" s="300">
        <v>19.622999999799951</v>
      </c>
      <c r="R250" s="300">
        <v>1.9229999999731122</v>
      </c>
      <c r="S250" s="300">
        <v>7.723000000511</v>
      </c>
      <c r="T250" s="300">
        <f t="shared" ref="T250:T251" si="644">SUM(Q250:S250)</f>
        <v>29.269000000284063</v>
      </c>
      <c r="U250" s="300"/>
      <c r="V250" s="300">
        <v>18.700999999793229</v>
      </c>
      <c r="W250" s="300">
        <v>1.9769999999746997</v>
      </c>
      <c r="X250" s="300">
        <v>8.1910000004049905</v>
      </c>
      <c r="Y250" s="300">
        <f t="shared" ref="Y250:Y251" si="645">SUM(V250:X250)</f>
        <v>28.869000000172917</v>
      </c>
    </row>
    <row r="251" spans="1:25" x14ac:dyDescent="0.2">
      <c r="A251" s="260" t="s">
        <v>354</v>
      </c>
      <c r="B251" s="300">
        <f>SUM(B249:B250)</f>
        <v>17.827000000090582</v>
      </c>
      <c r="C251" s="300">
        <f t="shared" ref="C251" si="646">SUM(C249:C250)</f>
        <v>2.9970000000484704</v>
      </c>
      <c r="D251" s="300">
        <f t="shared" ref="D251" si="647">SUM(D249:D250)</f>
        <v>6.0310000000689721</v>
      </c>
      <c r="E251" s="300">
        <f t="shared" si="641"/>
        <v>26.855000000208022</v>
      </c>
      <c r="F251" s="300"/>
      <c r="G251" s="300">
        <f>SUM(G249:G250)</f>
        <v>22.562000000009366</v>
      </c>
      <c r="H251" s="300">
        <f t="shared" ref="H251" si="648">SUM(H249:H250)</f>
        <v>2.9370000000084584</v>
      </c>
      <c r="I251" s="300">
        <f t="shared" ref="I251" si="649">SUM(I249:I250)</f>
        <v>9.6059999993423837</v>
      </c>
      <c r="J251" s="300">
        <f t="shared" si="642"/>
        <v>35.104999999360203</v>
      </c>
      <c r="K251" s="300"/>
      <c r="L251" s="300">
        <f>SUM(L249:L250)</f>
        <v>22.282999999996441</v>
      </c>
      <c r="M251" s="300">
        <f t="shared" ref="M251" si="650">SUM(M249:M250)</f>
        <v>3.3549999999951998</v>
      </c>
      <c r="N251" s="300">
        <f t="shared" ref="N251" si="651">SUM(N249:N250)</f>
        <v>10.039000000135369</v>
      </c>
      <c r="O251" s="300">
        <f t="shared" si="643"/>
        <v>35.677000000127009</v>
      </c>
      <c r="P251" s="300"/>
      <c r="Q251" s="300">
        <f>SUM(Q249:Q250)</f>
        <v>22.713999999892103</v>
      </c>
      <c r="R251" s="300">
        <f t="shared" ref="R251" si="652">SUM(R249:R250)</f>
        <v>3.5460000000327971</v>
      </c>
      <c r="S251" s="300">
        <f t="shared" ref="S251" si="653">SUM(S249:S250)</f>
        <v>10.65700000058844</v>
      </c>
      <c r="T251" s="300">
        <f t="shared" si="644"/>
        <v>36.91700000051334</v>
      </c>
      <c r="U251" s="300"/>
      <c r="V251" s="300">
        <f>SUM(V249:V250)</f>
        <v>21.950999999788365</v>
      </c>
      <c r="W251" s="300">
        <f t="shared" ref="W251" si="654">SUM(W249:W250)</f>
        <v>3.7009999999702767</v>
      </c>
      <c r="X251" s="300">
        <f t="shared" ref="X251" si="655">SUM(X249:X250)</f>
        <v>11.14900000045415</v>
      </c>
      <c r="Y251" s="300">
        <f t="shared" si="645"/>
        <v>36.801000000212795</v>
      </c>
    </row>
    <row r="252" spans="1:25" x14ac:dyDescent="0.2">
      <c r="C252" s="319"/>
      <c r="D252" s="319"/>
      <c r="E252" s="319"/>
      <c r="F252" s="319"/>
      <c r="G252" s="319"/>
      <c r="H252" s="319"/>
      <c r="I252" s="319"/>
      <c r="J252" s="319"/>
      <c r="K252" s="319"/>
      <c r="L252" s="319"/>
      <c r="M252" s="319"/>
      <c r="N252" s="319"/>
      <c r="O252" s="319"/>
      <c r="P252" s="319"/>
      <c r="Q252" s="319"/>
      <c r="R252" s="319"/>
      <c r="S252" s="319"/>
      <c r="T252" s="319"/>
      <c r="U252" s="319"/>
      <c r="V252" s="319"/>
      <c r="W252" s="319"/>
      <c r="X252" s="319"/>
      <c r="Y252" s="319"/>
    </row>
    <row r="253" spans="1:25" x14ac:dyDescent="0.2">
      <c r="A253" s="261" t="str">
        <f>name!A38</f>
        <v>Water transport</v>
      </c>
      <c r="C253" s="263"/>
    </row>
    <row r="254" spans="1:25" x14ac:dyDescent="0.2">
      <c r="A254" s="260" t="s">
        <v>356</v>
      </c>
      <c r="B254" s="300">
        <v>1.9999999999881267E-3</v>
      </c>
      <c r="C254" s="300">
        <v>0.32500000000415319</v>
      </c>
      <c r="D254" s="300">
        <v>1.3000000000246098E-2</v>
      </c>
      <c r="E254" s="300">
        <f>SUM(B254:D254)</f>
        <v>0.3400000000043874</v>
      </c>
      <c r="F254" s="300"/>
      <c r="G254" s="300">
        <v>9.9999999998907387E-4</v>
      </c>
      <c r="H254" s="300">
        <v>1.9999999999870742E-3</v>
      </c>
      <c r="I254" s="300">
        <v>9.9999999999678558E-4</v>
      </c>
      <c r="J254" s="300">
        <f>SUM(G254:I254)</f>
        <v>3.9999999999729332E-3</v>
      </c>
      <c r="K254" s="300"/>
      <c r="L254" s="300">
        <v>9.9999999999176702E-4</v>
      </c>
      <c r="M254" s="300">
        <v>1.9999999999917328E-3</v>
      </c>
      <c r="N254" s="300">
        <v>9.9999999998228307E-4</v>
      </c>
      <c r="O254" s="300">
        <f>SUM(L254:N254)</f>
        <v>3.9999999999657827E-3</v>
      </c>
      <c r="P254" s="300"/>
      <c r="Q254" s="300">
        <v>1.0000000000228641E-3</v>
      </c>
      <c r="R254" s="300">
        <v>1.0000000000379484E-3</v>
      </c>
      <c r="S254" s="300">
        <v>1.0000000000238748E-3</v>
      </c>
      <c r="T254" s="300">
        <f>SUM(Q254:S254)</f>
        <v>3.0000000000846875E-3</v>
      </c>
      <c r="U254" s="300"/>
      <c r="V254" s="300">
        <v>9.9999999999769436E-4</v>
      </c>
      <c r="W254" s="300">
        <v>9.9999999999397533E-4</v>
      </c>
      <c r="X254" s="300">
        <v>1.0000000000156307E-3</v>
      </c>
      <c r="Y254" s="300">
        <f>SUM(V254:X254)</f>
        <v>3.0000000000073006E-3</v>
      </c>
    </row>
    <row r="255" spans="1:25" x14ac:dyDescent="0.2">
      <c r="A255" s="260" t="s">
        <v>355</v>
      </c>
      <c r="B255" s="300">
        <v>3.0000000000006037E-3</v>
      </c>
      <c r="C255" s="300">
        <v>0.11000000000072585</v>
      </c>
      <c r="D255" s="300">
        <v>3.0000000000533307E-3</v>
      </c>
      <c r="E255" s="300">
        <f t="shared" ref="E255:E256" si="656">SUM(B255:D255)</f>
        <v>0.11600000000077978</v>
      </c>
      <c r="F255" s="300"/>
      <c r="G255" s="300">
        <v>9.9999999999944252E-4</v>
      </c>
      <c r="H255" s="300">
        <v>1.0000000000031305E-3</v>
      </c>
      <c r="I255" s="300">
        <v>1.0000000000085336E-3</v>
      </c>
      <c r="J255" s="300">
        <f t="shared" ref="J255:J256" si="657">SUM(G255:I255)</f>
        <v>3.0000000000111066E-3</v>
      </c>
      <c r="K255" s="300"/>
      <c r="L255" s="300">
        <v>9.9999999999906088E-4</v>
      </c>
      <c r="M255" s="300">
        <v>9.9999999999930201E-4</v>
      </c>
      <c r="N255" s="300">
        <v>3.0000000000406663E-3</v>
      </c>
      <c r="O255" s="300">
        <f t="shared" ref="O255:O256" si="658">SUM(L255:N255)</f>
        <v>5.0000000000390288E-3</v>
      </c>
      <c r="P255" s="300"/>
      <c r="Q255" s="300">
        <v>1.000000000010174E-3</v>
      </c>
      <c r="R255" s="300">
        <v>9.9999999999935991E-4</v>
      </c>
      <c r="S255" s="300">
        <v>2.0000000000458887E-3</v>
      </c>
      <c r="T255" s="300">
        <f t="shared" ref="T255:T256" si="659">SUM(Q255:S255)</f>
        <v>4.0000000000554228E-3</v>
      </c>
      <c r="U255" s="300"/>
      <c r="V255" s="300">
        <v>1.000000000013201E-3</v>
      </c>
      <c r="W255" s="300">
        <v>1.0000000000038485E-3</v>
      </c>
      <c r="X255" s="300">
        <v>2.0000000000406251E-3</v>
      </c>
      <c r="Y255" s="300">
        <f t="shared" ref="Y255:Y256" si="660">SUM(V255:X255)</f>
        <v>4.0000000000576744E-3</v>
      </c>
    </row>
    <row r="256" spans="1:25" x14ac:dyDescent="0.2">
      <c r="A256" s="260" t="s">
        <v>354</v>
      </c>
      <c r="B256" s="300">
        <f>SUM(B254:B255)</f>
        <v>4.9999999999887305E-3</v>
      </c>
      <c r="C256" s="300">
        <f t="shared" ref="C256" si="661">SUM(C254:C255)</f>
        <v>0.43500000000487904</v>
      </c>
      <c r="D256" s="300">
        <f t="shared" ref="D256" si="662">SUM(D254:D255)</f>
        <v>1.6000000000299427E-2</v>
      </c>
      <c r="E256" s="300">
        <f t="shared" si="656"/>
        <v>0.45600000000516722</v>
      </c>
      <c r="F256" s="300"/>
      <c r="G256" s="300">
        <f>SUM(G254:G255)</f>
        <v>1.9999999999885162E-3</v>
      </c>
      <c r="H256" s="300">
        <f t="shared" ref="H256" si="663">SUM(H254:H255)</f>
        <v>2.9999999999902049E-3</v>
      </c>
      <c r="I256" s="300">
        <f t="shared" ref="I256" si="664">SUM(I254:I255)</f>
        <v>2.0000000000053191E-3</v>
      </c>
      <c r="J256" s="300">
        <f t="shared" si="657"/>
        <v>6.9999999999840398E-3</v>
      </c>
      <c r="K256" s="300"/>
      <c r="L256" s="300">
        <f>SUM(L254:L255)</f>
        <v>1.9999999999908277E-3</v>
      </c>
      <c r="M256" s="300">
        <f t="shared" ref="M256" si="665">SUM(M254:M255)</f>
        <v>2.999999999991035E-3</v>
      </c>
      <c r="N256" s="300">
        <f t="shared" ref="N256" si="666">SUM(N254:N255)</f>
        <v>4.0000000000229496E-3</v>
      </c>
      <c r="O256" s="300">
        <f t="shared" si="658"/>
        <v>9.0000000000048132E-3</v>
      </c>
      <c r="P256" s="300"/>
      <c r="Q256" s="300">
        <f>SUM(Q254:Q255)</f>
        <v>2.0000000000330379E-3</v>
      </c>
      <c r="R256" s="300">
        <f t="shared" ref="R256" si="667">SUM(R254:R255)</f>
        <v>2.0000000000373083E-3</v>
      </c>
      <c r="S256" s="300">
        <f t="shared" ref="S256" si="668">SUM(S254:S255)</f>
        <v>3.0000000000697637E-3</v>
      </c>
      <c r="T256" s="300">
        <f t="shared" si="659"/>
        <v>7.0000000001401103E-3</v>
      </c>
      <c r="U256" s="300"/>
      <c r="V256" s="300">
        <f>SUM(V254:V255)</f>
        <v>2.0000000000108954E-3</v>
      </c>
      <c r="W256" s="300">
        <f t="shared" ref="W256" si="669">SUM(W254:W255)</f>
        <v>1.9999999999978238E-3</v>
      </c>
      <c r="X256" s="300">
        <f t="shared" ref="X256" si="670">SUM(X254:X255)</f>
        <v>3.0000000000562558E-3</v>
      </c>
      <c r="Y256" s="300">
        <f t="shared" si="660"/>
        <v>7.0000000000649751E-3</v>
      </c>
    </row>
    <row r="257" spans="1:25" x14ac:dyDescent="0.2">
      <c r="C257" s="319"/>
      <c r="D257" s="319"/>
      <c r="E257" s="319"/>
      <c r="F257" s="319"/>
      <c r="G257" s="319"/>
      <c r="H257" s="319"/>
      <c r="I257" s="319"/>
      <c r="J257" s="319"/>
      <c r="K257" s="319"/>
      <c r="L257" s="319"/>
      <c r="M257" s="319"/>
      <c r="N257" s="319"/>
      <c r="O257" s="319"/>
      <c r="P257" s="319"/>
      <c r="Q257" s="319"/>
      <c r="R257" s="319"/>
      <c r="S257" s="319"/>
      <c r="T257" s="319"/>
      <c r="U257" s="319"/>
      <c r="V257" s="319"/>
      <c r="W257" s="319"/>
      <c r="X257" s="319"/>
      <c r="Y257" s="319"/>
    </row>
    <row r="258" spans="1:25" x14ac:dyDescent="0.2">
      <c r="A258" s="261" t="str">
        <f>name!A39</f>
        <v>Air transport</v>
      </c>
      <c r="C258" s="263"/>
    </row>
    <row r="259" spans="1:25" x14ac:dyDescent="0.2">
      <c r="A259" s="260" t="s">
        <v>356</v>
      </c>
      <c r="B259" s="300">
        <v>0.50299999999693701</v>
      </c>
      <c r="C259" s="300">
        <v>0.24900000000393196</v>
      </c>
      <c r="D259" s="300">
        <v>5.0000000000467865E-3</v>
      </c>
      <c r="E259" s="300">
        <f>SUM(B259:D259)</f>
        <v>0.75700000000091572</v>
      </c>
      <c r="F259" s="300"/>
      <c r="G259" s="300">
        <v>0.53099999998980496</v>
      </c>
      <c r="H259" s="300">
        <v>0.26199999999978102</v>
      </c>
      <c r="I259" s="300">
        <v>1.3000000000024143E-2</v>
      </c>
      <c r="J259" s="300">
        <f>SUM(G259:I259)</f>
        <v>0.80599999998961014</v>
      </c>
      <c r="K259" s="300"/>
      <c r="L259" s="300">
        <v>0.46599999999346409</v>
      </c>
      <c r="M259" s="300">
        <v>0.1910000000006602</v>
      </c>
      <c r="N259" s="300">
        <v>1.9999999999882768E-2</v>
      </c>
      <c r="O259" s="300">
        <f>SUM(L259:N259)</f>
        <v>0.67699999999400706</v>
      </c>
      <c r="P259" s="300"/>
      <c r="Q259" s="300">
        <v>0.65400000002610037</v>
      </c>
      <c r="R259" s="300">
        <v>0.29400000001343629</v>
      </c>
      <c r="S259" s="300">
        <v>2.6000000000259198E-2</v>
      </c>
      <c r="T259" s="300">
        <f>SUM(Q259:S259)</f>
        <v>0.97400000003979581</v>
      </c>
      <c r="U259" s="300"/>
      <c r="V259" s="300">
        <v>0.73799999999793198</v>
      </c>
      <c r="W259" s="300">
        <v>0.34399999999773578</v>
      </c>
      <c r="X259" s="300">
        <v>2.9000000000259856E-2</v>
      </c>
      <c r="Y259" s="300">
        <f>SUM(V259:X259)</f>
        <v>1.1109999999959277</v>
      </c>
    </row>
    <row r="260" spans="1:25" x14ac:dyDescent="0.2">
      <c r="A260" s="260" t="s">
        <v>355</v>
      </c>
      <c r="B260" s="300">
        <v>0.62299999999961941</v>
      </c>
      <c r="C260" s="300">
        <v>0.19200000000104028</v>
      </c>
      <c r="D260" s="300">
        <v>3.0000000000030549E-3</v>
      </c>
      <c r="E260" s="300">
        <f t="shared" ref="E260:E261" si="671">SUM(B260:D260)</f>
        <v>0.81800000000066264</v>
      </c>
      <c r="F260" s="300"/>
      <c r="G260" s="300">
        <v>0.69199999999926676</v>
      </c>
      <c r="H260" s="300">
        <v>0.14500000000018215</v>
      </c>
      <c r="I260" s="300">
        <v>1.0000000000060982E-3</v>
      </c>
      <c r="J260" s="300">
        <f t="shared" ref="J260:J261" si="672">SUM(G260:I260)</f>
        <v>0.83799999999945496</v>
      </c>
      <c r="K260" s="300"/>
      <c r="L260" s="300">
        <v>0.58599999999933672</v>
      </c>
      <c r="M260" s="300">
        <v>9.0000000000303296E-2</v>
      </c>
      <c r="N260" s="300">
        <v>4.1999999999941966E-2</v>
      </c>
      <c r="O260" s="300">
        <f t="shared" ref="O260:O261" si="673">SUM(L260:N260)</f>
        <v>0.71799999999958197</v>
      </c>
      <c r="P260" s="300"/>
      <c r="Q260" s="300">
        <v>0.81800000000163142</v>
      </c>
      <c r="R260" s="300">
        <v>0.12999999999939887</v>
      </c>
      <c r="S260" s="300">
        <v>5.9999999998772112E-2</v>
      </c>
      <c r="T260" s="300">
        <f t="shared" ref="T260:T261" si="674">SUM(Q260:S260)</f>
        <v>1.0079999999998024</v>
      </c>
      <c r="U260" s="300"/>
      <c r="V260" s="300">
        <v>0.88100000000271628</v>
      </c>
      <c r="W260" s="300">
        <v>0.14499999999967883</v>
      </c>
      <c r="X260" s="300">
        <v>6.6999999998859958E-2</v>
      </c>
      <c r="Y260" s="300">
        <f t="shared" ref="Y260:Y261" si="675">SUM(V260:X260)</f>
        <v>1.0930000000012552</v>
      </c>
    </row>
    <row r="261" spans="1:25" x14ac:dyDescent="0.2">
      <c r="A261" s="260" t="s">
        <v>354</v>
      </c>
      <c r="B261" s="300">
        <f>SUM(B259:B260)</f>
        <v>1.1259999999965564</v>
      </c>
      <c r="C261" s="300">
        <f t="shared" ref="C261" si="676">SUM(C259:C260)</f>
        <v>0.44100000000497225</v>
      </c>
      <c r="D261" s="300">
        <f t="shared" ref="D261" si="677">SUM(D259:D260)</f>
        <v>8.0000000000498422E-3</v>
      </c>
      <c r="E261" s="300">
        <f t="shared" si="671"/>
        <v>1.5750000000015785</v>
      </c>
      <c r="F261" s="300"/>
      <c r="G261" s="300">
        <f>SUM(G259:G260)</f>
        <v>1.2229999999890717</v>
      </c>
      <c r="H261" s="300">
        <f t="shared" ref="H261" si="678">SUM(H259:H260)</f>
        <v>0.40699999999996317</v>
      </c>
      <c r="I261" s="300">
        <f t="shared" ref="I261" si="679">SUM(I259:I260)</f>
        <v>1.4000000000030242E-2</v>
      </c>
      <c r="J261" s="300">
        <f t="shared" si="672"/>
        <v>1.6439999999890651</v>
      </c>
      <c r="K261" s="300"/>
      <c r="L261" s="300">
        <f>SUM(L259:L260)</f>
        <v>1.0519999999928009</v>
      </c>
      <c r="M261" s="300">
        <f t="shared" ref="M261" si="680">SUM(M259:M260)</f>
        <v>0.28100000000096348</v>
      </c>
      <c r="N261" s="300">
        <f t="shared" ref="N261" si="681">SUM(N259:N260)</f>
        <v>6.1999999999824737E-2</v>
      </c>
      <c r="O261" s="300">
        <f t="shared" si="673"/>
        <v>1.3949999999935889</v>
      </c>
      <c r="P261" s="300"/>
      <c r="Q261" s="300">
        <f>SUM(Q259:Q260)</f>
        <v>1.4720000000277318</v>
      </c>
      <c r="R261" s="300">
        <f t="shared" ref="R261" si="682">SUM(R259:R260)</f>
        <v>0.42400000001283517</v>
      </c>
      <c r="S261" s="300">
        <f t="shared" ref="S261" si="683">SUM(S259:S260)</f>
        <v>8.599999999903131E-2</v>
      </c>
      <c r="T261" s="300">
        <f t="shared" si="674"/>
        <v>1.9820000000395983</v>
      </c>
      <c r="U261" s="300"/>
      <c r="V261" s="300">
        <f>SUM(V259:V260)</f>
        <v>1.6190000000006481</v>
      </c>
      <c r="W261" s="300">
        <f t="shared" ref="W261" si="684">SUM(W259:W260)</f>
        <v>0.48899999999741461</v>
      </c>
      <c r="X261" s="300">
        <f t="shared" ref="X261" si="685">SUM(X259:X260)</f>
        <v>9.5999999999119817E-2</v>
      </c>
      <c r="Y261" s="300">
        <f t="shared" si="675"/>
        <v>2.2039999999971824</v>
      </c>
    </row>
    <row r="262" spans="1:25" x14ac:dyDescent="0.2">
      <c r="C262" s="319"/>
      <c r="D262" s="319"/>
      <c r="E262" s="319"/>
      <c r="F262" s="319"/>
      <c r="G262" s="319"/>
      <c r="H262" s="319"/>
      <c r="I262" s="319"/>
      <c r="J262" s="319"/>
      <c r="K262" s="319"/>
      <c r="L262" s="319"/>
      <c r="M262" s="319"/>
      <c r="N262" s="319"/>
      <c r="O262" s="319"/>
      <c r="P262" s="319"/>
      <c r="Q262" s="319"/>
      <c r="R262" s="319"/>
      <c r="S262" s="319"/>
      <c r="T262" s="319"/>
      <c r="U262" s="319"/>
      <c r="V262" s="319"/>
      <c r="W262" s="319"/>
      <c r="X262" s="319"/>
      <c r="Y262" s="319"/>
    </row>
    <row r="263" spans="1:25" x14ac:dyDescent="0.2">
      <c r="A263" s="261" t="str">
        <f>name!A40</f>
        <v>Warehousing, etc</v>
      </c>
      <c r="C263" s="263"/>
    </row>
    <row r="264" spans="1:25" x14ac:dyDescent="0.2">
      <c r="A264" s="260" t="s">
        <v>356</v>
      </c>
      <c r="B264" s="300">
        <v>1.8619999999863264</v>
      </c>
      <c r="C264" s="300">
        <v>0.58700000001041375</v>
      </c>
      <c r="D264" s="300">
        <v>0.15700000000376674</v>
      </c>
      <c r="E264" s="300">
        <f>SUM(B264:D264)</f>
        <v>2.606000000000507</v>
      </c>
      <c r="F264" s="300"/>
      <c r="G264" s="300">
        <v>2.0669999999616988</v>
      </c>
      <c r="H264" s="300">
        <v>0.98899999999827559</v>
      </c>
      <c r="I264" s="300">
        <v>0.25300000000517187</v>
      </c>
      <c r="J264" s="300">
        <f>SUM(G264:I264)</f>
        <v>3.3089999999651463</v>
      </c>
      <c r="K264" s="300"/>
      <c r="L264" s="300">
        <v>2.3359999999676604</v>
      </c>
      <c r="M264" s="300">
        <v>1.0570000000030466</v>
      </c>
      <c r="N264" s="300">
        <v>4.9999999998583747E-3</v>
      </c>
      <c r="O264" s="300">
        <f>SUM(L264:N264)</f>
        <v>3.397999999970565</v>
      </c>
      <c r="P264" s="300"/>
      <c r="Q264" s="300">
        <v>2.4470000000907977</v>
      </c>
      <c r="R264" s="300">
        <v>1.1280000000565709</v>
      </c>
      <c r="S264" s="300">
        <v>5.000000000040198E-3</v>
      </c>
      <c r="T264" s="300">
        <f>SUM(Q264:S264)</f>
        <v>3.5800000001474088</v>
      </c>
      <c r="U264" s="300"/>
      <c r="V264" s="300">
        <v>2.5049999999924148</v>
      </c>
      <c r="W264" s="300">
        <v>1.2199999999936257</v>
      </c>
      <c r="X264" s="300">
        <v>5.0000000000114554E-3</v>
      </c>
      <c r="Y264" s="300">
        <f>SUM(V264:X264)</f>
        <v>3.729999999986052</v>
      </c>
    </row>
    <row r="265" spans="1:25" x14ac:dyDescent="0.2">
      <c r="A265" s="260" t="s">
        <v>355</v>
      </c>
      <c r="B265" s="300">
        <v>9.2680000000564995</v>
      </c>
      <c r="C265" s="300">
        <v>0.95400000001490659</v>
      </c>
      <c r="D265" s="300">
        <v>0.33600000000551095</v>
      </c>
      <c r="E265" s="300">
        <f t="shared" ref="E265:E266" si="686">SUM(B265:D265)</f>
        <v>10.558000000076916</v>
      </c>
      <c r="F265" s="300"/>
      <c r="G265" s="300">
        <v>9.4430000000212022</v>
      </c>
      <c r="H265" s="300">
        <v>1.5910000000158659</v>
      </c>
      <c r="I265" s="300">
        <v>0.34999999999875736</v>
      </c>
      <c r="J265" s="300">
        <f t="shared" ref="J265:J266" si="687">SUM(G265:I265)</f>
        <v>11.384000000035826</v>
      </c>
      <c r="K265" s="300"/>
      <c r="L265" s="300">
        <v>9.497000000013859</v>
      </c>
      <c r="M265" s="300">
        <v>1.6830000000026368</v>
      </c>
      <c r="N265" s="300">
        <v>0.54700000000815163</v>
      </c>
      <c r="O265" s="300">
        <f t="shared" ref="O265:O266" si="688">SUM(L265:N265)</f>
        <v>11.727000000024647</v>
      </c>
      <c r="P265" s="300"/>
      <c r="Q265" s="300">
        <v>9.6469999999101717</v>
      </c>
      <c r="R265" s="300">
        <v>1.6909999999843641</v>
      </c>
      <c r="S265" s="300">
        <v>0.5140000000147551</v>
      </c>
      <c r="T265" s="300">
        <f t="shared" ref="T265:T266" si="689">SUM(Q265:S265)</f>
        <v>11.851999999909291</v>
      </c>
      <c r="U265" s="300"/>
      <c r="V265" s="300">
        <v>9.5039999999023443</v>
      </c>
      <c r="W265" s="300">
        <v>1.7299999999904441</v>
      </c>
      <c r="X265" s="300">
        <v>0.49600000000955258</v>
      </c>
      <c r="Y265" s="300">
        <f t="shared" ref="Y265:Y266" si="690">SUM(V265:X265)</f>
        <v>11.72999999990234</v>
      </c>
    </row>
    <row r="266" spans="1:25" x14ac:dyDescent="0.2">
      <c r="A266" s="260" t="s">
        <v>354</v>
      </c>
      <c r="B266" s="300">
        <f>SUM(B264:B265)</f>
        <v>11.130000000042825</v>
      </c>
      <c r="C266" s="300">
        <f t="shared" ref="C266" si="691">SUM(C264:C265)</f>
        <v>1.5410000000253203</v>
      </c>
      <c r="D266" s="300">
        <f t="shared" ref="D266" si="692">SUM(D264:D265)</f>
        <v>0.49300000000927768</v>
      </c>
      <c r="E266" s="300">
        <f t="shared" si="686"/>
        <v>13.164000000077424</v>
      </c>
      <c r="F266" s="300"/>
      <c r="G266" s="300">
        <f>SUM(G264:G265)</f>
        <v>11.509999999982901</v>
      </c>
      <c r="H266" s="300">
        <f t="shared" ref="H266" si="693">SUM(H264:H265)</f>
        <v>2.5800000000141416</v>
      </c>
      <c r="I266" s="300">
        <f t="shared" ref="I266" si="694">SUM(I264:I265)</f>
        <v>0.60300000000392928</v>
      </c>
      <c r="J266" s="300">
        <f t="shared" si="687"/>
        <v>14.693000000000971</v>
      </c>
      <c r="K266" s="300"/>
      <c r="L266" s="300">
        <f>SUM(L264:L265)</f>
        <v>11.832999999981519</v>
      </c>
      <c r="M266" s="300">
        <f t="shared" ref="M266" si="695">SUM(M264:M265)</f>
        <v>2.7400000000056837</v>
      </c>
      <c r="N266" s="300">
        <f t="shared" ref="N266" si="696">SUM(N264:N265)</f>
        <v>0.55200000000800997</v>
      </c>
      <c r="O266" s="300">
        <f t="shared" si="688"/>
        <v>15.124999999995213</v>
      </c>
      <c r="P266" s="300"/>
      <c r="Q266" s="300">
        <f>SUM(Q264:Q265)</f>
        <v>12.094000000000969</v>
      </c>
      <c r="R266" s="300">
        <f t="shared" ref="R266" si="697">SUM(R264:R265)</f>
        <v>2.8190000000409352</v>
      </c>
      <c r="S266" s="300">
        <f t="shared" ref="S266" si="698">SUM(S264:S265)</f>
        <v>0.51900000001479529</v>
      </c>
      <c r="T266" s="300">
        <f t="shared" si="689"/>
        <v>15.4320000000567</v>
      </c>
      <c r="U266" s="300"/>
      <c r="V266" s="300">
        <f>SUM(V264:V265)</f>
        <v>12.008999999894758</v>
      </c>
      <c r="W266" s="300">
        <f t="shared" ref="W266" si="699">SUM(W264:W265)</f>
        <v>2.9499999999840698</v>
      </c>
      <c r="X266" s="300">
        <f t="shared" ref="X266" si="700">SUM(X264:X265)</f>
        <v>0.50100000000956402</v>
      </c>
      <c r="Y266" s="300">
        <f t="shared" si="690"/>
        <v>15.459999999888391</v>
      </c>
    </row>
    <row r="267" spans="1:25" x14ac:dyDescent="0.2">
      <c r="C267" s="319"/>
      <c r="D267" s="319"/>
      <c r="E267" s="319"/>
      <c r="F267" s="319"/>
      <c r="G267" s="319"/>
      <c r="H267" s="319"/>
      <c r="I267" s="319"/>
      <c r="J267" s="319"/>
      <c r="K267" s="319"/>
      <c r="L267" s="319"/>
      <c r="M267" s="319"/>
      <c r="N267" s="319"/>
      <c r="O267" s="319"/>
      <c r="P267" s="319"/>
      <c r="Q267" s="319"/>
      <c r="R267" s="319"/>
      <c r="S267" s="319"/>
      <c r="T267" s="319"/>
      <c r="U267" s="319"/>
      <c r="V267" s="319"/>
      <c r="W267" s="319"/>
      <c r="X267" s="319"/>
      <c r="Y267" s="319"/>
    </row>
    <row r="268" spans="1:25" x14ac:dyDescent="0.2">
      <c r="A268" s="261" t="str">
        <f>name!A41</f>
        <v>Postal and courier</v>
      </c>
      <c r="C268" s="263"/>
    </row>
    <row r="269" spans="1:25" x14ac:dyDescent="0.2">
      <c r="A269" s="260" t="s">
        <v>356</v>
      </c>
      <c r="B269" s="300">
        <v>1.4919999999957154</v>
      </c>
      <c r="C269" s="300">
        <v>1.978000000046692</v>
      </c>
      <c r="D269" s="300">
        <v>8.0000000001742441E-2</v>
      </c>
      <c r="E269" s="300">
        <f>SUM(B269:D269)</f>
        <v>3.5500000000441498</v>
      </c>
      <c r="F269" s="300"/>
      <c r="G269" s="300">
        <v>1.3909999999702127</v>
      </c>
      <c r="H269" s="300">
        <v>2.0379999999990428</v>
      </c>
      <c r="I269" s="300">
        <v>0.10800000000035624</v>
      </c>
      <c r="J269" s="300">
        <f>SUM(G269:I269)</f>
        <v>3.5369999999696118</v>
      </c>
      <c r="K269" s="300"/>
      <c r="L269" s="300">
        <v>1.5709999999735325</v>
      </c>
      <c r="M269" s="300">
        <v>2.1790000000105532</v>
      </c>
      <c r="N269" s="300">
        <v>0.45299999999022694</v>
      </c>
      <c r="O269" s="300">
        <f>SUM(L269:N269)</f>
        <v>4.2029999999743124</v>
      </c>
      <c r="P269" s="300"/>
      <c r="Q269" s="300">
        <v>1.6460000000768888</v>
      </c>
      <c r="R269" s="300">
        <v>2.3250000001454691</v>
      </c>
      <c r="S269" s="300">
        <v>0.41000000000828629</v>
      </c>
      <c r="T269" s="300">
        <f>SUM(Q269:S269)</f>
        <v>4.3810000002306442</v>
      </c>
      <c r="U269" s="300"/>
      <c r="V269" s="300">
        <v>1.6849999999884633</v>
      </c>
      <c r="W269" s="300">
        <v>2.5129999999821093</v>
      </c>
      <c r="X269" s="300">
        <v>0.37800000000416334</v>
      </c>
      <c r="Y269" s="300">
        <f>SUM(V269:X269)</f>
        <v>4.5759999999747354</v>
      </c>
    </row>
    <row r="270" spans="1:25" x14ac:dyDescent="0.2">
      <c r="A270" s="260" t="s">
        <v>355</v>
      </c>
      <c r="B270" s="300">
        <v>3.9250000000324747</v>
      </c>
      <c r="C270" s="300">
        <v>0.97100000001895359</v>
      </c>
      <c r="D270" s="300">
        <v>0.19200000000137171</v>
      </c>
      <c r="E270" s="300">
        <f t="shared" ref="E270:E271" si="701">SUM(B270:D270)</f>
        <v>5.0880000000527996</v>
      </c>
      <c r="F270" s="300"/>
      <c r="G270" s="300">
        <v>3.3560000000120027</v>
      </c>
      <c r="H270" s="300">
        <v>0.98900000001381538</v>
      </c>
      <c r="I270" s="300">
        <v>0.16799999999702275</v>
      </c>
      <c r="J270" s="300">
        <f t="shared" ref="J270:J271" si="702">SUM(G270:I270)</f>
        <v>4.5130000000228412</v>
      </c>
      <c r="K270" s="300"/>
      <c r="L270" s="300">
        <v>3.3750000000087406</v>
      </c>
      <c r="M270" s="300">
        <v>1.0460000000010568</v>
      </c>
      <c r="N270" s="300">
        <v>0.26300000000230067</v>
      </c>
      <c r="O270" s="300">
        <f t="shared" ref="O270:O271" si="703">SUM(L270:N270)</f>
        <v>4.684000000012098</v>
      </c>
      <c r="P270" s="300"/>
      <c r="Q270" s="300">
        <v>3.4279999999581956</v>
      </c>
      <c r="R270" s="300">
        <v>1.0519999999853571</v>
      </c>
      <c r="S270" s="300">
        <v>0.24700000000228375</v>
      </c>
      <c r="T270" s="300">
        <f t="shared" ref="T270:T271" si="704">SUM(Q270:S270)</f>
        <v>4.7269999999458365</v>
      </c>
      <c r="U270" s="300"/>
      <c r="V270" s="300">
        <v>3.3769999999547156</v>
      </c>
      <c r="W270" s="300">
        <v>1.0759999999857794</v>
      </c>
      <c r="X270" s="300">
        <v>0.23800000000169202</v>
      </c>
      <c r="Y270" s="300">
        <f t="shared" ref="Y270:Y271" si="705">SUM(V270:X270)</f>
        <v>4.6909999999421874</v>
      </c>
    </row>
    <row r="271" spans="1:25" x14ac:dyDescent="0.2">
      <c r="A271" s="260" t="s">
        <v>354</v>
      </c>
      <c r="B271" s="300">
        <f>SUM(B269:B270)</f>
        <v>5.4170000000281906</v>
      </c>
      <c r="C271" s="300">
        <f t="shared" ref="C271" si="706">SUM(C269:C270)</f>
        <v>2.9490000000656456</v>
      </c>
      <c r="D271" s="300">
        <f t="shared" ref="D271" si="707">SUM(D269:D270)</f>
        <v>0.27200000000311414</v>
      </c>
      <c r="E271" s="300">
        <f t="shared" si="701"/>
        <v>8.6380000000969499</v>
      </c>
      <c r="F271" s="300"/>
      <c r="G271" s="300">
        <f>SUM(G269:G270)</f>
        <v>4.746999999982215</v>
      </c>
      <c r="H271" s="300">
        <f t="shared" ref="H271" si="708">SUM(H269:H270)</f>
        <v>3.0270000000128583</v>
      </c>
      <c r="I271" s="300">
        <f t="shared" ref="I271" si="709">SUM(I269:I270)</f>
        <v>0.27599999999737901</v>
      </c>
      <c r="J271" s="300">
        <f t="shared" si="702"/>
        <v>8.049999999992453</v>
      </c>
      <c r="K271" s="300"/>
      <c r="L271" s="300">
        <f>SUM(L269:L270)</f>
        <v>4.9459999999822735</v>
      </c>
      <c r="M271" s="300">
        <f t="shared" ref="M271" si="710">SUM(M269:M270)</f>
        <v>3.2250000000116099</v>
      </c>
      <c r="N271" s="300">
        <f t="shared" ref="N271" si="711">SUM(N269:N270)</f>
        <v>0.71599999999252761</v>
      </c>
      <c r="O271" s="300">
        <f t="shared" si="703"/>
        <v>8.8869999999864113</v>
      </c>
      <c r="P271" s="300"/>
      <c r="Q271" s="300">
        <f>SUM(Q269:Q270)</f>
        <v>5.0740000000350847</v>
      </c>
      <c r="R271" s="300">
        <f t="shared" ref="R271" si="712">SUM(R269:R270)</f>
        <v>3.3770000001308262</v>
      </c>
      <c r="S271" s="300">
        <f t="shared" ref="S271" si="713">SUM(S269:S270)</f>
        <v>0.65700000001057002</v>
      </c>
      <c r="T271" s="300">
        <f t="shared" si="704"/>
        <v>9.1080000001764798</v>
      </c>
      <c r="U271" s="300"/>
      <c r="V271" s="300">
        <f>SUM(V269:V270)</f>
        <v>5.0619999999431791</v>
      </c>
      <c r="W271" s="300">
        <f t="shared" ref="W271" si="714">SUM(W269:W270)</f>
        <v>3.5889999999678888</v>
      </c>
      <c r="X271" s="300">
        <f t="shared" ref="X271" si="715">SUM(X269:X270)</f>
        <v>0.61600000000585542</v>
      </c>
      <c r="Y271" s="300">
        <f t="shared" si="705"/>
        <v>9.2669999999169228</v>
      </c>
    </row>
    <row r="272" spans="1:25" x14ac:dyDescent="0.2">
      <c r="C272" s="263"/>
    </row>
    <row r="273" spans="1:25" x14ac:dyDescent="0.2">
      <c r="A273" s="261" t="s">
        <v>366</v>
      </c>
    </row>
    <row r="274" spans="1:25" x14ac:dyDescent="0.2">
      <c r="A274" s="260" t="s">
        <v>356</v>
      </c>
      <c r="B274" s="300">
        <f>SUM(B249,B254,B259,B264,B269)</f>
        <v>5.699999999967214</v>
      </c>
      <c r="C274" s="300">
        <f t="shared" ref="C274:D275" si="716">SUM(C249,C254,C259,C264,C269)</f>
        <v>4.4420000000803554</v>
      </c>
      <c r="D274" s="300">
        <f t="shared" si="716"/>
        <v>0.58000000001242547</v>
      </c>
      <c r="E274" s="300">
        <f>SUM(B274:D274)</f>
        <v>10.722000000059996</v>
      </c>
      <c r="F274" s="300"/>
      <c r="G274" s="300">
        <f>SUM(G249,G254,G259,G264,G269)</f>
        <v>6.468999999886222</v>
      </c>
      <c r="H274" s="300">
        <f t="shared" ref="H274:I274" si="717">SUM(H249,H254,H259,H264,H269)</f>
        <v>4.6869999999845158</v>
      </c>
      <c r="I274" s="300">
        <f t="shared" si="717"/>
        <v>0.784000000003791</v>
      </c>
      <c r="J274" s="300">
        <f>SUM(G274:I274)</f>
        <v>11.939999999874528</v>
      </c>
      <c r="K274" s="300"/>
      <c r="L274" s="300">
        <f>SUM(L249,L254,L259,L264,L269)</f>
        <v>7.2979999999035883</v>
      </c>
      <c r="M274" s="300">
        <f t="shared" ref="M274:N274" si="718">SUM(M249,M254,M259,M264,M269)</f>
        <v>4.9450000000053933</v>
      </c>
      <c r="N274" s="300">
        <f t="shared" si="718"/>
        <v>3.2709999999353556</v>
      </c>
      <c r="O274" s="300">
        <f>SUM(L274:N274)</f>
        <v>15.513999999844337</v>
      </c>
      <c r="P274" s="300"/>
      <c r="Q274" s="300">
        <f>SUM(Q249,Q254,Q259,Q264,Q269)</f>
        <v>7.8390000002859619</v>
      </c>
      <c r="R274" s="300">
        <f t="shared" ref="R274:S274" si="719">SUM(R249,R254,R259,R264,R269)</f>
        <v>5.371000000275199</v>
      </c>
      <c r="S274" s="300">
        <f t="shared" si="719"/>
        <v>3.3760000000860484</v>
      </c>
      <c r="T274" s="300">
        <f>SUM(Q274:S274)</f>
        <v>16.586000000647211</v>
      </c>
      <c r="U274" s="300"/>
      <c r="V274" s="300">
        <f>SUM(V249,V254,V259,V264,V269)</f>
        <v>8.1789999999739429</v>
      </c>
      <c r="W274" s="300">
        <f t="shared" ref="W274:X274" si="720">SUM(W249,W254,W259,W264,W269)</f>
        <v>5.8019999999690421</v>
      </c>
      <c r="X274" s="300">
        <f t="shared" si="720"/>
        <v>3.3710000000536096</v>
      </c>
      <c r="Y274" s="300">
        <f>SUM(V274:X274)</f>
        <v>17.351999999996593</v>
      </c>
    </row>
    <row r="275" spans="1:25" x14ac:dyDescent="0.2">
      <c r="A275" s="260" t="s">
        <v>355</v>
      </c>
      <c r="B275" s="300">
        <f>SUM(B250,B255,B260,B265,B270)</f>
        <v>29.80500000019093</v>
      </c>
      <c r="C275" s="300">
        <f t="shared" si="716"/>
        <v>3.9210000000689327</v>
      </c>
      <c r="D275" s="300">
        <f t="shared" si="716"/>
        <v>6.240000000069287</v>
      </c>
      <c r="E275" s="300">
        <f t="shared" ref="E275:E276" si="721">SUM(B275:D275)</f>
        <v>39.966000000329146</v>
      </c>
      <c r="F275" s="300"/>
      <c r="G275" s="300">
        <f>SUM(G250,G255,G260,G265,G270)</f>
        <v>33.575000000077317</v>
      </c>
      <c r="H275" s="300">
        <f t="shared" ref="H275:I275" si="722">SUM(H250,H255,H260,H265,H270)</f>
        <v>4.2670000000508965</v>
      </c>
      <c r="I275" s="300">
        <f t="shared" si="722"/>
        <v>9.7169999993399365</v>
      </c>
      <c r="J275" s="300">
        <f t="shared" ref="J275:J276" si="723">SUM(G275:I275)</f>
        <v>47.558999999468156</v>
      </c>
      <c r="K275" s="300"/>
      <c r="L275" s="300">
        <f>SUM(L250,L255,L260,L265,L270)</f>
        <v>32.818000000049437</v>
      </c>
      <c r="M275" s="300">
        <f t="shared" ref="M275:N275" si="724">SUM(M250,M255,M260,M265,M270)</f>
        <v>4.6590000000080547</v>
      </c>
      <c r="N275" s="300">
        <f t="shared" si="724"/>
        <v>8.1020000002003982</v>
      </c>
      <c r="O275" s="300">
        <f t="shared" ref="O275:O276" si="725">SUM(L275:N275)</f>
        <v>45.579000000257892</v>
      </c>
      <c r="P275" s="300"/>
      <c r="Q275" s="300">
        <f>SUM(Q250,Q255,Q260,Q265,Q270)</f>
        <v>33.516999999669963</v>
      </c>
      <c r="R275" s="300">
        <f t="shared" ref="R275:S275" si="726">SUM(R250,R255,R260,R265,R270)</f>
        <v>4.7969999999422317</v>
      </c>
      <c r="S275" s="300">
        <f t="shared" si="726"/>
        <v>8.5460000005268579</v>
      </c>
      <c r="T275" s="300">
        <f t="shared" ref="T275:T276" si="727">SUM(Q275:S275)</f>
        <v>46.860000000139053</v>
      </c>
      <c r="U275" s="300"/>
      <c r="V275" s="300">
        <f>SUM(V250,V255,V260,V265,V270)</f>
        <v>32.463999999653019</v>
      </c>
      <c r="W275" s="300">
        <f t="shared" ref="W275:X275" si="728">SUM(W250,W255,W260,W265,W270)</f>
        <v>4.928999999950606</v>
      </c>
      <c r="X275" s="300">
        <f t="shared" si="728"/>
        <v>8.9940000004151344</v>
      </c>
      <c r="Y275" s="300">
        <f t="shared" ref="Y275:Y276" si="729">SUM(V275:X275)</f>
        <v>46.387000000018759</v>
      </c>
    </row>
    <row r="276" spans="1:25" x14ac:dyDescent="0.2">
      <c r="A276" s="264" t="s">
        <v>354</v>
      </c>
      <c r="B276" s="301">
        <f>SUM(B274:B275)</f>
        <v>35.505000000158141</v>
      </c>
      <c r="C276" s="301">
        <f t="shared" ref="C276" si="730">SUM(C274:C275)</f>
        <v>8.3630000001492881</v>
      </c>
      <c r="D276" s="301">
        <f t="shared" ref="D276" si="731">SUM(D274:D275)</f>
        <v>6.8200000000817127</v>
      </c>
      <c r="E276" s="301">
        <f t="shared" si="721"/>
        <v>50.688000000389145</v>
      </c>
      <c r="F276" s="301"/>
      <c r="G276" s="301">
        <f>SUM(G274:G275)</f>
        <v>40.043999999963539</v>
      </c>
      <c r="H276" s="301">
        <f t="shared" ref="H276" si="732">SUM(H274:H275)</f>
        <v>8.9540000000354123</v>
      </c>
      <c r="I276" s="301">
        <f t="shared" ref="I276" si="733">SUM(I274:I275)</f>
        <v>10.500999999343728</v>
      </c>
      <c r="J276" s="301">
        <f t="shared" si="723"/>
        <v>59.498999999342679</v>
      </c>
      <c r="K276" s="301"/>
      <c r="L276" s="301">
        <f>SUM(L274:L275)</f>
        <v>40.115999999953026</v>
      </c>
      <c r="M276" s="301">
        <f t="shared" ref="M276" si="734">SUM(M274:M275)</f>
        <v>9.604000000013448</v>
      </c>
      <c r="N276" s="301">
        <f t="shared" ref="N276" si="735">SUM(N274:N275)</f>
        <v>11.373000000135754</v>
      </c>
      <c r="O276" s="301">
        <f t="shared" si="725"/>
        <v>61.093000000102229</v>
      </c>
      <c r="P276" s="301"/>
      <c r="Q276" s="301">
        <f>SUM(Q274:Q275)</f>
        <v>41.355999999955927</v>
      </c>
      <c r="R276" s="301">
        <f t="shared" ref="R276" si="736">SUM(R274:R275)</f>
        <v>10.168000000217431</v>
      </c>
      <c r="S276" s="301">
        <f t="shared" ref="S276" si="737">SUM(S274:S275)</f>
        <v>11.922000000612906</v>
      </c>
      <c r="T276" s="301">
        <f t="shared" si="727"/>
        <v>63.446000000786263</v>
      </c>
      <c r="U276" s="301"/>
      <c r="V276" s="301">
        <f>SUM(V274:V275)</f>
        <v>40.642999999626966</v>
      </c>
      <c r="W276" s="301">
        <f t="shared" ref="W276" si="738">SUM(W274:W275)</f>
        <v>10.730999999919648</v>
      </c>
      <c r="X276" s="301">
        <f t="shared" ref="X276" si="739">SUM(X274:X275)</f>
        <v>12.365000000468743</v>
      </c>
      <c r="Y276" s="301">
        <f t="shared" si="729"/>
        <v>63.739000000015352</v>
      </c>
    </row>
    <row r="277" spans="1:25" x14ac:dyDescent="0.2">
      <c r="C277" s="263"/>
    </row>
    <row r="278" spans="1:25" x14ac:dyDescent="0.2">
      <c r="C278" s="263"/>
    </row>
    <row r="279" spans="1:25" x14ac:dyDescent="0.2">
      <c r="C279" s="263"/>
    </row>
    <row r="280" spans="1:25" ht="15" x14ac:dyDescent="0.25">
      <c r="A280" s="265" t="str">
        <f>"Industry 11 : "&amp; name!B14</f>
        <v>Industry 11 : Accommodation and food</v>
      </c>
      <c r="B280" s="371">
        <f>$B$5</f>
        <v>2015</v>
      </c>
      <c r="C280" s="371"/>
      <c r="D280" s="371"/>
      <c r="E280" s="371"/>
      <c r="F280" s="320"/>
      <c r="G280" s="371">
        <f>$G$5</f>
        <v>2019</v>
      </c>
      <c r="H280" s="371"/>
      <c r="I280" s="371"/>
      <c r="J280" s="371"/>
      <c r="K280" s="320"/>
      <c r="L280" s="371">
        <f>$L$5</f>
        <v>2020</v>
      </c>
      <c r="M280" s="371"/>
      <c r="N280" s="371"/>
      <c r="O280" s="371"/>
      <c r="P280" s="318"/>
      <c r="Q280" s="371">
        <f>$Q$5</f>
        <v>2025</v>
      </c>
      <c r="R280" s="371"/>
      <c r="S280" s="371"/>
      <c r="T280" s="371"/>
      <c r="U280" s="320"/>
      <c r="V280" s="371">
        <f>$V$5</f>
        <v>2035</v>
      </c>
      <c r="W280" s="371"/>
      <c r="X280" s="371"/>
      <c r="Y280" s="371"/>
    </row>
    <row r="281" spans="1:25" x14ac:dyDescent="0.2">
      <c r="A281" s="264"/>
      <c r="B281" s="268" t="str">
        <f>$B$6</f>
        <v>FT</v>
      </c>
      <c r="C281" s="268" t="str">
        <f>$C$6</f>
        <v>PT</v>
      </c>
      <c r="D281" s="268" t="str">
        <f>$D$6</f>
        <v>SE</v>
      </c>
      <c r="E281" s="268" t="str">
        <f>$E$6</f>
        <v>Total</v>
      </c>
      <c r="F281" s="268"/>
      <c r="G281" s="268" t="str">
        <f>$B$6</f>
        <v>FT</v>
      </c>
      <c r="H281" s="268" t="str">
        <f>$C$6</f>
        <v>PT</v>
      </c>
      <c r="I281" s="268" t="str">
        <f>$D$6</f>
        <v>SE</v>
      </c>
      <c r="J281" s="268" t="str">
        <f>$E$6</f>
        <v>Total</v>
      </c>
      <c r="K281" s="268"/>
      <c r="L281" s="268" t="str">
        <f>$L$6</f>
        <v>FT</v>
      </c>
      <c r="M281" s="268" t="str">
        <f>$M$6</f>
        <v>PT</v>
      </c>
      <c r="N281" s="268" t="str">
        <f>$N$6</f>
        <v>SE</v>
      </c>
      <c r="O281" s="268" t="str">
        <f>$O$6</f>
        <v>Total</v>
      </c>
      <c r="P281" s="268"/>
      <c r="Q281" s="268" t="str">
        <f>$L$6</f>
        <v>FT</v>
      </c>
      <c r="R281" s="268" t="str">
        <f>$M$6</f>
        <v>PT</v>
      </c>
      <c r="S281" s="268" t="str">
        <f>$N$6</f>
        <v>SE</v>
      </c>
      <c r="T281" s="268" t="str">
        <f>$O$6</f>
        <v>Total</v>
      </c>
      <c r="U281" s="268"/>
      <c r="V281" s="268" t="str">
        <f>$V$6</f>
        <v>FT</v>
      </c>
      <c r="W281" s="268" t="str">
        <f>$W$6</f>
        <v>PT</v>
      </c>
      <c r="X281" s="268" t="str">
        <f>$X$6</f>
        <v>SE</v>
      </c>
      <c r="Y281" s="268" t="str">
        <f>$Y$6</f>
        <v>Total</v>
      </c>
    </row>
    <row r="282" spans="1:25" x14ac:dyDescent="0.2">
      <c r="C282" s="319"/>
      <c r="D282" s="319"/>
      <c r="E282" s="319"/>
      <c r="F282" s="319"/>
      <c r="G282" s="319"/>
      <c r="H282" s="319"/>
      <c r="I282" s="319"/>
      <c r="J282" s="319"/>
      <c r="K282" s="319"/>
      <c r="L282" s="319"/>
      <c r="M282" s="319"/>
      <c r="N282" s="319"/>
      <c r="O282" s="319"/>
      <c r="P282" s="319"/>
      <c r="Q282" s="319"/>
      <c r="R282" s="319"/>
      <c r="S282" s="319"/>
      <c r="T282" s="319"/>
      <c r="U282" s="319"/>
      <c r="V282" s="319"/>
      <c r="W282" s="319"/>
      <c r="X282" s="319"/>
      <c r="Y282" s="319"/>
    </row>
    <row r="283" spans="1:25" x14ac:dyDescent="0.2">
      <c r="A283" s="261" t="str">
        <f>name!A42</f>
        <v>Accommodation</v>
      </c>
      <c r="C283" s="263"/>
    </row>
    <row r="284" spans="1:25" x14ac:dyDescent="0.2">
      <c r="A284" s="260" t="s">
        <v>356</v>
      </c>
      <c r="B284" s="300">
        <v>4.0419999999985352</v>
      </c>
      <c r="C284" s="300">
        <v>6.4590000001906693</v>
      </c>
      <c r="D284" s="300">
        <v>1.7750000000465582</v>
      </c>
      <c r="E284" s="300">
        <f>SUM(B284:D284)</f>
        <v>12.276000000235763</v>
      </c>
      <c r="F284" s="300"/>
      <c r="G284" s="300">
        <v>3.6669999999309364</v>
      </c>
      <c r="H284" s="300">
        <v>3.1630000000202783</v>
      </c>
      <c r="I284" s="300">
        <v>2.2760000000283145</v>
      </c>
      <c r="J284" s="300">
        <f>SUM(G284:I284)</f>
        <v>9.1059999999795291</v>
      </c>
      <c r="K284" s="300"/>
      <c r="L284" s="300">
        <v>3.3969999999518441</v>
      </c>
      <c r="M284" s="300">
        <v>3.6760000000519102</v>
      </c>
      <c r="N284" s="300">
        <v>1.4879999999564555</v>
      </c>
      <c r="O284" s="300">
        <f>SUM(L284:N284)</f>
        <v>8.5609999999602095</v>
      </c>
      <c r="P284" s="300"/>
      <c r="Q284" s="300">
        <v>3.3280000001317234</v>
      </c>
      <c r="R284" s="300">
        <v>3.7270000002688723</v>
      </c>
      <c r="S284" s="300">
        <v>1.4870000000214947</v>
      </c>
      <c r="T284" s="300">
        <f>SUM(Q284:S284)</f>
        <v>8.5420000004220906</v>
      </c>
      <c r="U284" s="300"/>
      <c r="V284" s="300">
        <v>3.7859999999825842</v>
      </c>
      <c r="W284" s="300">
        <v>4.5019999999707228</v>
      </c>
      <c r="X284" s="300">
        <v>1.7509999999935759</v>
      </c>
      <c r="Y284" s="300">
        <f>SUM(V284:X284)</f>
        <v>10.038999999946883</v>
      </c>
    </row>
    <row r="285" spans="1:25" x14ac:dyDescent="0.2">
      <c r="A285" s="260" t="s">
        <v>355</v>
      </c>
      <c r="B285" s="300">
        <v>4.2940000000009437</v>
      </c>
      <c r="C285" s="300">
        <v>1.4230000000268697</v>
      </c>
      <c r="D285" s="300">
        <v>0.85100000001675158</v>
      </c>
      <c r="E285" s="300">
        <f t="shared" ref="E285:E286" si="740">SUM(B285:D285)</f>
        <v>6.5680000000445649</v>
      </c>
      <c r="F285" s="300"/>
      <c r="G285" s="300">
        <v>3.1679999999962511</v>
      </c>
      <c r="H285" s="300">
        <v>1.4120000000202189</v>
      </c>
      <c r="I285" s="300">
        <v>1.1950000000083336</v>
      </c>
      <c r="J285" s="300">
        <f t="shared" ref="J285:J286" si="741">SUM(G285:I285)</f>
        <v>5.7750000000248036</v>
      </c>
      <c r="K285" s="300"/>
      <c r="L285" s="300">
        <v>2.9039999999941215</v>
      </c>
      <c r="M285" s="300">
        <v>1.344999999996624</v>
      </c>
      <c r="N285" s="300">
        <v>0.66900000000657567</v>
      </c>
      <c r="O285" s="300">
        <f t="shared" ref="O285:O286" si="742">SUM(L285:N285)</f>
        <v>4.9179999999973214</v>
      </c>
      <c r="P285" s="300"/>
      <c r="Q285" s="300">
        <v>2.8310000000011497</v>
      </c>
      <c r="R285" s="300">
        <v>1.3389999999895121</v>
      </c>
      <c r="S285" s="300">
        <v>0.66900000001639015</v>
      </c>
      <c r="T285" s="300">
        <f t="shared" ref="T285:T286" si="743">SUM(Q285:S285)</f>
        <v>4.8390000000070517</v>
      </c>
      <c r="U285" s="300"/>
      <c r="V285" s="300">
        <v>3.1980000000036073</v>
      </c>
      <c r="W285" s="300">
        <v>1.5529999999983757</v>
      </c>
      <c r="X285" s="300">
        <v>0.78600000001983716</v>
      </c>
      <c r="Y285" s="300">
        <f t="shared" ref="Y285:Y286" si="744">SUM(V285:X285)</f>
        <v>5.5370000000218198</v>
      </c>
    </row>
    <row r="286" spans="1:25" x14ac:dyDescent="0.2">
      <c r="A286" s="260" t="s">
        <v>354</v>
      </c>
      <c r="B286" s="300">
        <f>SUM(B284:B285)</f>
        <v>8.3359999999994798</v>
      </c>
      <c r="C286" s="300">
        <f t="shared" ref="C286" si="745">SUM(C284:C285)</f>
        <v>7.8820000002175394</v>
      </c>
      <c r="D286" s="300">
        <f t="shared" ref="D286" si="746">SUM(D284:D285)</f>
        <v>2.6260000000633097</v>
      </c>
      <c r="E286" s="300">
        <f t="shared" si="740"/>
        <v>18.844000000280328</v>
      </c>
      <c r="F286" s="300"/>
      <c r="G286" s="300">
        <f>SUM(G284:G285)</f>
        <v>6.834999999927188</v>
      </c>
      <c r="H286" s="300">
        <f t="shared" ref="H286" si="747">SUM(H284:H285)</f>
        <v>4.5750000000404967</v>
      </c>
      <c r="I286" s="300">
        <f t="shared" ref="I286" si="748">SUM(I284:I285)</f>
        <v>3.4710000000366481</v>
      </c>
      <c r="J286" s="300">
        <f t="shared" si="741"/>
        <v>14.881000000004333</v>
      </c>
      <c r="K286" s="300"/>
      <c r="L286" s="300">
        <f>SUM(L284:L285)</f>
        <v>6.3009999999459652</v>
      </c>
      <c r="M286" s="300">
        <f t="shared" ref="M286" si="749">SUM(M284:M285)</f>
        <v>5.0210000000485344</v>
      </c>
      <c r="N286" s="300">
        <f t="shared" ref="N286" si="750">SUM(N284:N285)</f>
        <v>2.1569999999630314</v>
      </c>
      <c r="O286" s="300">
        <f t="shared" si="742"/>
        <v>13.47899999995753</v>
      </c>
      <c r="P286" s="300"/>
      <c r="Q286" s="300">
        <f>SUM(Q284:Q285)</f>
        <v>6.1590000001328731</v>
      </c>
      <c r="R286" s="300">
        <f t="shared" ref="R286" si="751">SUM(R284:R285)</f>
        <v>5.0660000002583843</v>
      </c>
      <c r="S286" s="300">
        <f t="shared" ref="S286" si="752">SUM(S284:S285)</f>
        <v>2.1560000000378849</v>
      </c>
      <c r="T286" s="300">
        <f t="shared" si="743"/>
        <v>13.381000000429143</v>
      </c>
      <c r="U286" s="300"/>
      <c r="V286" s="300">
        <f>SUM(V284:V285)</f>
        <v>6.9839999999861915</v>
      </c>
      <c r="W286" s="300">
        <f t="shared" ref="W286" si="753">SUM(W284:W285)</f>
        <v>6.0549999999690982</v>
      </c>
      <c r="X286" s="300">
        <f t="shared" ref="X286" si="754">SUM(X284:X285)</f>
        <v>2.5370000000134132</v>
      </c>
      <c r="Y286" s="300">
        <f t="shared" si="744"/>
        <v>15.575999999968705</v>
      </c>
    </row>
    <row r="287" spans="1:25" x14ac:dyDescent="0.2">
      <c r="C287" s="319"/>
      <c r="D287" s="319"/>
      <c r="E287" s="319"/>
      <c r="F287" s="319"/>
      <c r="G287" s="319"/>
      <c r="H287" s="319"/>
      <c r="I287" s="319"/>
      <c r="J287" s="319"/>
      <c r="K287" s="319"/>
      <c r="L287" s="319"/>
      <c r="M287" s="319"/>
      <c r="N287" s="319"/>
      <c r="O287" s="319"/>
      <c r="P287" s="319"/>
      <c r="Q287" s="319"/>
      <c r="R287" s="319"/>
      <c r="S287" s="319"/>
      <c r="T287" s="319"/>
      <c r="U287" s="319"/>
      <c r="V287" s="319"/>
      <c r="W287" s="319"/>
      <c r="X287" s="319"/>
      <c r="Y287" s="319"/>
    </row>
    <row r="288" spans="1:25" x14ac:dyDescent="0.2">
      <c r="A288" s="261" t="str">
        <f>name!A43</f>
        <v>Food and beverage services</v>
      </c>
      <c r="C288" s="263"/>
    </row>
    <row r="289" spans="1:25" x14ac:dyDescent="0.2">
      <c r="A289" s="260" t="s">
        <v>356</v>
      </c>
      <c r="B289" s="300">
        <v>8.475999999996926</v>
      </c>
      <c r="C289" s="300">
        <v>28.296000000835296</v>
      </c>
      <c r="D289" s="300">
        <v>2.2810000000598301</v>
      </c>
      <c r="E289" s="300">
        <f>SUM(B289:D289)</f>
        <v>39.053000000892055</v>
      </c>
      <c r="F289" s="300"/>
      <c r="G289" s="300">
        <v>13.275999999749951</v>
      </c>
      <c r="H289" s="300">
        <v>24.784000000158898</v>
      </c>
      <c r="I289" s="300">
        <v>2.7830000000346224</v>
      </c>
      <c r="J289" s="300">
        <f>SUM(G289:I289)</f>
        <v>40.842999999943473</v>
      </c>
      <c r="K289" s="300"/>
      <c r="L289" s="300">
        <v>15.59899999977887</v>
      </c>
      <c r="M289" s="300">
        <v>26.332000000371846</v>
      </c>
      <c r="N289" s="300">
        <v>2.6859999999213979</v>
      </c>
      <c r="O289" s="300">
        <f>SUM(L289:N289)</f>
        <v>44.617000000072117</v>
      </c>
      <c r="P289" s="300"/>
      <c r="Q289" s="300">
        <v>16.214000000641775</v>
      </c>
      <c r="R289" s="300">
        <v>27.055000001951807</v>
      </c>
      <c r="S289" s="300">
        <v>2.8040000000405341</v>
      </c>
      <c r="T289" s="300">
        <f>SUM(Q289:S289)</f>
        <v>46.073000002634117</v>
      </c>
      <c r="U289" s="300"/>
      <c r="V289" s="300">
        <v>19.070999999912257</v>
      </c>
      <c r="W289" s="300">
        <v>30.947999999798725</v>
      </c>
      <c r="X289" s="300">
        <v>3.2979999999879026</v>
      </c>
      <c r="Y289" s="300">
        <f>SUM(V289:X289)</f>
        <v>53.316999999698886</v>
      </c>
    </row>
    <row r="290" spans="1:25" x14ac:dyDescent="0.2">
      <c r="A290" s="260" t="s">
        <v>355</v>
      </c>
      <c r="B290" s="300">
        <v>12.839000000002835</v>
      </c>
      <c r="C290" s="300">
        <v>11.979000000226184</v>
      </c>
      <c r="D290" s="300">
        <v>3.241000000063798</v>
      </c>
      <c r="E290" s="300">
        <f t="shared" ref="E290:E291" si="755">SUM(B290:D290)</f>
        <v>28.059000000292819</v>
      </c>
      <c r="F290" s="300"/>
      <c r="G290" s="300">
        <v>15.864999999981206</v>
      </c>
      <c r="H290" s="300">
        <v>18.996000000272002</v>
      </c>
      <c r="I290" s="300">
        <v>5.8860000000410553</v>
      </c>
      <c r="J290" s="300">
        <f t="shared" ref="J290:J291" si="756">SUM(G290:I290)</f>
        <v>40.747000000294264</v>
      </c>
      <c r="K290" s="300"/>
      <c r="L290" s="300">
        <v>16.227999999967139</v>
      </c>
      <c r="M290" s="300">
        <v>16.983999999957366</v>
      </c>
      <c r="N290" s="300">
        <v>1.584000000015569</v>
      </c>
      <c r="O290" s="300">
        <f t="shared" ref="O290:O291" si="757">SUM(L290:N290)</f>
        <v>34.795999999940072</v>
      </c>
      <c r="P290" s="300"/>
      <c r="Q290" s="300">
        <v>16.957000000006897</v>
      </c>
      <c r="R290" s="300">
        <v>17.486999999863034</v>
      </c>
      <c r="S290" s="300">
        <v>1.6490000000404026</v>
      </c>
      <c r="T290" s="300">
        <f t="shared" ref="T290:T291" si="758">SUM(Q290:S290)</f>
        <v>36.092999999910333</v>
      </c>
      <c r="U290" s="300"/>
      <c r="V290" s="300">
        <v>20.168000000022744</v>
      </c>
      <c r="W290" s="300">
        <v>20.148999999978916</v>
      </c>
      <c r="X290" s="300">
        <v>1.9370000000488876</v>
      </c>
      <c r="Y290" s="300">
        <f t="shared" ref="Y290:Y291" si="759">SUM(V290:X290)</f>
        <v>42.254000000050546</v>
      </c>
    </row>
    <row r="291" spans="1:25" x14ac:dyDescent="0.2">
      <c r="A291" s="260" t="s">
        <v>354</v>
      </c>
      <c r="B291" s="300">
        <f>SUM(B289:B290)</f>
        <v>21.314999999999763</v>
      </c>
      <c r="C291" s="300">
        <f t="shared" ref="C291" si="760">SUM(C289:C290)</f>
        <v>40.275000001061478</v>
      </c>
      <c r="D291" s="300">
        <f t="shared" ref="D291" si="761">SUM(D289:D290)</f>
        <v>5.5220000001236276</v>
      </c>
      <c r="E291" s="300">
        <f t="shared" si="755"/>
        <v>67.112000001184867</v>
      </c>
      <c r="F291" s="300"/>
      <c r="G291" s="300">
        <f>SUM(G289:G290)</f>
        <v>29.140999999731157</v>
      </c>
      <c r="H291" s="300">
        <f t="shared" ref="H291" si="762">SUM(H289:H290)</f>
        <v>43.780000000430903</v>
      </c>
      <c r="I291" s="300">
        <f t="shared" ref="I291" si="763">SUM(I289:I290)</f>
        <v>8.6690000000756768</v>
      </c>
      <c r="J291" s="300">
        <f t="shared" si="756"/>
        <v>81.590000000237723</v>
      </c>
      <c r="K291" s="300"/>
      <c r="L291" s="300">
        <f>SUM(L289:L290)</f>
        <v>31.826999999746008</v>
      </c>
      <c r="M291" s="300">
        <f t="shared" ref="M291" si="764">SUM(M289:M290)</f>
        <v>43.316000000329211</v>
      </c>
      <c r="N291" s="300">
        <f t="shared" ref="N291" si="765">SUM(N289:N290)</f>
        <v>4.2699999999369673</v>
      </c>
      <c r="O291" s="300">
        <f t="shared" si="757"/>
        <v>79.41300000001219</v>
      </c>
      <c r="P291" s="300"/>
      <c r="Q291" s="300">
        <f>SUM(Q289:Q290)</f>
        <v>33.171000000648675</v>
      </c>
      <c r="R291" s="300">
        <f t="shared" ref="R291" si="766">SUM(R289:R290)</f>
        <v>44.542000001814841</v>
      </c>
      <c r="S291" s="300">
        <f t="shared" ref="S291" si="767">SUM(S289:S290)</f>
        <v>4.4530000000809364</v>
      </c>
      <c r="T291" s="300">
        <f t="shared" si="758"/>
        <v>82.16600000254445</v>
      </c>
      <c r="U291" s="300"/>
      <c r="V291" s="300">
        <f>SUM(V289:V290)</f>
        <v>39.238999999935004</v>
      </c>
      <c r="W291" s="300">
        <f t="shared" ref="W291" si="768">SUM(W289:W290)</f>
        <v>51.096999999777637</v>
      </c>
      <c r="X291" s="300">
        <f t="shared" ref="X291" si="769">SUM(X289:X290)</f>
        <v>5.2350000000367904</v>
      </c>
      <c r="Y291" s="300">
        <f t="shared" si="759"/>
        <v>95.570999999749432</v>
      </c>
    </row>
    <row r="292" spans="1:25" x14ac:dyDescent="0.2">
      <c r="C292" s="263"/>
    </row>
    <row r="293" spans="1:25" x14ac:dyDescent="0.2">
      <c r="A293" s="261" t="s">
        <v>365</v>
      </c>
    </row>
    <row r="294" spans="1:25" x14ac:dyDescent="0.2">
      <c r="A294" s="260" t="s">
        <v>356</v>
      </c>
      <c r="B294" s="300">
        <f>SUM(B284,B289)</f>
        <v>12.51799999999546</v>
      </c>
      <c r="C294" s="300">
        <f t="shared" ref="C294:D295" si="770">SUM(C284,C289)</f>
        <v>34.755000001025962</v>
      </c>
      <c r="D294" s="300">
        <f t="shared" si="770"/>
        <v>4.0560000001063887</v>
      </c>
      <c r="E294" s="300">
        <f>SUM(B294:D294)</f>
        <v>51.32900000112781</v>
      </c>
      <c r="F294" s="300"/>
      <c r="G294" s="300">
        <f>SUM(G284,G289)</f>
        <v>16.942999999680886</v>
      </c>
      <c r="H294" s="300">
        <f t="shared" ref="H294:I294" si="771">SUM(H284,H289)</f>
        <v>27.947000000179177</v>
      </c>
      <c r="I294" s="300">
        <f t="shared" si="771"/>
        <v>5.0590000000629374</v>
      </c>
      <c r="J294" s="300">
        <f>SUM(G294:I294)</f>
        <v>49.948999999923004</v>
      </c>
      <c r="K294" s="300"/>
      <c r="L294" s="300">
        <f>SUM(L284,L289)</f>
        <v>18.995999999730714</v>
      </c>
      <c r="M294" s="300">
        <f t="shared" ref="M294:N294" si="772">SUM(M284,M289)</f>
        <v>30.008000000423756</v>
      </c>
      <c r="N294" s="300">
        <f t="shared" si="772"/>
        <v>4.1739999998778536</v>
      </c>
      <c r="O294" s="300">
        <f>SUM(L294:N294)</f>
        <v>53.178000000032327</v>
      </c>
      <c r="P294" s="300"/>
      <c r="Q294" s="300">
        <f>SUM(Q284,Q289)</f>
        <v>19.542000000773498</v>
      </c>
      <c r="R294" s="300">
        <f t="shared" ref="R294:S294" si="773">SUM(R284,R289)</f>
        <v>30.782000002220681</v>
      </c>
      <c r="S294" s="300">
        <f t="shared" si="773"/>
        <v>4.291000000062029</v>
      </c>
      <c r="T294" s="300">
        <f>SUM(Q294:S294)</f>
        <v>54.61500000305621</v>
      </c>
      <c r="U294" s="300"/>
      <c r="V294" s="300">
        <f>SUM(V284,V289)</f>
        <v>22.856999999894839</v>
      </c>
      <c r="W294" s="300">
        <f t="shared" ref="W294:X294" si="774">SUM(W284,W289)</f>
        <v>35.449999999769446</v>
      </c>
      <c r="X294" s="300">
        <f t="shared" si="774"/>
        <v>5.0489999999814783</v>
      </c>
      <c r="Y294" s="300">
        <f>SUM(V294:X294)</f>
        <v>63.355999999645761</v>
      </c>
    </row>
    <row r="295" spans="1:25" x14ac:dyDescent="0.2">
      <c r="A295" s="260" t="s">
        <v>355</v>
      </c>
      <c r="B295" s="300">
        <f>SUM(B285,B290)</f>
        <v>17.133000000003779</v>
      </c>
      <c r="C295" s="300">
        <f t="shared" si="770"/>
        <v>13.402000000253054</v>
      </c>
      <c r="D295" s="300">
        <f t="shared" si="770"/>
        <v>4.0920000000805494</v>
      </c>
      <c r="E295" s="300">
        <f t="shared" ref="E295:E296" si="775">SUM(B295:D295)</f>
        <v>34.627000000337382</v>
      </c>
      <c r="F295" s="300"/>
      <c r="G295" s="300">
        <f>SUM(G285,G290)</f>
        <v>19.032999999977456</v>
      </c>
      <c r="H295" s="300">
        <f t="shared" ref="H295:I295" si="776">SUM(H285,H290)</f>
        <v>20.408000000292219</v>
      </c>
      <c r="I295" s="300">
        <f t="shared" si="776"/>
        <v>7.0810000000493893</v>
      </c>
      <c r="J295" s="300">
        <f t="shared" ref="J295:J296" si="777">SUM(G295:I295)</f>
        <v>46.522000000319068</v>
      </c>
      <c r="K295" s="300"/>
      <c r="L295" s="300">
        <f>SUM(L285,L290)</f>
        <v>19.131999999961259</v>
      </c>
      <c r="M295" s="300">
        <f t="shared" ref="M295:N295" si="778">SUM(M285,M290)</f>
        <v>18.328999999953989</v>
      </c>
      <c r="N295" s="300">
        <f t="shared" si="778"/>
        <v>2.2530000000221446</v>
      </c>
      <c r="O295" s="300">
        <f t="shared" ref="O295:O296" si="779">SUM(L295:N295)</f>
        <v>39.713999999937393</v>
      </c>
      <c r="P295" s="300"/>
      <c r="Q295" s="300">
        <f>SUM(Q285,Q290)</f>
        <v>19.788000000008047</v>
      </c>
      <c r="R295" s="300">
        <f t="shared" ref="R295:S295" si="780">SUM(R285,R290)</f>
        <v>18.825999999852545</v>
      </c>
      <c r="S295" s="300">
        <f t="shared" si="780"/>
        <v>2.3180000000567929</v>
      </c>
      <c r="T295" s="300">
        <f t="shared" ref="T295:T296" si="781">SUM(Q295:S295)</f>
        <v>40.931999999917387</v>
      </c>
      <c r="U295" s="300"/>
      <c r="V295" s="300">
        <f>SUM(V285,V290)</f>
        <v>23.36600000002635</v>
      </c>
      <c r="W295" s="300">
        <f t="shared" ref="W295:X295" si="782">SUM(W285,W290)</f>
        <v>21.701999999977293</v>
      </c>
      <c r="X295" s="300">
        <f t="shared" si="782"/>
        <v>2.7230000000687249</v>
      </c>
      <c r="Y295" s="300">
        <f t="shared" ref="Y295:Y296" si="783">SUM(V295:X295)</f>
        <v>47.791000000072366</v>
      </c>
    </row>
    <row r="296" spans="1:25" x14ac:dyDescent="0.2">
      <c r="A296" s="264" t="s">
        <v>354</v>
      </c>
      <c r="B296" s="301">
        <f>SUM(B294:B295)</f>
        <v>29.65099999999924</v>
      </c>
      <c r="C296" s="301">
        <f t="shared" ref="C296" si="784">SUM(C294:C295)</f>
        <v>48.157000001279016</v>
      </c>
      <c r="D296" s="301">
        <f t="shared" ref="D296" si="785">SUM(D294:D295)</f>
        <v>8.1480000001869382</v>
      </c>
      <c r="E296" s="301">
        <f t="shared" si="775"/>
        <v>85.956000001465199</v>
      </c>
      <c r="F296" s="301"/>
      <c r="G296" s="301">
        <f>SUM(G294:G295)</f>
        <v>35.975999999658342</v>
      </c>
      <c r="H296" s="301">
        <f t="shared" ref="H296" si="786">SUM(H294:H295)</f>
        <v>48.355000000471392</v>
      </c>
      <c r="I296" s="301">
        <f t="shared" ref="I296" si="787">SUM(I294:I295)</f>
        <v>12.140000000112327</v>
      </c>
      <c r="J296" s="301">
        <f t="shared" si="777"/>
        <v>96.471000000242057</v>
      </c>
      <c r="K296" s="301"/>
      <c r="L296" s="301">
        <f>SUM(L294:L295)</f>
        <v>38.127999999691973</v>
      </c>
      <c r="M296" s="301">
        <f t="shared" ref="M296" si="788">SUM(M294:M295)</f>
        <v>48.337000000377742</v>
      </c>
      <c r="N296" s="301">
        <f t="shared" ref="N296" si="789">SUM(N294:N295)</f>
        <v>6.4269999998999978</v>
      </c>
      <c r="O296" s="301">
        <f t="shared" si="779"/>
        <v>92.891999999969727</v>
      </c>
      <c r="P296" s="301"/>
      <c r="Q296" s="301">
        <f>SUM(Q294:Q295)</f>
        <v>39.330000000781546</v>
      </c>
      <c r="R296" s="301">
        <f t="shared" ref="R296" si="790">SUM(R294:R295)</f>
        <v>49.608000002073226</v>
      </c>
      <c r="S296" s="301">
        <f t="shared" ref="S296" si="791">SUM(S294:S295)</f>
        <v>6.6090000001188223</v>
      </c>
      <c r="T296" s="301">
        <f t="shared" si="781"/>
        <v>95.547000002973604</v>
      </c>
      <c r="U296" s="301"/>
      <c r="V296" s="301">
        <f>SUM(V294:V295)</f>
        <v>46.222999999921186</v>
      </c>
      <c r="W296" s="301">
        <f t="shared" ref="W296" si="792">SUM(W294:W295)</f>
        <v>57.151999999746735</v>
      </c>
      <c r="X296" s="301">
        <f t="shared" ref="X296" si="793">SUM(X294:X295)</f>
        <v>7.7720000000502036</v>
      </c>
      <c r="Y296" s="301">
        <f t="shared" si="783"/>
        <v>111.14699999971812</v>
      </c>
    </row>
    <row r="297" spans="1:25" x14ac:dyDescent="0.2">
      <c r="C297" s="263"/>
    </row>
    <row r="298" spans="1:25" x14ac:dyDescent="0.2">
      <c r="C298" s="263"/>
    </row>
    <row r="299" spans="1:25" x14ac:dyDescent="0.2">
      <c r="C299" s="263"/>
    </row>
    <row r="300" spans="1:25" ht="15" x14ac:dyDescent="0.25">
      <c r="A300" s="265" t="str">
        <f>"Industry 12 : "&amp; name!B15</f>
        <v>Industry 12 : Media</v>
      </c>
      <c r="B300" s="371">
        <f>$B$5</f>
        <v>2015</v>
      </c>
      <c r="C300" s="371"/>
      <c r="D300" s="371"/>
      <c r="E300" s="371"/>
      <c r="F300" s="320"/>
      <c r="G300" s="371">
        <f>$G$5</f>
        <v>2019</v>
      </c>
      <c r="H300" s="371"/>
      <c r="I300" s="371"/>
      <c r="J300" s="371"/>
      <c r="K300" s="320"/>
      <c r="L300" s="371">
        <f>$L$5</f>
        <v>2020</v>
      </c>
      <c r="M300" s="371"/>
      <c r="N300" s="371"/>
      <c r="O300" s="371"/>
      <c r="P300" s="318"/>
      <c r="Q300" s="371">
        <f>$Q$5</f>
        <v>2025</v>
      </c>
      <c r="R300" s="371"/>
      <c r="S300" s="371"/>
      <c r="T300" s="371"/>
      <c r="U300" s="320"/>
      <c r="V300" s="371">
        <f>$V$5</f>
        <v>2035</v>
      </c>
      <c r="W300" s="371"/>
      <c r="X300" s="371"/>
      <c r="Y300" s="371"/>
    </row>
    <row r="301" spans="1:25" x14ac:dyDescent="0.2">
      <c r="A301" s="264"/>
      <c r="B301" s="268" t="str">
        <f>$B$6</f>
        <v>FT</v>
      </c>
      <c r="C301" s="268" t="str">
        <f>$C$6</f>
        <v>PT</v>
      </c>
      <c r="D301" s="268" t="str">
        <f>$D$6</f>
        <v>SE</v>
      </c>
      <c r="E301" s="268" t="str">
        <f>$E$6</f>
        <v>Total</v>
      </c>
      <c r="F301" s="268"/>
      <c r="G301" s="268" t="str">
        <f>$B$6</f>
        <v>FT</v>
      </c>
      <c r="H301" s="268" t="str">
        <f>$C$6</f>
        <v>PT</v>
      </c>
      <c r="I301" s="268" t="str">
        <f>$D$6</f>
        <v>SE</v>
      </c>
      <c r="J301" s="268" t="str">
        <f>$E$6</f>
        <v>Total</v>
      </c>
      <c r="K301" s="268"/>
      <c r="L301" s="268" t="str">
        <f>$L$6</f>
        <v>FT</v>
      </c>
      <c r="M301" s="268" t="str">
        <f>$M$6</f>
        <v>PT</v>
      </c>
      <c r="N301" s="268" t="str">
        <f>$N$6</f>
        <v>SE</v>
      </c>
      <c r="O301" s="268" t="str">
        <f>$O$6</f>
        <v>Total</v>
      </c>
      <c r="P301" s="268"/>
      <c r="Q301" s="268" t="str">
        <f>$L$6</f>
        <v>FT</v>
      </c>
      <c r="R301" s="268" t="str">
        <f>$M$6</f>
        <v>PT</v>
      </c>
      <c r="S301" s="268" t="str">
        <f>$N$6</f>
        <v>SE</v>
      </c>
      <c r="T301" s="268" t="str">
        <f>$O$6</f>
        <v>Total</v>
      </c>
      <c r="U301" s="268"/>
      <c r="V301" s="268" t="str">
        <f>$V$6</f>
        <v>FT</v>
      </c>
      <c r="W301" s="268" t="str">
        <f>$W$6</f>
        <v>PT</v>
      </c>
      <c r="X301" s="268" t="str">
        <f>$X$6</f>
        <v>SE</v>
      </c>
      <c r="Y301" s="268" t="str">
        <f>$Y$6</f>
        <v>Total</v>
      </c>
    </row>
    <row r="302" spans="1:25" x14ac:dyDescent="0.2">
      <c r="C302" s="319"/>
      <c r="D302" s="319"/>
      <c r="E302" s="319"/>
      <c r="F302" s="319"/>
      <c r="G302" s="319"/>
      <c r="H302" s="319"/>
      <c r="I302" s="319"/>
      <c r="J302" s="319"/>
      <c r="K302" s="319"/>
      <c r="L302" s="319"/>
      <c r="M302" s="319"/>
      <c r="N302" s="319"/>
      <c r="O302" s="319"/>
      <c r="P302" s="319"/>
      <c r="Q302" s="319"/>
      <c r="R302" s="319"/>
      <c r="S302" s="319"/>
      <c r="T302" s="319"/>
      <c r="U302" s="319"/>
      <c r="V302" s="319"/>
      <c r="W302" s="319"/>
      <c r="X302" s="319"/>
      <c r="Y302" s="319"/>
    </row>
    <row r="303" spans="1:25" x14ac:dyDescent="0.2">
      <c r="A303" s="261" t="str">
        <f>name!A44</f>
        <v>Publishing activities</v>
      </c>
      <c r="C303" s="263"/>
    </row>
    <row r="304" spans="1:25" x14ac:dyDescent="0.2">
      <c r="A304" s="260" t="s">
        <v>356</v>
      </c>
      <c r="B304" s="300">
        <v>0.89899999999055613</v>
      </c>
      <c r="C304" s="300">
        <v>0.23700000000233792</v>
      </c>
      <c r="D304" s="300">
        <v>0.91300000000442716</v>
      </c>
      <c r="E304" s="300">
        <f>SUM(B304:D304)</f>
        <v>2.0489999999973212</v>
      </c>
      <c r="F304" s="300"/>
      <c r="G304" s="300">
        <v>0.31499999999676614</v>
      </c>
      <c r="H304" s="300">
        <v>2.9000000000018952E-2</v>
      </c>
      <c r="I304" s="300">
        <v>0</v>
      </c>
      <c r="J304" s="300">
        <f>SUM(G304:I304)</f>
        <v>0.3439999999967851</v>
      </c>
      <c r="K304" s="300"/>
      <c r="L304" s="300">
        <v>0.25899999999820678</v>
      </c>
      <c r="M304" s="300">
        <v>1.7000000000035639E-2</v>
      </c>
      <c r="N304" s="300">
        <v>1.5589999999902147</v>
      </c>
      <c r="O304" s="300">
        <f>SUM(L304:N304)</f>
        <v>1.8349999999884572</v>
      </c>
      <c r="P304" s="300"/>
      <c r="Q304" s="300">
        <v>0.25400000000514622</v>
      </c>
      <c r="R304" s="300">
        <v>1.7000000000387306E-2</v>
      </c>
      <c r="S304" s="300">
        <v>1.4709999999505143</v>
      </c>
      <c r="T304" s="300">
        <f>SUM(Q304:S304)</f>
        <v>1.7419999999560478</v>
      </c>
      <c r="U304" s="300"/>
      <c r="V304" s="300">
        <v>0.26300000000074414</v>
      </c>
      <c r="W304" s="300">
        <v>1.6999999999984441E-2</v>
      </c>
      <c r="X304" s="300">
        <v>1.3700000000101435</v>
      </c>
      <c r="Y304" s="300">
        <f>SUM(V304:X304)</f>
        <v>1.6500000000108721</v>
      </c>
    </row>
    <row r="305" spans="1:25" x14ac:dyDescent="0.2">
      <c r="A305" s="260" t="s">
        <v>355</v>
      </c>
      <c r="B305" s="300">
        <v>1.4539999999840041</v>
      </c>
      <c r="C305" s="300">
        <v>0.49100000000218169</v>
      </c>
      <c r="D305" s="300">
        <v>0.67700000000402549</v>
      </c>
      <c r="E305" s="300">
        <f t="shared" ref="E305:E306" si="794">SUM(B305:D305)</f>
        <v>2.6219999999902113</v>
      </c>
      <c r="F305" s="300"/>
      <c r="G305" s="300">
        <v>0.98299999999227827</v>
      </c>
      <c r="H305" s="300">
        <v>8.0000000000079341E-2</v>
      </c>
      <c r="I305" s="300">
        <v>0.76099999999858348</v>
      </c>
      <c r="J305" s="300">
        <f t="shared" ref="J305:J306" si="795">SUM(G305:I305)</f>
        <v>1.8239999999909411</v>
      </c>
      <c r="K305" s="300"/>
      <c r="L305" s="300">
        <v>0.9589999999925749</v>
      </c>
      <c r="M305" s="300">
        <v>7.5000000000092187E-2</v>
      </c>
      <c r="N305" s="300">
        <v>0.14200000000115282</v>
      </c>
      <c r="O305" s="300">
        <f t="shared" ref="O305:O306" si="796">SUM(L305:N305)</f>
        <v>1.1759999999938198</v>
      </c>
      <c r="P305" s="300"/>
      <c r="Q305" s="300">
        <v>0.93900000001235329</v>
      </c>
      <c r="R305" s="300">
        <v>7.6999999999730812E-2</v>
      </c>
      <c r="S305" s="300">
        <v>0.14100000000641694</v>
      </c>
      <c r="T305" s="300">
        <f t="shared" ref="T305:T306" si="797">SUM(Q305:S305)</f>
        <v>1.157000000018501</v>
      </c>
      <c r="U305" s="300"/>
      <c r="V305" s="300">
        <v>0.9550000000119464</v>
      </c>
      <c r="W305" s="300">
        <v>8.3999999999722325E-2</v>
      </c>
      <c r="X305" s="300">
        <v>0.1460000000049867</v>
      </c>
      <c r="Y305" s="300">
        <f t="shared" ref="Y305:Y306" si="798">SUM(V305:X305)</f>
        <v>1.1850000000166556</v>
      </c>
    </row>
    <row r="306" spans="1:25" x14ac:dyDescent="0.2">
      <c r="A306" s="260" t="s">
        <v>354</v>
      </c>
      <c r="B306" s="300">
        <f>SUM(B304:B305)</f>
        <v>2.3529999999745601</v>
      </c>
      <c r="C306" s="300">
        <f t="shared" ref="C306" si="799">SUM(C304:C305)</f>
        <v>0.72800000000451959</v>
      </c>
      <c r="D306" s="300">
        <f t="shared" ref="D306" si="800">SUM(D304:D305)</f>
        <v>1.5900000000084527</v>
      </c>
      <c r="E306" s="300">
        <f t="shared" si="794"/>
        <v>4.6709999999875329</v>
      </c>
      <c r="F306" s="300"/>
      <c r="G306" s="300">
        <f>SUM(G304:G305)</f>
        <v>1.2979999999890444</v>
      </c>
      <c r="H306" s="300">
        <f t="shared" ref="H306" si="801">SUM(H304:H305)</f>
        <v>0.1090000000000983</v>
      </c>
      <c r="I306" s="300">
        <f t="shared" ref="I306" si="802">SUM(I304:I305)</f>
        <v>0.76099999999858348</v>
      </c>
      <c r="J306" s="300">
        <f t="shared" si="795"/>
        <v>2.1679999999877264</v>
      </c>
      <c r="K306" s="300"/>
      <c r="L306" s="300">
        <f>SUM(L304:L305)</f>
        <v>1.2179999999907816</v>
      </c>
      <c r="M306" s="300">
        <f t="shared" ref="M306" si="803">SUM(M304:M305)</f>
        <v>9.2000000000127827E-2</v>
      </c>
      <c r="N306" s="300">
        <f t="shared" ref="N306" si="804">SUM(N304:N305)</f>
        <v>1.7009999999913674</v>
      </c>
      <c r="O306" s="300">
        <f t="shared" si="796"/>
        <v>3.0109999999822765</v>
      </c>
      <c r="P306" s="300"/>
      <c r="Q306" s="300">
        <f>SUM(Q304:Q305)</f>
        <v>1.1930000000174994</v>
      </c>
      <c r="R306" s="300">
        <f t="shared" ref="R306" si="805">SUM(R304:R305)</f>
        <v>9.4000000000118114E-2</v>
      </c>
      <c r="S306" s="300">
        <f t="shared" ref="S306" si="806">SUM(S304:S305)</f>
        <v>1.6119999999569312</v>
      </c>
      <c r="T306" s="300">
        <f t="shared" si="797"/>
        <v>2.8989999999745488</v>
      </c>
      <c r="U306" s="300"/>
      <c r="V306" s="300">
        <f>SUM(V304:V305)</f>
        <v>1.2180000000126905</v>
      </c>
      <c r="W306" s="300">
        <f t="shared" ref="W306" si="807">SUM(W304:W305)</f>
        <v>0.10099999999970677</v>
      </c>
      <c r="X306" s="300">
        <f t="shared" ref="X306" si="808">SUM(X304:X305)</f>
        <v>1.5160000000151301</v>
      </c>
      <c r="Y306" s="300">
        <f t="shared" si="798"/>
        <v>2.8350000000275273</v>
      </c>
    </row>
    <row r="307" spans="1:25" x14ac:dyDescent="0.2">
      <c r="C307" s="319"/>
      <c r="D307" s="319"/>
      <c r="E307" s="319"/>
      <c r="F307" s="319"/>
      <c r="G307" s="319"/>
      <c r="H307" s="319"/>
      <c r="I307" s="319"/>
      <c r="J307" s="319"/>
      <c r="K307" s="319"/>
      <c r="L307" s="319"/>
      <c r="M307" s="319"/>
      <c r="N307" s="319"/>
      <c r="O307" s="319"/>
      <c r="P307" s="319"/>
      <c r="Q307" s="319"/>
      <c r="R307" s="319"/>
      <c r="S307" s="319"/>
      <c r="T307" s="319"/>
      <c r="U307" s="319"/>
      <c r="V307" s="319"/>
      <c r="W307" s="319"/>
      <c r="X307" s="319"/>
      <c r="Y307" s="319"/>
    </row>
    <row r="308" spans="1:25" x14ac:dyDescent="0.2">
      <c r="A308" s="261" t="str">
        <f>name!A45</f>
        <v>Film and music</v>
      </c>
      <c r="C308" s="263"/>
    </row>
    <row r="309" spans="1:25" x14ac:dyDescent="0.2">
      <c r="A309" s="260" t="s">
        <v>356</v>
      </c>
      <c r="B309" s="300">
        <v>0.69199999999329787</v>
      </c>
      <c r="C309" s="300">
        <v>0.38800000000353918</v>
      </c>
      <c r="D309" s="300">
        <v>0.56400000000331352</v>
      </c>
      <c r="E309" s="300">
        <f>SUM(B309:D309)</f>
        <v>1.6440000000001507</v>
      </c>
      <c r="F309" s="300"/>
      <c r="G309" s="300">
        <v>1.0669999999946955</v>
      </c>
      <c r="H309" s="300">
        <v>0.87600000000013512</v>
      </c>
      <c r="I309" s="300">
        <v>0</v>
      </c>
      <c r="J309" s="300">
        <f>SUM(G309:I309)</f>
        <v>1.9429999999948306</v>
      </c>
      <c r="K309" s="300"/>
      <c r="L309" s="300">
        <v>0.87599999999750255</v>
      </c>
      <c r="M309" s="300">
        <v>0.50100000000097689</v>
      </c>
      <c r="N309" s="300">
        <v>1.4259999999915514</v>
      </c>
      <c r="O309" s="300">
        <f>SUM(L309:N309)</f>
        <v>2.802999999990031</v>
      </c>
      <c r="P309" s="300"/>
      <c r="Q309" s="300">
        <v>0.86100000000629706</v>
      </c>
      <c r="R309" s="300">
        <v>0.49900000001041867</v>
      </c>
      <c r="S309" s="300">
        <v>1.4429999999459511</v>
      </c>
      <c r="T309" s="300">
        <f>SUM(Q309:S309)</f>
        <v>2.8029999999626671</v>
      </c>
      <c r="U309" s="300"/>
      <c r="V309" s="300">
        <v>0.89200000000193125</v>
      </c>
      <c r="W309" s="300">
        <v>0.51399999999962032</v>
      </c>
      <c r="X309" s="300">
        <v>1.5080000000124985</v>
      </c>
      <c r="Y309" s="300">
        <f>SUM(V309:X309)</f>
        <v>2.9140000000140498</v>
      </c>
    </row>
    <row r="310" spans="1:25" x14ac:dyDescent="0.2">
      <c r="A310" s="260" t="s">
        <v>355</v>
      </c>
      <c r="B310" s="300">
        <v>0.5790000000012766</v>
      </c>
      <c r="C310" s="300">
        <v>0.20300000000351687</v>
      </c>
      <c r="D310" s="300">
        <v>0.45600000000723068</v>
      </c>
      <c r="E310" s="300">
        <f t="shared" ref="E310:E311" si="809">SUM(B310:D310)</f>
        <v>1.2380000000120241</v>
      </c>
      <c r="F310" s="300"/>
      <c r="G310" s="300">
        <v>1.7220000000004478</v>
      </c>
      <c r="H310" s="300">
        <v>0.60000000000763321</v>
      </c>
      <c r="I310" s="300">
        <v>2.4260000000069941</v>
      </c>
      <c r="J310" s="300">
        <f t="shared" ref="J310:J311" si="810">SUM(G310:I310)</f>
        <v>4.7480000000150753</v>
      </c>
      <c r="K310" s="300"/>
      <c r="L310" s="300">
        <v>1.6809999999997258</v>
      </c>
      <c r="M310" s="300">
        <v>0.56100000000055161</v>
      </c>
      <c r="N310" s="300">
        <v>0.45400000000751545</v>
      </c>
      <c r="O310" s="300">
        <f t="shared" ref="O310:O311" si="811">SUM(L310:N310)</f>
        <v>2.6960000000077931</v>
      </c>
      <c r="P310" s="300"/>
      <c r="Q310" s="300">
        <v>1.6449999999908032</v>
      </c>
      <c r="R310" s="300">
        <v>0.5779999999925779</v>
      </c>
      <c r="S310" s="300">
        <v>0.44900000002092083</v>
      </c>
      <c r="T310" s="300">
        <f t="shared" ref="T310:T311" si="812">SUM(Q310:S310)</f>
        <v>2.672000000004302</v>
      </c>
      <c r="U310" s="300"/>
      <c r="V310" s="300">
        <v>1.6729999999874796</v>
      </c>
      <c r="W310" s="300">
        <v>0.63399999999267243</v>
      </c>
      <c r="X310" s="300">
        <v>0.46600000001401148</v>
      </c>
      <c r="Y310" s="300">
        <f t="shared" ref="Y310:Y311" si="813">SUM(V310:X310)</f>
        <v>2.7729999999941639</v>
      </c>
    </row>
    <row r="311" spans="1:25" x14ac:dyDescent="0.2">
      <c r="A311" s="260" t="s">
        <v>354</v>
      </c>
      <c r="B311" s="300">
        <f>SUM(B309:B310)</f>
        <v>1.2709999999945745</v>
      </c>
      <c r="C311" s="300">
        <f t="shared" ref="C311" si="814">SUM(C309:C310)</f>
        <v>0.5910000000070561</v>
      </c>
      <c r="D311" s="300">
        <f t="shared" ref="D311" si="815">SUM(D309:D310)</f>
        <v>1.0200000000105442</v>
      </c>
      <c r="E311" s="300">
        <f t="shared" si="809"/>
        <v>2.8820000000121748</v>
      </c>
      <c r="F311" s="300"/>
      <c r="G311" s="300">
        <f>SUM(G309:G310)</f>
        <v>2.7889999999951431</v>
      </c>
      <c r="H311" s="300">
        <f t="shared" ref="H311" si="816">SUM(H309:H310)</f>
        <v>1.4760000000077684</v>
      </c>
      <c r="I311" s="300">
        <f t="shared" ref="I311" si="817">SUM(I309:I310)</f>
        <v>2.4260000000069941</v>
      </c>
      <c r="J311" s="300">
        <f t="shared" si="810"/>
        <v>6.6910000000099057</v>
      </c>
      <c r="K311" s="300"/>
      <c r="L311" s="300">
        <f>SUM(L309:L310)</f>
        <v>2.5569999999972284</v>
      </c>
      <c r="M311" s="300">
        <f t="shared" ref="M311" si="818">SUM(M309:M310)</f>
        <v>1.0620000000015284</v>
      </c>
      <c r="N311" s="300">
        <f t="shared" ref="N311" si="819">SUM(N309:N310)</f>
        <v>1.8799999999990669</v>
      </c>
      <c r="O311" s="300">
        <f t="shared" si="811"/>
        <v>5.4989999999978236</v>
      </c>
      <c r="P311" s="300"/>
      <c r="Q311" s="300">
        <f>SUM(Q309:Q310)</f>
        <v>2.5059999999971003</v>
      </c>
      <c r="R311" s="300">
        <f t="shared" ref="R311" si="820">SUM(R309:R310)</f>
        <v>1.0770000000029967</v>
      </c>
      <c r="S311" s="300">
        <f t="shared" ref="S311" si="821">SUM(S309:S310)</f>
        <v>1.891999999966872</v>
      </c>
      <c r="T311" s="300">
        <f t="shared" si="812"/>
        <v>5.4749999999669692</v>
      </c>
      <c r="U311" s="300"/>
      <c r="V311" s="300">
        <f>SUM(V309:V310)</f>
        <v>2.5649999999894106</v>
      </c>
      <c r="W311" s="300">
        <f t="shared" ref="W311" si="822">SUM(W309:W310)</f>
        <v>1.1479999999922927</v>
      </c>
      <c r="X311" s="300">
        <f t="shared" ref="X311" si="823">SUM(X309:X310)</f>
        <v>1.9740000000265099</v>
      </c>
      <c r="Y311" s="300">
        <f t="shared" si="813"/>
        <v>5.6870000000082133</v>
      </c>
    </row>
    <row r="312" spans="1:25" x14ac:dyDescent="0.2">
      <c r="C312" s="319"/>
      <c r="D312" s="319"/>
      <c r="E312" s="319"/>
      <c r="F312" s="319"/>
      <c r="G312" s="319"/>
      <c r="H312" s="319"/>
      <c r="I312" s="319"/>
      <c r="J312" s="319"/>
      <c r="K312" s="319"/>
      <c r="L312" s="319"/>
      <c r="M312" s="319"/>
      <c r="N312" s="319"/>
      <c r="O312" s="319"/>
      <c r="P312" s="319"/>
      <c r="Q312" s="319"/>
      <c r="R312" s="319"/>
      <c r="S312" s="319"/>
      <c r="T312" s="319"/>
      <c r="U312" s="319"/>
      <c r="V312" s="319"/>
      <c r="W312" s="319"/>
      <c r="X312" s="319"/>
      <c r="Y312" s="319"/>
    </row>
    <row r="313" spans="1:25" x14ac:dyDescent="0.2">
      <c r="A313" s="261" t="str">
        <f>name!A46</f>
        <v>Broadcasting</v>
      </c>
      <c r="C313" s="263"/>
    </row>
    <row r="314" spans="1:25" x14ac:dyDescent="0.2">
      <c r="A314" s="260" t="s">
        <v>356</v>
      </c>
      <c r="B314" s="300">
        <v>4.9999999999448316E-3</v>
      </c>
      <c r="C314" s="300">
        <v>2.0000000000256241E-3</v>
      </c>
      <c r="D314" s="300">
        <v>3.0000000000051548E-2</v>
      </c>
      <c r="E314" s="300">
        <f>SUM(B314:D314)</f>
        <v>3.7000000000022001E-2</v>
      </c>
      <c r="F314" s="300"/>
      <c r="G314" s="300">
        <v>1.9999999999885448E-3</v>
      </c>
      <c r="H314" s="300">
        <v>3.0000000000074902E-3</v>
      </c>
      <c r="I314" s="300">
        <v>0</v>
      </c>
      <c r="J314" s="300">
        <f>SUM(G314:I314)</f>
        <v>4.9999999999960354E-3</v>
      </c>
      <c r="K314" s="300"/>
      <c r="L314" s="300">
        <v>1.9999999999926084E-3</v>
      </c>
      <c r="M314" s="300">
        <v>2.0000000000109232E-3</v>
      </c>
      <c r="N314" s="300">
        <v>0.17899999999964616</v>
      </c>
      <c r="O314" s="300">
        <f>SUM(L314:N314)</f>
        <v>0.18299999999964969</v>
      </c>
      <c r="P314" s="300"/>
      <c r="Q314" s="300">
        <v>2.0000000000219738E-3</v>
      </c>
      <c r="R314" s="300">
        <v>2.0000000000655058E-3</v>
      </c>
      <c r="S314" s="300">
        <v>0.16699999999213064</v>
      </c>
      <c r="T314" s="300">
        <f>SUM(Q314:S314)</f>
        <v>0.17099999999221813</v>
      </c>
      <c r="U314" s="300"/>
      <c r="V314" s="300">
        <v>2.0000000000019811E-3</v>
      </c>
      <c r="W314" s="300">
        <v>2.0000000000033849E-3</v>
      </c>
      <c r="X314" s="300">
        <v>0.15200000000124916</v>
      </c>
      <c r="Y314" s="300">
        <f>SUM(V314:X314)</f>
        <v>0.15600000000125452</v>
      </c>
    </row>
    <row r="315" spans="1:25" x14ac:dyDescent="0.2">
      <c r="A315" s="260" t="s">
        <v>355</v>
      </c>
      <c r="B315" s="300">
        <v>0.16099999999942288</v>
      </c>
      <c r="C315" s="300">
        <v>2.4000000000367557E-2</v>
      </c>
      <c r="D315" s="300">
        <v>5.0000000000998301E-2</v>
      </c>
      <c r="E315" s="300">
        <f t="shared" ref="E315:E316" si="824">SUM(B315:D315)</f>
        <v>0.23500000000078874</v>
      </c>
      <c r="F315" s="300"/>
      <c r="G315" s="300">
        <v>0.15099999999961636</v>
      </c>
      <c r="H315" s="300">
        <v>4.0000000000450377E-2</v>
      </c>
      <c r="I315" s="300">
        <v>8.899999999999933E-2</v>
      </c>
      <c r="J315" s="300">
        <f t="shared" ref="J315:J316" si="825">SUM(G315:I315)</f>
        <v>0.28000000000006608</v>
      </c>
      <c r="K315" s="300"/>
      <c r="L315" s="300">
        <v>0.14799999999959676</v>
      </c>
      <c r="M315" s="300">
        <v>3.6999999999988771E-2</v>
      </c>
      <c r="N315" s="300">
        <v>1.7000000000400597E-2</v>
      </c>
      <c r="O315" s="300">
        <f t="shared" ref="O315:O316" si="826">SUM(L315:N315)</f>
        <v>0.20199999999998614</v>
      </c>
      <c r="P315" s="300"/>
      <c r="Q315" s="300">
        <v>0.14400000000000407</v>
      </c>
      <c r="R315" s="300">
        <v>3.80000000001878E-2</v>
      </c>
      <c r="S315" s="300">
        <v>1.7000000001412309E-2</v>
      </c>
      <c r="T315" s="300">
        <f t="shared" ref="T315:T316" si="827">SUM(Q315:S315)</f>
        <v>0.19900000000160417</v>
      </c>
      <c r="U315" s="300"/>
      <c r="V315" s="300">
        <v>0.14699999999958188</v>
      </c>
      <c r="W315" s="300">
        <v>4.2000000000526734E-2</v>
      </c>
      <c r="X315" s="300">
        <v>1.700000000109176E-2</v>
      </c>
      <c r="Y315" s="300">
        <f t="shared" ref="Y315:Y316" si="828">SUM(V315:X315)</f>
        <v>0.20600000000120036</v>
      </c>
    </row>
    <row r="316" spans="1:25" x14ac:dyDescent="0.2">
      <c r="A316" s="260" t="s">
        <v>354</v>
      </c>
      <c r="B316" s="300">
        <f>SUM(B314:B315)</f>
        <v>0.16599999999936771</v>
      </c>
      <c r="C316" s="300">
        <f t="shared" ref="C316" si="829">SUM(C314:C315)</f>
        <v>2.6000000000393181E-2</v>
      </c>
      <c r="D316" s="300">
        <f t="shared" ref="D316" si="830">SUM(D314:D315)</f>
        <v>8.0000000001049842E-2</v>
      </c>
      <c r="E316" s="300">
        <f t="shared" si="824"/>
        <v>0.2720000000008107</v>
      </c>
      <c r="F316" s="300"/>
      <c r="G316" s="300">
        <f>SUM(G314:G315)</f>
        <v>0.1529999999996049</v>
      </c>
      <c r="H316" s="300">
        <f t="shared" ref="H316" si="831">SUM(H314:H315)</f>
        <v>4.3000000000457866E-2</v>
      </c>
      <c r="I316" s="300">
        <f t="shared" ref="I316" si="832">SUM(I314:I315)</f>
        <v>8.899999999999933E-2</v>
      </c>
      <c r="J316" s="300">
        <f t="shared" si="825"/>
        <v>0.28500000000006209</v>
      </c>
      <c r="K316" s="300"/>
      <c r="L316" s="300">
        <f>SUM(L314:L315)</f>
        <v>0.14999999999958938</v>
      </c>
      <c r="M316" s="300">
        <f t="shared" ref="M316" si="833">SUM(M314:M315)</f>
        <v>3.8999999999999695E-2</v>
      </c>
      <c r="N316" s="300">
        <f t="shared" ref="N316" si="834">SUM(N314:N315)</f>
        <v>0.19600000000004675</v>
      </c>
      <c r="O316" s="300">
        <f t="shared" si="826"/>
        <v>0.38499999999963586</v>
      </c>
      <c r="P316" s="300"/>
      <c r="Q316" s="300">
        <f>SUM(Q314:Q315)</f>
        <v>0.14600000000002605</v>
      </c>
      <c r="R316" s="300">
        <f t="shared" ref="R316" si="835">SUM(R314:R315)</f>
        <v>4.0000000000253305E-2</v>
      </c>
      <c r="S316" s="300">
        <f t="shared" ref="S316" si="836">SUM(S314:S315)</f>
        <v>0.18399999999354294</v>
      </c>
      <c r="T316" s="300">
        <f t="shared" si="827"/>
        <v>0.36999999999382227</v>
      </c>
      <c r="U316" s="300"/>
      <c r="V316" s="300">
        <f>SUM(V314:V315)</f>
        <v>0.14899999999958385</v>
      </c>
      <c r="W316" s="300">
        <f t="shared" ref="W316" si="837">SUM(W314:W315)</f>
        <v>4.4000000000530122E-2</v>
      </c>
      <c r="X316" s="300">
        <f t="shared" ref="X316" si="838">SUM(X314:X315)</f>
        <v>0.16900000000234092</v>
      </c>
      <c r="Y316" s="300">
        <f t="shared" si="828"/>
        <v>0.36200000000245491</v>
      </c>
    </row>
    <row r="317" spans="1:25" x14ac:dyDescent="0.2">
      <c r="C317" s="263"/>
    </row>
    <row r="318" spans="1:25" x14ac:dyDescent="0.2">
      <c r="A318" s="261" t="s">
        <v>364</v>
      </c>
      <c r="C318" s="263"/>
    </row>
    <row r="319" spans="1:25" x14ac:dyDescent="0.2">
      <c r="A319" s="260" t="s">
        <v>356</v>
      </c>
      <c r="B319" s="300">
        <f>SUM(B304,B309,B314)</f>
        <v>1.5959999999837988</v>
      </c>
      <c r="C319" s="300">
        <f t="shared" ref="C319:D319" si="839">SUM(C304,C309,C314)</f>
        <v>0.62700000000590272</v>
      </c>
      <c r="D319" s="300">
        <f t="shared" si="839"/>
        <v>1.5070000000077923</v>
      </c>
      <c r="E319" s="300">
        <f>SUM(B319:D319)</f>
        <v>3.729999999997494</v>
      </c>
      <c r="F319" s="300"/>
      <c r="G319" s="300">
        <f>SUM(G304,G309,G314)</f>
        <v>1.3839999999914501</v>
      </c>
      <c r="H319" s="300">
        <f t="shared" ref="H319:I319" si="840">SUM(H304,H309,H314)</f>
        <v>0.90800000000016146</v>
      </c>
      <c r="I319" s="300">
        <f t="shared" si="840"/>
        <v>0</v>
      </c>
      <c r="J319" s="300">
        <f>SUM(G319:I319)</f>
        <v>2.2919999999916114</v>
      </c>
      <c r="K319" s="300"/>
      <c r="L319" s="300">
        <f>SUM(L304,L309,L314)</f>
        <v>1.1369999999957021</v>
      </c>
      <c r="M319" s="300">
        <f t="shared" ref="M319:N319" si="841">SUM(M304,M309,M314)</f>
        <v>0.52000000000102342</v>
      </c>
      <c r="N319" s="300">
        <f t="shared" si="841"/>
        <v>3.1639999999814123</v>
      </c>
      <c r="O319" s="300">
        <f>SUM(L319:N319)</f>
        <v>4.8209999999781381</v>
      </c>
      <c r="P319" s="300"/>
      <c r="Q319" s="300">
        <f>SUM(Q304,Q309,Q314)</f>
        <v>1.1170000000114653</v>
      </c>
      <c r="R319" s="300">
        <f t="shared" ref="R319:S319" si="842">SUM(R304,R309,R314)</f>
        <v>0.51800000001087143</v>
      </c>
      <c r="S319" s="300">
        <f t="shared" si="842"/>
        <v>3.0809999998885962</v>
      </c>
      <c r="T319" s="300">
        <f>SUM(Q319:S319)</f>
        <v>4.7159999999109328</v>
      </c>
      <c r="U319" s="300"/>
      <c r="V319" s="300">
        <f>SUM(V304,V309,V314)</f>
        <v>1.1570000000026774</v>
      </c>
      <c r="W319" s="300">
        <f t="shared" ref="W319:X319" si="843">SUM(W304,W309,W314)</f>
        <v>0.53299999999960812</v>
      </c>
      <c r="X319" s="300">
        <f t="shared" si="843"/>
        <v>3.0300000000238914</v>
      </c>
      <c r="Y319" s="300">
        <f>SUM(V319:X319)</f>
        <v>4.720000000026177</v>
      </c>
    </row>
    <row r="320" spans="1:25" x14ac:dyDescent="0.2">
      <c r="A320" s="260" t="s">
        <v>355</v>
      </c>
      <c r="B320" s="300">
        <f>SUM(B305,B310,B315)</f>
        <v>2.1939999999847033</v>
      </c>
      <c r="C320" s="300">
        <f t="shared" ref="C320:D320" si="844">SUM(C305,C310,C315)</f>
        <v>0.71800000000606601</v>
      </c>
      <c r="D320" s="300">
        <f t="shared" si="844"/>
        <v>1.1830000000122545</v>
      </c>
      <c r="E320" s="300">
        <f t="shared" ref="E320:E321" si="845">SUM(B320:D320)</f>
        <v>4.095000000003024</v>
      </c>
      <c r="F320" s="300"/>
      <c r="G320" s="300">
        <f>SUM(G305,G310,G315)</f>
        <v>2.8559999999923424</v>
      </c>
      <c r="H320" s="300">
        <f t="shared" ref="H320:I320" si="846">SUM(H305,H310,H315)</f>
        <v>0.72000000000816289</v>
      </c>
      <c r="I320" s="300">
        <f t="shared" si="846"/>
        <v>3.2760000000055771</v>
      </c>
      <c r="J320" s="300">
        <f t="shared" ref="J320:J321" si="847">SUM(G320:I320)</f>
        <v>6.8520000000060826</v>
      </c>
      <c r="K320" s="300"/>
      <c r="L320" s="300">
        <f>SUM(L305,L310,L315)</f>
        <v>2.7879999999918978</v>
      </c>
      <c r="M320" s="300">
        <f t="shared" ref="M320:N320" si="848">SUM(M305,M310,M315)</f>
        <v>0.67300000000063265</v>
      </c>
      <c r="N320" s="300">
        <f t="shared" si="848"/>
        <v>0.61300000000906885</v>
      </c>
      <c r="O320" s="300">
        <f t="shared" ref="O320:O321" si="849">SUM(L320:N320)</f>
        <v>4.0740000000015995</v>
      </c>
      <c r="P320" s="300"/>
      <c r="Q320" s="300">
        <f>SUM(Q305,Q310,Q315)</f>
        <v>2.7280000000031603</v>
      </c>
      <c r="R320" s="300">
        <f t="shared" ref="R320:S320" si="850">SUM(R305,R310,R315)</f>
        <v>0.69299999999249651</v>
      </c>
      <c r="S320" s="300">
        <f t="shared" si="850"/>
        <v>0.6070000000287501</v>
      </c>
      <c r="T320" s="300">
        <f t="shared" ref="T320:T321" si="851">SUM(Q320:S320)</f>
        <v>4.0280000000244076</v>
      </c>
      <c r="U320" s="300"/>
      <c r="V320" s="300">
        <f>SUM(V305,V310,V315)</f>
        <v>2.7749999999990078</v>
      </c>
      <c r="W320" s="300">
        <f t="shared" ref="W320:X320" si="852">SUM(W305,W310,W315)</f>
        <v>0.75999999999292145</v>
      </c>
      <c r="X320" s="300">
        <f t="shared" si="852"/>
        <v>0.62900000002009004</v>
      </c>
      <c r="Y320" s="300">
        <f t="shared" ref="Y320:Y321" si="853">SUM(V320:X320)</f>
        <v>4.1640000000120194</v>
      </c>
    </row>
    <row r="321" spans="1:25" x14ac:dyDescent="0.2">
      <c r="A321" s="264" t="s">
        <v>354</v>
      </c>
      <c r="B321" s="301">
        <f>SUM(B319:B320)</f>
        <v>3.7899999999685021</v>
      </c>
      <c r="C321" s="301">
        <f t="shared" ref="C321" si="854">SUM(C319:C320)</f>
        <v>1.3450000000119688</v>
      </c>
      <c r="D321" s="301">
        <f t="shared" ref="D321" si="855">SUM(D319:D320)</f>
        <v>2.6900000000200466</v>
      </c>
      <c r="E321" s="301">
        <f t="shared" si="845"/>
        <v>7.8250000000005171</v>
      </c>
      <c r="F321" s="301"/>
      <c r="G321" s="301">
        <f>SUM(G319:G320)</f>
        <v>4.2399999999837927</v>
      </c>
      <c r="H321" s="301">
        <f t="shared" ref="H321" si="856">SUM(H319:H320)</f>
        <v>1.6280000000083243</v>
      </c>
      <c r="I321" s="301">
        <f t="shared" ref="I321" si="857">SUM(I319:I320)</f>
        <v>3.2760000000055771</v>
      </c>
      <c r="J321" s="301">
        <f t="shared" si="847"/>
        <v>9.1439999999976944</v>
      </c>
      <c r="K321" s="301"/>
      <c r="L321" s="301">
        <f>SUM(L319:L320)</f>
        <v>3.9249999999876</v>
      </c>
      <c r="M321" s="301">
        <f t="shared" ref="M321" si="858">SUM(M319:M320)</f>
        <v>1.1930000000016561</v>
      </c>
      <c r="N321" s="301">
        <f t="shared" ref="N321" si="859">SUM(N319:N320)</f>
        <v>3.7769999999904811</v>
      </c>
      <c r="O321" s="301">
        <f t="shared" si="849"/>
        <v>8.8949999999797367</v>
      </c>
      <c r="P321" s="301"/>
      <c r="Q321" s="301">
        <f>SUM(Q319:Q320)</f>
        <v>3.8450000000146254</v>
      </c>
      <c r="R321" s="301">
        <f t="shared" ref="R321" si="860">SUM(R319:R320)</f>
        <v>1.2110000000033678</v>
      </c>
      <c r="S321" s="301">
        <f t="shared" ref="S321" si="861">SUM(S319:S320)</f>
        <v>3.6879999999173463</v>
      </c>
      <c r="T321" s="301">
        <f t="shared" si="851"/>
        <v>8.7439999999353404</v>
      </c>
      <c r="U321" s="301"/>
      <c r="V321" s="301">
        <f>SUM(V319:V320)</f>
        <v>3.9320000000016853</v>
      </c>
      <c r="W321" s="301">
        <f t="shared" ref="W321" si="862">SUM(W319:W320)</f>
        <v>1.2929999999925297</v>
      </c>
      <c r="X321" s="301">
        <f t="shared" ref="X321" si="863">SUM(X319:X320)</f>
        <v>3.6590000000439815</v>
      </c>
      <c r="Y321" s="301">
        <f t="shared" si="853"/>
        <v>8.8840000000381956</v>
      </c>
    </row>
    <row r="322" spans="1:25" x14ac:dyDescent="0.2">
      <c r="C322" s="263"/>
    </row>
    <row r="323" spans="1:25" x14ac:dyDescent="0.2">
      <c r="C323" s="263"/>
    </row>
    <row r="324" spans="1:25" x14ac:dyDescent="0.2">
      <c r="A324" s="262"/>
    </row>
    <row r="325" spans="1:25" ht="15" x14ac:dyDescent="0.25">
      <c r="A325" s="265" t="str">
        <f>"Industry 13 : "&amp; name!B16</f>
        <v>Industry 13 : Information technology</v>
      </c>
      <c r="B325" s="371">
        <f>$B$5</f>
        <v>2015</v>
      </c>
      <c r="C325" s="371"/>
      <c r="D325" s="371"/>
      <c r="E325" s="371"/>
      <c r="F325" s="320"/>
      <c r="G325" s="371">
        <f>$G$5</f>
        <v>2019</v>
      </c>
      <c r="H325" s="371"/>
      <c r="I325" s="371"/>
      <c r="J325" s="371"/>
      <c r="K325" s="320"/>
      <c r="L325" s="371">
        <f>$L$5</f>
        <v>2020</v>
      </c>
      <c r="M325" s="371"/>
      <c r="N325" s="371"/>
      <c r="O325" s="371"/>
      <c r="P325" s="318"/>
      <c r="Q325" s="371">
        <f>$Q$5</f>
        <v>2025</v>
      </c>
      <c r="R325" s="371"/>
      <c r="S325" s="371"/>
      <c r="T325" s="371"/>
      <c r="U325" s="320"/>
      <c r="V325" s="371">
        <f>$V$5</f>
        <v>2035</v>
      </c>
      <c r="W325" s="371"/>
      <c r="X325" s="371"/>
      <c r="Y325" s="371"/>
    </row>
    <row r="326" spans="1:25" x14ac:dyDescent="0.2">
      <c r="A326" s="264"/>
      <c r="B326" s="268" t="str">
        <f>$B$6</f>
        <v>FT</v>
      </c>
      <c r="C326" s="268" t="str">
        <f>$C$6</f>
        <v>PT</v>
      </c>
      <c r="D326" s="268" t="str">
        <f>$D$6</f>
        <v>SE</v>
      </c>
      <c r="E326" s="268" t="str">
        <f>$E$6</f>
        <v>Total</v>
      </c>
      <c r="F326" s="268"/>
      <c r="G326" s="268" t="str">
        <f>$B$6</f>
        <v>FT</v>
      </c>
      <c r="H326" s="268" t="str">
        <f>$C$6</f>
        <v>PT</v>
      </c>
      <c r="I326" s="268" t="str">
        <f>$D$6</f>
        <v>SE</v>
      </c>
      <c r="J326" s="268" t="str">
        <f>$E$6</f>
        <v>Total</v>
      </c>
      <c r="K326" s="268"/>
      <c r="L326" s="268" t="str">
        <f>$L$6</f>
        <v>FT</v>
      </c>
      <c r="M326" s="268" t="str">
        <f>$M$6</f>
        <v>PT</v>
      </c>
      <c r="N326" s="268" t="str">
        <f>$N$6</f>
        <v>SE</v>
      </c>
      <c r="O326" s="268" t="str">
        <f>$O$6</f>
        <v>Total</v>
      </c>
      <c r="P326" s="268"/>
      <c r="Q326" s="268" t="str">
        <f>$L$6</f>
        <v>FT</v>
      </c>
      <c r="R326" s="268" t="str">
        <f>$M$6</f>
        <v>PT</v>
      </c>
      <c r="S326" s="268" t="str">
        <f>$N$6</f>
        <v>SE</v>
      </c>
      <c r="T326" s="268" t="str">
        <f>$O$6</f>
        <v>Total</v>
      </c>
      <c r="U326" s="268"/>
      <c r="V326" s="268" t="str">
        <f>$V$6</f>
        <v>FT</v>
      </c>
      <c r="W326" s="268" t="str">
        <f>$W$6</f>
        <v>PT</v>
      </c>
      <c r="X326" s="268" t="str">
        <f>$X$6</f>
        <v>SE</v>
      </c>
      <c r="Y326" s="268" t="str">
        <f>$Y$6</f>
        <v>Total</v>
      </c>
    </row>
    <row r="327" spans="1:25" x14ac:dyDescent="0.2">
      <c r="C327" s="319"/>
      <c r="D327" s="319"/>
      <c r="E327" s="319"/>
      <c r="F327" s="319"/>
      <c r="G327" s="319"/>
      <c r="H327" s="319"/>
      <c r="I327" s="319"/>
      <c r="J327" s="319"/>
      <c r="K327" s="319"/>
      <c r="L327" s="319"/>
      <c r="M327" s="319"/>
      <c r="N327" s="319"/>
      <c r="O327" s="319"/>
      <c r="P327" s="319"/>
      <c r="Q327" s="319"/>
      <c r="R327" s="319"/>
      <c r="S327" s="319"/>
      <c r="T327" s="319"/>
      <c r="U327" s="319"/>
      <c r="V327" s="319"/>
      <c r="W327" s="319"/>
      <c r="X327" s="319"/>
      <c r="Y327" s="319"/>
    </row>
    <row r="328" spans="1:25" x14ac:dyDescent="0.2">
      <c r="A328" s="261" t="str">
        <f>name!A47</f>
        <v>Telecommunications</v>
      </c>
      <c r="C328" s="263"/>
    </row>
    <row r="329" spans="1:25" x14ac:dyDescent="0.2">
      <c r="A329" s="260" t="s">
        <v>356</v>
      </c>
      <c r="B329" s="300">
        <v>1.8479999999806631</v>
      </c>
      <c r="C329" s="300">
        <v>1.3420000000224412</v>
      </c>
      <c r="D329" s="300">
        <v>0.35400000000120391</v>
      </c>
      <c r="E329" s="300">
        <f>SUM(B329:D329)</f>
        <v>3.5440000000043086</v>
      </c>
      <c r="F329" s="300"/>
      <c r="G329" s="300">
        <v>1.40199999998346</v>
      </c>
      <c r="H329" s="300">
        <v>0.80600000001572514</v>
      </c>
      <c r="I329" s="300">
        <v>0</v>
      </c>
      <c r="J329" s="300">
        <f>SUM(G329:I329)</f>
        <v>2.2079999999991853</v>
      </c>
      <c r="K329" s="300"/>
      <c r="L329" s="300">
        <v>1.3369999999890971</v>
      </c>
      <c r="M329" s="300">
        <v>0.29500000000690374</v>
      </c>
      <c r="N329" s="300">
        <v>4.499999999991542E-2</v>
      </c>
      <c r="O329" s="300">
        <f>SUM(L329:N329)</f>
        <v>1.6769999999959162</v>
      </c>
      <c r="P329" s="300"/>
      <c r="Q329" s="300">
        <v>1.4920000000395957</v>
      </c>
      <c r="R329" s="300">
        <v>0.31800000000830592</v>
      </c>
      <c r="S329" s="300">
        <v>4.0999999999308506E-2</v>
      </c>
      <c r="T329" s="300">
        <f>SUM(Q329:S329)</f>
        <v>1.85100000004721</v>
      </c>
      <c r="U329" s="300"/>
      <c r="V329" s="300">
        <v>1.7160000000084727</v>
      </c>
      <c r="W329" s="300">
        <v>0.33800000000390928</v>
      </c>
      <c r="X329" s="300">
        <v>3.9000000000063643E-2</v>
      </c>
      <c r="Y329" s="300">
        <f>SUM(V329:X329)</f>
        <v>2.0930000000124456</v>
      </c>
    </row>
    <row r="330" spans="1:25" x14ac:dyDescent="0.2">
      <c r="A330" s="260" t="s">
        <v>355</v>
      </c>
      <c r="B330" s="300">
        <v>5.5589999999148105</v>
      </c>
      <c r="C330" s="300">
        <v>0.47800000000073423</v>
      </c>
      <c r="D330" s="300">
        <v>0.28800000000072651</v>
      </c>
      <c r="E330" s="300">
        <f t="shared" ref="E330:E331" si="864">SUM(B330:D330)</f>
        <v>6.3249999999162716</v>
      </c>
      <c r="F330" s="300"/>
      <c r="G330" s="300">
        <v>6.3539999999354722</v>
      </c>
      <c r="H330" s="300">
        <v>0.26100000000029761</v>
      </c>
      <c r="I330" s="300">
        <v>0.3799999999999466</v>
      </c>
      <c r="J330" s="300">
        <f t="shared" ref="J330:J331" si="865">SUM(G330:I330)</f>
        <v>6.9949999999357164</v>
      </c>
      <c r="K330" s="300"/>
      <c r="L330" s="300">
        <v>5.5819999999414103</v>
      </c>
      <c r="M330" s="300">
        <v>0.27199999999963181</v>
      </c>
      <c r="N330" s="300">
        <v>0.13800000000053514</v>
      </c>
      <c r="O330" s="300">
        <f t="shared" ref="O330:O331" si="866">SUM(L330:N330)</f>
        <v>5.9919999999415774</v>
      </c>
      <c r="P330" s="300"/>
      <c r="Q330" s="300">
        <v>6.0460000001076883</v>
      </c>
      <c r="R330" s="300">
        <v>0.29899999999966015</v>
      </c>
      <c r="S330" s="300">
        <v>0.15400000000548303</v>
      </c>
      <c r="T330" s="300">
        <f t="shared" ref="T330:T331" si="867">SUM(Q330:S330)</f>
        <v>6.4990000001128312</v>
      </c>
      <c r="U330" s="300"/>
      <c r="V330" s="300">
        <v>6.5930000001039319</v>
      </c>
      <c r="W330" s="300">
        <v>0.3329999999997208</v>
      </c>
      <c r="X330" s="300">
        <v>0.17400000000458896</v>
      </c>
      <c r="Y330" s="300">
        <f t="shared" ref="Y330:Y331" si="868">SUM(V330:X330)</f>
        <v>7.1000000001082411</v>
      </c>
    </row>
    <row r="331" spans="1:25" x14ac:dyDescent="0.2">
      <c r="A331" s="260" t="s">
        <v>354</v>
      </c>
      <c r="B331" s="300">
        <f>SUM(B329:B330)</f>
        <v>7.4069999998954739</v>
      </c>
      <c r="C331" s="300">
        <f t="shared" ref="C331" si="869">SUM(C329:C330)</f>
        <v>1.8200000000231755</v>
      </c>
      <c r="D331" s="300">
        <f t="shared" ref="D331" si="870">SUM(D329:D330)</f>
        <v>0.64200000000193036</v>
      </c>
      <c r="E331" s="300">
        <f t="shared" si="864"/>
        <v>9.8689999999205806</v>
      </c>
      <c r="F331" s="300"/>
      <c r="G331" s="300">
        <f>SUM(G329:G330)</f>
        <v>7.7559999999189326</v>
      </c>
      <c r="H331" s="300">
        <f t="shared" ref="H331" si="871">SUM(H329:H330)</f>
        <v>1.0670000000160227</v>
      </c>
      <c r="I331" s="300">
        <f t="shared" ref="I331" si="872">SUM(I329:I330)</f>
        <v>0.3799999999999466</v>
      </c>
      <c r="J331" s="300">
        <f t="shared" si="865"/>
        <v>9.202999999934903</v>
      </c>
      <c r="K331" s="300"/>
      <c r="L331" s="300">
        <f>SUM(L329:L330)</f>
        <v>6.9189999999305076</v>
      </c>
      <c r="M331" s="300">
        <f t="shared" ref="M331" si="873">SUM(M329:M330)</f>
        <v>0.56700000000653561</v>
      </c>
      <c r="N331" s="300">
        <f t="shared" ref="N331" si="874">SUM(N329:N330)</f>
        <v>0.18300000000045055</v>
      </c>
      <c r="O331" s="300">
        <f t="shared" si="866"/>
        <v>7.6689999999374932</v>
      </c>
      <c r="P331" s="300"/>
      <c r="Q331" s="300">
        <f>SUM(Q329:Q330)</f>
        <v>7.5380000001472842</v>
      </c>
      <c r="R331" s="300">
        <f t="shared" ref="R331" si="875">SUM(R329:R330)</f>
        <v>0.61700000000796607</v>
      </c>
      <c r="S331" s="300">
        <f t="shared" ref="S331" si="876">SUM(S329:S330)</f>
        <v>0.19500000000479153</v>
      </c>
      <c r="T331" s="300">
        <f t="shared" si="867"/>
        <v>8.3500000001600423</v>
      </c>
      <c r="U331" s="300"/>
      <c r="V331" s="300">
        <f>SUM(V329:V330)</f>
        <v>8.3090000001124054</v>
      </c>
      <c r="W331" s="300">
        <f t="shared" ref="W331" si="877">SUM(W329:W330)</f>
        <v>0.67100000000363003</v>
      </c>
      <c r="X331" s="300">
        <f t="shared" ref="X331" si="878">SUM(X329:X330)</f>
        <v>0.21300000000465261</v>
      </c>
      <c r="Y331" s="300">
        <f t="shared" si="868"/>
        <v>9.1930000001206889</v>
      </c>
    </row>
    <row r="332" spans="1:25" x14ac:dyDescent="0.2">
      <c r="C332" s="319"/>
      <c r="D332" s="319"/>
      <c r="E332" s="319"/>
      <c r="F332" s="319"/>
      <c r="G332" s="319"/>
      <c r="H332" s="319"/>
      <c r="I332" s="319"/>
      <c r="J332" s="319"/>
      <c r="K332" s="319"/>
      <c r="L332" s="319"/>
      <c r="M332" s="319"/>
      <c r="N332" s="319"/>
      <c r="O332" s="319"/>
      <c r="P332" s="319"/>
      <c r="Q332" s="319"/>
      <c r="R332" s="319"/>
      <c r="S332" s="319"/>
      <c r="T332" s="319"/>
      <c r="U332" s="319"/>
      <c r="V332" s="319"/>
      <c r="W332" s="319"/>
      <c r="X332" s="319"/>
      <c r="Y332" s="319"/>
    </row>
    <row r="333" spans="1:25" x14ac:dyDescent="0.2">
      <c r="A333" s="261" t="str">
        <f>name!A48</f>
        <v>Computing services</v>
      </c>
      <c r="C333" s="263"/>
    </row>
    <row r="334" spans="1:25" x14ac:dyDescent="0.2">
      <c r="A334" s="260" t="s">
        <v>356</v>
      </c>
      <c r="B334" s="300">
        <v>4.3399999999517078</v>
      </c>
      <c r="C334" s="300">
        <v>1.3529999999942077</v>
      </c>
      <c r="D334" s="300">
        <v>0.48300000000122273</v>
      </c>
      <c r="E334" s="300">
        <f>SUM(B334:D334)</f>
        <v>6.1759999999471384</v>
      </c>
      <c r="F334" s="300"/>
      <c r="G334" s="300">
        <v>3.1369999999796261</v>
      </c>
      <c r="H334" s="300">
        <v>1.0150000000073076</v>
      </c>
      <c r="I334" s="300">
        <v>0</v>
      </c>
      <c r="J334" s="300">
        <f>SUM(G334:I334)</f>
        <v>4.1519999999869341</v>
      </c>
      <c r="K334" s="300"/>
      <c r="L334" s="300">
        <v>2.9909999999870882</v>
      </c>
      <c r="M334" s="300">
        <v>0.37200000000238953</v>
      </c>
      <c r="N334" s="300">
        <v>0.73599999999809629</v>
      </c>
      <c r="O334" s="300">
        <f>SUM(L334:N334)</f>
        <v>4.0989999999875737</v>
      </c>
      <c r="P334" s="300"/>
      <c r="Q334" s="300">
        <v>3.3390000000505373</v>
      </c>
      <c r="R334" s="300">
        <v>0.3999999999972344</v>
      </c>
      <c r="S334" s="300">
        <v>0.82199999997752282</v>
      </c>
      <c r="T334" s="300">
        <f>SUM(Q334:S334)</f>
        <v>4.5610000000252944</v>
      </c>
      <c r="U334" s="300"/>
      <c r="V334" s="300">
        <v>3.8390000000113695</v>
      </c>
      <c r="W334" s="300">
        <v>0.42600000000151822</v>
      </c>
      <c r="X334" s="300">
        <v>0.93300000000238159</v>
      </c>
      <c r="Y334" s="300">
        <f>SUM(V334:X334)</f>
        <v>5.19800000001527</v>
      </c>
    </row>
    <row r="335" spans="1:25" x14ac:dyDescent="0.2">
      <c r="A335" s="260" t="s">
        <v>355</v>
      </c>
      <c r="B335" s="300">
        <v>9.3139999998337704</v>
      </c>
      <c r="C335" s="300">
        <v>0.87199999999238842</v>
      </c>
      <c r="D335" s="300">
        <v>0.63700000000108614</v>
      </c>
      <c r="E335" s="300">
        <f t="shared" ref="E335:E336" si="879">SUM(B335:D335)</f>
        <v>10.822999999827244</v>
      </c>
      <c r="F335" s="300"/>
      <c r="G335" s="300">
        <v>10.140999999880394</v>
      </c>
      <c r="H335" s="300">
        <v>0.59599999999541897</v>
      </c>
      <c r="I335" s="300">
        <v>0.86999999999600808</v>
      </c>
      <c r="J335" s="300">
        <f t="shared" ref="J335:J336" si="880">SUM(G335:I335)</f>
        <v>11.606999999871821</v>
      </c>
      <c r="K335" s="300"/>
      <c r="L335" s="300">
        <v>8.9089999998908471</v>
      </c>
      <c r="M335" s="300">
        <v>0.62099999999898781</v>
      </c>
      <c r="N335" s="300">
        <v>0.31600000000050932</v>
      </c>
      <c r="O335" s="300">
        <f t="shared" ref="O335:O336" si="881">SUM(L335:N335)</f>
        <v>9.8459999998903438</v>
      </c>
      <c r="P335" s="300"/>
      <c r="Q335" s="300">
        <v>9.6490000002133485</v>
      </c>
      <c r="R335" s="300">
        <v>0.68300000000358541</v>
      </c>
      <c r="S335" s="300">
        <v>0.35300000001324977</v>
      </c>
      <c r="T335" s="300">
        <f t="shared" ref="T335:T336" si="882">SUM(Q335:S335)</f>
        <v>10.685000000230183</v>
      </c>
      <c r="U335" s="300"/>
      <c r="V335" s="300">
        <v>10.522000000197558</v>
      </c>
      <c r="W335" s="300">
        <v>0.75800000000301215</v>
      </c>
      <c r="X335" s="300">
        <v>0.39800000000992342</v>
      </c>
      <c r="Y335" s="300">
        <f t="shared" ref="Y335:Y336" si="883">SUM(V335:X335)</f>
        <v>11.678000000210494</v>
      </c>
    </row>
    <row r="336" spans="1:25" x14ac:dyDescent="0.2">
      <c r="A336" s="260" t="s">
        <v>354</v>
      </c>
      <c r="B336" s="300">
        <f>SUM(B334:B335)</f>
        <v>13.653999999785478</v>
      </c>
      <c r="C336" s="300">
        <f t="shared" ref="C336" si="884">SUM(C334:C335)</f>
        <v>2.2249999999865961</v>
      </c>
      <c r="D336" s="300">
        <f t="shared" ref="D336" si="885">SUM(D334:D335)</f>
        <v>1.1200000000023089</v>
      </c>
      <c r="E336" s="300">
        <f t="shared" si="879"/>
        <v>16.998999999774384</v>
      </c>
      <c r="F336" s="300"/>
      <c r="G336" s="300">
        <f>SUM(G334:G335)</f>
        <v>13.27799999986002</v>
      </c>
      <c r="H336" s="300">
        <f t="shared" ref="H336" si="886">SUM(H334:H335)</f>
        <v>1.6110000000027265</v>
      </c>
      <c r="I336" s="300">
        <f t="shared" ref="I336" si="887">SUM(I334:I335)</f>
        <v>0.86999999999600808</v>
      </c>
      <c r="J336" s="300">
        <f t="shared" si="880"/>
        <v>15.758999999858755</v>
      </c>
      <c r="K336" s="300"/>
      <c r="L336" s="300">
        <f>SUM(L334:L335)</f>
        <v>11.899999999877934</v>
      </c>
      <c r="M336" s="300">
        <f t="shared" ref="M336" si="888">SUM(M334:M335)</f>
        <v>0.99300000000137734</v>
      </c>
      <c r="N336" s="300">
        <f t="shared" ref="N336" si="889">SUM(N334:N335)</f>
        <v>1.0519999999986056</v>
      </c>
      <c r="O336" s="300">
        <f t="shared" si="881"/>
        <v>13.944999999877917</v>
      </c>
      <c r="P336" s="300"/>
      <c r="Q336" s="300">
        <f>SUM(Q334:Q335)</f>
        <v>12.988000000263886</v>
      </c>
      <c r="R336" s="300">
        <f t="shared" ref="R336" si="890">SUM(R334:R335)</f>
        <v>1.0830000000008198</v>
      </c>
      <c r="S336" s="300">
        <f t="shared" ref="S336" si="891">SUM(S334:S335)</f>
        <v>1.1749999999907725</v>
      </c>
      <c r="T336" s="300">
        <f t="shared" si="882"/>
        <v>15.246000000255478</v>
      </c>
      <c r="U336" s="300"/>
      <c r="V336" s="300">
        <f>SUM(V334:V335)</f>
        <v>14.361000000208927</v>
      </c>
      <c r="W336" s="300">
        <f t="shared" ref="W336" si="892">SUM(W334:W335)</f>
        <v>1.1840000000045303</v>
      </c>
      <c r="X336" s="300">
        <f t="shared" ref="X336" si="893">SUM(X334:X335)</f>
        <v>1.331000000012305</v>
      </c>
      <c r="Y336" s="300">
        <f t="shared" si="883"/>
        <v>16.876000000225762</v>
      </c>
    </row>
    <row r="337" spans="1:25" x14ac:dyDescent="0.2">
      <c r="C337" s="319"/>
      <c r="D337" s="319"/>
      <c r="E337" s="319"/>
      <c r="F337" s="319"/>
      <c r="G337" s="319"/>
      <c r="H337" s="319"/>
      <c r="I337" s="319"/>
      <c r="J337" s="319"/>
      <c r="K337" s="319"/>
      <c r="L337" s="319"/>
      <c r="M337" s="319"/>
      <c r="N337" s="319"/>
      <c r="O337" s="319"/>
      <c r="P337" s="319"/>
      <c r="Q337" s="319"/>
      <c r="R337" s="319"/>
      <c r="S337" s="319"/>
      <c r="T337" s="319"/>
      <c r="U337" s="319"/>
      <c r="V337" s="319"/>
      <c r="W337" s="319"/>
      <c r="X337" s="319"/>
      <c r="Y337" s="319"/>
    </row>
    <row r="338" spans="1:25" x14ac:dyDescent="0.2">
      <c r="A338" s="261" t="str">
        <f>name!A49</f>
        <v>Information services</v>
      </c>
      <c r="C338" s="263"/>
    </row>
    <row r="339" spans="1:25" x14ac:dyDescent="0.2">
      <c r="A339" s="260" t="s">
        <v>356</v>
      </c>
      <c r="B339" s="300">
        <v>0.25299999999826533</v>
      </c>
      <c r="C339" s="300">
        <v>5.0000000000392189E-2</v>
      </c>
      <c r="D339" s="300">
        <v>5.5000000000732692E-2</v>
      </c>
      <c r="E339" s="300">
        <f>SUM(B339:D339)</f>
        <v>0.35799999999939019</v>
      </c>
      <c r="F339" s="300"/>
      <c r="G339" s="300">
        <v>0.51899999999338509</v>
      </c>
      <c r="H339" s="300">
        <v>0.61199999999976984</v>
      </c>
      <c r="I339" s="300">
        <v>0</v>
      </c>
      <c r="J339" s="300">
        <f>SUM(G339:I339)</f>
        <v>1.130999999993155</v>
      </c>
      <c r="K339" s="300"/>
      <c r="L339" s="300">
        <v>0.49499999999542987</v>
      </c>
      <c r="M339" s="300">
        <v>0.22400000000058751</v>
      </c>
      <c r="N339" s="300">
        <v>0.25999999999649887</v>
      </c>
      <c r="O339" s="300">
        <f>SUM(L339:N339)</f>
        <v>0.9789999999925163</v>
      </c>
      <c r="P339" s="300"/>
      <c r="Q339" s="300">
        <v>0.55300000001567018</v>
      </c>
      <c r="R339" s="300">
        <v>0.24100000000443678</v>
      </c>
      <c r="S339" s="300">
        <v>0.29099999999767473</v>
      </c>
      <c r="T339" s="300">
        <f>SUM(Q339:S339)</f>
        <v>1.0850000000177817</v>
      </c>
      <c r="U339" s="300"/>
      <c r="V339" s="300">
        <v>0.63600000000286538</v>
      </c>
      <c r="W339" s="300">
        <v>0.25700000000163731</v>
      </c>
      <c r="X339" s="300">
        <v>0.30400000000023941</v>
      </c>
      <c r="Y339" s="300">
        <f>SUM(V339:X339)</f>
        <v>1.197000000004742</v>
      </c>
    </row>
    <row r="340" spans="1:25" x14ac:dyDescent="0.2">
      <c r="A340" s="260" t="s">
        <v>355</v>
      </c>
      <c r="B340" s="300">
        <v>0.90599999999314651</v>
      </c>
      <c r="C340" s="300">
        <v>3.0000000000445198E-2</v>
      </c>
      <c r="D340" s="300">
        <v>4.3000000000243614E-2</v>
      </c>
      <c r="E340" s="300">
        <f t="shared" ref="E340:E341" si="894">SUM(B340:D340)</f>
        <v>0.97899999999383536</v>
      </c>
      <c r="F340" s="300"/>
      <c r="G340" s="300">
        <v>2.799999999985193</v>
      </c>
      <c r="H340" s="300">
        <v>0.33300000000345487</v>
      </c>
      <c r="I340" s="300">
        <v>0.20600000000055949</v>
      </c>
      <c r="J340" s="300">
        <f t="shared" ref="J340:J341" si="895">SUM(G340:I340)</f>
        <v>3.3389999999892073</v>
      </c>
      <c r="K340" s="300"/>
      <c r="L340" s="300">
        <v>2.45999999998525</v>
      </c>
      <c r="M340" s="300">
        <v>0.34700000000031722</v>
      </c>
      <c r="N340" s="300">
        <v>7.5000000000355269E-2</v>
      </c>
      <c r="O340" s="300">
        <f t="shared" ref="O340:O341" si="896">SUM(L340:N340)</f>
        <v>2.8819999999859225</v>
      </c>
      <c r="P340" s="300"/>
      <c r="Q340" s="300">
        <v>2.6640000000185866</v>
      </c>
      <c r="R340" s="300">
        <v>0.38199999999568429</v>
      </c>
      <c r="S340" s="300">
        <v>8.3000000001260843E-2</v>
      </c>
      <c r="T340" s="300">
        <f t="shared" ref="T340:T341" si="897">SUM(Q340:S340)</f>
        <v>3.129000000015532</v>
      </c>
      <c r="U340" s="300"/>
      <c r="V340" s="300">
        <v>2.905000000012151</v>
      </c>
      <c r="W340" s="300">
        <v>0.42399999999487487</v>
      </c>
      <c r="X340" s="300">
        <v>9.4000000000578079E-2</v>
      </c>
      <c r="Y340" s="300">
        <f t="shared" ref="Y340:Y341" si="898">SUM(V340:X340)</f>
        <v>3.4230000000076037</v>
      </c>
    </row>
    <row r="341" spans="1:25" x14ac:dyDescent="0.2">
      <c r="A341" s="260" t="s">
        <v>354</v>
      </c>
      <c r="B341" s="300">
        <f>SUM(B339:B340)</f>
        <v>1.1589999999914118</v>
      </c>
      <c r="C341" s="300">
        <f t="shared" ref="C341" si="899">SUM(C339:C340)</f>
        <v>8.0000000000837387E-2</v>
      </c>
      <c r="D341" s="300">
        <f t="shared" ref="D341" si="900">SUM(D339:D340)</f>
        <v>9.8000000000976306E-2</v>
      </c>
      <c r="E341" s="300">
        <f t="shared" si="894"/>
        <v>1.3369999999932256</v>
      </c>
      <c r="F341" s="300"/>
      <c r="G341" s="300">
        <f>SUM(G339:G340)</f>
        <v>3.318999999978578</v>
      </c>
      <c r="H341" s="300">
        <f t="shared" ref="H341" si="901">SUM(H339:H340)</f>
        <v>0.9450000000032247</v>
      </c>
      <c r="I341" s="300">
        <f t="shared" ref="I341" si="902">SUM(I339:I340)</f>
        <v>0.20600000000055949</v>
      </c>
      <c r="J341" s="300">
        <f t="shared" si="895"/>
        <v>4.4699999999823614</v>
      </c>
      <c r="K341" s="300"/>
      <c r="L341" s="300">
        <f>SUM(L339:L340)</f>
        <v>2.95499999998068</v>
      </c>
      <c r="M341" s="300">
        <f t="shared" ref="M341" si="903">SUM(M339:M340)</f>
        <v>0.57100000000090478</v>
      </c>
      <c r="N341" s="300">
        <f t="shared" ref="N341" si="904">SUM(N339:N340)</f>
        <v>0.33499999999685415</v>
      </c>
      <c r="O341" s="300">
        <f t="shared" si="896"/>
        <v>3.8609999999784388</v>
      </c>
      <c r="P341" s="300"/>
      <c r="Q341" s="300">
        <f>SUM(Q339:Q340)</f>
        <v>3.2170000000342567</v>
      </c>
      <c r="R341" s="300">
        <f t="shared" ref="R341" si="905">SUM(R339:R340)</f>
        <v>0.62300000000012101</v>
      </c>
      <c r="S341" s="300">
        <f t="shared" ref="S341" si="906">SUM(S339:S340)</f>
        <v>0.37399999999893557</v>
      </c>
      <c r="T341" s="300">
        <f t="shared" si="897"/>
        <v>4.2140000000333133</v>
      </c>
      <c r="U341" s="300"/>
      <c r="V341" s="300">
        <f>SUM(V339:V340)</f>
        <v>3.5410000000150164</v>
      </c>
      <c r="W341" s="300">
        <f t="shared" ref="W341" si="907">SUM(W339:W340)</f>
        <v>0.68099999999651217</v>
      </c>
      <c r="X341" s="300">
        <f t="shared" ref="X341" si="908">SUM(X339:X340)</f>
        <v>0.39800000000081748</v>
      </c>
      <c r="Y341" s="300">
        <f t="shared" si="898"/>
        <v>4.6200000000123458</v>
      </c>
    </row>
    <row r="342" spans="1:25" x14ac:dyDescent="0.2">
      <c r="C342" s="263"/>
    </row>
    <row r="343" spans="1:25" x14ac:dyDescent="0.2">
      <c r="A343" s="261" t="s">
        <v>363</v>
      </c>
      <c r="C343" s="263"/>
    </row>
    <row r="344" spans="1:25" x14ac:dyDescent="0.2">
      <c r="A344" s="260" t="s">
        <v>356</v>
      </c>
      <c r="B344" s="300">
        <f>SUM(B329,B334,B339)</f>
        <v>6.4409999999306367</v>
      </c>
      <c r="C344" s="300">
        <f t="shared" ref="C344:D344" si="909">SUM(C329,C334,C339)</f>
        <v>2.7450000000170416</v>
      </c>
      <c r="D344" s="300">
        <f t="shared" si="909"/>
        <v>0.89200000000315938</v>
      </c>
      <c r="E344" s="300">
        <f>SUM(B344:D344)</f>
        <v>10.077999999950839</v>
      </c>
      <c r="F344" s="300"/>
      <c r="G344" s="300">
        <f>SUM(G329,G334,G339)</f>
        <v>5.0579999999564711</v>
      </c>
      <c r="H344" s="300">
        <f t="shared" ref="H344:I344" si="910">SUM(H329,H334,H339)</f>
        <v>2.4330000000228029</v>
      </c>
      <c r="I344" s="300">
        <f t="shared" si="910"/>
        <v>0</v>
      </c>
      <c r="J344" s="300">
        <f>SUM(G344:I344)</f>
        <v>7.490999999979274</v>
      </c>
      <c r="K344" s="300"/>
      <c r="L344" s="300">
        <f>SUM(L329,L334,L339)</f>
        <v>4.8229999999716151</v>
      </c>
      <c r="M344" s="300">
        <f t="shared" ref="M344:N344" si="911">SUM(M329,M334,M339)</f>
        <v>0.89100000000988078</v>
      </c>
      <c r="N344" s="300">
        <f t="shared" si="911"/>
        <v>1.0409999999945105</v>
      </c>
      <c r="O344" s="300">
        <f>SUM(L344:N344)</f>
        <v>6.7549999999760066</v>
      </c>
      <c r="P344" s="300"/>
      <c r="Q344" s="300">
        <f>SUM(Q329,Q334,Q339)</f>
        <v>5.3840000001058028</v>
      </c>
      <c r="R344" s="300">
        <f t="shared" ref="R344:S344" si="912">SUM(R329,R334,R339)</f>
        <v>0.95900000000997709</v>
      </c>
      <c r="S344" s="300">
        <f t="shared" si="912"/>
        <v>1.1539999999745061</v>
      </c>
      <c r="T344" s="300">
        <f>SUM(Q344:S344)</f>
        <v>7.4970000000902868</v>
      </c>
      <c r="U344" s="300"/>
      <c r="V344" s="300">
        <f>SUM(V329,V334,V339)</f>
        <v>6.1910000000227079</v>
      </c>
      <c r="W344" s="300">
        <f t="shared" ref="W344:X344" si="913">SUM(W329,W334,W339)</f>
        <v>1.0210000000070647</v>
      </c>
      <c r="X344" s="300">
        <f t="shared" si="913"/>
        <v>1.2760000000026848</v>
      </c>
      <c r="Y344" s="300">
        <f>SUM(V344:X344)</f>
        <v>8.4880000000324571</v>
      </c>
    </row>
    <row r="345" spans="1:25" x14ac:dyDescent="0.2">
      <c r="A345" s="260" t="s">
        <v>355</v>
      </c>
      <c r="B345" s="300">
        <f>SUM(B330,B335,B340)</f>
        <v>15.778999999741728</v>
      </c>
      <c r="C345" s="300">
        <f t="shared" ref="C345:D345" si="914">SUM(C330,C335,C340)</f>
        <v>1.3799999999935679</v>
      </c>
      <c r="D345" s="300">
        <f t="shared" si="914"/>
        <v>0.96800000000205622</v>
      </c>
      <c r="E345" s="300">
        <f t="shared" ref="E345:E346" si="915">SUM(B345:D345)</f>
        <v>18.126999999737354</v>
      </c>
      <c r="F345" s="300"/>
      <c r="G345" s="300">
        <f>SUM(G330,G335,G340)</f>
        <v>19.29499999980106</v>
      </c>
      <c r="H345" s="300">
        <f t="shared" ref="H345:I345" si="916">SUM(H330,H335,H340)</f>
        <v>1.1899999999991713</v>
      </c>
      <c r="I345" s="300">
        <f t="shared" si="916"/>
        <v>1.4559999999965143</v>
      </c>
      <c r="J345" s="300">
        <f t="shared" ref="J345:J346" si="917">SUM(G345:I345)</f>
        <v>21.940999999796745</v>
      </c>
      <c r="K345" s="300"/>
      <c r="L345" s="300">
        <f>SUM(L330,L335,L340)</f>
        <v>16.950999999817508</v>
      </c>
      <c r="M345" s="300">
        <f t="shared" ref="M345:N345" si="918">SUM(M330,M335,M340)</f>
        <v>1.2399999999989368</v>
      </c>
      <c r="N345" s="300">
        <f t="shared" si="918"/>
        <v>0.52900000000139968</v>
      </c>
      <c r="O345" s="300">
        <f t="shared" ref="O345:O346" si="919">SUM(L345:N345)</f>
        <v>18.719999999817844</v>
      </c>
      <c r="P345" s="300"/>
      <c r="Q345" s="300">
        <f>SUM(Q330,Q335,Q340)</f>
        <v>18.359000000339623</v>
      </c>
      <c r="R345" s="300">
        <f t="shared" ref="R345:S345" si="920">SUM(R330,R335,R340)</f>
        <v>1.3639999999989298</v>
      </c>
      <c r="S345" s="300">
        <f t="shared" si="920"/>
        <v>0.59000000001999364</v>
      </c>
      <c r="T345" s="300">
        <f t="shared" ref="T345:T346" si="921">SUM(Q345:S345)</f>
        <v>20.313000000358549</v>
      </c>
      <c r="U345" s="300"/>
      <c r="V345" s="300">
        <f>SUM(V330,V335,V340)</f>
        <v>20.02000000031364</v>
      </c>
      <c r="W345" s="300">
        <f t="shared" ref="W345:X345" si="922">SUM(W330,W335,W340)</f>
        <v>1.5149999999976078</v>
      </c>
      <c r="X345" s="300">
        <f t="shared" si="922"/>
        <v>0.66600000001509041</v>
      </c>
      <c r="Y345" s="300">
        <f t="shared" ref="Y345:Y346" si="923">SUM(V345:X345)</f>
        <v>22.201000000326339</v>
      </c>
    </row>
    <row r="346" spans="1:25" x14ac:dyDescent="0.2">
      <c r="A346" s="264" t="s">
        <v>354</v>
      </c>
      <c r="B346" s="301">
        <f>SUM(B344:B345)</f>
        <v>22.219999999672364</v>
      </c>
      <c r="C346" s="301">
        <f t="shared" ref="C346" si="924">SUM(C344:C345)</f>
        <v>4.1250000000106093</v>
      </c>
      <c r="D346" s="301">
        <f t="shared" ref="D346" si="925">SUM(D344:D345)</f>
        <v>1.8600000000052157</v>
      </c>
      <c r="E346" s="301">
        <f t="shared" si="915"/>
        <v>28.204999999688187</v>
      </c>
      <c r="F346" s="301"/>
      <c r="G346" s="301">
        <f>SUM(G344:G345)</f>
        <v>24.352999999757532</v>
      </c>
      <c r="H346" s="301">
        <f t="shared" ref="H346" si="926">SUM(H344:H345)</f>
        <v>3.6230000000219742</v>
      </c>
      <c r="I346" s="301">
        <f t="shared" ref="I346" si="927">SUM(I344:I345)</f>
        <v>1.4559999999965143</v>
      </c>
      <c r="J346" s="301">
        <f t="shared" si="917"/>
        <v>29.431999999776021</v>
      </c>
      <c r="K346" s="301"/>
      <c r="L346" s="301">
        <f>SUM(L344:L345)</f>
        <v>21.773999999789122</v>
      </c>
      <c r="M346" s="301">
        <f t="shared" ref="M346" si="928">SUM(M344:M345)</f>
        <v>2.1310000000088176</v>
      </c>
      <c r="N346" s="301">
        <f t="shared" ref="N346" si="929">SUM(N344:N345)</f>
        <v>1.5699999999959102</v>
      </c>
      <c r="O346" s="301">
        <f t="shared" si="919"/>
        <v>25.474999999793852</v>
      </c>
      <c r="P346" s="301"/>
      <c r="Q346" s="301">
        <f>SUM(Q344:Q345)</f>
        <v>23.743000000445427</v>
      </c>
      <c r="R346" s="301">
        <f t="shared" ref="R346" si="930">SUM(R344:R345)</f>
        <v>2.3230000000089071</v>
      </c>
      <c r="S346" s="301">
        <f t="shared" ref="S346" si="931">SUM(S344:S345)</f>
        <v>1.7439999999944997</v>
      </c>
      <c r="T346" s="301">
        <f t="shared" si="921"/>
        <v>27.810000000448834</v>
      </c>
      <c r="U346" s="301"/>
      <c r="V346" s="301">
        <f>SUM(V344:V345)</f>
        <v>26.211000000336348</v>
      </c>
      <c r="W346" s="301">
        <f t="shared" ref="W346" si="932">SUM(W344:W345)</f>
        <v>2.5360000000046723</v>
      </c>
      <c r="X346" s="301">
        <f t="shared" ref="X346" si="933">SUM(X344:X345)</f>
        <v>1.9420000000177753</v>
      </c>
      <c r="Y346" s="301">
        <f t="shared" si="923"/>
        <v>30.689000000358796</v>
      </c>
    </row>
    <row r="347" spans="1:25" x14ac:dyDescent="0.2">
      <c r="A347" s="262"/>
    </row>
    <row r="348" spans="1:25" x14ac:dyDescent="0.2">
      <c r="A348" s="261"/>
    </row>
    <row r="349" spans="1:25" x14ac:dyDescent="0.2">
      <c r="C349" s="263"/>
    </row>
    <row r="350" spans="1:25" ht="15" x14ac:dyDescent="0.25">
      <c r="A350" s="265" t="str">
        <f>"Industry 14 : "&amp; name!B17</f>
        <v>Industry 14 : Finance and insurance</v>
      </c>
      <c r="B350" s="371">
        <f>$B$5</f>
        <v>2015</v>
      </c>
      <c r="C350" s="371"/>
      <c r="D350" s="371"/>
      <c r="E350" s="371"/>
      <c r="F350" s="320"/>
      <c r="G350" s="371">
        <f>$G$5</f>
        <v>2019</v>
      </c>
      <c r="H350" s="371"/>
      <c r="I350" s="371"/>
      <c r="J350" s="371"/>
      <c r="K350" s="320"/>
      <c r="L350" s="371">
        <f>$L$5</f>
        <v>2020</v>
      </c>
      <c r="M350" s="371"/>
      <c r="N350" s="371"/>
      <c r="O350" s="371"/>
      <c r="P350" s="318"/>
      <c r="Q350" s="371">
        <f>$Q$5</f>
        <v>2025</v>
      </c>
      <c r="R350" s="371"/>
      <c r="S350" s="371"/>
      <c r="T350" s="371"/>
      <c r="U350" s="320"/>
      <c r="V350" s="371">
        <f>$V$5</f>
        <v>2035</v>
      </c>
      <c r="W350" s="371"/>
      <c r="X350" s="371"/>
      <c r="Y350" s="371"/>
    </row>
    <row r="351" spans="1:25" x14ac:dyDescent="0.2">
      <c r="A351" s="264"/>
      <c r="B351" s="268" t="str">
        <f>$B$6</f>
        <v>FT</v>
      </c>
      <c r="C351" s="268" t="str">
        <f>$C$6</f>
        <v>PT</v>
      </c>
      <c r="D351" s="268" t="str">
        <f>$D$6</f>
        <v>SE</v>
      </c>
      <c r="E351" s="268" t="str">
        <f>$E$6</f>
        <v>Total</v>
      </c>
      <c r="F351" s="268"/>
      <c r="G351" s="268" t="str">
        <f>$B$6</f>
        <v>FT</v>
      </c>
      <c r="H351" s="268" t="str">
        <f>$C$6</f>
        <v>PT</v>
      </c>
      <c r="I351" s="268" t="str">
        <f>$D$6</f>
        <v>SE</v>
      </c>
      <c r="J351" s="268" t="str">
        <f>$E$6</f>
        <v>Total</v>
      </c>
      <c r="K351" s="268"/>
      <c r="L351" s="268" t="str">
        <f>$L$6</f>
        <v>FT</v>
      </c>
      <c r="M351" s="268" t="str">
        <f>$M$6</f>
        <v>PT</v>
      </c>
      <c r="N351" s="268" t="str">
        <f>$N$6</f>
        <v>SE</v>
      </c>
      <c r="O351" s="268" t="str">
        <f>$O$6</f>
        <v>Total</v>
      </c>
      <c r="P351" s="268"/>
      <c r="Q351" s="268" t="str">
        <f>$L$6</f>
        <v>FT</v>
      </c>
      <c r="R351" s="268" t="str">
        <f>$M$6</f>
        <v>PT</v>
      </c>
      <c r="S351" s="268" t="str">
        <f>$N$6</f>
        <v>SE</v>
      </c>
      <c r="T351" s="268" t="str">
        <f>$O$6</f>
        <v>Total</v>
      </c>
      <c r="U351" s="268"/>
      <c r="V351" s="268" t="str">
        <f>$V$6</f>
        <v>FT</v>
      </c>
      <c r="W351" s="268" t="str">
        <f>$W$6</f>
        <v>PT</v>
      </c>
      <c r="X351" s="268" t="str">
        <f>$X$6</f>
        <v>SE</v>
      </c>
      <c r="Y351" s="268" t="str">
        <f>$Y$6</f>
        <v>Total</v>
      </c>
    </row>
    <row r="352" spans="1:25" x14ac:dyDescent="0.2">
      <c r="C352" s="319"/>
      <c r="D352" s="319"/>
      <c r="E352" s="319"/>
      <c r="F352" s="319"/>
      <c r="G352" s="319"/>
      <c r="H352" s="319"/>
      <c r="I352" s="319"/>
      <c r="J352" s="319"/>
      <c r="K352" s="319"/>
      <c r="L352" s="319"/>
      <c r="M352" s="319"/>
      <c r="N352" s="319"/>
      <c r="O352" s="319"/>
      <c r="P352" s="319"/>
      <c r="Q352" s="319"/>
      <c r="R352" s="319"/>
      <c r="S352" s="319"/>
      <c r="T352" s="319"/>
      <c r="U352" s="319"/>
      <c r="V352" s="319"/>
      <c r="W352" s="319"/>
      <c r="X352" s="319"/>
      <c r="Y352" s="319"/>
    </row>
    <row r="353" spans="1:25" x14ac:dyDescent="0.2">
      <c r="A353" s="261" t="str">
        <f>name!A50</f>
        <v>Financial services</v>
      </c>
      <c r="C353" s="263"/>
    </row>
    <row r="354" spans="1:25" x14ac:dyDescent="0.2">
      <c r="A354" s="260" t="s">
        <v>356</v>
      </c>
      <c r="B354" s="300">
        <v>5.0529999999476329</v>
      </c>
      <c r="C354" s="300">
        <v>3.0490000000107069</v>
      </c>
      <c r="D354" s="300">
        <v>0</v>
      </c>
      <c r="E354" s="300">
        <f>SUM(B354:D354)</f>
        <v>8.1019999999583394</v>
      </c>
      <c r="F354" s="300"/>
      <c r="G354" s="300">
        <v>5.0149999999520274</v>
      </c>
      <c r="H354" s="300">
        <v>2.6020000000080676</v>
      </c>
      <c r="I354" s="300">
        <v>0</v>
      </c>
      <c r="J354" s="300">
        <f>SUM(G354:I354)</f>
        <v>7.616999999960095</v>
      </c>
      <c r="K354" s="300"/>
      <c r="L354" s="300">
        <v>4.7369999999666295</v>
      </c>
      <c r="M354" s="300">
        <v>2.5190000000098807</v>
      </c>
      <c r="N354" s="300">
        <v>0</v>
      </c>
      <c r="O354" s="300">
        <f>SUM(L354:N354)</f>
        <v>7.2559999999765097</v>
      </c>
      <c r="P354" s="300"/>
      <c r="Q354" s="300">
        <v>4.8910000000786846</v>
      </c>
      <c r="R354" s="300">
        <v>2.5730000000281805</v>
      </c>
      <c r="S354" s="300">
        <v>0</v>
      </c>
      <c r="T354" s="300">
        <f>SUM(Q354:S354)</f>
        <v>7.4640000001068652</v>
      </c>
      <c r="U354" s="300"/>
      <c r="V354" s="300">
        <v>4.8880000000010151</v>
      </c>
      <c r="W354" s="300">
        <v>2.547999999997506</v>
      </c>
      <c r="X354" s="300">
        <v>0</v>
      </c>
      <c r="Y354" s="300">
        <f>SUM(V354:X354)</f>
        <v>7.4359999999985211</v>
      </c>
    </row>
    <row r="355" spans="1:25" x14ac:dyDescent="0.2">
      <c r="A355" s="260" t="s">
        <v>355</v>
      </c>
      <c r="B355" s="300">
        <v>6.5429999999315216</v>
      </c>
      <c r="C355" s="300">
        <v>0.24399999999985836</v>
      </c>
      <c r="D355" s="300">
        <v>2.2370000000201635</v>
      </c>
      <c r="E355" s="300">
        <f t="shared" ref="E355:E356" si="934">SUM(B355:D355)</f>
        <v>9.0239999999515437</v>
      </c>
      <c r="F355" s="300"/>
      <c r="G355" s="300">
        <v>6.7109999999494585</v>
      </c>
      <c r="H355" s="300">
        <v>0.26900000000033797</v>
      </c>
      <c r="I355" s="300">
        <v>0.3449999999971145</v>
      </c>
      <c r="J355" s="300">
        <f t="shared" ref="J355:J356" si="935">SUM(G355:I355)</f>
        <v>7.3249999999469111</v>
      </c>
      <c r="K355" s="300"/>
      <c r="L355" s="300">
        <v>6.0379999999572584</v>
      </c>
      <c r="M355" s="300">
        <v>0.32900000000038226</v>
      </c>
      <c r="N355" s="300">
        <v>0.13000000000085188</v>
      </c>
      <c r="O355" s="300">
        <f t="shared" ref="O355:O356" si="936">SUM(L355:N355)</f>
        <v>6.4969999999584926</v>
      </c>
      <c r="P355" s="300"/>
      <c r="Q355" s="300">
        <v>6.2610000000648176</v>
      </c>
      <c r="R355" s="300">
        <v>0.35499999999765652</v>
      </c>
      <c r="S355" s="300">
        <v>0.12300000000855518</v>
      </c>
      <c r="T355" s="300">
        <f t="shared" ref="T355:T356" si="937">SUM(Q355:S355)</f>
        <v>6.7390000000710293</v>
      </c>
      <c r="U355" s="300"/>
      <c r="V355" s="300">
        <v>6.2780000000535807</v>
      </c>
      <c r="W355" s="300">
        <v>0.3809999999960913</v>
      </c>
      <c r="X355" s="300">
        <v>0.12300000000673157</v>
      </c>
      <c r="Y355" s="300">
        <f t="shared" ref="Y355:Y356" si="938">SUM(V355:X355)</f>
        <v>6.7820000000564038</v>
      </c>
    </row>
    <row r="356" spans="1:25" x14ac:dyDescent="0.2">
      <c r="A356" s="260" t="s">
        <v>354</v>
      </c>
      <c r="B356" s="300">
        <f>SUM(B354:B355)</f>
        <v>11.595999999879155</v>
      </c>
      <c r="C356" s="300">
        <f t="shared" ref="C356" si="939">SUM(C354:C355)</f>
        <v>3.2930000000105655</v>
      </c>
      <c r="D356" s="300">
        <f t="shared" ref="D356" si="940">SUM(D354:D355)</f>
        <v>2.2370000000201635</v>
      </c>
      <c r="E356" s="300">
        <f t="shared" si="934"/>
        <v>17.125999999909883</v>
      </c>
      <c r="F356" s="300"/>
      <c r="G356" s="300">
        <f>SUM(G354:G355)</f>
        <v>11.725999999901486</v>
      </c>
      <c r="H356" s="300">
        <f t="shared" ref="H356" si="941">SUM(H354:H355)</f>
        <v>2.8710000000084057</v>
      </c>
      <c r="I356" s="300">
        <f t="shared" ref="I356" si="942">SUM(I354:I355)</f>
        <v>0.3449999999971145</v>
      </c>
      <c r="J356" s="300">
        <f t="shared" si="935"/>
        <v>14.941999999907006</v>
      </c>
      <c r="K356" s="300"/>
      <c r="L356" s="300">
        <f>SUM(L354:L355)</f>
        <v>10.774999999923889</v>
      </c>
      <c r="M356" s="300">
        <f t="shared" ref="M356" si="943">SUM(M354:M355)</f>
        <v>2.8480000000102628</v>
      </c>
      <c r="N356" s="300">
        <f t="shared" ref="N356" si="944">SUM(N354:N355)</f>
        <v>0.13000000000085188</v>
      </c>
      <c r="O356" s="300">
        <f t="shared" si="936"/>
        <v>13.752999999935003</v>
      </c>
      <c r="P356" s="300"/>
      <c r="Q356" s="300">
        <f>SUM(Q354:Q355)</f>
        <v>11.152000000143502</v>
      </c>
      <c r="R356" s="300">
        <f t="shared" ref="R356" si="945">SUM(R354:R355)</f>
        <v>2.928000000025837</v>
      </c>
      <c r="S356" s="300">
        <f t="shared" ref="S356" si="946">SUM(S354:S355)</f>
        <v>0.12300000000855518</v>
      </c>
      <c r="T356" s="300">
        <f t="shared" si="937"/>
        <v>14.203000000177894</v>
      </c>
      <c r="U356" s="300"/>
      <c r="V356" s="300">
        <f>SUM(V354:V355)</f>
        <v>11.166000000054595</v>
      </c>
      <c r="W356" s="300">
        <f t="shared" ref="W356" si="947">SUM(W354:W355)</f>
        <v>2.9289999999935974</v>
      </c>
      <c r="X356" s="300">
        <f t="shared" ref="X356" si="948">SUM(X354:X355)</f>
        <v>0.12300000000673157</v>
      </c>
      <c r="Y356" s="300">
        <f t="shared" si="938"/>
        <v>14.218000000054923</v>
      </c>
    </row>
    <row r="357" spans="1:25" x14ac:dyDescent="0.2">
      <c r="C357" s="319"/>
      <c r="D357" s="319"/>
      <c r="E357" s="319"/>
      <c r="F357" s="319"/>
      <c r="G357" s="319"/>
      <c r="H357" s="319"/>
      <c r="I357" s="319"/>
      <c r="J357" s="319"/>
      <c r="K357" s="319"/>
      <c r="L357" s="319"/>
      <c r="M357" s="319"/>
      <c r="N357" s="319"/>
      <c r="O357" s="319"/>
      <c r="P357" s="319"/>
      <c r="Q357" s="319"/>
      <c r="R357" s="319"/>
      <c r="S357" s="319"/>
      <c r="T357" s="319"/>
      <c r="U357" s="319"/>
      <c r="V357" s="319"/>
      <c r="W357" s="319"/>
      <c r="X357" s="319"/>
      <c r="Y357" s="319"/>
    </row>
    <row r="358" spans="1:25" x14ac:dyDescent="0.2">
      <c r="A358" s="261" t="str">
        <f>name!A51</f>
        <v>Insurance and pensions</v>
      </c>
      <c r="C358" s="263"/>
    </row>
    <row r="359" spans="1:25" x14ac:dyDescent="0.2">
      <c r="A359" s="260" t="s">
        <v>356</v>
      </c>
      <c r="B359" s="300">
        <v>0.90299999999085878</v>
      </c>
      <c r="C359" s="300">
        <v>0.26100000000161777</v>
      </c>
      <c r="D359" s="300">
        <v>0</v>
      </c>
      <c r="E359" s="300">
        <f>SUM(B359:D359)</f>
        <v>1.1639999999924766</v>
      </c>
      <c r="F359" s="300"/>
      <c r="G359" s="300">
        <v>1.0909999999910247</v>
      </c>
      <c r="H359" s="300">
        <v>0.43100000000184158</v>
      </c>
      <c r="I359" s="300">
        <v>0</v>
      </c>
      <c r="J359" s="300">
        <f>SUM(G359:I359)</f>
        <v>1.5219999999928664</v>
      </c>
      <c r="K359" s="300"/>
      <c r="L359" s="300">
        <v>1.0299999999937255</v>
      </c>
      <c r="M359" s="300">
        <v>0.41800000000222609</v>
      </c>
      <c r="N359" s="300">
        <v>0</v>
      </c>
      <c r="O359" s="300">
        <f>SUM(L359:N359)</f>
        <v>1.4479999999959516</v>
      </c>
      <c r="P359" s="300"/>
      <c r="Q359" s="300">
        <v>1.0640000000141803</v>
      </c>
      <c r="R359" s="300">
        <v>0.42700000000663774</v>
      </c>
      <c r="S359" s="300">
        <v>0</v>
      </c>
      <c r="T359" s="300">
        <f>SUM(Q359:S359)</f>
        <v>1.4910000000208181</v>
      </c>
      <c r="U359" s="300"/>
      <c r="V359" s="300">
        <v>1.063000000000355</v>
      </c>
      <c r="W359" s="300">
        <v>0.42199999999924076</v>
      </c>
      <c r="X359" s="300">
        <v>0</v>
      </c>
      <c r="Y359" s="300">
        <f>SUM(V359:X359)</f>
        <v>1.4849999999995958</v>
      </c>
    </row>
    <row r="360" spans="1:25" x14ac:dyDescent="0.2">
      <c r="A360" s="260" t="s">
        <v>355</v>
      </c>
      <c r="B360" s="300">
        <v>0.78799999999255943</v>
      </c>
      <c r="C360" s="300">
        <v>1.9000000000070273E-2</v>
      </c>
      <c r="D360" s="300">
        <v>0.27400000000280883</v>
      </c>
      <c r="E360" s="300">
        <f t="shared" ref="E360:E361" si="949">SUM(B360:D360)</f>
        <v>1.0809999999954385</v>
      </c>
      <c r="F360" s="300"/>
      <c r="G360" s="300">
        <v>0.9829999999932999</v>
      </c>
      <c r="H360" s="300">
        <v>4.1000000000114299E-2</v>
      </c>
      <c r="I360" s="300">
        <v>5.1999999999680711E-2</v>
      </c>
      <c r="J360" s="300">
        <f t="shared" ref="J360:J361" si="950">SUM(G360:I360)</f>
        <v>1.0759999999930949</v>
      </c>
      <c r="K360" s="300"/>
      <c r="L360" s="300">
        <v>0.8849999999942989</v>
      </c>
      <c r="M360" s="300">
        <v>4.9999999999948537E-2</v>
      </c>
      <c r="N360" s="300">
        <v>1.9000000000053124E-2</v>
      </c>
      <c r="O360" s="300">
        <f t="shared" ref="O360:O361" si="951">SUM(L360:N360)</f>
        <v>0.95399999999430052</v>
      </c>
      <c r="P360" s="300"/>
      <c r="Q360" s="300">
        <v>0.91700000000814363</v>
      </c>
      <c r="R360" s="300">
        <v>5.3999999999792138E-2</v>
      </c>
      <c r="S360" s="300">
        <v>1.7000000000817285E-2</v>
      </c>
      <c r="T360" s="300">
        <f t="shared" ref="T360:T361" si="952">SUM(Q360:S360)</f>
        <v>0.98800000000875299</v>
      </c>
      <c r="U360" s="300"/>
      <c r="V360" s="300">
        <v>0.92000000000655136</v>
      </c>
      <c r="W360" s="300">
        <v>5.7999999999783135E-2</v>
      </c>
      <c r="X360" s="300">
        <v>1.3000000000479827E-2</v>
      </c>
      <c r="Y360" s="300">
        <f t="shared" ref="Y360:Y361" si="953">SUM(V360:X360)</f>
        <v>0.99100000000681432</v>
      </c>
    </row>
    <row r="361" spans="1:25" x14ac:dyDescent="0.2">
      <c r="A361" s="260" t="s">
        <v>354</v>
      </c>
      <c r="B361" s="300">
        <f>SUM(B359:B360)</f>
        <v>1.6909999999834182</v>
      </c>
      <c r="C361" s="300">
        <f t="shared" ref="C361" si="954">SUM(C359:C360)</f>
        <v>0.28000000000168807</v>
      </c>
      <c r="D361" s="300">
        <f t="shared" ref="D361" si="955">SUM(D359:D360)</f>
        <v>0.27400000000280883</v>
      </c>
      <c r="E361" s="300">
        <f t="shared" si="949"/>
        <v>2.2449999999879151</v>
      </c>
      <c r="F361" s="300"/>
      <c r="G361" s="300">
        <f>SUM(G359:G360)</f>
        <v>2.0739999999843244</v>
      </c>
      <c r="H361" s="300">
        <f t="shared" ref="H361" si="956">SUM(H359:H360)</f>
        <v>0.47200000000195586</v>
      </c>
      <c r="I361" s="300">
        <f t="shared" ref="I361" si="957">SUM(I359:I360)</f>
        <v>5.1999999999680711E-2</v>
      </c>
      <c r="J361" s="300">
        <f t="shared" si="950"/>
        <v>2.5979999999859609</v>
      </c>
      <c r="K361" s="300"/>
      <c r="L361" s="300">
        <f>SUM(L359:L360)</f>
        <v>1.9149999999880243</v>
      </c>
      <c r="M361" s="300">
        <f t="shared" ref="M361" si="958">SUM(M359:M360)</f>
        <v>0.46800000000217462</v>
      </c>
      <c r="N361" s="300">
        <f t="shared" ref="N361" si="959">SUM(N359:N360)</f>
        <v>1.9000000000053124E-2</v>
      </c>
      <c r="O361" s="300">
        <f t="shared" si="951"/>
        <v>2.4019999999902519</v>
      </c>
      <c r="P361" s="300"/>
      <c r="Q361" s="300">
        <f>SUM(Q359:Q360)</f>
        <v>1.9810000000223238</v>
      </c>
      <c r="R361" s="300">
        <f t="shared" ref="R361" si="960">SUM(R359:R360)</f>
        <v>0.4810000000064299</v>
      </c>
      <c r="S361" s="300">
        <f t="shared" ref="S361" si="961">SUM(S359:S360)</f>
        <v>1.7000000000817285E-2</v>
      </c>
      <c r="T361" s="300">
        <f t="shared" si="952"/>
        <v>2.4790000000295711</v>
      </c>
      <c r="U361" s="300"/>
      <c r="V361" s="300">
        <f>SUM(V359:V360)</f>
        <v>1.9830000000069063</v>
      </c>
      <c r="W361" s="300">
        <f t="shared" ref="W361" si="962">SUM(W359:W360)</f>
        <v>0.47999999999902387</v>
      </c>
      <c r="X361" s="300">
        <f t="shared" ref="X361" si="963">SUM(X359:X360)</f>
        <v>1.3000000000479827E-2</v>
      </c>
      <c r="Y361" s="300">
        <f t="shared" si="953"/>
        <v>2.4760000000064104</v>
      </c>
    </row>
    <row r="362" spans="1:25" x14ac:dyDescent="0.2">
      <c r="C362" s="319"/>
      <c r="D362" s="319"/>
      <c r="E362" s="319"/>
      <c r="F362" s="319"/>
      <c r="G362" s="319"/>
      <c r="H362" s="319"/>
      <c r="I362" s="319"/>
      <c r="J362" s="319"/>
      <c r="K362" s="319"/>
      <c r="L362" s="319"/>
      <c r="M362" s="319"/>
      <c r="N362" s="319"/>
      <c r="O362" s="319"/>
      <c r="P362" s="319"/>
      <c r="Q362" s="319"/>
      <c r="R362" s="319"/>
      <c r="S362" s="319"/>
      <c r="T362" s="319"/>
      <c r="U362" s="319"/>
      <c r="V362" s="319"/>
      <c r="W362" s="319"/>
      <c r="X362" s="319"/>
      <c r="Y362" s="319"/>
    </row>
    <row r="363" spans="1:25" x14ac:dyDescent="0.2">
      <c r="A363" s="261" t="str">
        <f>name!A52</f>
        <v>Auxiliary financial services</v>
      </c>
      <c r="C363" s="263"/>
    </row>
    <row r="364" spans="1:25" x14ac:dyDescent="0.2">
      <c r="A364" s="260" t="s">
        <v>356</v>
      </c>
      <c r="B364" s="300">
        <v>2.9369999999704759</v>
      </c>
      <c r="C364" s="300">
        <v>0.38900000000190388</v>
      </c>
      <c r="D364" s="300">
        <v>0</v>
      </c>
      <c r="E364" s="300">
        <f>SUM(B364:D364)</f>
        <v>3.3259999999723799</v>
      </c>
      <c r="F364" s="300"/>
      <c r="G364" s="300">
        <v>3.5219999999650593</v>
      </c>
      <c r="H364" s="300">
        <v>0.4219999999998163</v>
      </c>
      <c r="I364" s="300">
        <v>0</v>
      </c>
      <c r="J364" s="300">
        <f>SUM(G364:I364)</f>
        <v>3.9439999999648756</v>
      </c>
      <c r="K364" s="300"/>
      <c r="L364" s="300">
        <v>3.3269999999755746</v>
      </c>
      <c r="M364" s="300">
        <v>0.40800000000029929</v>
      </c>
      <c r="N364" s="300">
        <v>0</v>
      </c>
      <c r="O364" s="300">
        <f>SUM(L364:N364)</f>
        <v>3.7349999999758738</v>
      </c>
      <c r="P364" s="300"/>
      <c r="Q364" s="300">
        <v>3.4350000000556786</v>
      </c>
      <c r="R364" s="300">
        <v>0.41700000000757187</v>
      </c>
      <c r="S364" s="300">
        <v>0</v>
      </c>
      <c r="T364" s="300">
        <f>SUM(Q364:S364)</f>
        <v>3.8520000000632506</v>
      </c>
      <c r="U364" s="300"/>
      <c r="V364" s="300">
        <v>3.4329999999995771</v>
      </c>
      <c r="W364" s="300">
        <v>0.41299999999868542</v>
      </c>
      <c r="X364" s="300">
        <v>0</v>
      </c>
      <c r="Y364" s="300">
        <f>SUM(V364:X364)</f>
        <v>3.8459999999982624</v>
      </c>
    </row>
    <row r="365" spans="1:25" x14ac:dyDescent="0.2">
      <c r="A365" s="260" t="s">
        <v>355</v>
      </c>
      <c r="B365" s="300">
        <v>2.4849999999767145</v>
      </c>
      <c r="C365" s="300">
        <v>6.900000000004064E-2</v>
      </c>
      <c r="D365" s="300">
        <v>0.91800000000239834</v>
      </c>
      <c r="E365" s="300">
        <f t="shared" ref="E365:E366" si="964">SUM(B365:D365)</f>
        <v>3.4719999999791535</v>
      </c>
      <c r="F365" s="300"/>
      <c r="G365" s="300">
        <v>3.0799999999788321</v>
      </c>
      <c r="H365" s="300">
        <v>9.6000000000248886E-2</v>
      </c>
      <c r="I365" s="300">
        <v>0.17299999999804708</v>
      </c>
      <c r="J365" s="300">
        <f t="shared" ref="J365:J366" si="965">SUM(G365:I365)</f>
        <v>3.3489999999771278</v>
      </c>
      <c r="K365" s="300"/>
      <c r="L365" s="300">
        <v>2.7709999999823771</v>
      </c>
      <c r="M365" s="300">
        <v>0.11799999999955621</v>
      </c>
      <c r="N365" s="300">
        <v>0.30600000000277183</v>
      </c>
      <c r="O365" s="300">
        <f t="shared" ref="O365:O366" si="966">SUM(L365:N365)</f>
        <v>3.194999999984705</v>
      </c>
      <c r="P365" s="300"/>
      <c r="Q365" s="300">
        <v>2.8730000000242892</v>
      </c>
      <c r="R365" s="300">
        <v>0.12699999999982026</v>
      </c>
      <c r="S365" s="300">
        <v>0.35500000002506643</v>
      </c>
      <c r="T365" s="300">
        <f t="shared" ref="T365:T366" si="967">SUM(Q365:S365)</f>
        <v>3.3550000000491762</v>
      </c>
      <c r="U365" s="300"/>
      <c r="V365" s="300">
        <v>2.8810000000186649</v>
      </c>
      <c r="W365" s="300">
        <v>0.13599999999971257</v>
      </c>
      <c r="X365" s="300">
        <v>0.3810000000215692</v>
      </c>
      <c r="Y365" s="300">
        <f t="shared" ref="Y365:Y366" si="968">SUM(V365:X365)</f>
        <v>3.3980000000399468</v>
      </c>
    </row>
    <row r="366" spans="1:25" x14ac:dyDescent="0.2">
      <c r="A366" s="260" t="s">
        <v>354</v>
      </c>
      <c r="B366" s="300">
        <f>SUM(B364:B365)</f>
        <v>5.4219999999471904</v>
      </c>
      <c r="C366" s="300">
        <f t="shared" ref="C366" si="969">SUM(C364:C365)</f>
        <v>0.45800000000194452</v>
      </c>
      <c r="D366" s="300">
        <f t="shared" ref="D366" si="970">SUM(D364:D365)</f>
        <v>0.91800000000239834</v>
      </c>
      <c r="E366" s="300">
        <f t="shared" si="964"/>
        <v>6.797999999951533</v>
      </c>
      <c r="F366" s="300"/>
      <c r="G366" s="300">
        <f>SUM(G364:G365)</f>
        <v>6.6019999999438914</v>
      </c>
      <c r="H366" s="300">
        <f t="shared" ref="H366" si="971">SUM(H364:H365)</f>
        <v>0.51800000000006519</v>
      </c>
      <c r="I366" s="300">
        <f t="shared" ref="I366" si="972">SUM(I364:I365)</f>
        <v>0.17299999999804708</v>
      </c>
      <c r="J366" s="300">
        <f t="shared" si="965"/>
        <v>7.2929999999420039</v>
      </c>
      <c r="K366" s="300"/>
      <c r="L366" s="300">
        <f>SUM(L364:L365)</f>
        <v>6.0979999999579517</v>
      </c>
      <c r="M366" s="300">
        <f t="shared" ref="M366" si="973">SUM(M364:M365)</f>
        <v>0.52599999999985547</v>
      </c>
      <c r="N366" s="300">
        <f t="shared" ref="N366" si="974">SUM(N364:N365)</f>
        <v>0.30600000000277183</v>
      </c>
      <c r="O366" s="300">
        <f t="shared" si="966"/>
        <v>6.9299999999605788</v>
      </c>
      <c r="P366" s="300"/>
      <c r="Q366" s="300">
        <f>SUM(Q364:Q365)</f>
        <v>6.3080000000799679</v>
      </c>
      <c r="R366" s="300">
        <f t="shared" ref="R366" si="975">SUM(R364:R365)</f>
        <v>0.54400000000739213</v>
      </c>
      <c r="S366" s="300">
        <f t="shared" ref="S366" si="976">SUM(S364:S365)</f>
        <v>0.35500000002506643</v>
      </c>
      <c r="T366" s="300">
        <f t="shared" si="967"/>
        <v>7.2070000001124264</v>
      </c>
      <c r="U366" s="300"/>
      <c r="V366" s="300">
        <f>SUM(V364:V365)</f>
        <v>6.3140000000182415</v>
      </c>
      <c r="W366" s="300">
        <f t="shared" ref="W366" si="977">SUM(W364:W365)</f>
        <v>0.54899999999839799</v>
      </c>
      <c r="X366" s="300">
        <f t="shared" ref="X366" si="978">SUM(X364:X365)</f>
        <v>0.3810000000215692</v>
      </c>
      <c r="Y366" s="300">
        <f t="shared" si="968"/>
        <v>7.2440000000382092</v>
      </c>
    </row>
    <row r="367" spans="1:25" x14ac:dyDescent="0.2">
      <c r="C367" s="263"/>
    </row>
    <row r="368" spans="1:25" x14ac:dyDescent="0.2">
      <c r="A368" s="261" t="s">
        <v>362</v>
      </c>
      <c r="C368" s="263"/>
    </row>
    <row r="369" spans="1:25" x14ac:dyDescent="0.2">
      <c r="A369" s="260" t="s">
        <v>356</v>
      </c>
      <c r="B369" s="300">
        <f>SUM(B354,B359,B364)</f>
        <v>8.8929999999089677</v>
      </c>
      <c r="C369" s="300">
        <f t="shared" ref="C369:D369" si="979">SUM(C354,C359,C364)</f>
        <v>3.6990000000142289</v>
      </c>
      <c r="D369" s="300">
        <f t="shared" si="979"/>
        <v>0</v>
      </c>
      <c r="E369" s="300">
        <f>SUM(B369:D369)</f>
        <v>12.591999999923196</v>
      </c>
      <c r="F369" s="300"/>
      <c r="G369" s="300">
        <f>SUM(G354,G359,G364)</f>
        <v>9.627999999908111</v>
      </c>
      <c r="H369" s="300">
        <f t="shared" ref="H369:I369" si="980">SUM(H354,H359,H364)</f>
        <v>3.4550000000097256</v>
      </c>
      <c r="I369" s="300">
        <f t="shared" si="980"/>
        <v>0</v>
      </c>
      <c r="J369" s="300">
        <f>SUM(G369:I369)</f>
        <v>13.082999999917837</v>
      </c>
      <c r="K369" s="300"/>
      <c r="L369" s="300">
        <f>SUM(L354,L359,L364)</f>
        <v>9.0939999999359298</v>
      </c>
      <c r="M369" s="300">
        <f t="shared" ref="M369:N369" si="981">SUM(M354,M359,M364)</f>
        <v>3.3450000000124058</v>
      </c>
      <c r="N369" s="300">
        <f t="shared" si="981"/>
        <v>0</v>
      </c>
      <c r="O369" s="300">
        <f>SUM(L369:N369)</f>
        <v>12.438999999948336</v>
      </c>
      <c r="P369" s="300"/>
      <c r="Q369" s="300">
        <f>SUM(Q354,Q359,Q364)</f>
        <v>9.3900000001485431</v>
      </c>
      <c r="R369" s="300">
        <f t="shared" ref="R369:S369" si="982">SUM(R354,R359,R364)</f>
        <v>3.4170000000423904</v>
      </c>
      <c r="S369" s="300">
        <f t="shared" si="982"/>
        <v>0</v>
      </c>
      <c r="T369" s="300">
        <f>SUM(Q369:S369)</f>
        <v>12.807000000190934</v>
      </c>
      <c r="U369" s="300"/>
      <c r="V369" s="300">
        <f>SUM(V354,V359,V364)</f>
        <v>9.3840000000009471</v>
      </c>
      <c r="W369" s="300">
        <f t="shared" ref="W369:X369" si="983">SUM(W354,W359,W364)</f>
        <v>3.3829999999954321</v>
      </c>
      <c r="X369" s="300">
        <f t="shared" si="983"/>
        <v>0</v>
      </c>
      <c r="Y369" s="300">
        <f>SUM(V369:X369)</f>
        <v>12.766999999996379</v>
      </c>
    </row>
    <row r="370" spans="1:25" x14ac:dyDescent="0.2">
      <c r="A370" s="260" t="s">
        <v>355</v>
      </c>
      <c r="B370" s="300">
        <f>SUM(B355,B360,B365)</f>
        <v>9.8159999999007947</v>
      </c>
      <c r="C370" s="300">
        <f t="shared" ref="C370:D370" si="984">SUM(C355,C360,C365)</f>
        <v>0.33199999999996926</v>
      </c>
      <c r="D370" s="300">
        <f t="shared" si="984"/>
        <v>3.4290000000253706</v>
      </c>
      <c r="E370" s="300">
        <f t="shared" ref="E370:E371" si="985">SUM(B370:D370)</f>
        <v>13.576999999926134</v>
      </c>
      <c r="F370" s="300"/>
      <c r="G370" s="300">
        <f>SUM(G355,G360,G365)</f>
        <v>10.773999999921591</v>
      </c>
      <c r="H370" s="300">
        <f t="shared" ref="H370:I370" si="986">SUM(H355,H360,H365)</f>
        <v>0.40600000000070113</v>
      </c>
      <c r="I370" s="300">
        <f t="shared" si="986"/>
        <v>0.5699999999948423</v>
      </c>
      <c r="J370" s="300">
        <f t="shared" ref="J370:J371" si="987">SUM(G370:I370)</f>
        <v>11.749999999917133</v>
      </c>
      <c r="K370" s="300"/>
      <c r="L370" s="300">
        <f>SUM(L355,L360,L365)</f>
        <v>9.6939999999339346</v>
      </c>
      <c r="M370" s="300">
        <f t="shared" ref="M370:N370" si="988">SUM(M355,M360,M365)</f>
        <v>0.49699999999988698</v>
      </c>
      <c r="N370" s="300">
        <f t="shared" si="988"/>
        <v>0.4550000000036768</v>
      </c>
      <c r="O370" s="300">
        <f t="shared" ref="O370:O371" si="989">SUM(L370:N370)</f>
        <v>10.645999999937498</v>
      </c>
      <c r="P370" s="300"/>
      <c r="Q370" s="300">
        <f>SUM(Q355,Q360,Q365)</f>
        <v>10.05100000009725</v>
      </c>
      <c r="R370" s="300">
        <f t="shared" ref="R370:S370" si="990">SUM(R355,R360,R365)</f>
        <v>0.53599999999726888</v>
      </c>
      <c r="S370" s="300">
        <f t="shared" si="990"/>
        <v>0.49500000003443889</v>
      </c>
      <c r="T370" s="300">
        <f t="shared" ref="T370:T371" si="991">SUM(Q370:S370)</f>
        <v>11.082000000128959</v>
      </c>
      <c r="U370" s="300"/>
      <c r="V370" s="300">
        <f>SUM(V355,V360,V365)</f>
        <v>10.079000000078796</v>
      </c>
      <c r="W370" s="300">
        <f t="shared" ref="W370:X370" si="992">SUM(W355,W360,W365)</f>
        <v>0.57499999999558704</v>
      </c>
      <c r="X370" s="300">
        <f t="shared" si="992"/>
        <v>0.51700000002878066</v>
      </c>
      <c r="Y370" s="300">
        <f t="shared" ref="Y370:Y371" si="993">SUM(V370:X370)</f>
        <v>11.171000000103163</v>
      </c>
    </row>
    <row r="371" spans="1:25" x14ac:dyDescent="0.2">
      <c r="A371" s="264" t="s">
        <v>354</v>
      </c>
      <c r="B371" s="301">
        <f>SUM(B369:B370)</f>
        <v>18.708999999809762</v>
      </c>
      <c r="C371" s="301">
        <f t="shared" ref="C371" si="994">SUM(C369:C370)</f>
        <v>4.0310000000141981</v>
      </c>
      <c r="D371" s="301">
        <f t="shared" ref="D371" si="995">SUM(D369:D370)</f>
        <v>3.4290000000253706</v>
      </c>
      <c r="E371" s="301">
        <f t="shared" si="985"/>
        <v>26.168999999849333</v>
      </c>
      <c r="F371" s="301"/>
      <c r="G371" s="301">
        <f>SUM(G369:G370)</f>
        <v>20.401999999829702</v>
      </c>
      <c r="H371" s="301">
        <f t="shared" ref="H371" si="996">SUM(H369:H370)</f>
        <v>3.861000000010427</v>
      </c>
      <c r="I371" s="301">
        <f t="shared" ref="I371" si="997">SUM(I369:I370)</f>
        <v>0.5699999999948423</v>
      </c>
      <c r="J371" s="301">
        <f t="shared" si="987"/>
        <v>24.832999999834971</v>
      </c>
      <c r="K371" s="301"/>
      <c r="L371" s="301">
        <f>SUM(L369:L370)</f>
        <v>18.787999999869864</v>
      </c>
      <c r="M371" s="301">
        <f t="shared" ref="M371" si="998">SUM(M369:M370)</f>
        <v>3.8420000000122929</v>
      </c>
      <c r="N371" s="301">
        <f t="shared" ref="N371" si="999">SUM(N369:N370)</f>
        <v>0.4550000000036768</v>
      </c>
      <c r="O371" s="301">
        <f t="shared" si="989"/>
        <v>23.084999999885834</v>
      </c>
      <c r="P371" s="301"/>
      <c r="Q371" s="301">
        <f>SUM(Q369:Q370)</f>
        <v>19.441000000245793</v>
      </c>
      <c r="R371" s="301">
        <f t="shared" ref="R371" si="1000">SUM(R369:R370)</f>
        <v>3.9530000000396592</v>
      </c>
      <c r="S371" s="301">
        <f t="shared" ref="S371" si="1001">SUM(S369:S370)</f>
        <v>0.49500000003443889</v>
      </c>
      <c r="T371" s="301">
        <f t="shared" si="991"/>
        <v>23.889000000319889</v>
      </c>
      <c r="U371" s="301"/>
      <c r="V371" s="301">
        <f>SUM(V369:V370)</f>
        <v>19.463000000079745</v>
      </c>
      <c r="W371" s="301">
        <f t="shared" ref="W371" si="1002">SUM(W369:W370)</f>
        <v>3.9579999999910189</v>
      </c>
      <c r="X371" s="301">
        <f t="shared" ref="X371" si="1003">SUM(X369:X370)</f>
        <v>0.51700000002878066</v>
      </c>
      <c r="Y371" s="301">
        <f t="shared" si="993"/>
        <v>23.938000000099542</v>
      </c>
    </row>
    <row r="375" spans="1:25" ht="15" x14ac:dyDescent="0.25">
      <c r="A375" s="265" t="str">
        <f>"Industry 15 : "&amp; name!B18</f>
        <v>Industry 15 : Real estate</v>
      </c>
      <c r="B375" s="371">
        <f>$B$5</f>
        <v>2015</v>
      </c>
      <c r="C375" s="371"/>
      <c r="D375" s="371"/>
      <c r="E375" s="371"/>
      <c r="F375" s="320"/>
      <c r="G375" s="371">
        <f>$G$5</f>
        <v>2019</v>
      </c>
      <c r="H375" s="371"/>
      <c r="I375" s="371"/>
      <c r="J375" s="371"/>
      <c r="K375" s="320"/>
      <c r="L375" s="371">
        <f>$L$5</f>
        <v>2020</v>
      </c>
      <c r="M375" s="371"/>
      <c r="N375" s="371"/>
      <c r="O375" s="371"/>
      <c r="P375" s="318"/>
      <c r="Q375" s="371">
        <f>$Q$5</f>
        <v>2025</v>
      </c>
      <c r="R375" s="371"/>
      <c r="S375" s="371"/>
      <c r="T375" s="371"/>
      <c r="U375" s="320"/>
      <c r="V375" s="371">
        <f>$V$5</f>
        <v>2035</v>
      </c>
      <c r="W375" s="371"/>
      <c r="X375" s="371"/>
      <c r="Y375" s="371"/>
    </row>
    <row r="376" spans="1:25" x14ac:dyDescent="0.2">
      <c r="A376" s="264"/>
      <c r="B376" s="268" t="str">
        <f>$B$6</f>
        <v>FT</v>
      </c>
      <c r="C376" s="268" t="str">
        <f>$C$6</f>
        <v>PT</v>
      </c>
      <c r="D376" s="268" t="str">
        <f>$D$6</f>
        <v>SE</v>
      </c>
      <c r="E376" s="268" t="str">
        <f>$E$6</f>
        <v>Total</v>
      </c>
      <c r="F376" s="268"/>
      <c r="G376" s="268" t="str">
        <f>$B$6</f>
        <v>FT</v>
      </c>
      <c r="H376" s="268" t="str">
        <f>$C$6</f>
        <v>PT</v>
      </c>
      <c r="I376" s="268" t="str">
        <f>$D$6</f>
        <v>SE</v>
      </c>
      <c r="J376" s="268" t="str">
        <f>$E$6</f>
        <v>Total</v>
      </c>
      <c r="K376" s="268"/>
      <c r="L376" s="268" t="str">
        <f>$L$6</f>
        <v>FT</v>
      </c>
      <c r="M376" s="268" t="str">
        <f>$M$6</f>
        <v>PT</v>
      </c>
      <c r="N376" s="268" t="str">
        <f>$N$6</f>
        <v>SE</v>
      </c>
      <c r="O376" s="268" t="str">
        <f>$O$6</f>
        <v>Total</v>
      </c>
      <c r="P376" s="268"/>
      <c r="Q376" s="268" t="str">
        <f>$L$6</f>
        <v>FT</v>
      </c>
      <c r="R376" s="268" t="str">
        <f>$M$6</f>
        <v>PT</v>
      </c>
      <c r="S376" s="268" t="str">
        <f>$N$6</f>
        <v>SE</v>
      </c>
      <c r="T376" s="268" t="str">
        <f>$O$6</f>
        <v>Total</v>
      </c>
      <c r="U376" s="268"/>
      <c r="V376" s="268" t="str">
        <f>$V$6</f>
        <v>FT</v>
      </c>
      <c r="W376" s="268" t="str">
        <f>$W$6</f>
        <v>PT</v>
      </c>
      <c r="X376" s="268" t="str">
        <f>$X$6</f>
        <v>SE</v>
      </c>
      <c r="Y376" s="268" t="str">
        <f>$Y$6</f>
        <v>Total</v>
      </c>
    </row>
    <row r="377" spans="1:25" x14ac:dyDescent="0.2">
      <c r="C377" s="319"/>
      <c r="D377" s="319"/>
      <c r="E377" s="319"/>
      <c r="F377" s="319"/>
      <c r="G377" s="319"/>
      <c r="H377" s="319"/>
      <c r="I377" s="319"/>
      <c r="J377" s="319"/>
      <c r="K377" s="319"/>
      <c r="L377" s="319"/>
      <c r="M377" s="319"/>
      <c r="N377" s="319"/>
      <c r="O377" s="319"/>
      <c r="P377" s="319"/>
      <c r="Q377" s="319"/>
      <c r="R377" s="319"/>
      <c r="S377" s="319"/>
      <c r="T377" s="319"/>
      <c r="U377" s="319"/>
      <c r="V377" s="319"/>
      <c r="W377" s="319"/>
      <c r="X377" s="319"/>
      <c r="Y377" s="319"/>
    </row>
    <row r="378" spans="1:25" x14ac:dyDescent="0.2">
      <c r="A378" s="261" t="str">
        <f>name!A53</f>
        <v>Real estate</v>
      </c>
      <c r="C378" s="263"/>
    </row>
    <row r="379" spans="1:25" x14ac:dyDescent="0.2">
      <c r="A379" s="260" t="s">
        <v>356</v>
      </c>
      <c r="B379" s="300">
        <v>4.7589999999619286</v>
      </c>
      <c r="C379" s="300">
        <v>3.0140000000482199</v>
      </c>
      <c r="D379" s="300">
        <v>0.5460000000065186</v>
      </c>
      <c r="E379" s="300">
        <f>SUM(B379:D379)</f>
        <v>8.3190000000166666</v>
      </c>
      <c r="F379" s="300"/>
      <c r="G379" s="300">
        <v>7.1429999999127602</v>
      </c>
      <c r="H379" s="300">
        <v>3.0630000000126079</v>
      </c>
      <c r="I379" s="300">
        <v>1.0160000000189973</v>
      </c>
      <c r="J379" s="300">
        <f>SUM(G379:I379)</f>
        <v>11.221999999944366</v>
      </c>
      <c r="K379" s="300"/>
      <c r="L379" s="300">
        <v>5.6519999999479289</v>
      </c>
      <c r="M379" s="300">
        <v>2.933000000025614</v>
      </c>
      <c r="N379" s="300">
        <v>1.5019999999794176</v>
      </c>
      <c r="O379" s="300">
        <f>SUM(L379:N379)</f>
        <v>10.086999999952962</v>
      </c>
      <c r="P379" s="300"/>
      <c r="Q379" s="300">
        <v>5.8080000001459817</v>
      </c>
      <c r="R379" s="300">
        <v>2.7830000001118878</v>
      </c>
      <c r="S379" s="300">
        <v>1.5119999999883793</v>
      </c>
      <c r="T379" s="300">
        <f>SUM(Q379:S379)</f>
        <v>10.103000000246249</v>
      </c>
      <c r="U379" s="300"/>
      <c r="V379" s="300">
        <v>7.0379999999877292</v>
      </c>
      <c r="W379" s="300">
        <v>2.8830000000114322</v>
      </c>
      <c r="X379" s="300">
        <v>1.7230000000179513</v>
      </c>
      <c r="Y379" s="300">
        <f>SUM(V379:X379)</f>
        <v>11.644000000017112</v>
      </c>
    </row>
    <row r="380" spans="1:25" x14ac:dyDescent="0.2">
      <c r="A380" s="260" t="s">
        <v>355</v>
      </c>
      <c r="B380" s="300">
        <v>7.7349999999642174</v>
      </c>
      <c r="C380" s="300">
        <v>0.33199999999962332</v>
      </c>
      <c r="D380" s="300">
        <v>1.2239999999940874</v>
      </c>
      <c r="E380" s="300">
        <f t="shared" ref="E380:E381" si="1004">SUM(B380:D380)</f>
        <v>9.2909999999579274</v>
      </c>
      <c r="F380" s="300"/>
      <c r="G380" s="300">
        <v>6.3959999999770218</v>
      </c>
      <c r="H380" s="300">
        <v>1.2980000000009742</v>
      </c>
      <c r="I380" s="300">
        <v>1.5080000000161919</v>
      </c>
      <c r="J380" s="300">
        <f t="shared" ref="J380:J381" si="1005">SUM(G380:I380)</f>
        <v>9.2019999999941877</v>
      </c>
      <c r="K380" s="300"/>
      <c r="L380" s="300">
        <v>7.0149999999760588</v>
      </c>
      <c r="M380" s="300">
        <v>1.4709999999904526</v>
      </c>
      <c r="N380" s="300">
        <v>9.9999999999673115E-4</v>
      </c>
      <c r="O380" s="300">
        <f t="shared" ref="O380:O381" si="1006">SUM(L380:N380)</f>
        <v>8.4869999999665069</v>
      </c>
      <c r="P380" s="300"/>
      <c r="Q380" s="300">
        <v>6.9550000000057137</v>
      </c>
      <c r="R380" s="300">
        <v>1.4630000000083458</v>
      </c>
      <c r="S380" s="300">
        <v>9.9999999998033563E-4</v>
      </c>
      <c r="T380" s="300">
        <f t="shared" ref="T380:T381" si="1007">SUM(Q380:S380)</f>
        <v>8.419000000014039</v>
      </c>
      <c r="U380" s="300"/>
      <c r="V380" s="300">
        <v>7.8669999999883986</v>
      </c>
      <c r="W380" s="300">
        <v>1.685000000013354</v>
      </c>
      <c r="X380" s="300">
        <v>9.9999999998819913E-4</v>
      </c>
      <c r="Y380" s="300">
        <f t="shared" ref="Y380:Y381" si="1008">SUM(V380:X380)</f>
        <v>9.5530000000017417</v>
      </c>
    </row>
    <row r="381" spans="1:25" x14ac:dyDescent="0.2">
      <c r="A381" s="264" t="s">
        <v>354</v>
      </c>
      <c r="B381" s="301">
        <f>SUM(B379:B380)</f>
        <v>12.493999999926146</v>
      </c>
      <c r="C381" s="301">
        <f t="shared" ref="C381" si="1009">SUM(C379:C380)</f>
        <v>3.3460000000478431</v>
      </c>
      <c r="D381" s="301">
        <f t="shared" ref="D381" si="1010">SUM(D379:D380)</f>
        <v>1.770000000000606</v>
      </c>
      <c r="E381" s="301">
        <f t="shared" si="1004"/>
        <v>17.609999999974594</v>
      </c>
      <c r="F381" s="301"/>
      <c r="G381" s="301">
        <f>SUM(G379:G380)</f>
        <v>13.538999999889782</v>
      </c>
      <c r="H381" s="301">
        <f t="shared" ref="H381" si="1011">SUM(H379:H380)</f>
        <v>4.3610000000135818</v>
      </c>
      <c r="I381" s="301">
        <f t="shared" ref="I381" si="1012">SUM(I379:I380)</f>
        <v>2.5240000000351892</v>
      </c>
      <c r="J381" s="301">
        <f t="shared" si="1005"/>
        <v>20.423999999938555</v>
      </c>
      <c r="K381" s="301"/>
      <c r="L381" s="301">
        <f>SUM(L379:L380)</f>
        <v>12.666999999923988</v>
      </c>
      <c r="M381" s="301">
        <f t="shared" ref="M381" si="1013">SUM(M379:M380)</f>
        <v>4.4040000000160671</v>
      </c>
      <c r="N381" s="301">
        <f t="shared" ref="N381" si="1014">SUM(N379:N380)</f>
        <v>1.5029999999794144</v>
      </c>
      <c r="O381" s="301">
        <f t="shared" si="1006"/>
        <v>18.573999999919472</v>
      </c>
      <c r="P381" s="301"/>
      <c r="Q381" s="301">
        <f>SUM(Q379:Q380)</f>
        <v>12.763000000151695</v>
      </c>
      <c r="R381" s="301">
        <f t="shared" ref="R381" si="1015">SUM(R379:R380)</f>
        <v>4.2460000001202332</v>
      </c>
      <c r="S381" s="301">
        <f t="shared" ref="S381" si="1016">SUM(S379:S380)</f>
        <v>1.5129999999883597</v>
      </c>
      <c r="T381" s="301">
        <f t="shared" si="1007"/>
        <v>18.522000000260288</v>
      </c>
      <c r="U381" s="301"/>
      <c r="V381" s="301">
        <f>SUM(V379:V380)</f>
        <v>14.904999999976127</v>
      </c>
      <c r="W381" s="301">
        <f t="shared" ref="W381" si="1017">SUM(W379:W380)</f>
        <v>4.568000000024786</v>
      </c>
      <c r="X381" s="301">
        <f t="shared" ref="X381" si="1018">SUM(X379:X380)</f>
        <v>1.7240000000179394</v>
      </c>
      <c r="Y381" s="301">
        <f t="shared" si="1008"/>
        <v>21.19700000001885</v>
      </c>
    </row>
    <row r="382" spans="1:25" x14ac:dyDescent="0.2">
      <c r="C382" s="263"/>
    </row>
    <row r="383" spans="1:25" x14ac:dyDescent="0.2">
      <c r="A383" s="261"/>
    </row>
    <row r="384" spans="1:25" x14ac:dyDescent="0.2">
      <c r="C384" s="263"/>
    </row>
    <row r="385" spans="1:25" ht="15" x14ac:dyDescent="0.25">
      <c r="A385" s="265" t="str">
        <f>"Industry 16 : "&amp; name!B19</f>
        <v>Industry 16 : Professional services</v>
      </c>
      <c r="B385" s="371">
        <f>$B$5</f>
        <v>2015</v>
      </c>
      <c r="C385" s="371"/>
      <c r="D385" s="371"/>
      <c r="E385" s="371"/>
      <c r="F385" s="320"/>
      <c r="G385" s="371">
        <f>$G$5</f>
        <v>2019</v>
      </c>
      <c r="H385" s="371"/>
      <c r="I385" s="371"/>
      <c r="J385" s="371"/>
      <c r="K385" s="320"/>
      <c r="L385" s="371">
        <f>$L$5</f>
        <v>2020</v>
      </c>
      <c r="M385" s="371"/>
      <c r="N385" s="371"/>
      <c r="O385" s="371"/>
      <c r="P385" s="318"/>
      <c r="Q385" s="371">
        <f>$Q$5</f>
        <v>2025</v>
      </c>
      <c r="R385" s="371"/>
      <c r="S385" s="371"/>
      <c r="T385" s="371"/>
      <c r="U385" s="320"/>
      <c r="V385" s="371">
        <f>$V$5</f>
        <v>2035</v>
      </c>
      <c r="W385" s="371"/>
      <c r="X385" s="371"/>
      <c r="Y385" s="371"/>
    </row>
    <row r="386" spans="1:25" x14ac:dyDescent="0.2">
      <c r="A386" s="264"/>
      <c r="B386" s="268" t="str">
        <f>$B$6</f>
        <v>FT</v>
      </c>
      <c r="C386" s="268" t="str">
        <f>$C$6</f>
        <v>PT</v>
      </c>
      <c r="D386" s="268" t="str">
        <f>$D$6</f>
        <v>SE</v>
      </c>
      <c r="E386" s="268" t="str">
        <f>$E$6</f>
        <v>Total</v>
      </c>
      <c r="F386" s="268"/>
      <c r="G386" s="268" t="str">
        <f>$B$6</f>
        <v>FT</v>
      </c>
      <c r="H386" s="268" t="str">
        <f>$C$6</f>
        <v>PT</v>
      </c>
      <c r="I386" s="268" t="str">
        <f>$D$6</f>
        <v>SE</v>
      </c>
      <c r="J386" s="268" t="str">
        <f>$E$6</f>
        <v>Total</v>
      </c>
      <c r="K386" s="268"/>
      <c r="L386" s="268" t="str">
        <f>$L$6</f>
        <v>FT</v>
      </c>
      <c r="M386" s="268" t="str">
        <f>$M$6</f>
        <v>PT</v>
      </c>
      <c r="N386" s="268" t="str">
        <f>$N$6</f>
        <v>SE</v>
      </c>
      <c r="O386" s="268" t="str">
        <f>$O$6</f>
        <v>Total</v>
      </c>
      <c r="P386" s="268"/>
      <c r="Q386" s="268" t="str">
        <f>$L$6</f>
        <v>FT</v>
      </c>
      <c r="R386" s="268" t="str">
        <f>$M$6</f>
        <v>PT</v>
      </c>
      <c r="S386" s="268" t="str">
        <f>$N$6</f>
        <v>SE</v>
      </c>
      <c r="T386" s="268" t="str">
        <f>$O$6</f>
        <v>Total</v>
      </c>
      <c r="U386" s="268"/>
      <c r="V386" s="268" t="str">
        <f>$V$6</f>
        <v>FT</v>
      </c>
      <c r="W386" s="268" t="str">
        <f>$W$6</f>
        <v>PT</v>
      </c>
      <c r="X386" s="268" t="str">
        <f>$X$6</f>
        <v>SE</v>
      </c>
      <c r="Y386" s="268" t="str">
        <f>$Y$6</f>
        <v>Total</v>
      </c>
    </row>
    <row r="387" spans="1:25" x14ac:dyDescent="0.2">
      <c r="C387" s="319"/>
      <c r="D387" s="319"/>
      <c r="E387" s="319"/>
      <c r="F387" s="319"/>
      <c r="G387" s="319"/>
      <c r="H387" s="319"/>
      <c r="I387" s="319"/>
      <c r="J387" s="319"/>
      <c r="K387" s="319"/>
      <c r="L387" s="319"/>
      <c r="M387" s="319"/>
      <c r="N387" s="319"/>
      <c r="O387" s="319"/>
      <c r="P387" s="319"/>
      <c r="Q387" s="319"/>
      <c r="R387" s="319"/>
      <c r="S387" s="319"/>
      <c r="T387" s="319"/>
      <c r="U387" s="319"/>
      <c r="V387" s="319"/>
      <c r="W387" s="319"/>
      <c r="X387" s="319"/>
      <c r="Y387" s="319"/>
    </row>
    <row r="388" spans="1:25" x14ac:dyDescent="0.2">
      <c r="A388" s="261" t="str">
        <f>name!A54</f>
        <v>Legal and accounting</v>
      </c>
      <c r="C388" s="263"/>
    </row>
    <row r="389" spans="1:25" x14ac:dyDescent="0.2">
      <c r="A389" s="260" t="s">
        <v>356</v>
      </c>
      <c r="B389" s="300">
        <v>4.9919999999270894</v>
      </c>
      <c r="C389" s="300">
        <v>1.9620000000038942</v>
      </c>
      <c r="D389" s="300">
        <v>0.98900000000421662</v>
      </c>
      <c r="E389" s="300">
        <f>SUM(B389:D389)</f>
        <v>7.9429999999352008</v>
      </c>
      <c r="F389" s="300"/>
      <c r="G389" s="300">
        <v>5.3819999999817671</v>
      </c>
      <c r="H389" s="300">
        <v>3.7810000000236408</v>
      </c>
      <c r="I389" s="300">
        <v>1.5700000000363705</v>
      </c>
      <c r="J389" s="300">
        <f>SUM(G389:I389)</f>
        <v>10.733000000041779</v>
      </c>
      <c r="K389" s="300"/>
      <c r="L389" s="300">
        <v>6.2969999999887989</v>
      </c>
      <c r="M389" s="300">
        <v>4.0660000000279561</v>
      </c>
      <c r="N389" s="300">
        <v>0.43599999999766131</v>
      </c>
      <c r="O389" s="300">
        <f>SUM(L389:N389)</f>
        <v>10.799000000014415</v>
      </c>
      <c r="P389" s="300"/>
      <c r="Q389" s="300">
        <v>6.3750000000180114</v>
      </c>
      <c r="R389" s="300">
        <v>4.1910000000079499</v>
      </c>
      <c r="S389" s="300">
        <v>0.44499999998896833</v>
      </c>
      <c r="T389" s="300">
        <f>SUM(Q389:S389)</f>
        <v>11.011000000014931</v>
      </c>
      <c r="U389" s="300"/>
      <c r="V389" s="300">
        <v>6.3410000000149696</v>
      </c>
      <c r="W389" s="300">
        <v>4.3150000000181743</v>
      </c>
      <c r="X389" s="300">
        <v>0.44700000000185375</v>
      </c>
      <c r="Y389" s="300">
        <f>SUM(V389:X389)</f>
        <v>11.103000000034998</v>
      </c>
    </row>
    <row r="390" spans="1:25" x14ac:dyDescent="0.2">
      <c r="A390" s="260" t="s">
        <v>355</v>
      </c>
      <c r="B390" s="300">
        <v>5.2909999998954689</v>
      </c>
      <c r="C390" s="300">
        <v>0.82699999999969986</v>
      </c>
      <c r="D390" s="300">
        <v>1.6330000000048126</v>
      </c>
      <c r="E390" s="300">
        <f t="shared" ref="E390:E391" si="1019">SUM(B390:D390)</f>
        <v>7.7509999998999817</v>
      </c>
      <c r="F390" s="300"/>
      <c r="G390" s="300">
        <v>4.725999999939094</v>
      </c>
      <c r="H390" s="300">
        <v>0.99799999999993183</v>
      </c>
      <c r="I390" s="300">
        <v>2.2669999999922714</v>
      </c>
      <c r="J390" s="300">
        <f t="shared" ref="J390:J391" si="1020">SUM(G390:I390)</f>
        <v>7.9909999999312973</v>
      </c>
      <c r="K390" s="300"/>
      <c r="L390" s="300">
        <v>4.2289999999484014</v>
      </c>
      <c r="M390" s="300">
        <v>2.1279999999970443</v>
      </c>
      <c r="N390" s="300">
        <v>1.9560000000156172</v>
      </c>
      <c r="O390" s="300">
        <f t="shared" ref="O390:O391" si="1021">SUM(L390:N390)</f>
        <v>8.3129999999610629</v>
      </c>
      <c r="P390" s="300"/>
      <c r="Q390" s="300">
        <v>4.3710000000845515</v>
      </c>
      <c r="R390" s="300">
        <v>2.2399999999979685</v>
      </c>
      <c r="S390" s="300">
        <v>1.9870000001127033</v>
      </c>
      <c r="T390" s="300">
        <f t="shared" ref="T390:T391" si="1022">SUM(Q390:S390)</f>
        <v>8.5980000001952224</v>
      </c>
      <c r="U390" s="300"/>
      <c r="V390" s="300">
        <v>4.5410000000719055</v>
      </c>
      <c r="W390" s="300">
        <v>2.4059999999970989</v>
      </c>
      <c r="X390" s="300">
        <v>1.9870000000804626</v>
      </c>
      <c r="Y390" s="300">
        <f t="shared" ref="Y390:Y391" si="1023">SUM(V390:X390)</f>
        <v>8.9340000001494673</v>
      </c>
    </row>
    <row r="391" spans="1:25" x14ac:dyDescent="0.2">
      <c r="A391" s="260" t="s">
        <v>354</v>
      </c>
      <c r="B391" s="300">
        <f>SUM(B389:B390)</f>
        <v>10.282999999822557</v>
      </c>
      <c r="C391" s="300">
        <f t="shared" ref="C391" si="1024">SUM(C389:C390)</f>
        <v>2.7890000000035942</v>
      </c>
      <c r="D391" s="300">
        <f t="shared" ref="D391" si="1025">SUM(D389:D390)</f>
        <v>2.6220000000090291</v>
      </c>
      <c r="E391" s="300">
        <f t="shared" si="1019"/>
        <v>15.69399999983518</v>
      </c>
      <c r="F391" s="300"/>
      <c r="G391" s="300">
        <f>SUM(G389:G390)</f>
        <v>10.10799999992086</v>
      </c>
      <c r="H391" s="300">
        <f t="shared" ref="H391" si="1026">SUM(H389:H390)</f>
        <v>4.7790000000235722</v>
      </c>
      <c r="I391" s="300">
        <f t="shared" ref="I391" si="1027">SUM(I389:I390)</f>
        <v>3.8370000000286417</v>
      </c>
      <c r="J391" s="300">
        <f t="shared" si="1020"/>
        <v>18.723999999973074</v>
      </c>
      <c r="K391" s="300"/>
      <c r="L391" s="300">
        <f>SUM(L389:L390)</f>
        <v>10.5259999999372</v>
      </c>
      <c r="M391" s="300">
        <f t="shared" ref="M391" si="1028">SUM(M389:M390)</f>
        <v>6.1940000000250004</v>
      </c>
      <c r="N391" s="300">
        <f t="shared" ref="N391" si="1029">SUM(N389:N390)</f>
        <v>2.3920000000132786</v>
      </c>
      <c r="O391" s="300">
        <f t="shared" si="1021"/>
        <v>19.111999999975481</v>
      </c>
      <c r="P391" s="300"/>
      <c r="Q391" s="300">
        <f>SUM(Q389:Q390)</f>
        <v>10.746000000102562</v>
      </c>
      <c r="R391" s="300">
        <f t="shared" ref="R391" si="1030">SUM(R389:R390)</f>
        <v>6.431000000005918</v>
      </c>
      <c r="S391" s="300">
        <f t="shared" ref="S391" si="1031">SUM(S389:S390)</f>
        <v>2.4320000001016715</v>
      </c>
      <c r="T391" s="300">
        <f t="shared" si="1022"/>
        <v>19.609000000210148</v>
      </c>
      <c r="U391" s="300"/>
      <c r="V391" s="300">
        <f>SUM(V389:V390)</f>
        <v>10.882000000086876</v>
      </c>
      <c r="W391" s="300">
        <f t="shared" ref="W391" si="1032">SUM(W389:W390)</f>
        <v>6.7210000000152732</v>
      </c>
      <c r="X391" s="300">
        <f t="shared" ref="X391" si="1033">SUM(X389:X390)</f>
        <v>2.4340000000823165</v>
      </c>
      <c r="Y391" s="300">
        <f t="shared" si="1023"/>
        <v>20.037000000184467</v>
      </c>
    </row>
    <row r="392" spans="1:25" x14ac:dyDescent="0.2">
      <c r="C392" s="319"/>
      <c r="D392" s="319"/>
      <c r="E392" s="319"/>
      <c r="F392" s="319"/>
      <c r="G392" s="319"/>
      <c r="H392" s="319"/>
      <c r="I392" s="319"/>
      <c r="J392" s="319"/>
      <c r="K392" s="319"/>
      <c r="L392" s="319"/>
      <c r="M392" s="319"/>
      <c r="N392" s="319"/>
      <c r="O392" s="319"/>
      <c r="P392" s="319"/>
      <c r="Q392" s="319"/>
      <c r="R392" s="319"/>
      <c r="S392" s="319"/>
      <c r="T392" s="319"/>
      <c r="U392" s="319"/>
      <c r="V392" s="319"/>
      <c r="W392" s="319"/>
      <c r="X392" s="319"/>
      <c r="Y392" s="319"/>
    </row>
    <row r="393" spans="1:25" x14ac:dyDescent="0.2">
      <c r="A393" s="261" t="str">
        <f>name!A55</f>
        <v>Head offices, etc</v>
      </c>
      <c r="C393" s="263"/>
    </row>
    <row r="394" spans="1:25" x14ac:dyDescent="0.2">
      <c r="A394" s="260" t="s">
        <v>356</v>
      </c>
      <c r="B394" s="300">
        <v>3.0159999999559477</v>
      </c>
      <c r="C394" s="300">
        <v>2.4500000000048621</v>
      </c>
      <c r="D394" s="300">
        <v>0.63800000000272084</v>
      </c>
      <c r="E394" s="300">
        <f>SUM(B394:D394)</f>
        <v>6.1039999999635306</v>
      </c>
      <c r="F394" s="300"/>
      <c r="G394" s="300">
        <v>3.1339999999893844</v>
      </c>
      <c r="H394" s="300">
        <v>2.4190000000151239</v>
      </c>
      <c r="I394" s="300">
        <v>0.5850000000135509</v>
      </c>
      <c r="J394" s="300">
        <f>SUM(G394:I394)</f>
        <v>6.1380000000180592</v>
      </c>
      <c r="K394" s="300"/>
      <c r="L394" s="300">
        <v>3.5099999999937554</v>
      </c>
      <c r="M394" s="300">
        <v>2.0620000000141805</v>
      </c>
      <c r="N394" s="300">
        <v>0.18099999999902894</v>
      </c>
      <c r="O394" s="300">
        <f>SUM(L394:N394)</f>
        <v>5.7530000000069652</v>
      </c>
      <c r="P394" s="300"/>
      <c r="Q394" s="300">
        <v>3.5950000000101574</v>
      </c>
      <c r="R394" s="300">
        <v>2.1310000000040437</v>
      </c>
      <c r="S394" s="300">
        <v>0.17799999999558733</v>
      </c>
      <c r="T394" s="300">
        <f>SUM(Q394:S394)</f>
        <v>5.9040000000097885</v>
      </c>
      <c r="U394" s="300"/>
      <c r="V394" s="300">
        <v>3.7350000000088146</v>
      </c>
      <c r="W394" s="300">
        <v>2.2500000000094751</v>
      </c>
      <c r="X394" s="300">
        <v>0.16800000000069656</v>
      </c>
      <c r="Y394" s="300">
        <f>SUM(V394:X394)</f>
        <v>6.1530000000189862</v>
      </c>
    </row>
    <row r="395" spans="1:25" x14ac:dyDescent="0.2">
      <c r="A395" s="260" t="s">
        <v>355</v>
      </c>
      <c r="B395" s="300">
        <v>6.1749999998780041</v>
      </c>
      <c r="C395" s="300">
        <v>0.61499999999977695</v>
      </c>
      <c r="D395" s="300">
        <v>0.61800000000182076</v>
      </c>
      <c r="E395" s="300">
        <f t="shared" ref="E395:E396" si="1034">SUM(B395:D395)</f>
        <v>7.4079999998796024</v>
      </c>
      <c r="F395" s="300"/>
      <c r="G395" s="300">
        <v>4.5439999999414402</v>
      </c>
      <c r="H395" s="300">
        <v>0.46599999999996777</v>
      </c>
      <c r="I395" s="300">
        <v>0.5719999999980504</v>
      </c>
      <c r="J395" s="300">
        <f t="shared" ref="J395:J396" si="1035">SUM(G395:I395)</f>
        <v>5.5819999999394589</v>
      </c>
      <c r="K395" s="300"/>
      <c r="L395" s="300">
        <v>5.2069999999364711</v>
      </c>
      <c r="M395" s="300">
        <v>0.93099999999870597</v>
      </c>
      <c r="N395" s="300">
        <v>0.64400000000514257</v>
      </c>
      <c r="O395" s="300">
        <f t="shared" ref="O395:O396" si="1036">SUM(L395:N395)</f>
        <v>6.7819999999403198</v>
      </c>
      <c r="P395" s="300"/>
      <c r="Q395" s="300">
        <v>5.1850000001002945</v>
      </c>
      <c r="R395" s="300">
        <v>0.9589999999991291</v>
      </c>
      <c r="S395" s="300">
        <v>0.6530000000370384</v>
      </c>
      <c r="T395" s="300">
        <f t="shared" ref="T395:T396" si="1037">SUM(Q395:S395)</f>
        <v>6.7970000001364621</v>
      </c>
      <c r="U395" s="300"/>
      <c r="V395" s="300">
        <v>5.0890000000805848</v>
      </c>
      <c r="W395" s="300">
        <v>1.0049999999987875</v>
      </c>
      <c r="X395" s="300">
        <v>0.66700000002700965</v>
      </c>
      <c r="Y395" s="300">
        <f t="shared" ref="Y395:Y396" si="1038">SUM(V395:X395)</f>
        <v>6.7610000001063817</v>
      </c>
    </row>
    <row r="396" spans="1:25" x14ac:dyDescent="0.2">
      <c r="A396" s="260" t="s">
        <v>354</v>
      </c>
      <c r="B396" s="300">
        <f>SUM(B394:B395)</f>
        <v>9.1909999998339522</v>
      </c>
      <c r="C396" s="300">
        <f t="shared" ref="C396" si="1039">SUM(C394:C395)</f>
        <v>3.0650000000046389</v>
      </c>
      <c r="D396" s="300">
        <f t="shared" ref="D396" si="1040">SUM(D394:D395)</f>
        <v>1.2560000000045415</v>
      </c>
      <c r="E396" s="300">
        <f t="shared" si="1034"/>
        <v>13.511999999843134</v>
      </c>
      <c r="F396" s="300"/>
      <c r="G396" s="300">
        <f>SUM(G394:G395)</f>
        <v>7.6779999999308242</v>
      </c>
      <c r="H396" s="300">
        <f t="shared" ref="H396" si="1041">SUM(H394:H395)</f>
        <v>2.8850000000150917</v>
      </c>
      <c r="I396" s="300">
        <f t="shared" ref="I396" si="1042">SUM(I394:I395)</f>
        <v>1.1570000000116014</v>
      </c>
      <c r="J396" s="300">
        <f t="shared" si="1035"/>
        <v>11.719999999957517</v>
      </c>
      <c r="K396" s="300"/>
      <c r="L396" s="300">
        <f>SUM(L394:L395)</f>
        <v>8.716999999930227</v>
      </c>
      <c r="M396" s="300">
        <f t="shared" ref="M396" si="1043">SUM(M394:M395)</f>
        <v>2.9930000000128865</v>
      </c>
      <c r="N396" s="300">
        <f t="shared" ref="N396" si="1044">SUM(N394:N395)</f>
        <v>0.82500000000417151</v>
      </c>
      <c r="O396" s="300">
        <f t="shared" si="1036"/>
        <v>12.534999999947285</v>
      </c>
      <c r="P396" s="300"/>
      <c r="Q396" s="300">
        <f>SUM(Q394:Q395)</f>
        <v>8.7800000001104515</v>
      </c>
      <c r="R396" s="300">
        <f t="shared" ref="R396" si="1045">SUM(R394:R395)</f>
        <v>3.0900000000031729</v>
      </c>
      <c r="S396" s="300">
        <f t="shared" ref="S396" si="1046">SUM(S394:S395)</f>
        <v>0.83100000003262575</v>
      </c>
      <c r="T396" s="300">
        <f t="shared" si="1037"/>
        <v>12.70100000014625</v>
      </c>
      <c r="U396" s="300"/>
      <c r="V396" s="300">
        <f>SUM(V394:V395)</f>
        <v>8.8240000000893986</v>
      </c>
      <c r="W396" s="300">
        <f t="shared" ref="W396" si="1047">SUM(W394:W395)</f>
        <v>3.2550000000082626</v>
      </c>
      <c r="X396" s="300">
        <f t="shared" ref="X396" si="1048">SUM(X394:X395)</f>
        <v>0.83500000002770625</v>
      </c>
      <c r="Y396" s="300">
        <f t="shared" si="1038"/>
        <v>12.914000000125368</v>
      </c>
    </row>
    <row r="397" spans="1:25" x14ac:dyDescent="0.2">
      <c r="C397" s="319"/>
      <c r="D397" s="319"/>
      <c r="E397" s="319"/>
      <c r="F397" s="319"/>
      <c r="G397" s="319"/>
      <c r="H397" s="319"/>
      <c r="I397" s="319"/>
      <c r="J397" s="319"/>
      <c r="K397" s="319"/>
      <c r="L397" s="319"/>
      <c r="M397" s="319"/>
      <c r="N397" s="319"/>
      <c r="O397" s="319"/>
      <c r="P397" s="319"/>
      <c r="Q397" s="319"/>
      <c r="R397" s="319"/>
      <c r="S397" s="319"/>
      <c r="T397" s="319"/>
      <c r="U397" s="319"/>
      <c r="V397" s="319"/>
      <c r="W397" s="319"/>
      <c r="X397" s="319"/>
      <c r="Y397" s="319"/>
    </row>
    <row r="398" spans="1:25" x14ac:dyDescent="0.2">
      <c r="A398" s="261" t="str">
        <f>name!A56</f>
        <v>Architectural and related</v>
      </c>
      <c r="C398" s="263"/>
    </row>
    <row r="399" spans="1:25" x14ac:dyDescent="0.2">
      <c r="A399" s="260" t="s">
        <v>356</v>
      </c>
      <c r="B399" s="300">
        <v>5.4489999999204155</v>
      </c>
      <c r="C399" s="300">
        <v>2.6660000000052873</v>
      </c>
      <c r="D399" s="300">
        <v>0.72600000000309584</v>
      </c>
      <c r="E399" s="300">
        <f>SUM(B399:D399)</f>
        <v>8.8409999999287976</v>
      </c>
      <c r="F399" s="300"/>
      <c r="G399" s="300">
        <v>3.8309999999870232</v>
      </c>
      <c r="H399" s="300">
        <v>1.4240000000089035</v>
      </c>
      <c r="I399" s="300">
        <v>0.38600000000894191</v>
      </c>
      <c r="J399" s="300">
        <f>SUM(G399:I399)</f>
        <v>5.641000000004869</v>
      </c>
      <c r="K399" s="300"/>
      <c r="L399" s="300">
        <v>4.7379999999915698</v>
      </c>
      <c r="M399" s="300">
        <v>1.134000000007797</v>
      </c>
      <c r="N399" s="300">
        <v>0.18699999999899669</v>
      </c>
      <c r="O399" s="300">
        <f>SUM(L399:N399)</f>
        <v>6.0589999999983633</v>
      </c>
      <c r="P399" s="300"/>
      <c r="Q399" s="300">
        <v>4.6810000000132241</v>
      </c>
      <c r="R399" s="300">
        <v>1.0960000000020793</v>
      </c>
      <c r="S399" s="300">
        <v>0.1749999999956619</v>
      </c>
      <c r="T399" s="300">
        <f>SUM(Q399:S399)</f>
        <v>5.9520000000109654</v>
      </c>
      <c r="U399" s="300"/>
      <c r="V399" s="300">
        <v>5.046000000011917</v>
      </c>
      <c r="W399" s="300">
        <v>1.1370000000047888</v>
      </c>
      <c r="X399" s="300">
        <v>0.17000000000070525</v>
      </c>
      <c r="Y399" s="300">
        <f>SUM(V399:X399)</f>
        <v>6.3530000000174107</v>
      </c>
    </row>
    <row r="400" spans="1:25" x14ac:dyDescent="0.2">
      <c r="A400" s="260" t="s">
        <v>355</v>
      </c>
      <c r="B400" s="300">
        <v>21.921999999566964</v>
      </c>
      <c r="C400" s="300">
        <v>0.91099999999967018</v>
      </c>
      <c r="D400" s="300">
        <v>2.873000000008461</v>
      </c>
      <c r="E400" s="300">
        <f t="shared" ref="E400:E401" si="1049">SUM(B400:D400)</f>
        <v>25.705999999575095</v>
      </c>
      <c r="F400" s="300"/>
      <c r="G400" s="300">
        <v>13.83499999982172</v>
      </c>
      <c r="H400" s="300">
        <v>0.77899999999994574</v>
      </c>
      <c r="I400" s="300">
        <v>2.7119999999907543</v>
      </c>
      <c r="J400" s="300">
        <f t="shared" ref="J400:J401" si="1050">SUM(G400:I400)</f>
        <v>17.325999999812421</v>
      </c>
      <c r="K400" s="300"/>
      <c r="L400" s="300">
        <v>16.085999999803736</v>
      </c>
      <c r="M400" s="300">
        <v>1.0789999999985007</v>
      </c>
      <c r="N400" s="300">
        <v>3.0150000000240724</v>
      </c>
      <c r="O400" s="300">
        <f t="shared" ref="O400:O401" si="1051">SUM(L400:N400)</f>
        <v>20.179999999826311</v>
      </c>
      <c r="P400" s="300"/>
      <c r="Q400" s="300">
        <v>15.173000000293481</v>
      </c>
      <c r="R400" s="300">
        <v>1.0579999999990404</v>
      </c>
      <c r="S400" s="300">
        <v>2.8510000001617115</v>
      </c>
      <c r="T400" s="300">
        <f t="shared" ref="T400:T401" si="1052">SUM(Q400:S400)</f>
        <v>19.082000000454233</v>
      </c>
      <c r="U400" s="300"/>
      <c r="V400" s="300">
        <v>15.005000000237589</v>
      </c>
      <c r="W400" s="300">
        <v>1.1299999999986381</v>
      </c>
      <c r="X400" s="300">
        <v>2.8330000001147195</v>
      </c>
      <c r="Y400" s="300">
        <f t="shared" ref="Y400:Y401" si="1053">SUM(V400:X400)</f>
        <v>18.968000000350944</v>
      </c>
    </row>
    <row r="401" spans="1:25" x14ac:dyDescent="0.2">
      <c r="A401" s="260" t="s">
        <v>354</v>
      </c>
      <c r="B401" s="300">
        <f>SUM(B399:B400)</f>
        <v>27.370999999487381</v>
      </c>
      <c r="C401" s="300">
        <f t="shared" ref="C401" si="1054">SUM(C399:C400)</f>
        <v>3.5770000000049573</v>
      </c>
      <c r="D401" s="300">
        <f t="shared" ref="D401" si="1055">SUM(D399:D400)</f>
        <v>3.5990000000115567</v>
      </c>
      <c r="E401" s="300">
        <f t="shared" si="1049"/>
        <v>34.546999999503896</v>
      </c>
      <c r="F401" s="300"/>
      <c r="G401" s="300">
        <f>SUM(G399:G400)</f>
        <v>17.665999999808744</v>
      </c>
      <c r="H401" s="300">
        <f t="shared" ref="H401" si="1056">SUM(H399:H400)</f>
        <v>2.2030000000088492</v>
      </c>
      <c r="I401" s="300">
        <f t="shared" ref="I401" si="1057">SUM(I399:I400)</f>
        <v>3.0979999999996961</v>
      </c>
      <c r="J401" s="300">
        <f t="shared" si="1050"/>
        <v>22.96699999981729</v>
      </c>
      <c r="K401" s="300"/>
      <c r="L401" s="300">
        <f>SUM(L399:L400)</f>
        <v>20.823999999795305</v>
      </c>
      <c r="M401" s="300">
        <f t="shared" ref="M401" si="1058">SUM(M399:M400)</f>
        <v>2.2130000000062977</v>
      </c>
      <c r="N401" s="300">
        <f t="shared" ref="N401" si="1059">SUM(N399:N400)</f>
        <v>3.2020000000230691</v>
      </c>
      <c r="O401" s="300">
        <f t="shared" si="1051"/>
        <v>26.238999999824671</v>
      </c>
      <c r="P401" s="300"/>
      <c r="Q401" s="300">
        <f>SUM(Q399:Q400)</f>
        <v>19.854000000306705</v>
      </c>
      <c r="R401" s="300">
        <f t="shared" ref="R401" si="1060">SUM(R399:R400)</f>
        <v>2.1540000000011199</v>
      </c>
      <c r="S401" s="300">
        <f t="shared" ref="S401" si="1061">SUM(S399:S400)</f>
        <v>3.0260000001573735</v>
      </c>
      <c r="T401" s="300">
        <f t="shared" si="1052"/>
        <v>25.034000000465198</v>
      </c>
      <c r="U401" s="300"/>
      <c r="V401" s="300">
        <f>SUM(V399:V400)</f>
        <v>20.051000000249505</v>
      </c>
      <c r="W401" s="300">
        <f t="shared" ref="W401" si="1062">SUM(W399:W400)</f>
        <v>2.2670000000034269</v>
      </c>
      <c r="X401" s="300">
        <f t="shared" ref="X401" si="1063">SUM(X399:X400)</f>
        <v>3.0030000001154247</v>
      </c>
      <c r="Y401" s="300">
        <f t="shared" si="1053"/>
        <v>25.321000000368358</v>
      </c>
    </row>
    <row r="402" spans="1:25" x14ac:dyDescent="0.2">
      <c r="C402" s="319"/>
      <c r="D402" s="319"/>
      <c r="E402" s="319"/>
      <c r="F402" s="319"/>
      <c r="G402" s="319"/>
      <c r="H402" s="319"/>
      <c r="I402" s="319"/>
      <c r="J402" s="319"/>
      <c r="K402" s="319"/>
      <c r="L402" s="319"/>
      <c r="M402" s="319"/>
      <c r="N402" s="319"/>
      <c r="O402" s="319"/>
      <c r="P402" s="319"/>
      <c r="Q402" s="319"/>
      <c r="R402" s="319"/>
      <c r="S402" s="319"/>
      <c r="T402" s="319"/>
      <c r="U402" s="319"/>
      <c r="V402" s="319"/>
      <c r="W402" s="319"/>
      <c r="X402" s="319"/>
      <c r="Y402" s="319"/>
    </row>
    <row r="403" spans="1:25" x14ac:dyDescent="0.2">
      <c r="A403" s="261" t="str">
        <f>name!A57</f>
        <v>Scientific research and development</v>
      </c>
      <c r="C403" s="263"/>
    </row>
    <row r="404" spans="1:25" x14ac:dyDescent="0.2">
      <c r="A404" s="260" t="s">
        <v>356</v>
      </c>
      <c r="B404" s="300">
        <v>0.89299999999189561</v>
      </c>
      <c r="C404" s="300">
        <v>9.4999999999940896E-2</v>
      </c>
      <c r="D404" s="300">
        <v>0.70900000000313401</v>
      </c>
      <c r="E404" s="300">
        <f>SUM(B404:D404)</f>
        <v>1.6969999999949705</v>
      </c>
      <c r="F404" s="300"/>
      <c r="G404" s="300">
        <v>0.37700000000693135</v>
      </c>
      <c r="H404" s="300">
        <v>6.2000000000313416E-2</v>
      </c>
      <c r="I404" s="300">
        <v>0.51000000001205947</v>
      </c>
      <c r="J404" s="300">
        <f>SUM(G404:I404)</f>
        <v>0.94900000001930418</v>
      </c>
      <c r="K404" s="300"/>
      <c r="L404" s="300">
        <v>0.47500000000720199</v>
      </c>
      <c r="M404" s="300">
        <v>5.7000000000220347E-2</v>
      </c>
      <c r="N404" s="300">
        <v>0.13999999999962001</v>
      </c>
      <c r="O404" s="300">
        <f>SUM(L404:N404)</f>
        <v>0.6720000000070423</v>
      </c>
      <c r="P404" s="300"/>
      <c r="Q404" s="300">
        <v>0.5659999999774038</v>
      </c>
      <c r="R404" s="300">
        <v>6.6999999999664231E-2</v>
      </c>
      <c r="S404" s="300">
        <v>0.17299999999640137</v>
      </c>
      <c r="T404" s="300">
        <f>SUM(Q404:S404)</f>
        <v>0.80599999997346938</v>
      </c>
      <c r="U404" s="300"/>
      <c r="V404" s="300">
        <v>0.6760000000071883</v>
      </c>
      <c r="W404" s="300">
        <v>7.9000000000279902E-2</v>
      </c>
      <c r="X404" s="300">
        <v>0.22700000000074361</v>
      </c>
      <c r="Y404" s="300">
        <f>SUM(V404:X404)</f>
        <v>0.98200000000821175</v>
      </c>
    </row>
    <row r="405" spans="1:25" x14ac:dyDescent="0.2">
      <c r="A405" s="260" t="s">
        <v>355</v>
      </c>
      <c r="B405" s="300">
        <v>3.1699999999556856</v>
      </c>
      <c r="C405" s="300">
        <v>3.3999999999941036E-2</v>
      </c>
      <c r="D405" s="300">
        <v>1.7439999999984093</v>
      </c>
      <c r="E405" s="300">
        <f t="shared" ref="E405:E406" si="1064">SUM(B405:D405)</f>
        <v>4.9479999999540363</v>
      </c>
      <c r="F405" s="300"/>
      <c r="G405" s="300">
        <v>1.3689999999882678</v>
      </c>
      <c r="H405" s="300">
        <v>1.6999999999979483E-2</v>
      </c>
      <c r="I405" s="300">
        <v>0.9699999999912633</v>
      </c>
      <c r="J405" s="300">
        <f t="shared" ref="J405:J406" si="1065">SUM(G405:I405)</f>
        <v>2.3559999999795105</v>
      </c>
      <c r="K405" s="300"/>
      <c r="L405" s="300">
        <v>1.4119999999900317</v>
      </c>
      <c r="M405" s="300">
        <v>1.9999999999977449E-2</v>
      </c>
      <c r="N405" s="300">
        <v>0.94600000000525775</v>
      </c>
      <c r="O405" s="300">
        <f t="shared" ref="O405:O406" si="1066">SUM(L405:N405)</f>
        <v>2.377999999995267</v>
      </c>
      <c r="P405" s="300"/>
      <c r="Q405" s="300">
        <v>1.6590000000284639</v>
      </c>
      <c r="R405" s="300">
        <v>2.4000000000017719E-2</v>
      </c>
      <c r="S405" s="300">
        <v>1.1350000000659375</v>
      </c>
      <c r="T405" s="300">
        <f t="shared" ref="T405:T406" si="1067">SUM(Q405:S405)</f>
        <v>2.8180000000944192</v>
      </c>
      <c r="U405" s="300"/>
      <c r="V405" s="300">
        <v>1.9220000000311932</v>
      </c>
      <c r="W405" s="300">
        <v>3.1000000000017774E-2</v>
      </c>
      <c r="X405" s="300">
        <v>1.3890000000603069</v>
      </c>
      <c r="Y405" s="300">
        <f t="shared" ref="Y405:Y406" si="1068">SUM(V405:X405)</f>
        <v>3.3420000000915175</v>
      </c>
    </row>
    <row r="406" spans="1:25" x14ac:dyDescent="0.2">
      <c r="A406" s="260" t="s">
        <v>354</v>
      </c>
      <c r="B406" s="300">
        <f>SUM(B404:B405)</f>
        <v>4.0629999999475812</v>
      </c>
      <c r="C406" s="300">
        <f t="shared" ref="C406" si="1069">SUM(C404:C405)</f>
        <v>0.12899999999988193</v>
      </c>
      <c r="D406" s="300">
        <f t="shared" ref="D406" si="1070">SUM(D404:D405)</f>
        <v>2.4530000000015431</v>
      </c>
      <c r="E406" s="300">
        <f t="shared" si="1064"/>
        <v>6.6449999999490066</v>
      </c>
      <c r="F406" s="300"/>
      <c r="G406" s="300">
        <f>SUM(G404:G405)</f>
        <v>1.7459999999951992</v>
      </c>
      <c r="H406" s="300">
        <f t="shared" ref="H406" si="1071">SUM(H404:H405)</f>
        <v>7.9000000000292891E-2</v>
      </c>
      <c r="I406" s="300">
        <f t="shared" ref="I406" si="1072">SUM(I404:I405)</f>
        <v>1.4800000000033227</v>
      </c>
      <c r="J406" s="300">
        <f t="shared" si="1065"/>
        <v>3.3049999999988149</v>
      </c>
      <c r="K406" s="300"/>
      <c r="L406" s="300">
        <f>SUM(L404:L405)</f>
        <v>1.8869999999972338</v>
      </c>
      <c r="M406" s="300">
        <f t="shared" ref="M406" si="1073">SUM(M404:M405)</f>
        <v>7.7000000000197799E-2</v>
      </c>
      <c r="N406" s="300">
        <f t="shared" ref="N406" si="1074">SUM(N404:N405)</f>
        <v>1.0860000000048777</v>
      </c>
      <c r="O406" s="300">
        <f t="shared" si="1066"/>
        <v>3.0500000000023091</v>
      </c>
      <c r="P406" s="300"/>
      <c r="Q406" s="300">
        <f>SUM(Q404:Q405)</f>
        <v>2.2250000000058678</v>
      </c>
      <c r="R406" s="300">
        <f t="shared" ref="R406" si="1075">SUM(R404:R405)</f>
        <v>9.0999999999681946E-2</v>
      </c>
      <c r="S406" s="300">
        <f t="shared" ref="S406" si="1076">SUM(S404:S405)</f>
        <v>1.3080000000623389</v>
      </c>
      <c r="T406" s="300">
        <f t="shared" si="1067"/>
        <v>3.6240000000678885</v>
      </c>
      <c r="U406" s="300"/>
      <c r="V406" s="300">
        <f>SUM(V404:V405)</f>
        <v>2.5980000000383816</v>
      </c>
      <c r="W406" s="300">
        <f t="shared" ref="W406" si="1077">SUM(W404:W405)</f>
        <v>0.11000000000029768</v>
      </c>
      <c r="X406" s="300">
        <f t="shared" ref="X406" si="1078">SUM(X404:X405)</f>
        <v>1.6160000000610504</v>
      </c>
      <c r="Y406" s="300">
        <f t="shared" si="1068"/>
        <v>4.3240000000997298</v>
      </c>
    </row>
    <row r="407" spans="1:25" x14ac:dyDescent="0.2">
      <c r="C407" s="319"/>
      <c r="D407" s="319"/>
      <c r="E407" s="319"/>
      <c r="F407" s="319"/>
      <c r="G407" s="319"/>
      <c r="H407" s="319"/>
      <c r="I407" s="319"/>
      <c r="J407" s="319"/>
      <c r="K407" s="319"/>
      <c r="L407" s="319"/>
      <c r="M407" s="319"/>
      <c r="N407" s="319"/>
      <c r="O407" s="319"/>
      <c r="P407" s="319"/>
      <c r="Q407" s="319"/>
      <c r="R407" s="319"/>
      <c r="S407" s="319"/>
      <c r="T407" s="319"/>
      <c r="U407" s="319"/>
      <c r="V407" s="319"/>
      <c r="W407" s="319"/>
      <c r="X407" s="319"/>
      <c r="Y407" s="319"/>
    </row>
    <row r="408" spans="1:25" x14ac:dyDescent="0.2">
      <c r="A408" s="261" t="str">
        <f>name!A58</f>
        <v>Advertising, etc</v>
      </c>
      <c r="C408" s="263"/>
    </row>
    <row r="409" spans="1:25" x14ac:dyDescent="0.2">
      <c r="A409" s="260" t="s">
        <v>356</v>
      </c>
      <c r="B409" s="300">
        <v>0.43999999999357364</v>
      </c>
      <c r="C409" s="300">
        <v>1.0650000000021127</v>
      </c>
      <c r="D409" s="300">
        <v>0.63300000000269929</v>
      </c>
      <c r="E409" s="300">
        <f>SUM(B409:D409)</f>
        <v>2.1379999999983856</v>
      </c>
      <c r="F409" s="300"/>
      <c r="G409" s="300">
        <v>0.5369999999981806</v>
      </c>
      <c r="H409" s="300">
        <v>0.50600000000316459</v>
      </c>
      <c r="I409" s="300">
        <v>0.82900000001920493</v>
      </c>
      <c r="J409" s="300">
        <f>SUM(G409:I409)</f>
        <v>1.8720000000205501</v>
      </c>
      <c r="K409" s="300"/>
      <c r="L409" s="300">
        <v>0.67599999999879745</v>
      </c>
      <c r="M409" s="300">
        <v>0.46500000000319758</v>
      </c>
      <c r="N409" s="300">
        <v>0.22699999999878215</v>
      </c>
      <c r="O409" s="300">
        <f>SUM(L409:N409)</f>
        <v>1.3680000000007773</v>
      </c>
      <c r="P409" s="300"/>
      <c r="Q409" s="300">
        <v>0.80500000000227456</v>
      </c>
      <c r="R409" s="300">
        <v>0.54800000000103932</v>
      </c>
      <c r="S409" s="300">
        <v>0.28099999999303332</v>
      </c>
      <c r="T409" s="300">
        <f>SUM(Q409:S409)</f>
        <v>1.6339999999963473</v>
      </c>
      <c r="U409" s="300"/>
      <c r="V409" s="300">
        <v>0.96100000000226826</v>
      </c>
      <c r="W409" s="300">
        <v>0.64700000000272562</v>
      </c>
      <c r="X409" s="300">
        <v>0.36900000000152988</v>
      </c>
      <c r="Y409" s="300">
        <f>SUM(V409:X409)</f>
        <v>1.9770000000065238</v>
      </c>
    </row>
    <row r="410" spans="1:25" x14ac:dyDescent="0.2">
      <c r="A410" s="260" t="s">
        <v>355</v>
      </c>
      <c r="B410" s="300">
        <v>0.67999999998656668</v>
      </c>
      <c r="C410" s="300">
        <v>0.20299999999992618</v>
      </c>
      <c r="D410" s="300">
        <v>0.43400000000127831</v>
      </c>
      <c r="E410" s="300">
        <f t="shared" ref="E410:E411" si="1079">SUM(B410:D410)</f>
        <v>1.3169999999877711</v>
      </c>
      <c r="F410" s="300"/>
      <c r="G410" s="300">
        <v>0.84799999998907205</v>
      </c>
      <c r="H410" s="300">
        <v>7.4999999999994793E-2</v>
      </c>
      <c r="I410" s="300">
        <v>0.43899999999850342</v>
      </c>
      <c r="J410" s="300">
        <f t="shared" ref="J410:J411" si="1080">SUM(G410:I410)</f>
        <v>1.3619999999875703</v>
      </c>
      <c r="K410" s="300"/>
      <c r="L410" s="300">
        <v>0.87499999998932376</v>
      </c>
      <c r="M410" s="300">
        <v>8.5999999999880533E-2</v>
      </c>
      <c r="N410" s="300">
        <v>0.42800000000341742</v>
      </c>
      <c r="O410" s="300">
        <f t="shared" ref="O410:O411" si="1081">SUM(L410:N410)</f>
        <v>1.3889999999926217</v>
      </c>
      <c r="P410" s="300"/>
      <c r="Q410" s="300">
        <v>1.0280000000198846</v>
      </c>
      <c r="R410" s="300">
        <v>0.10599999999990378</v>
      </c>
      <c r="S410" s="300">
        <v>0.5140000000291538</v>
      </c>
      <c r="T410" s="300">
        <f t="shared" ref="T410:T411" si="1082">SUM(Q410:S410)</f>
        <v>1.6480000000489421</v>
      </c>
      <c r="U410" s="300"/>
      <c r="V410" s="300">
        <v>1.1920000000188757</v>
      </c>
      <c r="W410" s="300">
        <v>0.13599999999983606</v>
      </c>
      <c r="X410" s="300">
        <v>0.62900000002547063</v>
      </c>
      <c r="Y410" s="300">
        <f t="shared" ref="Y410:Y411" si="1083">SUM(V410:X410)</f>
        <v>1.9570000000441823</v>
      </c>
    </row>
    <row r="411" spans="1:25" x14ac:dyDescent="0.2">
      <c r="A411" s="260" t="s">
        <v>354</v>
      </c>
      <c r="B411" s="300">
        <f>SUM(B409:B410)</f>
        <v>1.1199999999801404</v>
      </c>
      <c r="C411" s="300">
        <f t="shared" ref="C411" si="1084">SUM(C409:C410)</f>
        <v>1.2680000000020388</v>
      </c>
      <c r="D411" s="300">
        <f t="shared" ref="D411" si="1085">SUM(D409:D410)</f>
        <v>1.0670000000039777</v>
      </c>
      <c r="E411" s="300">
        <f t="shared" si="1079"/>
        <v>3.4549999999861569</v>
      </c>
      <c r="F411" s="300"/>
      <c r="G411" s="300">
        <f>SUM(G409:G410)</f>
        <v>1.3849999999872527</v>
      </c>
      <c r="H411" s="300">
        <f t="shared" ref="H411" si="1086">SUM(H409:H410)</f>
        <v>0.58100000000315943</v>
      </c>
      <c r="I411" s="300">
        <f t="shared" ref="I411" si="1087">SUM(I409:I410)</f>
        <v>1.2680000000177083</v>
      </c>
      <c r="J411" s="300">
        <f t="shared" si="1080"/>
        <v>3.2340000000081206</v>
      </c>
      <c r="K411" s="300"/>
      <c r="L411" s="300">
        <f>SUM(L409:L410)</f>
        <v>1.5509999999881212</v>
      </c>
      <c r="M411" s="300">
        <f t="shared" ref="M411" si="1088">SUM(M409:M410)</f>
        <v>0.55100000000307814</v>
      </c>
      <c r="N411" s="300">
        <f t="shared" ref="N411" si="1089">SUM(N409:N410)</f>
        <v>0.6550000000021996</v>
      </c>
      <c r="O411" s="300">
        <f t="shared" si="1081"/>
        <v>2.7569999999933987</v>
      </c>
      <c r="P411" s="300"/>
      <c r="Q411" s="300">
        <f>SUM(Q409:Q410)</f>
        <v>1.8330000000221591</v>
      </c>
      <c r="R411" s="300">
        <f t="shared" ref="R411" si="1090">SUM(R409:R410)</f>
        <v>0.65400000000094316</v>
      </c>
      <c r="S411" s="300">
        <f t="shared" ref="S411" si="1091">SUM(S409:S410)</f>
        <v>0.79500000002218707</v>
      </c>
      <c r="T411" s="300">
        <f t="shared" si="1082"/>
        <v>3.2820000000452896</v>
      </c>
      <c r="U411" s="300"/>
      <c r="V411" s="300">
        <f>SUM(V409:V410)</f>
        <v>2.153000000021144</v>
      </c>
      <c r="W411" s="300">
        <f t="shared" ref="W411" si="1092">SUM(W409:W410)</f>
        <v>0.78300000000256165</v>
      </c>
      <c r="X411" s="300">
        <f t="shared" ref="X411" si="1093">SUM(X409:X410)</f>
        <v>0.99800000002700051</v>
      </c>
      <c r="Y411" s="300">
        <f t="shared" si="1083"/>
        <v>3.9340000000507058</v>
      </c>
    </row>
    <row r="412" spans="1:25" x14ac:dyDescent="0.2">
      <c r="C412" s="319"/>
      <c r="D412" s="319"/>
      <c r="E412" s="319"/>
      <c r="F412" s="319"/>
      <c r="G412" s="319"/>
      <c r="H412" s="319"/>
      <c r="I412" s="319"/>
      <c r="J412" s="319"/>
      <c r="K412" s="319"/>
      <c r="L412" s="319"/>
      <c r="M412" s="319"/>
      <c r="N412" s="319"/>
      <c r="O412" s="319"/>
      <c r="P412" s="319"/>
      <c r="Q412" s="319"/>
      <c r="R412" s="319"/>
      <c r="S412" s="319"/>
      <c r="T412" s="319"/>
      <c r="U412" s="319"/>
      <c r="V412" s="319"/>
      <c r="W412" s="319"/>
      <c r="X412" s="319"/>
      <c r="Y412" s="319"/>
    </row>
    <row r="413" spans="1:25" x14ac:dyDescent="0.2">
      <c r="A413" s="261" t="str">
        <f>name!A59</f>
        <v>Other professional</v>
      </c>
      <c r="C413" s="263"/>
    </row>
    <row r="414" spans="1:25" x14ac:dyDescent="0.2">
      <c r="A414" s="260" t="s">
        <v>356</v>
      </c>
      <c r="B414" s="300">
        <v>1.5269999999819706</v>
      </c>
      <c r="C414" s="300">
        <v>0.10500000000083963</v>
      </c>
      <c r="D414" s="300">
        <v>0.45500000000399088</v>
      </c>
      <c r="E414" s="300">
        <f>SUM(B414:D414)</f>
        <v>2.086999999986801</v>
      </c>
      <c r="F414" s="300"/>
      <c r="G414" s="300">
        <v>1.5259999999903966</v>
      </c>
      <c r="H414" s="300">
        <v>0.56100000000064609</v>
      </c>
      <c r="I414" s="300">
        <v>0.81200000001820016</v>
      </c>
      <c r="J414" s="300">
        <f>SUM(G414:I414)</f>
        <v>2.8990000000092424</v>
      </c>
      <c r="K414" s="300"/>
      <c r="L414" s="300">
        <v>1.9209999999919429</v>
      </c>
      <c r="M414" s="300">
        <v>0.5160000000018915</v>
      </c>
      <c r="N414" s="300">
        <v>0.22199999999810188</v>
      </c>
      <c r="O414" s="300">
        <f>SUM(L414:N414)</f>
        <v>2.6589999999919365</v>
      </c>
      <c r="P414" s="300"/>
      <c r="Q414" s="300">
        <v>2.2890000000220261</v>
      </c>
      <c r="R414" s="300">
        <v>0.60800000001016996</v>
      </c>
      <c r="S414" s="300">
        <v>0.27499999999473235</v>
      </c>
      <c r="T414" s="300">
        <f>SUM(Q414:S414)</f>
        <v>3.1720000000269284</v>
      </c>
      <c r="U414" s="300"/>
      <c r="V414" s="300">
        <v>2.7320000000028823</v>
      </c>
      <c r="W414" s="300">
        <v>0.71800000000336595</v>
      </c>
      <c r="X414" s="300">
        <v>0.36100000000125088</v>
      </c>
      <c r="Y414" s="300">
        <f>SUM(V414:X414)</f>
        <v>3.8110000000074993</v>
      </c>
    </row>
    <row r="415" spans="1:25" x14ac:dyDescent="0.2">
      <c r="A415" s="260" t="s">
        <v>355</v>
      </c>
      <c r="B415" s="300">
        <v>1.5999999999866095</v>
      </c>
      <c r="C415" s="300">
        <v>1.7000000000289298E-2</v>
      </c>
      <c r="D415" s="300">
        <v>0.88700000000346901</v>
      </c>
      <c r="E415" s="300">
        <f t="shared" ref="E415:E416" si="1094">SUM(B415:D415)</f>
        <v>2.5039999999903677</v>
      </c>
      <c r="F415" s="300"/>
      <c r="G415" s="300">
        <v>1.632999999989583</v>
      </c>
      <c r="H415" s="300">
        <v>6.900000000088613E-2</v>
      </c>
      <c r="I415" s="300">
        <v>1.2230000000024412</v>
      </c>
      <c r="J415" s="300">
        <f t="shared" ref="J415:J416" si="1095">SUM(G415:I415)</f>
        <v>2.9249999999929104</v>
      </c>
      <c r="K415" s="300"/>
      <c r="L415" s="300">
        <v>1.6839999999891588</v>
      </c>
      <c r="M415" s="300">
        <v>7.999999999999724E-2</v>
      </c>
      <c r="N415" s="300">
        <v>1.1920000000075968</v>
      </c>
      <c r="O415" s="300">
        <f t="shared" ref="O415:O416" si="1096">SUM(L415:N415)</f>
        <v>2.9559999999967528</v>
      </c>
      <c r="P415" s="300"/>
      <c r="Q415" s="300">
        <v>1.9790000000146333</v>
      </c>
      <c r="R415" s="300">
        <v>9.7999999998958393E-2</v>
      </c>
      <c r="S415" s="300">
        <v>1.431000000041859</v>
      </c>
      <c r="T415" s="300">
        <f t="shared" ref="T415:T416" si="1097">SUM(Q415:S415)</f>
        <v>3.5080000000554508</v>
      </c>
      <c r="U415" s="300"/>
      <c r="V415" s="300">
        <v>2.2930000000142736</v>
      </c>
      <c r="W415" s="300">
        <v>0.12499999999912596</v>
      </c>
      <c r="X415" s="300">
        <v>1.7510000000334764</v>
      </c>
      <c r="Y415" s="300">
        <f t="shared" ref="Y415:Y416" si="1098">SUM(V415:X415)</f>
        <v>4.1690000000468759</v>
      </c>
    </row>
    <row r="416" spans="1:25" x14ac:dyDescent="0.2">
      <c r="A416" s="260" t="s">
        <v>354</v>
      </c>
      <c r="B416" s="300">
        <f>SUM(B414:B415)</f>
        <v>3.12699999996858</v>
      </c>
      <c r="C416" s="300">
        <f t="shared" ref="C416" si="1099">SUM(C414:C415)</f>
        <v>0.12200000000112893</v>
      </c>
      <c r="D416" s="300">
        <f t="shared" ref="D416" si="1100">SUM(D414:D415)</f>
        <v>1.3420000000074599</v>
      </c>
      <c r="E416" s="300">
        <f t="shared" si="1094"/>
        <v>4.5909999999771687</v>
      </c>
      <c r="F416" s="300"/>
      <c r="G416" s="300">
        <f>SUM(G414:G415)</f>
        <v>3.1589999999799794</v>
      </c>
      <c r="H416" s="300">
        <f t="shared" ref="H416" si="1101">SUM(H414:H415)</f>
        <v>0.63000000000153222</v>
      </c>
      <c r="I416" s="300">
        <f t="shared" ref="I416" si="1102">SUM(I414:I415)</f>
        <v>2.0350000000206414</v>
      </c>
      <c r="J416" s="300">
        <f t="shared" si="1095"/>
        <v>5.8240000000021528</v>
      </c>
      <c r="K416" s="300"/>
      <c r="L416" s="300">
        <f>SUM(L414:L415)</f>
        <v>3.6049999999811018</v>
      </c>
      <c r="M416" s="300">
        <f t="shared" ref="M416" si="1103">SUM(M414:M415)</f>
        <v>0.5960000000018888</v>
      </c>
      <c r="N416" s="300">
        <f t="shared" ref="N416" si="1104">SUM(N414:N415)</f>
        <v>1.4140000000056987</v>
      </c>
      <c r="O416" s="300">
        <f t="shared" si="1096"/>
        <v>5.6149999999886884</v>
      </c>
      <c r="P416" s="300"/>
      <c r="Q416" s="300">
        <f>SUM(Q414:Q415)</f>
        <v>4.2680000000366594</v>
      </c>
      <c r="R416" s="300">
        <f t="shared" ref="R416" si="1105">SUM(R414:R415)</f>
        <v>0.70600000000912833</v>
      </c>
      <c r="S416" s="300">
        <f t="shared" ref="S416" si="1106">SUM(S414:S415)</f>
        <v>1.7060000000365914</v>
      </c>
      <c r="T416" s="300">
        <f t="shared" si="1097"/>
        <v>6.6800000000823792</v>
      </c>
      <c r="U416" s="300"/>
      <c r="V416" s="300">
        <f>SUM(V414:V415)</f>
        <v>5.0250000000171564</v>
      </c>
      <c r="W416" s="300">
        <f t="shared" ref="W416" si="1107">SUM(W414:W415)</f>
        <v>0.84300000000249187</v>
      </c>
      <c r="X416" s="300">
        <f t="shared" ref="X416" si="1108">SUM(X414:X415)</f>
        <v>2.1120000000347274</v>
      </c>
      <c r="Y416" s="300">
        <f t="shared" si="1098"/>
        <v>7.9800000000543765</v>
      </c>
    </row>
    <row r="417" spans="1:25" x14ac:dyDescent="0.2">
      <c r="A417" s="261"/>
      <c r="C417" s="319"/>
      <c r="D417" s="319"/>
      <c r="E417" s="319"/>
      <c r="F417" s="319"/>
      <c r="G417" s="319"/>
      <c r="H417" s="319"/>
      <c r="I417" s="319"/>
      <c r="J417" s="319"/>
      <c r="K417" s="319"/>
      <c r="L417" s="319"/>
      <c r="M417" s="319"/>
      <c r="N417" s="319"/>
      <c r="O417" s="319"/>
      <c r="P417" s="319"/>
      <c r="Q417" s="319"/>
      <c r="R417" s="319"/>
      <c r="S417" s="319"/>
      <c r="T417" s="319"/>
      <c r="U417" s="319"/>
      <c r="V417" s="319"/>
      <c r="W417" s="319"/>
      <c r="X417" s="319"/>
      <c r="Y417" s="319"/>
    </row>
    <row r="418" spans="1:25" x14ac:dyDescent="0.2">
      <c r="A418" s="261" t="str">
        <f>name!A60</f>
        <v>Veterinary</v>
      </c>
      <c r="C418" s="263"/>
    </row>
    <row r="419" spans="1:25" x14ac:dyDescent="0.2">
      <c r="A419" s="260" t="s">
        <v>356</v>
      </c>
      <c r="B419" s="300">
        <v>0.16799999999839699</v>
      </c>
      <c r="C419" s="300">
        <v>0.51999999998987378</v>
      </c>
      <c r="D419" s="300">
        <v>0.54999999996926519</v>
      </c>
      <c r="E419" s="300">
        <f>SUM(B419:D419)</f>
        <v>1.237999999957536</v>
      </c>
      <c r="F419" s="300"/>
      <c r="G419" s="300">
        <v>0.19000000000175848</v>
      </c>
      <c r="H419" s="300">
        <v>0.57899999999289908</v>
      </c>
      <c r="I419" s="300">
        <v>0.91599999995834014</v>
      </c>
      <c r="J419" s="300">
        <f>SUM(G419:I419)</f>
        <v>1.6849999999529977</v>
      </c>
      <c r="K419" s="300"/>
      <c r="L419" s="300">
        <v>0.23900000000155708</v>
      </c>
      <c r="M419" s="300">
        <v>0.53299999999160719</v>
      </c>
      <c r="N419" s="300">
        <v>0.25100000001662393</v>
      </c>
      <c r="O419" s="300">
        <f>SUM(L419:N419)</f>
        <v>1.0230000000097883</v>
      </c>
      <c r="P419" s="300"/>
      <c r="Q419" s="300">
        <v>0.283999999994904</v>
      </c>
      <c r="R419" s="300">
        <v>0.62799999997898293</v>
      </c>
      <c r="S419" s="300">
        <v>0.31000000000040079</v>
      </c>
      <c r="T419" s="300">
        <f>SUM(Q419:S419)</f>
        <v>1.2219999999742877</v>
      </c>
      <c r="U419" s="300"/>
      <c r="V419" s="300">
        <v>0.33900000000031294</v>
      </c>
      <c r="W419" s="300">
        <v>0.74100000000231947</v>
      </c>
      <c r="X419" s="300">
        <v>0.40799999999828751</v>
      </c>
      <c r="Y419" s="300">
        <f>SUM(V419:X419)</f>
        <v>1.4880000000009199</v>
      </c>
    </row>
    <row r="420" spans="1:25" x14ac:dyDescent="0.2">
      <c r="A420" s="260" t="s">
        <v>355</v>
      </c>
      <c r="B420" s="300">
        <v>0.47099999999488673</v>
      </c>
      <c r="C420" s="300">
        <v>0.11499999999935683</v>
      </c>
      <c r="D420" s="300">
        <v>8.400000000261798E-2</v>
      </c>
      <c r="E420" s="300">
        <f t="shared" ref="E420:E421" si="1109">SUM(B420:D420)</f>
        <v>0.66999999999686155</v>
      </c>
      <c r="F420" s="300"/>
      <c r="G420" s="300">
        <v>0.54199999999702053</v>
      </c>
      <c r="H420" s="300">
        <v>9.8999999999388216E-2</v>
      </c>
      <c r="I420" s="300">
        <v>0.10799999999900425</v>
      </c>
      <c r="J420" s="300">
        <f t="shared" ref="J420:J421" si="1110">SUM(G420:I420)</f>
        <v>0.748999999995413</v>
      </c>
      <c r="K420" s="300"/>
      <c r="L420" s="300">
        <v>0.55899999999710348</v>
      </c>
      <c r="M420" s="300">
        <v>0.11400000000019599</v>
      </c>
      <c r="N420" s="300">
        <v>0.10500000000371436</v>
      </c>
      <c r="O420" s="300">
        <f t="shared" ref="O420:O421" si="1111">SUM(L420:N420)</f>
        <v>0.77800000000101377</v>
      </c>
      <c r="P420" s="300"/>
      <c r="Q420" s="300">
        <v>0.65700000000758285</v>
      </c>
      <c r="R420" s="300">
        <v>0.14000000000049534</v>
      </c>
      <c r="S420" s="300">
        <v>0.1260000000203769</v>
      </c>
      <c r="T420" s="300">
        <f t="shared" ref="T420:T421" si="1112">SUM(Q420:S420)</f>
        <v>0.92300000002845506</v>
      </c>
      <c r="U420" s="300"/>
      <c r="V420" s="300">
        <v>0.76100000000649637</v>
      </c>
      <c r="W420" s="300">
        <v>0.18000000000093644</v>
      </c>
      <c r="X420" s="300">
        <v>0.15400000001917938</v>
      </c>
      <c r="Y420" s="300">
        <f t="shared" ref="Y420:Y421" si="1113">SUM(V420:X420)</f>
        <v>1.0950000000266122</v>
      </c>
    </row>
    <row r="421" spans="1:25" x14ac:dyDescent="0.2">
      <c r="A421" s="260" t="s">
        <v>354</v>
      </c>
      <c r="B421" s="300">
        <f>SUM(B419:B420)</f>
        <v>0.63899999999328372</v>
      </c>
      <c r="C421" s="300">
        <f t="shared" ref="C421" si="1114">SUM(C419:C420)</f>
        <v>0.63499999998923062</v>
      </c>
      <c r="D421" s="300">
        <f t="shared" ref="D421" si="1115">SUM(D419:D420)</f>
        <v>0.63399999997188317</v>
      </c>
      <c r="E421" s="300">
        <f t="shared" si="1109"/>
        <v>1.9079999999543977</v>
      </c>
      <c r="F421" s="300"/>
      <c r="G421" s="300">
        <f>SUM(G419:G420)</f>
        <v>0.73199999999877896</v>
      </c>
      <c r="H421" s="300">
        <f t="shared" ref="H421" si="1116">SUM(H419:H420)</f>
        <v>0.67799999999228733</v>
      </c>
      <c r="I421" s="300">
        <f t="shared" ref="I421" si="1117">SUM(I419:I420)</f>
        <v>1.0239999999573444</v>
      </c>
      <c r="J421" s="300">
        <f t="shared" si="1110"/>
        <v>2.4339999999484108</v>
      </c>
      <c r="K421" s="300"/>
      <c r="L421" s="300">
        <f>SUM(L419:L420)</f>
        <v>0.79799999999866056</v>
      </c>
      <c r="M421" s="300">
        <f t="shared" ref="M421" si="1118">SUM(M419:M420)</f>
        <v>0.64699999999180313</v>
      </c>
      <c r="N421" s="300">
        <f t="shared" ref="N421" si="1119">SUM(N419:N420)</f>
        <v>0.35600000002033827</v>
      </c>
      <c r="O421" s="300">
        <f t="shared" si="1111"/>
        <v>1.801000000010802</v>
      </c>
      <c r="P421" s="300"/>
      <c r="Q421" s="300">
        <f>SUM(Q419:Q420)</f>
        <v>0.94100000000248685</v>
      </c>
      <c r="R421" s="300">
        <f t="shared" ref="R421" si="1120">SUM(R419:R420)</f>
        <v>0.76799999997947821</v>
      </c>
      <c r="S421" s="300">
        <f t="shared" ref="S421" si="1121">SUM(S419:S420)</f>
        <v>0.43600000002077766</v>
      </c>
      <c r="T421" s="300">
        <f t="shared" si="1112"/>
        <v>2.1450000000027427</v>
      </c>
      <c r="U421" s="300"/>
      <c r="V421" s="300">
        <f>SUM(V419:V420)</f>
        <v>1.1000000000068093</v>
      </c>
      <c r="W421" s="300">
        <f t="shared" ref="W421" si="1122">SUM(W419:W420)</f>
        <v>0.92100000000325588</v>
      </c>
      <c r="X421" s="300">
        <f t="shared" ref="X421" si="1123">SUM(X419:X420)</f>
        <v>0.56200000001746686</v>
      </c>
      <c r="Y421" s="300">
        <f t="shared" si="1113"/>
        <v>2.5830000000275319</v>
      </c>
    </row>
    <row r="423" spans="1:25" x14ac:dyDescent="0.2">
      <c r="A423" s="261" t="s">
        <v>361</v>
      </c>
    </row>
    <row r="424" spans="1:25" x14ac:dyDescent="0.2">
      <c r="A424" s="260" t="s">
        <v>356</v>
      </c>
      <c r="B424" s="300">
        <f>SUM(B389,B394,B399,B404,B409,B414,B419)</f>
        <v>16.48499999976929</v>
      </c>
      <c r="C424" s="300">
        <f t="shared" ref="C424:D425" si="1124">SUM(C389,C394,C399,C404,C409,C414,C419)</f>
        <v>8.8630000000068101</v>
      </c>
      <c r="D424" s="300">
        <f t="shared" si="1124"/>
        <v>4.6999999999891227</v>
      </c>
      <c r="E424" s="300">
        <f>SUM(B424:D424)</f>
        <v>30.047999999765224</v>
      </c>
      <c r="F424" s="300"/>
      <c r="G424" s="300">
        <f>SUM(G389,G394,G399,G404,G409,G414,G419)</f>
        <v>14.976999999955442</v>
      </c>
      <c r="H424" s="300">
        <f t="shared" ref="H424:I424" si="1125">SUM(H389,H394,H399,H404,H409,H414,H419)</f>
        <v>9.3320000000446921</v>
      </c>
      <c r="I424" s="300">
        <f t="shared" si="1125"/>
        <v>5.6080000000666681</v>
      </c>
      <c r="J424" s="300">
        <f>SUM(G424:I424)</f>
        <v>29.9170000000668</v>
      </c>
      <c r="K424" s="300"/>
      <c r="L424" s="300">
        <f>SUM(L389,L394,L399,L404,L409,L414,L419)</f>
        <v>17.855999999973623</v>
      </c>
      <c r="M424" s="300">
        <f t="shared" ref="M424:N424" si="1126">SUM(M389,M394,M399,M404,M409,M414,M419)</f>
        <v>8.8330000000468516</v>
      </c>
      <c r="N424" s="300">
        <f t="shared" si="1126"/>
        <v>1.6440000000088149</v>
      </c>
      <c r="O424" s="300">
        <f>SUM(L424:N424)</f>
        <v>28.333000000029291</v>
      </c>
      <c r="P424" s="300"/>
      <c r="Q424" s="300">
        <f>SUM(Q389,Q394,Q399,Q404,Q409,Q414,Q419)</f>
        <v>18.595000000037999</v>
      </c>
      <c r="R424" s="300">
        <f t="shared" ref="R424:S424" si="1127">SUM(R389,R394,R399,R404,R409,R414,R419)</f>
        <v>9.2690000000039294</v>
      </c>
      <c r="S424" s="300">
        <f t="shared" si="1127"/>
        <v>1.8369999999647855</v>
      </c>
      <c r="T424" s="300">
        <f>SUM(Q424:S424)</f>
        <v>29.701000000006712</v>
      </c>
      <c r="U424" s="300"/>
      <c r="V424" s="300">
        <f>SUM(V389,V394,V399,V404,V409,V414,V419)</f>
        <v>19.830000000048351</v>
      </c>
      <c r="W424" s="300">
        <f t="shared" ref="W424:X424" si="1128">SUM(W389,W394,W399,W404,W409,W414,W419)</f>
        <v>9.8870000000411284</v>
      </c>
      <c r="X424" s="300">
        <f t="shared" si="1128"/>
        <v>2.1500000000050674</v>
      </c>
      <c r="Y424" s="300">
        <f>SUM(V424:X424)</f>
        <v>31.867000000094546</v>
      </c>
    </row>
    <row r="425" spans="1:25" x14ac:dyDescent="0.2">
      <c r="A425" s="260" t="s">
        <v>355</v>
      </c>
      <c r="B425" s="300">
        <f>SUM(B390,B395,B400,B405,B410,B415,B420)</f>
        <v>39.308999999264181</v>
      </c>
      <c r="C425" s="300">
        <f t="shared" si="1124"/>
        <v>2.7219999999986606</v>
      </c>
      <c r="D425" s="300">
        <f t="shared" si="1124"/>
        <v>8.2730000000208683</v>
      </c>
      <c r="E425" s="300">
        <f t="shared" ref="E425:E426" si="1129">SUM(B425:D425)</f>
        <v>50.303999999283704</v>
      </c>
      <c r="F425" s="300"/>
      <c r="G425" s="300">
        <f>SUM(G390,G395,G400,G405,G410,G415,G420)</f>
        <v>27.496999999666198</v>
      </c>
      <c r="H425" s="300">
        <f t="shared" ref="H425:I425" si="1130">SUM(H390,H395,H400,H405,H410,H415,H420)</f>
        <v>2.5030000000000943</v>
      </c>
      <c r="I425" s="300">
        <f t="shared" si="1130"/>
        <v>8.2909999999722892</v>
      </c>
      <c r="J425" s="300">
        <f t="shared" ref="J425:J426" si="1131">SUM(G425:I425)</f>
        <v>38.290999999638586</v>
      </c>
      <c r="K425" s="300"/>
      <c r="L425" s="300">
        <f>SUM(L390,L395,L400,L405,L410,L415,L420)</f>
        <v>30.051999999654225</v>
      </c>
      <c r="M425" s="300">
        <f t="shared" ref="M425:N425" si="1132">SUM(M390,M395,M400,M405,M410,M415,M420)</f>
        <v>4.4379999999943021</v>
      </c>
      <c r="N425" s="300">
        <f t="shared" si="1132"/>
        <v>8.2860000000648188</v>
      </c>
      <c r="O425" s="300">
        <f t="shared" ref="O425:O426" si="1133">SUM(L425:N425)</f>
        <v>42.775999999713342</v>
      </c>
      <c r="P425" s="300"/>
      <c r="Q425" s="300">
        <f>SUM(Q390,Q395,Q400,Q405,Q410,Q415,Q420)</f>
        <v>30.052000000548887</v>
      </c>
      <c r="R425" s="300">
        <f t="shared" ref="R425:S425" si="1134">SUM(R390,R395,R400,R405,R410,R415,R420)</f>
        <v>4.6249999999955129</v>
      </c>
      <c r="S425" s="300">
        <f t="shared" si="1134"/>
        <v>8.6970000004687797</v>
      </c>
      <c r="T425" s="300">
        <f t="shared" ref="T425:T426" si="1135">SUM(Q425:S425)</f>
        <v>43.374000001013172</v>
      </c>
      <c r="U425" s="300"/>
      <c r="V425" s="300">
        <f>SUM(V390,V395,V400,V405,V410,V415,V420)</f>
        <v>30.803000000460919</v>
      </c>
      <c r="W425" s="300">
        <f t="shared" ref="W425:X425" si="1136">SUM(W390,W395,W400,W405,W410,W415,W420)</f>
        <v>5.0129999999944408</v>
      </c>
      <c r="X425" s="300">
        <f t="shared" si="1136"/>
        <v>9.4100000003606254</v>
      </c>
      <c r="Y425" s="300">
        <f t="shared" ref="Y425:Y426" si="1137">SUM(V425:X425)</f>
        <v>45.226000000815986</v>
      </c>
    </row>
    <row r="426" spans="1:25" x14ac:dyDescent="0.2">
      <c r="A426" s="264" t="s">
        <v>354</v>
      </c>
      <c r="B426" s="301">
        <f>SUM(B424:B425)</f>
        <v>55.793999999033474</v>
      </c>
      <c r="C426" s="301">
        <f t="shared" ref="C426" si="1138">SUM(C424:C425)</f>
        <v>11.58500000000547</v>
      </c>
      <c r="D426" s="301">
        <f t="shared" ref="D426" si="1139">SUM(D424:D425)</f>
        <v>12.973000000009991</v>
      </c>
      <c r="E426" s="301">
        <f t="shared" si="1129"/>
        <v>80.351999999048928</v>
      </c>
      <c r="F426" s="301"/>
      <c r="G426" s="301">
        <f>SUM(G424:G425)</f>
        <v>42.47399999962164</v>
      </c>
      <c r="H426" s="301">
        <f t="shared" ref="H426" si="1140">SUM(H424:H425)</f>
        <v>11.835000000044786</v>
      </c>
      <c r="I426" s="301">
        <f t="shared" ref="I426" si="1141">SUM(I424:I425)</f>
        <v>13.899000000038956</v>
      </c>
      <c r="J426" s="301">
        <f t="shared" si="1131"/>
        <v>68.207999999705379</v>
      </c>
      <c r="K426" s="301"/>
      <c r="L426" s="301">
        <f>SUM(L424:L425)</f>
        <v>47.907999999627847</v>
      </c>
      <c r="M426" s="301">
        <f t="shared" ref="M426" si="1142">SUM(M424:M425)</f>
        <v>13.271000000041154</v>
      </c>
      <c r="N426" s="301">
        <f t="shared" ref="N426" si="1143">SUM(N424:N425)</f>
        <v>9.9300000000736333</v>
      </c>
      <c r="O426" s="301">
        <f t="shared" si="1133"/>
        <v>71.108999999742636</v>
      </c>
      <c r="P426" s="301"/>
      <c r="Q426" s="301">
        <f>SUM(Q424:Q425)</f>
        <v>48.647000000586885</v>
      </c>
      <c r="R426" s="301">
        <f t="shared" ref="R426" si="1144">SUM(R424:R425)</f>
        <v>13.893999999999442</v>
      </c>
      <c r="S426" s="301">
        <f t="shared" ref="S426" si="1145">SUM(S424:S425)</f>
        <v>10.534000000433565</v>
      </c>
      <c r="T426" s="301">
        <f t="shared" si="1135"/>
        <v>73.075000001019902</v>
      </c>
      <c r="U426" s="301"/>
      <c r="V426" s="301">
        <f>SUM(V424:V425)</f>
        <v>50.63300000050927</v>
      </c>
      <c r="W426" s="301">
        <f t="shared" ref="W426" si="1146">SUM(W424:W425)</f>
        <v>14.900000000035568</v>
      </c>
      <c r="X426" s="301">
        <f t="shared" ref="X426" si="1147">SUM(X424:X425)</f>
        <v>11.560000000365694</v>
      </c>
      <c r="Y426" s="301">
        <f t="shared" si="1137"/>
        <v>77.093000000910521</v>
      </c>
    </row>
    <row r="427" spans="1:25" x14ac:dyDescent="0.2">
      <c r="C427" s="263"/>
    </row>
    <row r="428" spans="1:25" x14ac:dyDescent="0.2">
      <c r="A428" s="261"/>
    </row>
    <row r="429" spans="1:25" x14ac:dyDescent="0.2">
      <c r="C429" s="263"/>
    </row>
    <row r="430" spans="1:25" ht="15" x14ac:dyDescent="0.25">
      <c r="A430" s="265" t="str">
        <f>"Industry 17 : "&amp; name!B20</f>
        <v>Industry 17 : Support services</v>
      </c>
      <c r="B430" s="371">
        <f>$B$5</f>
        <v>2015</v>
      </c>
      <c r="C430" s="371"/>
      <c r="D430" s="371"/>
      <c r="E430" s="371"/>
      <c r="F430" s="320"/>
      <c r="G430" s="371">
        <f>$G$5</f>
        <v>2019</v>
      </c>
      <c r="H430" s="371"/>
      <c r="I430" s="371"/>
      <c r="J430" s="371"/>
      <c r="K430" s="320"/>
      <c r="L430" s="371">
        <f>$L$5</f>
        <v>2020</v>
      </c>
      <c r="M430" s="371"/>
      <c r="N430" s="371"/>
      <c r="O430" s="371"/>
      <c r="P430" s="318"/>
      <c r="Q430" s="371">
        <f>$Q$5</f>
        <v>2025</v>
      </c>
      <c r="R430" s="371"/>
      <c r="S430" s="371"/>
      <c r="T430" s="371"/>
      <c r="U430" s="320"/>
      <c r="V430" s="371">
        <f>$V$5</f>
        <v>2035</v>
      </c>
      <c r="W430" s="371"/>
      <c r="X430" s="371"/>
      <c r="Y430" s="371"/>
    </row>
    <row r="431" spans="1:25" x14ac:dyDescent="0.2">
      <c r="A431" s="264"/>
      <c r="B431" s="268" t="str">
        <f>$B$6</f>
        <v>FT</v>
      </c>
      <c r="C431" s="268" t="str">
        <f>$C$6</f>
        <v>PT</v>
      </c>
      <c r="D431" s="268" t="str">
        <f>$D$6</f>
        <v>SE</v>
      </c>
      <c r="E431" s="268" t="str">
        <f>$E$6</f>
        <v>Total</v>
      </c>
      <c r="F431" s="268"/>
      <c r="G431" s="268" t="str">
        <f>$B$6</f>
        <v>FT</v>
      </c>
      <c r="H431" s="268" t="str">
        <f>$C$6</f>
        <v>PT</v>
      </c>
      <c r="I431" s="268" t="str">
        <f>$D$6</f>
        <v>SE</v>
      </c>
      <c r="J431" s="268" t="str">
        <f>$E$6</f>
        <v>Total</v>
      </c>
      <c r="K431" s="268"/>
      <c r="L431" s="268" t="str">
        <f>$L$6</f>
        <v>FT</v>
      </c>
      <c r="M431" s="268" t="str">
        <f>$M$6</f>
        <v>PT</v>
      </c>
      <c r="N431" s="268" t="str">
        <f>$N$6</f>
        <v>SE</v>
      </c>
      <c r="O431" s="268" t="str">
        <f>$O$6</f>
        <v>Total</v>
      </c>
      <c r="P431" s="268"/>
      <c r="Q431" s="268" t="str">
        <f>$L$6</f>
        <v>FT</v>
      </c>
      <c r="R431" s="268" t="str">
        <f>$M$6</f>
        <v>PT</v>
      </c>
      <c r="S431" s="268" t="str">
        <f>$N$6</f>
        <v>SE</v>
      </c>
      <c r="T431" s="268" t="str">
        <f>$O$6</f>
        <v>Total</v>
      </c>
      <c r="U431" s="268"/>
      <c r="V431" s="268" t="str">
        <f>$V$6</f>
        <v>FT</v>
      </c>
      <c r="W431" s="268" t="str">
        <f>$W$6</f>
        <v>PT</v>
      </c>
      <c r="X431" s="268" t="str">
        <f>$X$6</f>
        <v>SE</v>
      </c>
      <c r="Y431" s="268" t="str">
        <f>$Y$6</f>
        <v>Total</v>
      </c>
    </row>
    <row r="432" spans="1:25" x14ac:dyDescent="0.2">
      <c r="A432" s="262"/>
      <c r="C432" s="319"/>
      <c r="D432" s="319"/>
      <c r="E432" s="319"/>
      <c r="F432" s="319"/>
      <c r="G432" s="319"/>
      <c r="H432" s="319"/>
      <c r="I432" s="319"/>
      <c r="J432" s="319"/>
      <c r="K432" s="319"/>
      <c r="L432" s="319"/>
      <c r="M432" s="319"/>
      <c r="N432" s="319"/>
      <c r="O432" s="319"/>
      <c r="P432" s="319"/>
      <c r="Q432" s="319"/>
      <c r="R432" s="319"/>
      <c r="S432" s="319"/>
      <c r="T432" s="319"/>
      <c r="U432" s="319"/>
      <c r="V432" s="319"/>
      <c r="W432" s="319"/>
      <c r="X432" s="319"/>
      <c r="Y432" s="319"/>
    </row>
    <row r="433" spans="1:25" x14ac:dyDescent="0.2">
      <c r="A433" s="261" t="str">
        <f>name!A61</f>
        <v>Rental and leasing</v>
      </c>
      <c r="C433" s="263"/>
    </row>
    <row r="434" spans="1:25" x14ac:dyDescent="0.2">
      <c r="A434" s="260" t="s">
        <v>356</v>
      </c>
      <c r="B434" s="300">
        <v>0.45599999999719032</v>
      </c>
      <c r="C434" s="300">
        <v>0.37600000000990058</v>
      </c>
      <c r="D434" s="300">
        <v>9.7000000000848394E-2</v>
      </c>
      <c r="E434" s="300">
        <f>SUM(B434:D434)</f>
        <v>0.92900000000793925</v>
      </c>
      <c r="F434" s="300"/>
      <c r="G434" s="300">
        <v>0.72599999998753562</v>
      </c>
      <c r="H434" s="300">
        <v>0.41600000000788806</v>
      </c>
      <c r="I434" s="300">
        <v>8.8000000000790501E-2</v>
      </c>
      <c r="J434" s="300">
        <f>SUM(G434:I434)</f>
        <v>1.2299999999962141</v>
      </c>
      <c r="K434" s="300"/>
      <c r="L434" s="300">
        <v>0.76799999998956625</v>
      </c>
      <c r="M434" s="300">
        <v>0.42700000001085026</v>
      </c>
      <c r="N434" s="300">
        <v>9.8999999999443089E-2</v>
      </c>
      <c r="O434" s="300">
        <f>SUM(L434:N434)</f>
        <v>1.2939999999998595</v>
      </c>
      <c r="P434" s="300"/>
      <c r="Q434" s="300">
        <v>0.79800000003069882</v>
      </c>
      <c r="R434" s="300">
        <v>0.42800000002159905</v>
      </c>
      <c r="S434" s="300">
        <v>9.999999999979009E-2</v>
      </c>
      <c r="T434" s="300">
        <f>SUM(Q434:S434)</f>
        <v>1.326000000052088</v>
      </c>
      <c r="U434" s="300"/>
      <c r="V434" s="300">
        <v>0.84799999999480424</v>
      </c>
      <c r="W434" s="300">
        <v>0.43000000000052313</v>
      </c>
      <c r="X434" s="300">
        <v>0.1050000000001618</v>
      </c>
      <c r="Y434" s="300">
        <f>SUM(V434:X434)</f>
        <v>1.3829999999954892</v>
      </c>
    </row>
    <row r="435" spans="1:25" x14ac:dyDescent="0.2">
      <c r="A435" s="260" t="s">
        <v>355</v>
      </c>
      <c r="B435" s="300">
        <v>2.1610000000057683</v>
      </c>
      <c r="C435" s="300">
        <v>0.46300000000508357</v>
      </c>
      <c r="D435" s="300">
        <v>0.16400000000172466</v>
      </c>
      <c r="E435" s="300">
        <f t="shared" ref="E435:E436" si="1148">SUM(B435:D435)</f>
        <v>2.7880000000125764</v>
      </c>
      <c r="F435" s="300"/>
      <c r="G435" s="300">
        <v>4.217000000002078</v>
      </c>
      <c r="H435" s="300">
        <v>0.46500000000413144</v>
      </c>
      <c r="I435" s="300">
        <v>0.81699999999374084</v>
      </c>
      <c r="J435" s="300">
        <f t="shared" ref="J435:J436" si="1149">SUM(G435:I435)</f>
        <v>5.4989999999999508</v>
      </c>
      <c r="K435" s="300"/>
      <c r="L435" s="300">
        <v>4.1570000000001697</v>
      </c>
      <c r="M435" s="300">
        <v>0.47799999999867443</v>
      </c>
      <c r="N435" s="300">
        <v>0.49200000000423688</v>
      </c>
      <c r="O435" s="300">
        <f t="shared" ref="O435:O436" si="1150">SUM(L435:N435)</f>
        <v>5.1270000000030809</v>
      </c>
      <c r="P435" s="300"/>
      <c r="Q435" s="300">
        <v>4.2439999999793594</v>
      </c>
      <c r="R435" s="300">
        <v>0.48699999999781524</v>
      </c>
      <c r="S435" s="300">
        <v>0.49500000001147282</v>
      </c>
      <c r="T435" s="300">
        <f t="shared" ref="T435:T436" si="1151">SUM(Q435:S435)</f>
        <v>5.2259999999886473</v>
      </c>
      <c r="U435" s="300"/>
      <c r="V435" s="300">
        <v>4.4129999999759475</v>
      </c>
      <c r="W435" s="300">
        <v>0.50099999999917588</v>
      </c>
      <c r="X435" s="300">
        <v>0.51600000000900947</v>
      </c>
      <c r="Y435" s="300">
        <f t="shared" ref="Y435:Y436" si="1152">SUM(V435:X435)</f>
        <v>5.4299999999841333</v>
      </c>
    </row>
    <row r="436" spans="1:25" x14ac:dyDescent="0.2">
      <c r="A436" s="260" t="s">
        <v>354</v>
      </c>
      <c r="B436" s="300">
        <f>SUM(B434:B435)</f>
        <v>2.6170000000029585</v>
      </c>
      <c r="C436" s="300">
        <f t="shared" ref="C436" si="1153">SUM(C434:C435)</f>
        <v>0.8390000000149842</v>
      </c>
      <c r="D436" s="300">
        <f t="shared" ref="D436" si="1154">SUM(D434:D435)</f>
        <v>0.26100000000257306</v>
      </c>
      <c r="E436" s="300">
        <f t="shared" si="1148"/>
        <v>3.7170000000205157</v>
      </c>
      <c r="F436" s="300"/>
      <c r="G436" s="300">
        <f>SUM(G434:G435)</f>
        <v>4.9429999999896133</v>
      </c>
      <c r="H436" s="300">
        <f t="shared" ref="H436" si="1155">SUM(H434:H435)</f>
        <v>0.8810000000120195</v>
      </c>
      <c r="I436" s="300">
        <f t="shared" ref="I436" si="1156">SUM(I434:I435)</f>
        <v>0.90499999999453129</v>
      </c>
      <c r="J436" s="300">
        <f t="shared" si="1149"/>
        <v>6.728999999996164</v>
      </c>
      <c r="K436" s="300"/>
      <c r="L436" s="300">
        <f>SUM(L434:L435)</f>
        <v>4.924999999989736</v>
      </c>
      <c r="M436" s="300">
        <f t="shared" ref="M436" si="1157">SUM(M434:M435)</f>
        <v>0.90500000000952463</v>
      </c>
      <c r="N436" s="300">
        <f t="shared" ref="N436" si="1158">SUM(N434:N435)</f>
        <v>0.59100000000367992</v>
      </c>
      <c r="O436" s="300">
        <f t="shared" si="1150"/>
        <v>6.421000000002941</v>
      </c>
      <c r="P436" s="300"/>
      <c r="Q436" s="300">
        <f>SUM(Q434:Q435)</f>
        <v>5.0420000000100584</v>
      </c>
      <c r="R436" s="300">
        <f t="shared" ref="R436" si="1159">SUM(R434:R435)</f>
        <v>0.91500000001941428</v>
      </c>
      <c r="S436" s="300">
        <f t="shared" ref="S436" si="1160">SUM(S434:S435)</f>
        <v>0.59500000001126296</v>
      </c>
      <c r="T436" s="300">
        <f t="shared" si="1151"/>
        <v>6.552000000040735</v>
      </c>
      <c r="U436" s="300"/>
      <c r="V436" s="300">
        <f>SUM(V434:V435)</f>
        <v>5.2609999999707515</v>
      </c>
      <c r="W436" s="300">
        <f t="shared" ref="W436" si="1161">SUM(W434:W435)</f>
        <v>0.93099999999969896</v>
      </c>
      <c r="X436" s="300">
        <f t="shared" ref="X436" si="1162">SUM(X434:X435)</f>
        <v>0.62100000000917133</v>
      </c>
      <c r="Y436" s="300">
        <f t="shared" si="1152"/>
        <v>6.8129999999796222</v>
      </c>
    </row>
    <row r="437" spans="1:25" x14ac:dyDescent="0.2">
      <c r="C437" s="319"/>
      <c r="D437" s="319"/>
      <c r="E437" s="319"/>
      <c r="F437" s="319"/>
      <c r="G437" s="319"/>
      <c r="H437" s="319"/>
      <c r="I437" s="319"/>
      <c r="J437" s="319"/>
      <c r="K437" s="319"/>
      <c r="L437" s="319"/>
      <c r="M437" s="319"/>
      <c r="N437" s="319"/>
      <c r="O437" s="319"/>
      <c r="P437" s="319"/>
      <c r="Q437" s="319"/>
      <c r="R437" s="319"/>
      <c r="S437" s="319"/>
      <c r="T437" s="319"/>
      <c r="U437" s="319"/>
      <c r="V437" s="319"/>
      <c r="W437" s="319"/>
      <c r="X437" s="319"/>
      <c r="Y437" s="319"/>
    </row>
    <row r="438" spans="1:25" x14ac:dyDescent="0.2">
      <c r="A438" s="261" t="str">
        <f>name!A62</f>
        <v>Employment activities</v>
      </c>
      <c r="C438" s="263"/>
    </row>
    <row r="439" spans="1:25" x14ac:dyDescent="0.2">
      <c r="A439" s="260" t="s">
        <v>356</v>
      </c>
      <c r="B439" s="300">
        <v>7.3239999999774748</v>
      </c>
      <c r="C439" s="300">
        <v>2.9580000000348678</v>
      </c>
      <c r="D439" s="300">
        <v>1.0050000000173629</v>
      </c>
      <c r="E439" s="300">
        <f>SUM(B439:D439)</f>
        <v>11.287000000029705</v>
      </c>
      <c r="F439" s="300"/>
      <c r="G439" s="300">
        <v>6.1639999998949699</v>
      </c>
      <c r="H439" s="300">
        <v>3.1339999999908317</v>
      </c>
      <c r="I439" s="300">
        <v>0.5170000000100059</v>
      </c>
      <c r="J439" s="300">
        <f>SUM(G439:I439)</f>
        <v>9.8149999998958073</v>
      </c>
      <c r="K439" s="300"/>
      <c r="L439" s="300">
        <v>6.5239999999148752</v>
      </c>
      <c r="M439" s="300">
        <v>3.2180000000016999</v>
      </c>
      <c r="N439" s="300">
        <v>0.58399999999045726</v>
      </c>
      <c r="O439" s="300">
        <f>SUM(L439:N439)</f>
        <v>10.325999999907033</v>
      </c>
      <c r="P439" s="300"/>
      <c r="Q439" s="300">
        <v>6.7800000002483465</v>
      </c>
      <c r="R439" s="300">
        <v>3.2240000000904763</v>
      </c>
      <c r="S439" s="300">
        <v>0.5859999999971276</v>
      </c>
      <c r="T439" s="300">
        <f>SUM(Q439:S439)</f>
        <v>10.590000000335952</v>
      </c>
      <c r="U439" s="300"/>
      <c r="V439" s="300">
        <v>7.2069999999620844</v>
      </c>
      <c r="W439" s="300">
        <v>3.2370000000077717</v>
      </c>
      <c r="X439" s="300">
        <v>0.61499999999968047</v>
      </c>
      <c r="Y439" s="300">
        <f>SUM(V439:X439)</f>
        <v>11.058999999969537</v>
      </c>
    </row>
    <row r="440" spans="1:25" x14ac:dyDescent="0.2">
      <c r="A440" s="260" t="s">
        <v>355</v>
      </c>
      <c r="B440" s="300">
        <v>10.025000000056483</v>
      </c>
      <c r="C440" s="300">
        <v>4.3810000000775862</v>
      </c>
      <c r="D440" s="300">
        <v>0.92300000000930871</v>
      </c>
      <c r="E440" s="300">
        <f t="shared" ref="E440:E441" si="1163">SUM(B440:D440)</f>
        <v>15.329000000143377</v>
      </c>
      <c r="F440" s="300"/>
      <c r="G440" s="300">
        <v>10.358000000021299</v>
      </c>
      <c r="H440" s="300">
        <v>4.208000000054402</v>
      </c>
      <c r="I440" s="300">
        <v>2.605000000020071</v>
      </c>
      <c r="J440" s="300">
        <f t="shared" ref="J440:J441" si="1164">SUM(G440:I440)</f>
        <v>17.17100000009577</v>
      </c>
      <c r="K440" s="300"/>
      <c r="L440" s="300">
        <v>10.211000000009911</v>
      </c>
      <c r="M440" s="300">
        <v>4.322999999998447</v>
      </c>
      <c r="N440" s="300">
        <v>1.5700000000111141</v>
      </c>
      <c r="O440" s="300">
        <f t="shared" ref="O440:O441" si="1165">SUM(L440:N440)</f>
        <v>16.104000000019472</v>
      </c>
      <c r="P440" s="300"/>
      <c r="Q440" s="300">
        <v>10.423999999921159</v>
      </c>
      <c r="R440" s="300">
        <v>4.4049999999581422</v>
      </c>
      <c r="S440" s="300">
        <v>1.5770000000176696</v>
      </c>
      <c r="T440" s="300">
        <f t="shared" ref="T440:T441" si="1166">SUM(Q440:S440)</f>
        <v>16.40599999989697</v>
      </c>
      <c r="U440" s="300"/>
      <c r="V440" s="300">
        <v>10.837999999919383</v>
      </c>
      <c r="W440" s="300">
        <v>4.5379999999714391</v>
      </c>
      <c r="X440" s="300">
        <v>1.6450000000150804</v>
      </c>
      <c r="Y440" s="300">
        <f t="shared" ref="Y440:Y441" si="1167">SUM(V440:X440)</f>
        <v>17.020999999905904</v>
      </c>
    </row>
    <row r="441" spans="1:25" x14ac:dyDescent="0.2">
      <c r="A441" s="260" t="s">
        <v>354</v>
      </c>
      <c r="B441" s="300">
        <f>SUM(B439:B440)</f>
        <v>17.349000000033957</v>
      </c>
      <c r="C441" s="300">
        <f t="shared" ref="C441" si="1168">SUM(C439:C440)</f>
        <v>7.3390000001124545</v>
      </c>
      <c r="D441" s="300">
        <f t="shared" ref="D441" si="1169">SUM(D439:D440)</f>
        <v>1.9280000000266715</v>
      </c>
      <c r="E441" s="300">
        <f t="shared" si="1163"/>
        <v>26.616000000173081</v>
      </c>
      <c r="F441" s="300"/>
      <c r="G441" s="300">
        <f>SUM(G439:G440)</f>
        <v>16.521999999916268</v>
      </c>
      <c r="H441" s="300">
        <f t="shared" ref="H441" si="1170">SUM(H439:H440)</f>
        <v>7.3420000000452337</v>
      </c>
      <c r="I441" s="300">
        <f t="shared" ref="I441" si="1171">SUM(I439:I440)</f>
        <v>3.1220000000300772</v>
      </c>
      <c r="J441" s="300">
        <f t="shared" si="1164"/>
        <v>26.985999999991577</v>
      </c>
      <c r="K441" s="300"/>
      <c r="L441" s="300">
        <f>SUM(L439:L440)</f>
        <v>16.734999999924785</v>
      </c>
      <c r="M441" s="300">
        <f t="shared" ref="M441" si="1172">SUM(M439:M440)</f>
        <v>7.5410000000001469</v>
      </c>
      <c r="N441" s="300">
        <f t="shared" ref="N441" si="1173">SUM(N439:N440)</f>
        <v>2.1540000000015711</v>
      </c>
      <c r="O441" s="300">
        <f t="shared" si="1165"/>
        <v>26.429999999926501</v>
      </c>
      <c r="P441" s="300"/>
      <c r="Q441" s="300">
        <f>SUM(Q439:Q440)</f>
        <v>17.204000000169508</v>
      </c>
      <c r="R441" s="300">
        <f t="shared" ref="R441" si="1174">SUM(R439:R440)</f>
        <v>7.6290000000486184</v>
      </c>
      <c r="S441" s="300">
        <f t="shared" ref="S441" si="1175">SUM(S439:S440)</f>
        <v>2.1630000000147973</v>
      </c>
      <c r="T441" s="300">
        <f t="shared" si="1166"/>
        <v>26.996000000232925</v>
      </c>
      <c r="U441" s="300"/>
      <c r="V441" s="300">
        <f>SUM(V439:V440)</f>
        <v>18.044999999881469</v>
      </c>
      <c r="W441" s="300">
        <f t="shared" ref="W441" si="1176">SUM(W439:W440)</f>
        <v>7.7749999999792108</v>
      </c>
      <c r="X441" s="300">
        <f t="shared" ref="X441" si="1177">SUM(X439:X440)</f>
        <v>2.2600000000147609</v>
      </c>
      <c r="Y441" s="300">
        <f t="shared" si="1167"/>
        <v>28.07999999987544</v>
      </c>
    </row>
    <row r="442" spans="1:25" x14ac:dyDescent="0.2">
      <c r="C442" s="319"/>
      <c r="D442" s="319"/>
      <c r="E442" s="319"/>
      <c r="F442" s="319"/>
      <c r="G442" s="319"/>
      <c r="H442" s="319"/>
      <c r="I442" s="319"/>
      <c r="J442" s="319"/>
      <c r="K442" s="319"/>
      <c r="L442" s="319"/>
      <c r="M442" s="319"/>
      <c r="N442" s="319"/>
      <c r="O442" s="319"/>
      <c r="P442" s="319"/>
      <c r="Q442" s="319"/>
      <c r="R442" s="319"/>
      <c r="S442" s="319"/>
      <c r="T442" s="319"/>
      <c r="U442" s="319"/>
      <c r="V442" s="319"/>
      <c r="W442" s="319"/>
      <c r="X442" s="319"/>
      <c r="Y442" s="319"/>
    </row>
    <row r="443" spans="1:25" x14ac:dyDescent="0.2">
      <c r="A443" s="261" t="str">
        <f>name!A63</f>
        <v>Travel, etc</v>
      </c>
      <c r="C443" s="263"/>
    </row>
    <row r="444" spans="1:25" x14ac:dyDescent="0.2">
      <c r="A444" s="260" t="s">
        <v>356</v>
      </c>
      <c r="B444" s="300">
        <v>0.84199999999560349</v>
      </c>
      <c r="C444" s="300">
        <v>0.31600000000519096</v>
      </c>
      <c r="D444" s="300">
        <v>0.24500000000576733</v>
      </c>
      <c r="E444" s="300">
        <f>SUM(B444:D444)</f>
        <v>1.4030000000065617</v>
      </c>
      <c r="F444" s="300"/>
      <c r="G444" s="300">
        <v>0.58399999998687191</v>
      </c>
      <c r="H444" s="300">
        <v>0.22099999999998099</v>
      </c>
      <c r="I444" s="300">
        <v>9.700000000232388E-2</v>
      </c>
      <c r="J444" s="300">
        <f>SUM(G444:I444)</f>
        <v>0.90199999998917679</v>
      </c>
      <c r="K444" s="300"/>
      <c r="L444" s="300">
        <v>0.61799999998941402</v>
      </c>
      <c r="M444" s="300">
        <v>0.22700000000132486</v>
      </c>
      <c r="N444" s="300">
        <v>0.10899999999689848</v>
      </c>
      <c r="O444" s="300">
        <f>SUM(L444:N444)</f>
        <v>0.9539999999876374</v>
      </c>
      <c r="P444" s="300"/>
      <c r="Q444" s="300">
        <v>0.64200000003077395</v>
      </c>
      <c r="R444" s="300">
        <v>0.22700000000973053</v>
      </c>
      <c r="S444" s="300">
        <v>0.10900000000042766</v>
      </c>
      <c r="T444" s="300">
        <f>SUM(Q444:S444)</f>
        <v>0.97800000004093213</v>
      </c>
      <c r="U444" s="300"/>
      <c r="V444" s="300">
        <v>0.68299999999645222</v>
      </c>
      <c r="W444" s="300">
        <v>0.2280000000017241</v>
      </c>
      <c r="X444" s="300">
        <v>0.11499999999960012</v>
      </c>
      <c r="Y444" s="300">
        <f>SUM(V444:X444)</f>
        <v>1.0259999999977765</v>
      </c>
    </row>
    <row r="445" spans="1:25" x14ac:dyDescent="0.2">
      <c r="A445" s="260" t="s">
        <v>355</v>
      </c>
      <c r="B445" s="300">
        <v>1.0900000000056926</v>
      </c>
      <c r="C445" s="300">
        <v>0.58500000000847219</v>
      </c>
      <c r="D445" s="300">
        <v>3.9000000000540019E-2</v>
      </c>
      <c r="E445" s="300">
        <f t="shared" ref="E445:E446" si="1178">SUM(B445:D445)</f>
        <v>1.7140000000147049</v>
      </c>
      <c r="F445" s="300"/>
      <c r="G445" s="300">
        <v>0.9280000000014702</v>
      </c>
      <c r="H445" s="300">
        <v>0.3700000000037888</v>
      </c>
      <c r="I445" s="300">
        <v>8.3999999999221905E-2</v>
      </c>
      <c r="J445" s="300">
        <f t="shared" ref="J445:J446" si="1179">SUM(G445:I445)</f>
        <v>1.3820000000044808</v>
      </c>
      <c r="K445" s="300"/>
      <c r="L445" s="300">
        <v>0.91500000000062354</v>
      </c>
      <c r="M445" s="300">
        <v>0.38000000000035244</v>
      </c>
      <c r="N445" s="300">
        <v>5.0000000000636306E-2</v>
      </c>
      <c r="O445" s="300">
        <f t="shared" ref="O445:O446" si="1180">SUM(L445:N445)</f>
        <v>1.3450000000016122</v>
      </c>
      <c r="P445" s="300"/>
      <c r="Q445" s="300">
        <v>0.93399999999270389</v>
      </c>
      <c r="R445" s="300">
        <v>0.38699999999633694</v>
      </c>
      <c r="S445" s="300">
        <v>5.1000000001973481E-2</v>
      </c>
      <c r="T445" s="300">
        <f t="shared" ref="T445:T446" si="1181">SUM(Q445:S445)</f>
        <v>1.3719999999910144</v>
      </c>
      <c r="U445" s="300"/>
      <c r="V445" s="300">
        <v>0.97099999999209818</v>
      </c>
      <c r="W445" s="300">
        <v>0.39899999999743901</v>
      </c>
      <c r="X445" s="300">
        <v>5.3000000001619932E-2</v>
      </c>
      <c r="Y445" s="300">
        <f t="shared" ref="Y445:Y446" si="1182">SUM(V445:X445)</f>
        <v>1.4229999999911571</v>
      </c>
    </row>
    <row r="446" spans="1:25" x14ac:dyDescent="0.2">
      <c r="A446" s="260" t="s">
        <v>354</v>
      </c>
      <c r="B446" s="300">
        <f>SUM(B444:B445)</f>
        <v>1.9320000000012962</v>
      </c>
      <c r="C446" s="300">
        <f t="shared" ref="C446" si="1183">SUM(C444:C445)</f>
        <v>0.90100000001366309</v>
      </c>
      <c r="D446" s="300">
        <f t="shared" ref="D446" si="1184">SUM(D444:D445)</f>
        <v>0.28400000000630732</v>
      </c>
      <c r="E446" s="300">
        <f t="shared" si="1178"/>
        <v>3.1170000000212665</v>
      </c>
      <c r="F446" s="300"/>
      <c r="G446" s="300">
        <f>SUM(G444:G445)</f>
        <v>1.5119999999883422</v>
      </c>
      <c r="H446" s="300">
        <f t="shared" ref="H446" si="1185">SUM(H444:H445)</f>
        <v>0.59100000000376984</v>
      </c>
      <c r="I446" s="300">
        <f t="shared" ref="I446" si="1186">SUM(I444:I445)</f>
        <v>0.18100000000154579</v>
      </c>
      <c r="J446" s="300">
        <f t="shared" si="1179"/>
        <v>2.2839999999936578</v>
      </c>
      <c r="K446" s="300"/>
      <c r="L446" s="300">
        <f>SUM(L444:L445)</f>
        <v>1.5329999999900377</v>
      </c>
      <c r="M446" s="300">
        <f t="shared" ref="M446" si="1187">SUM(M444:M445)</f>
        <v>0.60700000000167731</v>
      </c>
      <c r="N446" s="300">
        <f t="shared" ref="N446" si="1188">SUM(N444:N445)</f>
        <v>0.15899999999753478</v>
      </c>
      <c r="O446" s="300">
        <f t="shared" si="1180"/>
        <v>2.2989999999892494</v>
      </c>
      <c r="P446" s="300"/>
      <c r="Q446" s="300">
        <f>SUM(Q444:Q445)</f>
        <v>1.5760000000234777</v>
      </c>
      <c r="R446" s="300">
        <f t="shared" ref="R446" si="1189">SUM(R444:R445)</f>
        <v>0.61400000000606747</v>
      </c>
      <c r="S446" s="300">
        <f t="shared" ref="S446" si="1190">SUM(S444:S445)</f>
        <v>0.16000000000240114</v>
      </c>
      <c r="T446" s="300">
        <f t="shared" si="1181"/>
        <v>2.3500000000319465</v>
      </c>
      <c r="U446" s="300"/>
      <c r="V446" s="300">
        <f>SUM(V444:V445)</f>
        <v>1.6539999999885504</v>
      </c>
      <c r="W446" s="300">
        <f t="shared" ref="W446" si="1191">SUM(W444:W445)</f>
        <v>0.62699999999916312</v>
      </c>
      <c r="X446" s="300">
        <f t="shared" ref="X446" si="1192">SUM(X444:X445)</f>
        <v>0.16800000000122006</v>
      </c>
      <c r="Y446" s="300">
        <f t="shared" si="1182"/>
        <v>2.4489999999889336</v>
      </c>
    </row>
    <row r="447" spans="1:25" x14ac:dyDescent="0.2">
      <c r="C447" s="319"/>
      <c r="D447" s="319"/>
      <c r="E447" s="319"/>
      <c r="F447" s="319"/>
      <c r="G447" s="319"/>
      <c r="H447" s="319"/>
      <c r="I447" s="319"/>
      <c r="J447" s="319"/>
      <c r="K447" s="319"/>
      <c r="L447" s="319"/>
      <c r="M447" s="319"/>
      <c r="N447" s="319"/>
      <c r="O447" s="319"/>
      <c r="P447" s="319"/>
      <c r="Q447" s="319"/>
      <c r="R447" s="319"/>
      <c r="S447" s="319"/>
      <c r="T447" s="319"/>
      <c r="U447" s="319"/>
      <c r="V447" s="319"/>
      <c r="W447" s="319"/>
      <c r="X447" s="319"/>
      <c r="Y447" s="319"/>
    </row>
    <row r="448" spans="1:25" x14ac:dyDescent="0.2">
      <c r="A448" s="261" t="str">
        <f>name!A64</f>
        <v>Security, etc</v>
      </c>
      <c r="C448" s="263"/>
    </row>
    <row r="449" spans="1:25" x14ac:dyDescent="0.2">
      <c r="A449" s="260" t="s">
        <v>356</v>
      </c>
      <c r="B449" s="300">
        <v>1.2509999999968984</v>
      </c>
      <c r="C449" s="300">
        <v>0.93300000001130279</v>
      </c>
      <c r="D449" s="300">
        <v>9.1000000001833239E-2</v>
      </c>
      <c r="E449" s="300">
        <f>SUM(B449:D449)</f>
        <v>2.2750000000100346</v>
      </c>
      <c r="F449" s="300"/>
      <c r="G449" s="300">
        <v>1.471999999972613</v>
      </c>
      <c r="H449" s="300">
        <v>1.9839999999934235</v>
      </c>
      <c r="I449" s="300">
        <v>7.8000000001191602E-2</v>
      </c>
      <c r="J449" s="300">
        <f>SUM(G449:I449)</f>
        <v>3.5339999999672282</v>
      </c>
      <c r="K449" s="300"/>
      <c r="L449" s="300">
        <v>1.5579999999776528</v>
      </c>
      <c r="M449" s="300">
        <v>2.0370000000005359</v>
      </c>
      <c r="N449" s="300">
        <v>8.8999999998295193E-2</v>
      </c>
      <c r="O449" s="300">
        <f>SUM(L449:N449)</f>
        <v>3.6839999999764839</v>
      </c>
      <c r="P449" s="300"/>
      <c r="Q449" s="300">
        <v>1.6190000000659541</v>
      </c>
      <c r="R449" s="300">
        <v>2.0410000000590278</v>
      </c>
      <c r="S449" s="300">
        <v>8.9000000000405491E-2</v>
      </c>
      <c r="T449" s="300">
        <f>SUM(Q449:S449)</f>
        <v>3.7490000001253874</v>
      </c>
      <c r="U449" s="300"/>
      <c r="V449" s="300">
        <v>1.7209999999893324</v>
      </c>
      <c r="W449" s="300">
        <v>2.0490000000045794</v>
      </c>
      <c r="X449" s="300">
        <v>9.2999999999877778E-2</v>
      </c>
      <c r="Y449" s="300">
        <f>SUM(V449:X449)</f>
        <v>3.8629999999937898</v>
      </c>
    </row>
    <row r="450" spans="1:25" x14ac:dyDescent="0.2">
      <c r="A450" s="260" t="s">
        <v>355</v>
      </c>
      <c r="B450" s="300">
        <v>2.1840000000123725</v>
      </c>
      <c r="C450" s="300">
        <v>0.86000000001540722</v>
      </c>
      <c r="D450" s="300">
        <v>0.26800000000254481</v>
      </c>
      <c r="E450" s="300">
        <f t="shared" ref="E450:E451" si="1193">SUM(B450:D450)</f>
        <v>3.3120000000303245</v>
      </c>
      <c r="F450" s="300"/>
      <c r="G450" s="300">
        <v>3.1560000000064936</v>
      </c>
      <c r="H450" s="300">
        <v>1.6580000000216701</v>
      </c>
      <c r="I450" s="300">
        <v>1.2630000000103538</v>
      </c>
      <c r="J450" s="300">
        <f t="shared" ref="J450:J451" si="1194">SUM(G450:I450)</f>
        <v>6.0770000000385185</v>
      </c>
      <c r="K450" s="300"/>
      <c r="L450" s="300">
        <v>3.1110000000030014</v>
      </c>
      <c r="M450" s="300">
        <v>1.7029999999993537</v>
      </c>
      <c r="N450" s="300">
        <v>0.76100000000482648</v>
      </c>
      <c r="O450" s="300">
        <f t="shared" ref="O450:O451" si="1195">SUM(L450:N450)</f>
        <v>5.575000000007182</v>
      </c>
      <c r="P450" s="300"/>
      <c r="Q450" s="300">
        <v>3.1759999999758639</v>
      </c>
      <c r="R450" s="300">
        <v>1.7349999999834262</v>
      </c>
      <c r="S450" s="300">
        <v>0.76500000000617219</v>
      </c>
      <c r="T450" s="300">
        <f t="shared" ref="T450:T451" si="1196">SUM(Q450:S450)</f>
        <v>5.6759999999654625</v>
      </c>
      <c r="U450" s="300"/>
      <c r="V450" s="300">
        <v>3.3019999999753247</v>
      </c>
      <c r="W450" s="300">
        <v>1.7879999999886471</v>
      </c>
      <c r="X450" s="300">
        <v>0.7970000000058729</v>
      </c>
      <c r="Y450" s="300">
        <f t="shared" ref="Y450:Y451" si="1197">SUM(V450:X450)</f>
        <v>5.886999999969845</v>
      </c>
    </row>
    <row r="451" spans="1:25" x14ac:dyDescent="0.2">
      <c r="A451" s="260" t="s">
        <v>354</v>
      </c>
      <c r="B451" s="300">
        <f>SUM(B449:B450)</f>
        <v>3.4350000000092709</v>
      </c>
      <c r="C451" s="300">
        <f t="shared" ref="C451" si="1198">SUM(C449:C450)</f>
        <v>1.7930000000267099</v>
      </c>
      <c r="D451" s="300">
        <f t="shared" ref="D451" si="1199">SUM(D449:D450)</f>
        <v>0.35900000000437804</v>
      </c>
      <c r="E451" s="300">
        <f t="shared" si="1193"/>
        <v>5.5870000000403586</v>
      </c>
      <c r="F451" s="300"/>
      <c r="G451" s="300">
        <f>SUM(G449:G450)</f>
        <v>4.6279999999791066</v>
      </c>
      <c r="H451" s="300">
        <f t="shared" ref="H451" si="1200">SUM(H449:H450)</f>
        <v>3.6420000000150936</v>
      </c>
      <c r="I451" s="300">
        <f t="shared" ref="I451" si="1201">SUM(I449:I450)</f>
        <v>1.3410000000115454</v>
      </c>
      <c r="J451" s="300">
        <f t="shared" si="1194"/>
        <v>9.6110000000057454</v>
      </c>
      <c r="K451" s="300"/>
      <c r="L451" s="300">
        <f>SUM(L449:L450)</f>
        <v>4.6689999999806542</v>
      </c>
      <c r="M451" s="300">
        <f t="shared" ref="M451" si="1202">SUM(M449:M450)</f>
        <v>3.7399999999998896</v>
      </c>
      <c r="N451" s="300">
        <f t="shared" ref="N451" si="1203">SUM(N449:N450)</f>
        <v>0.8500000000031217</v>
      </c>
      <c r="O451" s="300">
        <f t="shared" si="1195"/>
        <v>9.2589999999836667</v>
      </c>
      <c r="P451" s="300"/>
      <c r="Q451" s="300">
        <f>SUM(Q449:Q450)</f>
        <v>4.795000000041818</v>
      </c>
      <c r="R451" s="300">
        <f t="shared" ref="R451" si="1204">SUM(R449:R450)</f>
        <v>3.7760000000424538</v>
      </c>
      <c r="S451" s="300">
        <f t="shared" ref="S451" si="1205">SUM(S449:S450)</f>
        <v>0.85400000000657772</v>
      </c>
      <c r="T451" s="300">
        <f t="shared" si="1196"/>
        <v>9.4250000000908489</v>
      </c>
      <c r="U451" s="300"/>
      <c r="V451" s="300">
        <f>SUM(V449:V450)</f>
        <v>5.0229999999646573</v>
      </c>
      <c r="W451" s="300">
        <f t="shared" ref="W451" si="1206">SUM(W449:W450)</f>
        <v>3.8369999999932265</v>
      </c>
      <c r="X451" s="300">
        <f t="shared" ref="X451" si="1207">SUM(X449:X450)</f>
        <v>0.89000000000575064</v>
      </c>
      <c r="Y451" s="300">
        <f t="shared" si="1197"/>
        <v>9.7499999999636344</v>
      </c>
    </row>
    <row r="452" spans="1:25" x14ac:dyDescent="0.2">
      <c r="C452" s="319"/>
      <c r="D452" s="319"/>
      <c r="E452" s="319"/>
      <c r="F452" s="319"/>
      <c r="G452" s="319"/>
      <c r="H452" s="319"/>
      <c r="I452" s="319"/>
      <c r="J452" s="319"/>
      <c r="K452" s="319"/>
      <c r="L452" s="319"/>
      <c r="M452" s="319"/>
      <c r="N452" s="319"/>
      <c r="O452" s="319"/>
      <c r="P452" s="319"/>
      <c r="Q452" s="319"/>
      <c r="R452" s="319"/>
      <c r="S452" s="319"/>
      <c r="T452" s="319"/>
      <c r="U452" s="319"/>
      <c r="V452" s="319"/>
      <c r="W452" s="319"/>
      <c r="X452" s="319"/>
      <c r="Y452" s="319"/>
    </row>
    <row r="453" spans="1:25" x14ac:dyDescent="0.2">
      <c r="A453" s="261" t="str">
        <f>name!A65</f>
        <v>Services to buildings</v>
      </c>
      <c r="C453" s="263"/>
    </row>
    <row r="454" spans="1:25" x14ac:dyDescent="0.2">
      <c r="A454" s="260" t="s">
        <v>356</v>
      </c>
      <c r="B454" s="300">
        <v>7.1329999999805338</v>
      </c>
      <c r="C454" s="300">
        <v>11.431000000112395</v>
      </c>
      <c r="D454" s="300">
        <v>1.5240000000237708</v>
      </c>
      <c r="E454" s="300">
        <f>SUM(B454:D454)</f>
        <v>20.088000000116701</v>
      </c>
      <c r="F454" s="300"/>
      <c r="G454" s="300">
        <v>6.4659999998950557</v>
      </c>
      <c r="H454" s="300">
        <v>9.2069999999841219</v>
      </c>
      <c r="I454" s="300">
        <v>0.73400000001155929</v>
      </c>
      <c r="J454" s="300">
        <f>SUM(G454:I454)</f>
        <v>16.406999999890736</v>
      </c>
      <c r="K454" s="300"/>
      <c r="L454" s="300">
        <v>6.8439999999122643</v>
      </c>
      <c r="M454" s="300">
        <v>9.4540000000133251</v>
      </c>
      <c r="N454" s="300">
        <v>0.82799999998843898</v>
      </c>
      <c r="O454" s="300">
        <f>SUM(L454:N454)</f>
        <v>17.125999999914029</v>
      </c>
      <c r="P454" s="300"/>
      <c r="Q454" s="300">
        <v>7.1130000002592535</v>
      </c>
      <c r="R454" s="300">
        <v>9.4710000002374279</v>
      </c>
      <c r="S454" s="300">
        <v>0.83099999999647223</v>
      </c>
      <c r="T454" s="300">
        <f>SUM(Q454:S454)</f>
        <v>17.415000000493151</v>
      </c>
      <c r="U454" s="300"/>
      <c r="V454" s="300">
        <v>7.5599999999537726</v>
      </c>
      <c r="W454" s="300">
        <v>9.5110000000232837</v>
      </c>
      <c r="X454" s="300">
        <v>0.87200000000198608</v>
      </c>
      <c r="Y454" s="300">
        <f>SUM(V454:X454)</f>
        <v>17.94299999997904</v>
      </c>
    </row>
    <row r="455" spans="1:25" x14ac:dyDescent="0.2">
      <c r="A455" s="260" t="s">
        <v>355</v>
      </c>
      <c r="B455" s="300">
        <v>5.3650000000222846</v>
      </c>
      <c r="C455" s="300">
        <v>2.4900000000419489</v>
      </c>
      <c r="D455" s="300">
        <v>0.55000000000270532</v>
      </c>
      <c r="E455" s="300">
        <f t="shared" ref="E455:E456" si="1208">SUM(B455:D455)</f>
        <v>8.4050000000669396</v>
      </c>
      <c r="F455" s="300"/>
      <c r="G455" s="300">
        <v>5.9710000000072041</v>
      </c>
      <c r="H455" s="300">
        <v>1.818000000022209</v>
      </c>
      <c r="I455" s="300">
        <v>1.454000000012049</v>
      </c>
      <c r="J455" s="300">
        <f t="shared" ref="J455:J456" si="1209">SUM(G455:I455)</f>
        <v>9.2430000000414623</v>
      </c>
      <c r="K455" s="300"/>
      <c r="L455" s="300">
        <v>5.8860000000011441</v>
      </c>
      <c r="M455" s="300">
        <v>1.8679999999990777</v>
      </c>
      <c r="N455" s="300">
        <v>0.87600000000242551</v>
      </c>
      <c r="O455" s="300">
        <f t="shared" ref="O455:O456" si="1210">SUM(L455:N455)</f>
        <v>8.6300000000026476</v>
      </c>
      <c r="P455" s="300"/>
      <c r="Q455" s="300">
        <v>6.0089999999675117</v>
      </c>
      <c r="R455" s="300">
        <v>1.9029999999833269</v>
      </c>
      <c r="S455" s="300">
        <v>0.88000000000090739</v>
      </c>
      <c r="T455" s="300">
        <f t="shared" ref="T455:T456" si="1211">SUM(Q455:S455)</f>
        <v>8.7919999999517451</v>
      </c>
      <c r="U455" s="300"/>
      <c r="V455" s="300">
        <v>6.2479999999684246</v>
      </c>
      <c r="W455" s="300">
        <v>1.9609999999890548</v>
      </c>
      <c r="X455" s="300">
        <v>0.91800000000198922</v>
      </c>
      <c r="Y455" s="300">
        <f t="shared" ref="Y455:Y456" si="1212">SUM(V455:X455)</f>
        <v>9.1269999999594678</v>
      </c>
    </row>
    <row r="456" spans="1:25" x14ac:dyDescent="0.2">
      <c r="A456" s="260" t="s">
        <v>354</v>
      </c>
      <c r="B456" s="300">
        <f>SUM(B454:B455)</f>
        <v>12.498000000002818</v>
      </c>
      <c r="C456" s="300">
        <f t="shared" ref="C456" si="1213">SUM(C454:C455)</f>
        <v>13.921000000154343</v>
      </c>
      <c r="D456" s="300">
        <f t="shared" ref="D456" si="1214">SUM(D454:D455)</f>
        <v>2.074000000026476</v>
      </c>
      <c r="E456" s="300">
        <f t="shared" si="1208"/>
        <v>28.493000000183638</v>
      </c>
      <c r="F456" s="300"/>
      <c r="G456" s="300">
        <f>SUM(G454:G455)</f>
        <v>12.436999999902259</v>
      </c>
      <c r="H456" s="300">
        <f t="shared" ref="H456" si="1215">SUM(H454:H455)</f>
        <v>11.025000000006331</v>
      </c>
      <c r="I456" s="300">
        <f t="shared" ref="I456" si="1216">SUM(I454:I455)</f>
        <v>2.1880000000236084</v>
      </c>
      <c r="J456" s="300">
        <f t="shared" si="1209"/>
        <v>25.649999999932199</v>
      </c>
      <c r="K456" s="300"/>
      <c r="L456" s="300">
        <f>SUM(L454:L455)</f>
        <v>12.729999999913408</v>
      </c>
      <c r="M456" s="300">
        <f t="shared" ref="M456" si="1217">SUM(M454:M455)</f>
        <v>11.322000000012403</v>
      </c>
      <c r="N456" s="300">
        <f t="shared" ref="N456" si="1218">SUM(N454:N455)</f>
        <v>1.7039999999908644</v>
      </c>
      <c r="O456" s="300">
        <f t="shared" si="1210"/>
        <v>25.755999999916675</v>
      </c>
      <c r="P456" s="300"/>
      <c r="Q456" s="300">
        <f>SUM(Q454:Q455)</f>
        <v>13.122000000226766</v>
      </c>
      <c r="R456" s="300">
        <f t="shared" ref="R456" si="1219">SUM(R454:R455)</f>
        <v>11.374000000220756</v>
      </c>
      <c r="S456" s="300">
        <f t="shared" ref="S456" si="1220">SUM(S454:S455)</f>
        <v>1.7109999999973797</v>
      </c>
      <c r="T456" s="300">
        <f t="shared" si="1211"/>
        <v>26.207000000444904</v>
      </c>
      <c r="U456" s="300"/>
      <c r="V456" s="300">
        <f>SUM(V454:V455)</f>
        <v>13.807999999922197</v>
      </c>
      <c r="W456" s="300">
        <f t="shared" ref="W456" si="1221">SUM(W454:W455)</f>
        <v>11.472000000012338</v>
      </c>
      <c r="X456" s="300">
        <f t="shared" ref="X456" si="1222">SUM(X454:X455)</f>
        <v>1.7900000000039753</v>
      </c>
      <c r="Y456" s="300">
        <f t="shared" si="1212"/>
        <v>27.06999999993851</v>
      </c>
    </row>
    <row r="457" spans="1:25" x14ac:dyDescent="0.2">
      <c r="C457" s="319"/>
      <c r="D457" s="319"/>
      <c r="E457" s="319"/>
      <c r="F457" s="319"/>
      <c r="G457" s="319"/>
      <c r="H457" s="319"/>
      <c r="I457" s="319"/>
      <c r="J457" s="319"/>
      <c r="K457" s="319"/>
      <c r="L457" s="319"/>
      <c r="M457" s="319"/>
      <c r="N457" s="319"/>
      <c r="O457" s="319"/>
      <c r="P457" s="319"/>
      <c r="Q457" s="319"/>
      <c r="R457" s="319"/>
      <c r="S457" s="319"/>
      <c r="T457" s="319"/>
      <c r="U457" s="319"/>
      <c r="V457" s="319"/>
      <c r="W457" s="319"/>
      <c r="X457" s="319"/>
      <c r="Y457" s="319"/>
    </row>
    <row r="458" spans="1:25" x14ac:dyDescent="0.2">
      <c r="A458" s="261" t="str">
        <f>name!A66</f>
        <v>Office administrative</v>
      </c>
      <c r="C458" s="263"/>
    </row>
    <row r="459" spans="1:25" x14ac:dyDescent="0.2">
      <c r="A459" s="260" t="s">
        <v>356</v>
      </c>
      <c r="B459" s="300">
        <v>1.9399999999951869</v>
      </c>
      <c r="C459" s="300">
        <v>1.037000000012563</v>
      </c>
      <c r="D459" s="300">
        <v>0.97600000001966269</v>
      </c>
      <c r="E459" s="300">
        <f>SUM(B459:D459)</f>
        <v>3.9530000000274121</v>
      </c>
      <c r="F459" s="300"/>
      <c r="G459" s="300">
        <v>1.6299999999696719</v>
      </c>
      <c r="H459" s="300">
        <v>0.86099999999714594</v>
      </c>
      <c r="I459" s="300">
        <v>0.48500000000740906</v>
      </c>
      <c r="J459" s="300">
        <f>SUM(G459:I459)</f>
        <v>2.9759999999742268</v>
      </c>
      <c r="K459" s="300"/>
      <c r="L459" s="300">
        <v>1.7249999999752583</v>
      </c>
      <c r="M459" s="300">
        <v>0.8850000000002326</v>
      </c>
      <c r="N459" s="300">
        <v>0.54799999998950222</v>
      </c>
      <c r="O459" s="300">
        <f>SUM(L459:N459)</f>
        <v>3.1579999999649933</v>
      </c>
      <c r="P459" s="300"/>
      <c r="Q459" s="300">
        <v>1.7930000000730437</v>
      </c>
      <c r="R459" s="300">
        <v>0.8860000000256244</v>
      </c>
      <c r="S459" s="300">
        <v>0.55000000000250659</v>
      </c>
      <c r="T459" s="300">
        <f>SUM(Q459:S459)</f>
        <v>3.2290000001011747</v>
      </c>
      <c r="U459" s="300"/>
      <c r="V459" s="300">
        <v>1.9059999999881849</v>
      </c>
      <c r="W459" s="300">
        <v>0.89000000000198853</v>
      </c>
      <c r="X459" s="300">
        <v>0.57699999999924112</v>
      </c>
      <c r="Y459" s="300">
        <f>SUM(V459:X459)</f>
        <v>3.3729999999894145</v>
      </c>
    </row>
    <row r="460" spans="1:25" x14ac:dyDescent="0.2">
      <c r="A460" s="260" t="s">
        <v>355</v>
      </c>
      <c r="B460" s="300">
        <v>11.756000000066598</v>
      </c>
      <c r="C460" s="300">
        <v>1.6940000000303492</v>
      </c>
      <c r="D460" s="300">
        <v>0.56300000000534578</v>
      </c>
      <c r="E460" s="300">
        <f t="shared" ref="E460:E461" si="1223">SUM(B460:D460)</f>
        <v>14.013000000102293</v>
      </c>
      <c r="F460" s="300"/>
      <c r="G460" s="300">
        <v>12.124000000024948</v>
      </c>
      <c r="H460" s="300">
        <v>1.2760000000166773</v>
      </c>
      <c r="I460" s="300">
        <v>1.5360000000125917</v>
      </c>
      <c r="J460" s="300">
        <f t="shared" ref="J460:J461" si="1224">SUM(G460:I460)</f>
        <v>14.936000000054218</v>
      </c>
      <c r="K460" s="300"/>
      <c r="L460" s="300">
        <v>11.951000000011526</v>
      </c>
      <c r="M460" s="300">
        <v>1.310999999999503</v>
      </c>
      <c r="N460" s="300">
        <v>0.92500000000586702</v>
      </c>
      <c r="O460" s="300">
        <f t="shared" ref="O460:O461" si="1225">SUM(L460:N460)</f>
        <v>14.187000000016894</v>
      </c>
      <c r="P460" s="300"/>
      <c r="Q460" s="300">
        <v>12.200999999907284</v>
      </c>
      <c r="R460" s="300">
        <v>1.3349999999872475</v>
      </c>
      <c r="S460" s="300">
        <v>0.93000000000750371</v>
      </c>
      <c r="T460" s="300">
        <f t="shared" ref="T460:T461" si="1226">SUM(Q460:S460)</f>
        <v>14.465999999902035</v>
      </c>
      <c r="U460" s="300"/>
      <c r="V460" s="300">
        <v>12.684999999905207</v>
      </c>
      <c r="W460" s="300">
        <v>1.3759999999912629</v>
      </c>
      <c r="X460" s="300">
        <v>0.97000000000714748</v>
      </c>
      <c r="Y460" s="300">
        <f t="shared" ref="Y460:Y461" si="1227">SUM(V460:X460)</f>
        <v>15.030999999903617</v>
      </c>
    </row>
    <row r="461" spans="1:25" x14ac:dyDescent="0.2">
      <c r="A461" s="260" t="s">
        <v>354</v>
      </c>
      <c r="B461" s="300">
        <f>SUM(B459:B460)</f>
        <v>13.696000000061785</v>
      </c>
      <c r="C461" s="300">
        <f t="shared" ref="C461" si="1228">SUM(C459:C460)</f>
        <v>2.7310000000429122</v>
      </c>
      <c r="D461" s="300">
        <f t="shared" ref="D461" si="1229">SUM(D459:D460)</f>
        <v>1.5390000000250086</v>
      </c>
      <c r="E461" s="300">
        <f t="shared" si="1223"/>
        <v>17.966000000129707</v>
      </c>
      <c r="F461" s="300"/>
      <c r="G461" s="300">
        <f>SUM(G459:G460)</f>
        <v>13.753999999994619</v>
      </c>
      <c r="H461" s="300">
        <f t="shared" ref="H461" si="1230">SUM(H459:H460)</f>
        <v>2.1370000000138232</v>
      </c>
      <c r="I461" s="300">
        <f t="shared" ref="I461" si="1231">SUM(I459:I460)</f>
        <v>2.0210000000200008</v>
      </c>
      <c r="J461" s="300">
        <f t="shared" si="1224"/>
        <v>17.912000000028442</v>
      </c>
      <c r="K461" s="300"/>
      <c r="L461" s="300">
        <f>SUM(L459:L460)</f>
        <v>13.675999999986784</v>
      </c>
      <c r="M461" s="300">
        <f t="shared" ref="M461" si="1232">SUM(M459:M460)</f>
        <v>2.1959999999997355</v>
      </c>
      <c r="N461" s="300">
        <f t="shared" ref="N461" si="1233">SUM(N459:N460)</f>
        <v>1.4729999999953693</v>
      </c>
      <c r="O461" s="300">
        <f t="shared" si="1225"/>
        <v>17.344999999981887</v>
      </c>
      <c r="P461" s="300"/>
      <c r="Q461" s="300">
        <f>SUM(Q459:Q460)</f>
        <v>13.993999999980327</v>
      </c>
      <c r="R461" s="300">
        <f t="shared" ref="R461" si="1234">SUM(R459:R460)</f>
        <v>2.221000000012872</v>
      </c>
      <c r="S461" s="300">
        <f t="shared" ref="S461" si="1235">SUM(S459:S460)</f>
        <v>1.4800000000100102</v>
      </c>
      <c r="T461" s="300">
        <f t="shared" si="1226"/>
        <v>17.695000000003212</v>
      </c>
      <c r="U461" s="300"/>
      <c r="V461" s="300">
        <f>SUM(V459:V460)</f>
        <v>14.590999999893391</v>
      </c>
      <c r="W461" s="300">
        <f t="shared" ref="W461" si="1236">SUM(W459:W460)</f>
        <v>2.2659999999932516</v>
      </c>
      <c r="X461" s="300">
        <f t="shared" ref="X461" si="1237">SUM(X459:X460)</f>
        <v>1.5470000000063886</v>
      </c>
      <c r="Y461" s="300">
        <f t="shared" si="1227"/>
        <v>18.403999999893031</v>
      </c>
    </row>
    <row r="462" spans="1:25" x14ac:dyDescent="0.2">
      <c r="C462" s="319"/>
      <c r="D462" s="319"/>
      <c r="E462" s="319"/>
      <c r="F462" s="319"/>
      <c r="G462" s="319"/>
      <c r="H462" s="319"/>
      <c r="I462" s="319"/>
      <c r="J462" s="319"/>
      <c r="K462" s="319"/>
      <c r="L462" s="319"/>
      <c r="M462" s="319"/>
      <c r="N462" s="319"/>
      <c r="O462" s="319"/>
      <c r="P462" s="319"/>
      <c r="Q462" s="319"/>
      <c r="R462" s="319"/>
      <c r="S462" s="319"/>
      <c r="T462" s="319"/>
      <c r="U462" s="319"/>
      <c r="V462" s="319"/>
      <c r="W462" s="319"/>
      <c r="X462" s="319"/>
      <c r="Y462" s="319"/>
    </row>
    <row r="463" spans="1:25" x14ac:dyDescent="0.2">
      <c r="A463" s="261" t="s">
        <v>360</v>
      </c>
      <c r="C463" s="263"/>
    </row>
    <row r="464" spans="1:25" x14ac:dyDescent="0.2">
      <c r="A464" s="260" t="s">
        <v>356</v>
      </c>
      <c r="B464" s="300">
        <f>SUM(B434,B439,B444,B449,B454,B459)</f>
        <v>18.945999999942888</v>
      </c>
      <c r="C464" s="300">
        <f t="shared" ref="C464:D465" si="1238">SUM(C434,C439,C444,C449,C454,C459)</f>
        <v>17.051000000186217</v>
      </c>
      <c r="D464" s="300">
        <f t="shared" si="1238"/>
        <v>3.9380000000692448</v>
      </c>
      <c r="E464" s="300">
        <f>SUM(B464:D464)</f>
        <v>39.93500000019835</v>
      </c>
      <c r="F464" s="300"/>
      <c r="G464" s="300">
        <f>SUM(G434,G439,G444,G449,G454,G459)</f>
        <v>17.041999999706718</v>
      </c>
      <c r="H464" s="300">
        <f t="shared" ref="H464:I464" si="1239">SUM(H434,H439,H444,H449,H454,H459)</f>
        <v>15.822999999973392</v>
      </c>
      <c r="I464" s="300">
        <f t="shared" si="1239"/>
        <v>1.9990000000332802</v>
      </c>
      <c r="J464" s="300">
        <f>SUM(G464:I464)</f>
        <v>34.863999999713386</v>
      </c>
      <c r="K464" s="300"/>
      <c r="L464" s="300">
        <f>SUM(L434,L439,L444,L449,L454,L459)</f>
        <v>18.036999999759029</v>
      </c>
      <c r="M464" s="300">
        <f t="shared" ref="M464:N464" si="1240">SUM(M434,M439,M444,M449,M454,M459)</f>
        <v>16.248000000027968</v>
      </c>
      <c r="N464" s="300">
        <f t="shared" si="1240"/>
        <v>2.2569999999630355</v>
      </c>
      <c r="O464" s="300">
        <f>SUM(L464:N464)</f>
        <v>36.541999999750033</v>
      </c>
      <c r="P464" s="300"/>
      <c r="Q464" s="300">
        <f>SUM(Q434,Q439,Q444,Q449,Q454,Q459)</f>
        <v>18.745000000708071</v>
      </c>
      <c r="R464" s="300">
        <f t="shared" ref="R464:S464" si="1241">SUM(R434,R439,R444,R449,R454,R459)</f>
        <v>16.277000000443888</v>
      </c>
      <c r="S464" s="300">
        <f t="shared" si="1241"/>
        <v>2.2649999999967299</v>
      </c>
      <c r="T464" s="300">
        <f>SUM(Q464:S464)</f>
        <v>37.287000001148691</v>
      </c>
      <c r="U464" s="300"/>
      <c r="V464" s="300">
        <f>SUM(V434,V439,V444,V449,V454,V459)</f>
        <v>19.924999999884633</v>
      </c>
      <c r="W464" s="300">
        <f t="shared" ref="W464:X464" si="1242">SUM(W434,W439,W444,W449,W454,W459)</f>
        <v>16.345000000039871</v>
      </c>
      <c r="X464" s="300">
        <f t="shared" si="1242"/>
        <v>2.3770000000005473</v>
      </c>
      <c r="Y464" s="300">
        <f>SUM(V464:X464)</f>
        <v>38.646999999925058</v>
      </c>
    </row>
    <row r="465" spans="1:25" x14ac:dyDescent="0.2">
      <c r="A465" s="260" t="s">
        <v>355</v>
      </c>
      <c r="B465" s="300">
        <f>SUM(B435,B440,B445,B450,B455,B460)</f>
        <v>32.581000000169198</v>
      </c>
      <c r="C465" s="300">
        <f t="shared" si="1238"/>
        <v>10.473000000178848</v>
      </c>
      <c r="D465" s="300">
        <f t="shared" si="1238"/>
        <v>2.5070000000221691</v>
      </c>
      <c r="E465" s="300">
        <f t="shared" ref="E465:E466" si="1243">SUM(B465:D465)</f>
        <v>45.561000000370214</v>
      </c>
      <c r="F465" s="300"/>
      <c r="G465" s="300">
        <f>SUM(G435,G440,G445,G450,G455,G460)</f>
        <v>36.754000000063492</v>
      </c>
      <c r="H465" s="300">
        <f t="shared" ref="H465:I465" si="1244">SUM(H435,H440,H445,H450,H455,H460)</f>
        <v>9.7950000001228794</v>
      </c>
      <c r="I465" s="300">
        <f t="shared" si="1244"/>
        <v>7.7590000000480277</v>
      </c>
      <c r="J465" s="300">
        <f t="shared" ref="J465:J466" si="1245">SUM(G465:I465)</f>
        <v>54.308000000234394</v>
      </c>
      <c r="K465" s="300"/>
      <c r="L465" s="300">
        <f>SUM(L435,L440,L445,L450,L455,L460)</f>
        <v>36.231000000026377</v>
      </c>
      <c r="M465" s="300">
        <f t="shared" ref="M465:N465" si="1246">SUM(M435,M440,M445,M450,M455,M460)</f>
        <v>10.062999999995409</v>
      </c>
      <c r="N465" s="300">
        <f t="shared" si="1246"/>
        <v>4.674000000029106</v>
      </c>
      <c r="O465" s="300">
        <f t="shared" ref="O465:O466" si="1247">SUM(L465:N465)</f>
        <v>50.968000000050885</v>
      </c>
      <c r="P465" s="300"/>
      <c r="Q465" s="300">
        <f>SUM(Q435,Q440,Q445,Q450,Q455,Q460)</f>
        <v>36.987999999743884</v>
      </c>
      <c r="R465" s="300">
        <f t="shared" ref="R465:S465" si="1248">SUM(R435,R440,R445,R450,R455,R460)</f>
        <v>10.251999999906296</v>
      </c>
      <c r="S465" s="300">
        <f t="shared" si="1248"/>
        <v>4.6980000000456998</v>
      </c>
      <c r="T465" s="300">
        <f t="shared" ref="T465:T466" si="1249">SUM(Q465:S465)</f>
        <v>51.937999999695883</v>
      </c>
      <c r="U465" s="300"/>
      <c r="V465" s="300">
        <f>SUM(V435,V440,V445,V450,V455,V460)</f>
        <v>38.456999999736389</v>
      </c>
      <c r="W465" s="300">
        <f t="shared" ref="W465:X465" si="1250">SUM(W435,W440,W445,W450,W455,W460)</f>
        <v>10.56299999993702</v>
      </c>
      <c r="X465" s="300">
        <f t="shared" si="1250"/>
        <v>4.8990000000407194</v>
      </c>
      <c r="Y465" s="300">
        <f t="shared" ref="Y465:Y466" si="1251">SUM(V465:X465)</f>
        <v>53.918999999714131</v>
      </c>
    </row>
    <row r="466" spans="1:25" x14ac:dyDescent="0.2">
      <c r="A466" s="264" t="s">
        <v>354</v>
      </c>
      <c r="B466" s="301">
        <f>SUM(B464:B465)</f>
        <v>51.527000000112082</v>
      </c>
      <c r="C466" s="301">
        <f t="shared" ref="C466" si="1252">SUM(C464:C465)</f>
        <v>27.524000000365064</v>
      </c>
      <c r="D466" s="301">
        <f t="shared" ref="D466" si="1253">SUM(D464:D465)</f>
        <v>6.4450000000914134</v>
      </c>
      <c r="E466" s="301">
        <f t="shared" si="1243"/>
        <v>85.496000000568557</v>
      </c>
      <c r="F466" s="301"/>
      <c r="G466" s="301">
        <f>SUM(G464:G465)</f>
        <v>53.79599999977021</v>
      </c>
      <c r="H466" s="301">
        <f t="shared" ref="H466" si="1254">SUM(H464:H465)</f>
        <v>25.618000000096274</v>
      </c>
      <c r="I466" s="301">
        <f t="shared" ref="I466" si="1255">SUM(I464:I465)</f>
        <v>9.7580000000813083</v>
      </c>
      <c r="J466" s="301">
        <f t="shared" si="1245"/>
        <v>89.171999999947801</v>
      </c>
      <c r="K466" s="301"/>
      <c r="L466" s="301">
        <f>SUM(L464:L465)</f>
        <v>54.267999999785403</v>
      </c>
      <c r="M466" s="301">
        <f t="shared" ref="M466" si="1256">SUM(M464:M465)</f>
        <v>26.311000000023377</v>
      </c>
      <c r="N466" s="301">
        <f t="shared" ref="N466" si="1257">SUM(N464:N465)</f>
        <v>6.9309999999921414</v>
      </c>
      <c r="O466" s="301">
        <f t="shared" si="1247"/>
        <v>87.509999999800925</v>
      </c>
      <c r="P466" s="301"/>
      <c r="Q466" s="301">
        <f>SUM(Q464:Q465)</f>
        <v>55.733000000451952</v>
      </c>
      <c r="R466" s="301">
        <f t="shared" ref="R466" si="1258">SUM(R464:R465)</f>
        <v>26.529000000350184</v>
      </c>
      <c r="S466" s="301">
        <f t="shared" ref="S466" si="1259">SUM(S464:S465)</f>
        <v>6.9630000000424292</v>
      </c>
      <c r="T466" s="301">
        <f t="shared" si="1249"/>
        <v>89.22500000084456</v>
      </c>
      <c r="U466" s="301"/>
      <c r="V466" s="301">
        <f>SUM(V464:V465)</f>
        <v>58.381999999621023</v>
      </c>
      <c r="W466" s="301">
        <f t="shared" ref="W466" si="1260">SUM(W464:W465)</f>
        <v>26.907999999976891</v>
      </c>
      <c r="X466" s="301">
        <f t="shared" ref="X466" si="1261">SUM(X464:X465)</f>
        <v>7.2760000000412663</v>
      </c>
      <c r="Y466" s="301">
        <f t="shared" si="1251"/>
        <v>92.565999999639175</v>
      </c>
    </row>
    <row r="467" spans="1:25" x14ac:dyDescent="0.2">
      <c r="C467" s="263"/>
    </row>
    <row r="468" spans="1:25" x14ac:dyDescent="0.2">
      <c r="A468" s="261"/>
    </row>
    <row r="469" spans="1:25" x14ac:dyDescent="0.2">
      <c r="C469" s="263"/>
    </row>
    <row r="470" spans="1:25" ht="15" x14ac:dyDescent="0.25">
      <c r="A470" s="265" t="str">
        <f>"Industry 18 : "&amp; name!B21</f>
        <v>Industry 18 : Public admin. and defence</v>
      </c>
      <c r="B470" s="371">
        <f>$B$5</f>
        <v>2015</v>
      </c>
      <c r="C470" s="371"/>
      <c r="D470" s="371"/>
      <c r="E470" s="371"/>
      <c r="F470" s="320"/>
      <c r="G470" s="371">
        <f>$G$5</f>
        <v>2019</v>
      </c>
      <c r="H470" s="371"/>
      <c r="I470" s="371"/>
      <c r="J470" s="371"/>
      <c r="K470" s="320"/>
      <c r="L470" s="371">
        <f>$L$5</f>
        <v>2020</v>
      </c>
      <c r="M470" s="371"/>
      <c r="N470" s="371"/>
      <c r="O470" s="371"/>
      <c r="P470" s="318"/>
      <c r="Q470" s="371">
        <f>$Q$5</f>
        <v>2025</v>
      </c>
      <c r="R470" s="371"/>
      <c r="S470" s="371"/>
      <c r="T470" s="371"/>
      <c r="U470" s="320"/>
      <c r="V470" s="371">
        <f>$V$5</f>
        <v>2035</v>
      </c>
      <c r="W470" s="371"/>
      <c r="X470" s="371"/>
      <c r="Y470" s="371"/>
    </row>
    <row r="471" spans="1:25" x14ac:dyDescent="0.2">
      <c r="A471" s="264"/>
      <c r="B471" s="268" t="str">
        <f>$B$6</f>
        <v>FT</v>
      </c>
      <c r="C471" s="268" t="str">
        <f>$C$6</f>
        <v>PT</v>
      </c>
      <c r="D471" s="268" t="str">
        <f>$D$6</f>
        <v>SE</v>
      </c>
      <c r="E471" s="268" t="str">
        <f>$E$6</f>
        <v>Total</v>
      </c>
      <c r="F471" s="268"/>
      <c r="G471" s="268" t="str">
        <f>$B$6</f>
        <v>FT</v>
      </c>
      <c r="H471" s="268" t="str">
        <f>$C$6</f>
        <v>PT</v>
      </c>
      <c r="I471" s="268" t="str">
        <f>$D$6</f>
        <v>SE</v>
      </c>
      <c r="J471" s="268" t="str">
        <f>$E$6</f>
        <v>Total</v>
      </c>
      <c r="K471" s="268"/>
      <c r="L471" s="268" t="str">
        <f>$L$6</f>
        <v>FT</v>
      </c>
      <c r="M471" s="268" t="str">
        <f>$M$6</f>
        <v>PT</v>
      </c>
      <c r="N471" s="268" t="str">
        <f>$N$6</f>
        <v>SE</v>
      </c>
      <c r="O471" s="268" t="str">
        <f>$O$6</f>
        <v>Total</v>
      </c>
      <c r="P471" s="268"/>
      <c r="Q471" s="268" t="str">
        <f>$L$6</f>
        <v>FT</v>
      </c>
      <c r="R471" s="268" t="str">
        <f>$M$6</f>
        <v>PT</v>
      </c>
      <c r="S471" s="268" t="str">
        <f>$N$6</f>
        <v>SE</v>
      </c>
      <c r="T471" s="268" t="str">
        <f>$O$6</f>
        <v>Total</v>
      </c>
      <c r="U471" s="268"/>
      <c r="V471" s="268" t="str">
        <f>$V$6</f>
        <v>FT</v>
      </c>
      <c r="W471" s="268" t="str">
        <f>$W$6</f>
        <v>PT</v>
      </c>
      <c r="X471" s="268" t="str">
        <f>$X$6</f>
        <v>SE</v>
      </c>
      <c r="Y471" s="268" t="str">
        <f>$Y$6</f>
        <v>Total</v>
      </c>
    </row>
    <row r="472" spans="1:25" x14ac:dyDescent="0.2">
      <c r="A472" s="262"/>
      <c r="C472" s="319"/>
      <c r="D472" s="319"/>
      <c r="E472" s="319"/>
      <c r="F472" s="319"/>
      <c r="G472" s="319"/>
      <c r="H472" s="319"/>
      <c r="I472" s="319"/>
      <c r="J472" s="319"/>
      <c r="K472" s="319"/>
      <c r="L472" s="319"/>
      <c r="M472" s="319"/>
      <c r="N472" s="319"/>
      <c r="O472" s="319"/>
      <c r="P472" s="319"/>
      <c r="Q472" s="319"/>
      <c r="R472" s="319"/>
      <c r="S472" s="319"/>
      <c r="T472" s="319"/>
      <c r="U472" s="319"/>
      <c r="V472" s="319"/>
      <c r="W472" s="319"/>
      <c r="X472" s="319"/>
      <c r="Y472" s="319"/>
    </row>
    <row r="473" spans="1:25" x14ac:dyDescent="0.2">
      <c r="A473" s="261" t="str">
        <f>name!A67</f>
        <v>Public administration and defence</v>
      </c>
      <c r="C473" s="263"/>
    </row>
    <row r="474" spans="1:25" x14ac:dyDescent="0.2">
      <c r="A474" s="260" t="s">
        <v>356</v>
      </c>
      <c r="B474" s="300">
        <v>20.425999999792264</v>
      </c>
      <c r="C474" s="300">
        <v>19.252999999901167</v>
      </c>
      <c r="D474" s="300">
        <v>0.68499999997980832</v>
      </c>
      <c r="E474" s="300">
        <f>SUM(B474:D474)</f>
        <v>40.36399999967324</v>
      </c>
      <c r="F474" s="300"/>
      <c r="G474" s="300">
        <v>22.068999999993565</v>
      </c>
      <c r="H474" s="300">
        <v>18.642000000022463</v>
      </c>
      <c r="I474" s="300">
        <v>0.20000000000285489</v>
      </c>
      <c r="J474" s="300">
        <f>SUM(G474:I474)</f>
        <v>40.91100000001888</v>
      </c>
      <c r="K474" s="300"/>
      <c r="L474" s="300">
        <v>21.908000000001241</v>
      </c>
      <c r="M474" s="300">
        <v>18.525999999999428</v>
      </c>
      <c r="N474" s="300">
        <v>2.5440000000896075</v>
      </c>
      <c r="O474" s="300">
        <f>SUM(L474:N474)</f>
        <v>42.978000000090276</v>
      </c>
      <c r="P474" s="300"/>
      <c r="Q474" s="300">
        <v>21.44199999998801</v>
      </c>
      <c r="R474" s="300">
        <v>18.168999999926836</v>
      </c>
      <c r="S474" s="300">
        <v>2.4919999998966369</v>
      </c>
      <c r="T474" s="300">
        <f>SUM(Q474:S474)</f>
        <v>42.10299999981148</v>
      </c>
      <c r="U474" s="300"/>
      <c r="V474" s="300">
        <v>21.843000000052449</v>
      </c>
      <c r="W474" s="300">
        <v>18.516999999994727</v>
      </c>
      <c r="X474" s="300">
        <v>2.5600000000172356</v>
      </c>
      <c r="Y474" s="300">
        <f>SUM(V474:X474)</f>
        <v>42.920000000064412</v>
      </c>
    </row>
    <row r="475" spans="1:25" x14ac:dyDescent="0.2">
      <c r="A475" s="260" t="s">
        <v>355</v>
      </c>
      <c r="B475" s="300">
        <v>22.303999999823866</v>
      </c>
      <c r="C475" s="300">
        <v>3.5929999999606195</v>
      </c>
      <c r="D475" s="300">
        <v>1.1970000000074434</v>
      </c>
      <c r="E475" s="300">
        <f t="shared" ref="E475:E476" si="1262">SUM(B475:D475)</f>
        <v>27.093999999791926</v>
      </c>
      <c r="F475" s="300"/>
      <c r="G475" s="300">
        <v>23.556999999866186</v>
      </c>
      <c r="H475" s="300">
        <v>3.5889999999684967</v>
      </c>
      <c r="I475" s="300">
        <v>0.45299999999783652</v>
      </c>
      <c r="J475" s="300">
        <f t="shared" ref="J475:J476" si="1263">SUM(G475:I475)</f>
        <v>27.598999999832518</v>
      </c>
      <c r="K475" s="300"/>
      <c r="L475" s="300">
        <v>23.930999999874565</v>
      </c>
      <c r="M475" s="300">
        <v>3.5829999999921154</v>
      </c>
      <c r="N475" s="300">
        <v>0</v>
      </c>
      <c r="O475" s="300">
        <f t="shared" ref="O475:O476" si="1264">SUM(L475:N475)</f>
        <v>27.51399999986668</v>
      </c>
      <c r="P475" s="300"/>
      <c r="Q475" s="300">
        <v>22.94900000019101</v>
      </c>
      <c r="R475" s="300">
        <v>3.696000000031856</v>
      </c>
      <c r="S475" s="300">
        <v>0</v>
      </c>
      <c r="T475" s="300">
        <f t="shared" ref="T475:T476" si="1265">SUM(Q475:S475)</f>
        <v>26.645000000222865</v>
      </c>
      <c r="U475" s="300"/>
      <c r="V475" s="300">
        <v>22.426000000171911</v>
      </c>
      <c r="W475" s="300">
        <v>4.1530000000293246</v>
      </c>
      <c r="X475" s="300">
        <v>0</v>
      </c>
      <c r="Y475" s="300">
        <f t="shared" ref="Y475:Y476" si="1266">SUM(V475:X475)</f>
        <v>26.579000000201233</v>
      </c>
    </row>
    <row r="476" spans="1:25" x14ac:dyDescent="0.2">
      <c r="A476" s="264" t="s">
        <v>354</v>
      </c>
      <c r="B476" s="301">
        <f>SUM(B474:B475)</f>
        <v>42.729999999616126</v>
      </c>
      <c r="C476" s="301">
        <f t="shared" ref="C476" si="1267">SUM(C474:C475)</f>
        <v>22.845999999861785</v>
      </c>
      <c r="D476" s="301">
        <f t="shared" ref="D476" si="1268">SUM(D474:D475)</f>
        <v>1.8819999999872516</v>
      </c>
      <c r="E476" s="301">
        <f t="shared" si="1262"/>
        <v>67.457999999465173</v>
      </c>
      <c r="F476" s="301"/>
      <c r="G476" s="301">
        <f>SUM(G474:G475)</f>
        <v>45.625999999859751</v>
      </c>
      <c r="H476" s="301">
        <f t="shared" ref="H476" si="1269">SUM(H474:H475)</f>
        <v>22.23099999999096</v>
      </c>
      <c r="I476" s="301">
        <f t="shared" ref="I476" si="1270">SUM(I474:I475)</f>
        <v>0.65300000000069147</v>
      </c>
      <c r="J476" s="301">
        <f t="shared" si="1263"/>
        <v>68.509999999851402</v>
      </c>
      <c r="K476" s="301"/>
      <c r="L476" s="301">
        <f>SUM(L474:L475)</f>
        <v>45.83899999987581</v>
      </c>
      <c r="M476" s="301">
        <f t="shared" ref="M476" si="1271">SUM(M474:M475)</f>
        <v>22.108999999991543</v>
      </c>
      <c r="N476" s="301">
        <f t="shared" ref="N476" si="1272">SUM(N474:N475)</f>
        <v>2.5440000000896075</v>
      </c>
      <c r="O476" s="301">
        <f t="shared" si="1264"/>
        <v>70.49199999995696</v>
      </c>
      <c r="P476" s="301"/>
      <c r="Q476" s="301">
        <f>SUM(Q474:Q475)</f>
        <v>44.391000000179019</v>
      </c>
      <c r="R476" s="301">
        <f t="shared" ref="R476" si="1273">SUM(R474:R475)</f>
        <v>21.864999999958691</v>
      </c>
      <c r="S476" s="301">
        <f t="shared" ref="S476" si="1274">SUM(S474:S475)</f>
        <v>2.4919999998966369</v>
      </c>
      <c r="T476" s="301">
        <f t="shared" si="1265"/>
        <v>68.748000000034338</v>
      </c>
      <c r="U476" s="301"/>
      <c r="V476" s="301">
        <f>SUM(V474:V475)</f>
        <v>44.269000000224359</v>
      </c>
      <c r="W476" s="301">
        <f t="shared" ref="W476" si="1275">SUM(W474:W475)</f>
        <v>22.670000000024054</v>
      </c>
      <c r="X476" s="301">
        <f t="shared" ref="X476" si="1276">SUM(X474:X475)</f>
        <v>2.5600000000172356</v>
      </c>
      <c r="Y476" s="301">
        <f t="shared" si="1266"/>
        <v>69.499000000265653</v>
      </c>
    </row>
    <row r="480" spans="1:25" ht="15" x14ac:dyDescent="0.25">
      <c r="A480" s="265" t="str">
        <f>"Industry 19 : "&amp; name!B22</f>
        <v>Industry 19 : Education</v>
      </c>
      <c r="B480" s="371">
        <f>$B$5</f>
        <v>2015</v>
      </c>
      <c r="C480" s="371"/>
      <c r="D480" s="371"/>
      <c r="E480" s="371"/>
      <c r="F480" s="320"/>
      <c r="G480" s="371">
        <f>$G$5</f>
        <v>2019</v>
      </c>
      <c r="H480" s="371"/>
      <c r="I480" s="371"/>
      <c r="J480" s="371"/>
      <c r="K480" s="320"/>
      <c r="L480" s="371">
        <f>$L$5</f>
        <v>2020</v>
      </c>
      <c r="M480" s="371"/>
      <c r="N480" s="371"/>
      <c r="O480" s="371"/>
      <c r="P480" s="318"/>
      <c r="Q480" s="371">
        <f>$Q$5</f>
        <v>2025</v>
      </c>
      <c r="R480" s="371"/>
      <c r="S480" s="371"/>
      <c r="T480" s="371"/>
      <c r="U480" s="320"/>
      <c r="V480" s="371">
        <f>$V$5</f>
        <v>2035</v>
      </c>
      <c r="W480" s="371"/>
      <c r="X480" s="371"/>
      <c r="Y480" s="371"/>
    </row>
    <row r="481" spans="1:25" x14ac:dyDescent="0.2">
      <c r="A481" s="264"/>
      <c r="B481" s="268" t="str">
        <f>$B$6</f>
        <v>FT</v>
      </c>
      <c r="C481" s="268" t="str">
        <f>$C$6</f>
        <v>PT</v>
      </c>
      <c r="D481" s="268" t="str">
        <f>$D$6</f>
        <v>SE</v>
      </c>
      <c r="E481" s="268" t="str">
        <f>$E$6</f>
        <v>Total</v>
      </c>
      <c r="F481" s="268"/>
      <c r="G481" s="268" t="str">
        <f>$B$6</f>
        <v>FT</v>
      </c>
      <c r="H481" s="268" t="str">
        <f>$C$6</f>
        <v>PT</v>
      </c>
      <c r="I481" s="268" t="str">
        <f>$D$6</f>
        <v>SE</v>
      </c>
      <c r="J481" s="268" t="str">
        <f>$E$6</f>
        <v>Total</v>
      </c>
      <c r="K481" s="268"/>
      <c r="L481" s="268" t="str">
        <f>$L$6</f>
        <v>FT</v>
      </c>
      <c r="M481" s="268" t="str">
        <f>$M$6</f>
        <v>PT</v>
      </c>
      <c r="N481" s="268" t="str">
        <f>$N$6</f>
        <v>SE</v>
      </c>
      <c r="O481" s="268" t="str">
        <f>$O$6</f>
        <v>Total</v>
      </c>
      <c r="P481" s="268"/>
      <c r="Q481" s="268" t="str">
        <f>$L$6</f>
        <v>FT</v>
      </c>
      <c r="R481" s="268" t="str">
        <f>$M$6</f>
        <v>PT</v>
      </c>
      <c r="S481" s="268" t="str">
        <f>$N$6</f>
        <v>SE</v>
      </c>
      <c r="T481" s="268" t="str">
        <f>$O$6</f>
        <v>Total</v>
      </c>
      <c r="U481" s="268"/>
      <c r="V481" s="268" t="str">
        <f>$V$6</f>
        <v>FT</v>
      </c>
      <c r="W481" s="268" t="str">
        <f>$W$6</f>
        <v>PT</v>
      </c>
      <c r="X481" s="268" t="str">
        <f>$X$6</f>
        <v>SE</v>
      </c>
      <c r="Y481" s="268" t="str">
        <f>$Y$6</f>
        <v>Total</v>
      </c>
    </row>
    <row r="482" spans="1:25" x14ac:dyDescent="0.2">
      <c r="C482" s="319"/>
      <c r="D482" s="319"/>
      <c r="E482" s="319"/>
      <c r="F482" s="319"/>
      <c r="G482" s="319"/>
      <c r="H482" s="319"/>
      <c r="I482" s="319"/>
      <c r="J482" s="319"/>
      <c r="K482" s="319"/>
      <c r="L482" s="319"/>
      <c r="M482" s="319"/>
      <c r="N482" s="319"/>
      <c r="O482" s="319"/>
      <c r="P482" s="319"/>
      <c r="Q482" s="319"/>
      <c r="R482" s="319"/>
      <c r="S482" s="319"/>
      <c r="T482" s="319"/>
      <c r="U482" s="319"/>
      <c r="V482" s="319"/>
      <c r="W482" s="319"/>
      <c r="X482" s="319"/>
      <c r="Y482" s="319"/>
    </row>
    <row r="483" spans="1:25" x14ac:dyDescent="0.2">
      <c r="A483" s="261" t="str">
        <f>name!A68</f>
        <v xml:space="preserve">Education </v>
      </c>
      <c r="C483" s="263"/>
    </row>
    <row r="484" spans="1:25" x14ac:dyDescent="0.2">
      <c r="A484" s="260" t="s">
        <v>356</v>
      </c>
      <c r="B484" s="300">
        <v>32.956000000769436</v>
      </c>
      <c r="C484" s="300">
        <v>31.439999998919319</v>
      </c>
      <c r="D484" s="300">
        <v>5.626000000027771</v>
      </c>
      <c r="E484" s="300">
        <f>SUM(B484:D484)</f>
        <v>70.021999999716527</v>
      </c>
      <c r="F484" s="300"/>
      <c r="G484" s="300">
        <v>34.899000002566019</v>
      </c>
      <c r="H484" s="300">
        <v>32.074999999297468</v>
      </c>
      <c r="I484" s="300">
        <v>7.3750000000962297</v>
      </c>
      <c r="J484" s="300">
        <f>SUM(G484:I484)</f>
        <v>74.349000001959723</v>
      </c>
      <c r="K484" s="300"/>
      <c r="L484" s="300">
        <v>38.323000002192089</v>
      </c>
      <c r="M484" s="300">
        <v>31.386999999011966</v>
      </c>
      <c r="N484" s="300">
        <v>3.5800000000001173</v>
      </c>
      <c r="O484" s="300">
        <f>SUM(L484:N484)</f>
        <v>73.290000001204163</v>
      </c>
      <c r="P484" s="300"/>
      <c r="Q484" s="300">
        <v>41.6559999937854</v>
      </c>
      <c r="R484" s="300">
        <v>32.655999996861269</v>
      </c>
      <c r="S484" s="300">
        <v>3.8500000000228898</v>
      </c>
      <c r="T484" s="300">
        <f>SUM(Q484:S484)</f>
        <v>78.161999990669557</v>
      </c>
      <c r="U484" s="300"/>
      <c r="V484" s="300">
        <v>45.01500000095794</v>
      </c>
      <c r="W484" s="300">
        <v>32.260000000168709</v>
      </c>
      <c r="X484" s="300">
        <v>3.9809999999853116</v>
      </c>
      <c r="Y484" s="300">
        <f>SUM(V484:X484)</f>
        <v>81.256000001111957</v>
      </c>
    </row>
    <row r="485" spans="1:25" x14ac:dyDescent="0.2">
      <c r="A485" s="260" t="s">
        <v>355</v>
      </c>
      <c r="B485" s="300">
        <v>29.284000000643996</v>
      </c>
      <c r="C485" s="300">
        <v>5.9139999995875234</v>
      </c>
      <c r="D485" s="300">
        <v>3.1969999999778635</v>
      </c>
      <c r="E485" s="300">
        <f t="shared" ref="E485" si="1277">SUM(B485:D485)</f>
        <v>38.395000000209379</v>
      </c>
      <c r="F485" s="300"/>
      <c r="G485" s="300">
        <v>22.974000000448658</v>
      </c>
      <c r="H485" s="300">
        <v>6.4879999995682844</v>
      </c>
      <c r="I485" s="300">
        <v>3.8219999999025656</v>
      </c>
      <c r="J485" s="300">
        <f t="shared" ref="J485:J486" si="1278">SUM(G485:I485)</f>
        <v>33.283999999919509</v>
      </c>
      <c r="K485" s="300"/>
      <c r="L485" s="300">
        <v>21.74300000059602</v>
      </c>
      <c r="M485" s="300">
        <v>5.0990000001203972</v>
      </c>
      <c r="N485" s="300">
        <v>4.110999999993342</v>
      </c>
      <c r="O485" s="300">
        <f t="shared" ref="O485:O486" si="1279">SUM(L485:N485)</f>
        <v>30.953000000709761</v>
      </c>
      <c r="P485" s="300"/>
      <c r="Q485" s="300">
        <v>22.818000000490532</v>
      </c>
      <c r="R485" s="300">
        <v>5.495000000203067</v>
      </c>
      <c r="S485" s="300">
        <v>4.455999999994571</v>
      </c>
      <c r="T485" s="300">
        <f t="shared" ref="T485:T486" si="1280">SUM(Q485:S485)</f>
        <v>32.769000000688166</v>
      </c>
      <c r="U485" s="300"/>
      <c r="V485" s="300">
        <v>22.970000000774025</v>
      </c>
      <c r="W485" s="300">
        <v>5.7980000001353798</v>
      </c>
      <c r="X485" s="300">
        <v>4.7429999999447237</v>
      </c>
      <c r="Y485" s="300">
        <f t="shared" ref="Y485:Y486" si="1281">SUM(V485:X485)</f>
        <v>33.511000000854125</v>
      </c>
    </row>
    <row r="486" spans="1:25" x14ac:dyDescent="0.2">
      <c r="A486" s="264" t="s">
        <v>354</v>
      </c>
      <c r="B486" s="301">
        <f>SUM(B484:B485)</f>
        <v>62.240000001413435</v>
      </c>
      <c r="C486" s="301">
        <f t="shared" ref="C486" si="1282">SUM(C484:C485)</f>
        <v>37.353999998506843</v>
      </c>
      <c r="D486" s="301">
        <f t="shared" ref="D486" si="1283">SUM(D484:D485)</f>
        <v>8.823000000005635</v>
      </c>
      <c r="E486" s="301">
        <f>SUM(B486:D486)</f>
        <v>108.41699999992591</v>
      </c>
      <c r="F486" s="301"/>
      <c r="G486" s="301">
        <f>SUM(G484:G485)</f>
        <v>57.873000003014681</v>
      </c>
      <c r="H486" s="301">
        <f t="shared" ref="H486" si="1284">SUM(H484:H485)</f>
        <v>38.562999998865749</v>
      </c>
      <c r="I486" s="301">
        <f t="shared" ref="I486" si="1285">SUM(I484:I485)</f>
        <v>11.196999999998795</v>
      </c>
      <c r="J486" s="301">
        <f t="shared" si="1278"/>
        <v>107.63300000187922</v>
      </c>
      <c r="K486" s="301"/>
      <c r="L486" s="301">
        <f>SUM(L484:L485)</f>
        <v>60.066000002788108</v>
      </c>
      <c r="M486" s="301">
        <f t="shared" ref="M486" si="1286">SUM(M484:M485)</f>
        <v>36.48599999913236</v>
      </c>
      <c r="N486" s="301">
        <f t="shared" ref="N486" si="1287">SUM(N484:N485)</f>
        <v>7.6909999999934593</v>
      </c>
      <c r="O486" s="301">
        <f t="shared" si="1279"/>
        <v>104.24300000191394</v>
      </c>
      <c r="P486" s="301"/>
      <c r="Q486" s="301">
        <f>SUM(Q484:Q485)</f>
        <v>64.473999994275928</v>
      </c>
      <c r="R486" s="301">
        <f t="shared" ref="R486" si="1288">SUM(R484:R485)</f>
        <v>38.150999997064332</v>
      </c>
      <c r="S486" s="301">
        <f t="shared" ref="S486" si="1289">SUM(S484:S485)</f>
        <v>8.3060000000174607</v>
      </c>
      <c r="T486" s="301">
        <f t="shared" si="1280"/>
        <v>110.93099999135772</v>
      </c>
      <c r="U486" s="301"/>
      <c r="V486" s="301">
        <f>SUM(V484:V485)</f>
        <v>67.985000001731962</v>
      </c>
      <c r="W486" s="301">
        <f t="shared" ref="W486" si="1290">SUM(W484:W485)</f>
        <v>38.058000000304091</v>
      </c>
      <c r="X486" s="301">
        <f t="shared" ref="X486" si="1291">SUM(X484:X485)</f>
        <v>8.7239999999300348</v>
      </c>
      <c r="Y486" s="301">
        <f t="shared" si="1281"/>
        <v>114.76700000196608</v>
      </c>
    </row>
    <row r="490" spans="1:25" ht="15" x14ac:dyDescent="0.25">
      <c r="A490" s="265" t="str">
        <f>"Industry 20 : "&amp; name!B23</f>
        <v>Industry 20 : Health and social work</v>
      </c>
      <c r="B490" s="371">
        <f>$B$5</f>
        <v>2015</v>
      </c>
      <c r="C490" s="371"/>
      <c r="D490" s="371"/>
      <c r="E490" s="371"/>
      <c r="F490" s="320"/>
      <c r="G490" s="371">
        <f>$G$5</f>
        <v>2019</v>
      </c>
      <c r="H490" s="371"/>
      <c r="I490" s="371"/>
      <c r="J490" s="371"/>
      <c r="K490" s="320"/>
      <c r="L490" s="371">
        <f>$L$5</f>
        <v>2020</v>
      </c>
      <c r="M490" s="371"/>
      <c r="N490" s="371"/>
      <c r="O490" s="371"/>
      <c r="P490" s="318"/>
      <c r="Q490" s="371">
        <f>$Q$5</f>
        <v>2025</v>
      </c>
      <c r="R490" s="371"/>
      <c r="S490" s="371"/>
      <c r="T490" s="371"/>
      <c r="U490" s="320"/>
      <c r="V490" s="371">
        <f>$V$5</f>
        <v>2035</v>
      </c>
      <c r="W490" s="371"/>
      <c r="X490" s="371"/>
      <c r="Y490" s="371"/>
    </row>
    <row r="491" spans="1:25" x14ac:dyDescent="0.2">
      <c r="A491" s="264"/>
      <c r="B491" s="268" t="str">
        <f>$B$6</f>
        <v>FT</v>
      </c>
      <c r="C491" s="268" t="str">
        <f>$C$6</f>
        <v>PT</v>
      </c>
      <c r="D491" s="268" t="str">
        <f>$D$6</f>
        <v>SE</v>
      </c>
      <c r="E491" s="268" t="str">
        <f>$E$6</f>
        <v>Total</v>
      </c>
      <c r="F491" s="268"/>
      <c r="G491" s="268" t="str">
        <f>$B$6</f>
        <v>FT</v>
      </c>
      <c r="H491" s="268" t="str">
        <f>$C$6</f>
        <v>PT</v>
      </c>
      <c r="I491" s="268" t="str">
        <f>$D$6</f>
        <v>SE</v>
      </c>
      <c r="J491" s="268" t="str">
        <f>$E$6</f>
        <v>Total</v>
      </c>
      <c r="K491" s="268"/>
      <c r="L491" s="268" t="str">
        <f>$L$6</f>
        <v>FT</v>
      </c>
      <c r="M491" s="268" t="str">
        <f>$M$6</f>
        <v>PT</v>
      </c>
      <c r="N491" s="268" t="str">
        <f>$N$6</f>
        <v>SE</v>
      </c>
      <c r="O491" s="268" t="str">
        <f>$O$6</f>
        <v>Total</v>
      </c>
      <c r="P491" s="268"/>
      <c r="Q491" s="268" t="str">
        <f>$L$6</f>
        <v>FT</v>
      </c>
      <c r="R491" s="268" t="str">
        <f>$M$6</f>
        <v>PT</v>
      </c>
      <c r="S491" s="268" t="str">
        <f>$N$6</f>
        <v>SE</v>
      </c>
      <c r="T491" s="268" t="str">
        <f>$O$6</f>
        <v>Total</v>
      </c>
      <c r="U491" s="268"/>
      <c r="V491" s="268" t="str">
        <f>$V$6</f>
        <v>FT</v>
      </c>
      <c r="W491" s="268" t="str">
        <f>$W$6</f>
        <v>PT</v>
      </c>
      <c r="X491" s="268" t="str">
        <f>$X$6</f>
        <v>SE</v>
      </c>
      <c r="Y491" s="268" t="str">
        <f>$Y$6</f>
        <v>Total</v>
      </c>
    </row>
    <row r="492" spans="1:25" x14ac:dyDescent="0.2">
      <c r="C492" s="319"/>
      <c r="D492" s="319"/>
      <c r="E492" s="319"/>
      <c r="F492" s="319"/>
      <c r="G492" s="319"/>
      <c r="H492" s="319"/>
      <c r="I492" s="319"/>
      <c r="J492" s="319"/>
      <c r="K492" s="319"/>
      <c r="L492" s="319"/>
      <c r="M492" s="319"/>
      <c r="N492" s="319"/>
      <c r="O492" s="319"/>
      <c r="P492" s="319"/>
      <c r="Q492" s="319"/>
      <c r="R492" s="319"/>
      <c r="S492" s="319"/>
      <c r="T492" s="319"/>
      <c r="U492" s="319"/>
      <c r="V492" s="319"/>
      <c r="W492" s="319"/>
      <c r="X492" s="319"/>
      <c r="Y492" s="319"/>
    </row>
    <row r="493" spans="1:25" x14ac:dyDescent="0.2">
      <c r="A493" s="261" t="str">
        <f>name!A69</f>
        <v>Health</v>
      </c>
      <c r="C493" s="263"/>
    </row>
    <row r="494" spans="1:25" x14ac:dyDescent="0.2">
      <c r="A494" s="260" t="s">
        <v>356</v>
      </c>
      <c r="B494" s="300">
        <v>49.66599999969074</v>
      </c>
      <c r="C494" s="300">
        <v>38.280999999218622</v>
      </c>
      <c r="D494" s="300">
        <v>3.9659999997612023</v>
      </c>
      <c r="E494" s="300">
        <f>SUM(B494:D494)</f>
        <v>91.912999998670571</v>
      </c>
      <c r="F494" s="300"/>
      <c r="G494" s="300">
        <v>43.114000000186813</v>
      </c>
      <c r="H494" s="300">
        <v>35.431999999607513</v>
      </c>
      <c r="I494" s="300">
        <v>4.6839999997969608</v>
      </c>
      <c r="J494" s="300">
        <f>SUM(G494:I494)</f>
        <v>83.2299999995913</v>
      </c>
      <c r="K494" s="300"/>
      <c r="L494" s="300">
        <v>48.419000000122935</v>
      </c>
      <c r="M494" s="300">
        <v>43.484999999314866</v>
      </c>
      <c r="N494" s="300">
        <v>3.4050000002400256</v>
      </c>
      <c r="O494" s="300">
        <f>SUM(L494:N494)</f>
        <v>95.308999999677823</v>
      </c>
      <c r="P494" s="300"/>
      <c r="Q494" s="300">
        <v>52.214999999641897</v>
      </c>
      <c r="R494" s="300">
        <v>45.65399999851634</v>
      </c>
      <c r="S494" s="300">
        <v>3.8959999999656802</v>
      </c>
      <c r="T494" s="300">
        <f>SUM(Q494:S494)</f>
        <v>101.76499999812393</v>
      </c>
      <c r="U494" s="300"/>
      <c r="V494" s="300">
        <v>58.482999999889202</v>
      </c>
      <c r="W494" s="300">
        <v>48.304999999918564</v>
      </c>
      <c r="X494" s="300">
        <v>4.849999999994882</v>
      </c>
      <c r="Y494" s="300">
        <f>SUM(V494:X494)</f>
        <v>111.63799999980264</v>
      </c>
    </row>
    <row r="495" spans="1:25" x14ac:dyDescent="0.2">
      <c r="A495" s="260" t="s">
        <v>355</v>
      </c>
      <c r="B495" s="300">
        <v>14.829999999744389</v>
      </c>
      <c r="C495" s="300">
        <v>2.6699999999830282</v>
      </c>
      <c r="D495" s="300">
        <v>3.439000000111339</v>
      </c>
      <c r="E495" s="300">
        <f t="shared" ref="E495:E496" si="1292">SUM(B495:D495)</f>
        <v>20.938999999838757</v>
      </c>
      <c r="F495" s="300"/>
      <c r="G495" s="300">
        <v>16.383999999823477</v>
      </c>
      <c r="H495" s="300">
        <v>3.847999999978744</v>
      </c>
      <c r="I495" s="300">
        <v>0.6469999999943542</v>
      </c>
      <c r="J495" s="300">
        <f t="shared" ref="J495:J496" si="1293">SUM(G495:I495)</f>
        <v>20.878999999796573</v>
      </c>
      <c r="K495" s="300"/>
      <c r="L495" s="300">
        <v>17.09699999983706</v>
      </c>
      <c r="M495" s="300">
        <v>4.2580000000098019</v>
      </c>
      <c r="N495" s="300">
        <v>2.2010000000737042</v>
      </c>
      <c r="O495" s="300">
        <f t="shared" ref="O495:O496" si="1294">SUM(L495:N495)</f>
        <v>23.555999999920566</v>
      </c>
      <c r="P495" s="300"/>
      <c r="Q495" s="300">
        <v>18.303000000392284</v>
      </c>
      <c r="R495" s="300">
        <v>4.7040000000017574</v>
      </c>
      <c r="S495" s="300">
        <v>2.2310000003542538</v>
      </c>
      <c r="T495" s="300">
        <f t="shared" ref="T495:T496" si="1295">SUM(Q495:S495)</f>
        <v>25.238000000748297</v>
      </c>
      <c r="U495" s="300"/>
      <c r="V495" s="300">
        <v>20.207000000366978</v>
      </c>
      <c r="W495" s="300">
        <v>5.5099999999948626</v>
      </c>
      <c r="X495" s="300">
        <v>2.1920000002666424</v>
      </c>
      <c r="Y495" s="300">
        <f t="shared" ref="Y495:Y496" si="1296">SUM(V495:X495)</f>
        <v>27.909000000628485</v>
      </c>
    </row>
    <row r="496" spans="1:25" x14ac:dyDescent="0.2">
      <c r="A496" s="260" t="s">
        <v>354</v>
      </c>
      <c r="B496" s="300">
        <f>SUM(B494:B495)</f>
        <v>64.495999999435128</v>
      </c>
      <c r="C496" s="300">
        <f t="shared" ref="C496" si="1297">SUM(C494:C495)</f>
        <v>40.950999999201649</v>
      </c>
      <c r="D496" s="300">
        <f t="shared" ref="D496" si="1298">SUM(D494:D495)</f>
        <v>7.4049999998725413</v>
      </c>
      <c r="E496" s="300">
        <f t="shared" si="1292"/>
        <v>112.85199999850933</v>
      </c>
      <c r="F496" s="300"/>
      <c r="G496" s="300">
        <f>SUM(G494:G495)</f>
        <v>59.498000000010293</v>
      </c>
      <c r="H496" s="300">
        <f t="shared" ref="H496" si="1299">SUM(H494:H495)</f>
        <v>39.279999999586259</v>
      </c>
      <c r="I496" s="300">
        <f t="shared" ref="I496" si="1300">SUM(I494:I495)</f>
        <v>5.3309999997913149</v>
      </c>
      <c r="J496" s="300">
        <f t="shared" si="1293"/>
        <v>104.10899999938786</v>
      </c>
      <c r="K496" s="300"/>
      <c r="L496" s="300">
        <f>SUM(L494:L495)</f>
        <v>65.515999999960002</v>
      </c>
      <c r="M496" s="300">
        <f t="shared" ref="M496" si="1301">SUM(M494:M495)</f>
        <v>47.742999999324667</v>
      </c>
      <c r="N496" s="300">
        <f t="shared" ref="N496" si="1302">SUM(N494:N495)</f>
        <v>5.6060000003137294</v>
      </c>
      <c r="O496" s="300">
        <f t="shared" si="1294"/>
        <v>118.8649999995984</v>
      </c>
      <c r="P496" s="300"/>
      <c r="Q496" s="300">
        <f>SUM(Q494:Q495)</f>
        <v>70.518000000034178</v>
      </c>
      <c r="R496" s="300">
        <f t="shared" ref="R496" si="1303">SUM(R494:R495)</f>
        <v>50.357999998518096</v>
      </c>
      <c r="S496" s="300">
        <f t="shared" ref="S496" si="1304">SUM(S494:S495)</f>
        <v>6.1270000003199341</v>
      </c>
      <c r="T496" s="300">
        <f t="shared" si="1295"/>
        <v>127.00299999887221</v>
      </c>
      <c r="U496" s="300"/>
      <c r="V496" s="300">
        <f>SUM(V494:V495)</f>
        <v>78.690000000256177</v>
      </c>
      <c r="W496" s="300">
        <f t="shared" ref="W496" si="1305">SUM(W494:W495)</f>
        <v>53.814999999913425</v>
      </c>
      <c r="X496" s="300">
        <f t="shared" ref="X496" si="1306">SUM(X494:X495)</f>
        <v>7.042000000261524</v>
      </c>
      <c r="Y496" s="300">
        <f t="shared" si="1296"/>
        <v>139.54700000043113</v>
      </c>
    </row>
    <row r="497" spans="1:25" x14ac:dyDescent="0.2">
      <c r="C497" s="319"/>
      <c r="D497" s="319"/>
      <c r="E497" s="319"/>
      <c r="F497" s="319"/>
      <c r="G497" s="319"/>
      <c r="H497" s="319"/>
      <c r="I497" s="319"/>
      <c r="J497" s="319"/>
      <c r="K497" s="319"/>
      <c r="L497" s="319"/>
      <c r="M497" s="319"/>
      <c r="N497" s="319"/>
      <c r="O497" s="319"/>
      <c r="P497" s="319"/>
      <c r="Q497" s="319"/>
      <c r="R497" s="319"/>
      <c r="S497" s="319"/>
      <c r="T497" s="319"/>
      <c r="U497" s="319"/>
      <c r="V497" s="319"/>
      <c r="W497" s="319"/>
      <c r="X497" s="319"/>
      <c r="Y497" s="319"/>
    </row>
    <row r="498" spans="1:25" x14ac:dyDescent="0.2">
      <c r="A498" s="261" t="str">
        <f>name!A70</f>
        <v>Residential care</v>
      </c>
      <c r="C498" s="263"/>
    </row>
    <row r="499" spans="1:25" x14ac:dyDescent="0.2">
      <c r="A499" s="260" t="s">
        <v>356</v>
      </c>
      <c r="B499" s="300">
        <v>17.171999999893092</v>
      </c>
      <c r="C499" s="300">
        <v>11.737999999760431</v>
      </c>
      <c r="D499" s="300">
        <v>1.8369999998893907</v>
      </c>
      <c r="E499" s="300">
        <f>SUM(B499:D499)</f>
        <v>30.746999999542911</v>
      </c>
      <c r="F499" s="300"/>
      <c r="G499" s="300">
        <v>16.340000000070805</v>
      </c>
      <c r="H499" s="300">
        <v>10.6969999998815</v>
      </c>
      <c r="I499" s="300">
        <v>2.7329999998815295</v>
      </c>
      <c r="J499" s="300">
        <f>SUM(G499:I499)</f>
        <v>29.769999999833836</v>
      </c>
      <c r="K499" s="300"/>
      <c r="L499" s="300">
        <v>16.26200000004129</v>
      </c>
      <c r="M499" s="300">
        <v>11.326999999821535</v>
      </c>
      <c r="N499" s="300">
        <v>1.5220000001072895</v>
      </c>
      <c r="O499" s="300">
        <f>SUM(L499:N499)</f>
        <v>29.110999999970115</v>
      </c>
      <c r="P499" s="300"/>
      <c r="Q499" s="300">
        <v>18.04499999987625</v>
      </c>
      <c r="R499" s="300">
        <v>11.318999999632153</v>
      </c>
      <c r="S499" s="300">
        <v>1.6639999999853414</v>
      </c>
      <c r="T499" s="300">
        <f>SUM(Q499:S499)</f>
        <v>31.027999999493744</v>
      </c>
      <c r="U499" s="300"/>
      <c r="V499" s="300">
        <v>20.357999999961429</v>
      </c>
      <c r="W499" s="300">
        <v>10.279999999982667</v>
      </c>
      <c r="X499" s="300">
        <v>1.7489999999981547</v>
      </c>
      <c r="Y499" s="300">
        <f>SUM(V499:X499)</f>
        <v>32.386999999942248</v>
      </c>
    </row>
    <row r="500" spans="1:25" x14ac:dyDescent="0.2">
      <c r="A500" s="260" t="s">
        <v>355</v>
      </c>
      <c r="B500" s="300">
        <v>4.6549999999197684</v>
      </c>
      <c r="C500" s="300">
        <v>1.7839999999886593</v>
      </c>
      <c r="D500" s="300">
        <v>0.44300000001434181</v>
      </c>
      <c r="E500" s="300">
        <f t="shared" ref="E500:E501" si="1307">SUM(B500:D500)</f>
        <v>6.8819999999227699</v>
      </c>
      <c r="F500" s="300"/>
      <c r="G500" s="300">
        <v>4.0329999999565471</v>
      </c>
      <c r="H500" s="300">
        <v>1.8769999999896327</v>
      </c>
      <c r="I500" s="300">
        <v>8.7999999999232151E-2</v>
      </c>
      <c r="J500" s="300">
        <f t="shared" ref="J500:J501" si="1308">SUM(G500:I500)</f>
        <v>5.9979999999454119</v>
      </c>
      <c r="K500" s="300"/>
      <c r="L500" s="300">
        <v>4.3819999999582278</v>
      </c>
      <c r="M500" s="300">
        <v>2.2470000000051704</v>
      </c>
      <c r="N500" s="300">
        <v>0.19000000000636247</v>
      </c>
      <c r="O500" s="300">
        <f t="shared" ref="O500:O501" si="1309">SUM(L500:N500)</f>
        <v>6.8189999999697601</v>
      </c>
      <c r="P500" s="300"/>
      <c r="Q500" s="300">
        <v>4.6440000000995436</v>
      </c>
      <c r="R500" s="300">
        <v>2.3810000000008857</v>
      </c>
      <c r="S500" s="300">
        <v>0.20200000003207516</v>
      </c>
      <c r="T500" s="300">
        <f t="shared" ref="T500:T501" si="1310">SUM(Q500:S500)</f>
        <v>7.2270000001325041</v>
      </c>
      <c r="U500" s="300"/>
      <c r="V500" s="300">
        <v>4.831000000087732</v>
      </c>
      <c r="W500" s="300">
        <v>2.4489999999977177</v>
      </c>
      <c r="X500" s="300">
        <v>0.20600000002505875</v>
      </c>
      <c r="Y500" s="300">
        <f t="shared" ref="Y500:Y501" si="1311">SUM(V500:X500)</f>
        <v>7.4860000001105078</v>
      </c>
    </row>
    <row r="501" spans="1:25" x14ac:dyDescent="0.2">
      <c r="A501" s="260" t="s">
        <v>354</v>
      </c>
      <c r="B501" s="300">
        <f>SUM(B499:B500)</f>
        <v>21.826999999812863</v>
      </c>
      <c r="C501" s="300">
        <f t="shared" ref="C501" si="1312">SUM(C499:C500)</f>
        <v>13.52199999974909</v>
      </c>
      <c r="D501" s="300">
        <f t="shared" ref="D501" si="1313">SUM(D499:D500)</f>
        <v>2.2799999999037324</v>
      </c>
      <c r="E501" s="300">
        <f t="shared" si="1307"/>
        <v>37.628999999465684</v>
      </c>
      <c r="F501" s="300"/>
      <c r="G501" s="300">
        <f>SUM(G499:G500)</f>
        <v>20.373000000027353</v>
      </c>
      <c r="H501" s="300">
        <f t="shared" ref="H501" si="1314">SUM(H499:H500)</f>
        <v>12.573999999871132</v>
      </c>
      <c r="I501" s="300">
        <f t="shared" ref="I501" si="1315">SUM(I499:I500)</f>
        <v>2.8209999998807618</v>
      </c>
      <c r="J501" s="300">
        <f t="shared" si="1308"/>
        <v>35.767999999779249</v>
      </c>
      <c r="K501" s="300"/>
      <c r="L501" s="300">
        <f>SUM(L499:L500)</f>
        <v>20.643999999999519</v>
      </c>
      <c r="M501" s="300">
        <f t="shared" ref="M501" si="1316">SUM(M499:M500)</f>
        <v>13.573999999826706</v>
      </c>
      <c r="N501" s="300">
        <f t="shared" ref="N501" si="1317">SUM(N499:N500)</f>
        <v>1.7120000001136519</v>
      </c>
      <c r="O501" s="300">
        <f t="shared" si="1309"/>
        <v>35.929999999939881</v>
      </c>
      <c r="P501" s="300"/>
      <c r="Q501" s="300">
        <f>SUM(Q499:Q500)</f>
        <v>22.688999999975792</v>
      </c>
      <c r="R501" s="300">
        <f t="shared" ref="R501" si="1318">SUM(R499:R500)</f>
        <v>13.699999999633039</v>
      </c>
      <c r="S501" s="300">
        <f t="shared" ref="S501" si="1319">SUM(S499:S500)</f>
        <v>1.8660000000174166</v>
      </c>
      <c r="T501" s="300">
        <f t="shared" si="1310"/>
        <v>38.254999999626243</v>
      </c>
      <c r="U501" s="300"/>
      <c r="V501" s="300">
        <f>SUM(V499:V500)</f>
        <v>25.189000000049163</v>
      </c>
      <c r="W501" s="300">
        <f t="shared" ref="W501" si="1320">SUM(W499:W500)</f>
        <v>12.728999999980385</v>
      </c>
      <c r="X501" s="300">
        <f t="shared" ref="X501" si="1321">SUM(X499:X500)</f>
        <v>1.9550000000232135</v>
      </c>
      <c r="Y501" s="300">
        <f t="shared" si="1311"/>
        <v>39.873000000052762</v>
      </c>
    </row>
    <row r="502" spans="1:25" x14ac:dyDescent="0.2">
      <c r="C502" s="319"/>
      <c r="D502" s="319"/>
      <c r="E502" s="319"/>
      <c r="F502" s="319"/>
      <c r="G502" s="319"/>
      <c r="H502" s="319"/>
      <c r="I502" s="319"/>
      <c r="J502" s="319"/>
      <c r="K502" s="319"/>
      <c r="L502" s="319"/>
      <c r="M502" s="319"/>
      <c r="N502" s="319"/>
      <c r="O502" s="319"/>
      <c r="P502" s="319"/>
      <c r="Q502" s="319"/>
      <c r="R502" s="319"/>
      <c r="S502" s="319"/>
      <c r="T502" s="319"/>
      <c r="U502" s="319"/>
      <c r="V502" s="319"/>
      <c r="W502" s="319"/>
      <c r="X502" s="319"/>
      <c r="Y502" s="319"/>
    </row>
    <row r="503" spans="1:25" x14ac:dyDescent="0.2">
      <c r="A503" s="261" t="str">
        <f>name!A71</f>
        <v>Social work</v>
      </c>
      <c r="C503" s="263"/>
    </row>
    <row r="504" spans="1:25" x14ac:dyDescent="0.2">
      <c r="A504" s="260" t="s">
        <v>356</v>
      </c>
      <c r="B504" s="300">
        <v>15.531999999903276</v>
      </c>
      <c r="C504" s="300">
        <v>15.529999999683008</v>
      </c>
      <c r="D504" s="300">
        <v>2.1279999998718675</v>
      </c>
      <c r="E504" s="300">
        <f>SUM(B504:D504)</f>
        <v>33.189999999458152</v>
      </c>
      <c r="F504" s="300"/>
      <c r="G504" s="300">
        <v>13.038000000056499</v>
      </c>
      <c r="H504" s="300">
        <v>14.032999999844558</v>
      </c>
      <c r="I504" s="300">
        <v>2.940999999872516</v>
      </c>
      <c r="J504" s="300">
        <f>SUM(G504:I504)</f>
        <v>30.011999999773572</v>
      </c>
      <c r="K504" s="300"/>
      <c r="L504" s="300">
        <v>12.976000000032931</v>
      </c>
      <c r="M504" s="300">
        <v>14.85999999976589</v>
      </c>
      <c r="N504" s="300">
        <v>1.6380000001154646</v>
      </c>
      <c r="O504" s="300">
        <f>SUM(L504:N504)</f>
        <v>29.473999999914287</v>
      </c>
      <c r="P504" s="300"/>
      <c r="Q504" s="300">
        <v>14.397999999901245</v>
      </c>
      <c r="R504" s="300">
        <v>14.849999999517392</v>
      </c>
      <c r="S504" s="300">
        <v>1.7899999999842313</v>
      </c>
      <c r="T504" s="300">
        <f>SUM(Q504:S504)</f>
        <v>31.037999999402871</v>
      </c>
      <c r="U504" s="300"/>
      <c r="V504" s="300">
        <v>16.243999999969233</v>
      </c>
      <c r="W504" s="300">
        <v>13.48599999997727</v>
      </c>
      <c r="X504" s="300">
        <v>1.880999999998016</v>
      </c>
      <c r="Y504" s="300">
        <f>SUM(V504:X504)</f>
        <v>31.610999999944518</v>
      </c>
    </row>
    <row r="505" spans="1:25" x14ac:dyDescent="0.2">
      <c r="A505" s="260" t="s">
        <v>355</v>
      </c>
      <c r="B505" s="300">
        <v>5.535999999904579</v>
      </c>
      <c r="C505" s="300">
        <v>2.2239999999858644</v>
      </c>
      <c r="D505" s="300">
        <v>0.55000000001780525</v>
      </c>
      <c r="E505" s="300">
        <f t="shared" ref="E505:E506" si="1322">SUM(B505:D505)</f>
        <v>8.3099999999082481</v>
      </c>
      <c r="F505" s="300"/>
      <c r="G505" s="300">
        <v>4.23199999995441</v>
      </c>
      <c r="H505" s="300">
        <v>2.3209999999871793</v>
      </c>
      <c r="I505" s="300">
        <v>0.10199999999910989</v>
      </c>
      <c r="J505" s="300">
        <f t="shared" ref="J505:J506" si="1323">SUM(G505:I505)</f>
        <v>6.6549999999406984</v>
      </c>
      <c r="K505" s="300"/>
      <c r="L505" s="300">
        <v>4.5969999999561839</v>
      </c>
      <c r="M505" s="300">
        <v>2.7780000000063936</v>
      </c>
      <c r="N505" s="300">
        <v>0.21900000000733355</v>
      </c>
      <c r="O505" s="300">
        <f t="shared" ref="O505:O506" si="1324">SUM(L505:N505)</f>
        <v>7.5939999999699115</v>
      </c>
      <c r="P505" s="300"/>
      <c r="Q505" s="300">
        <v>4.87300000010445</v>
      </c>
      <c r="R505" s="300">
        <v>2.9430000000010978</v>
      </c>
      <c r="S505" s="300">
        <v>0.23300000003699761</v>
      </c>
      <c r="T505" s="300">
        <f t="shared" ref="T505:T506" si="1325">SUM(Q505:S505)</f>
        <v>8.049000000142545</v>
      </c>
      <c r="U505" s="300"/>
      <c r="V505" s="300">
        <v>5.0680000000920318</v>
      </c>
      <c r="W505" s="300">
        <v>3.0279999999971827</v>
      </c>
      <c r="X505" s="300">
        <v>0.23800000002895114</v>
      </c>
      <c r="Y505" s="300">
        <f t="shared" ref="Y505:Y506" si="1326">SUM(V505:X505)</f>
        <v>8.3340000001181647</v>
      </c>
    </row>
    <row r="506" spans="1:25" x14ac:dyDescent="0.2">
      <c r="A506" s="260" t="s">
        <v>354</v>
      </c>
      <c r="B506" s="300">
        <f>SUM(B504:B505)</f>
        <v>21.067999999807853</v>
      </c>
      <c r="C506" s="300">
        <f t="shared" ref="C506" si="1327">SUM(C504:C505)</f>
        <v>17.753999999668874</v>
      </c>
      <c r="D506" s="300">
        <f t="shared" ref="D506" si="1328">SUM(D504:D505)</f>
        <v>2.6779999998896726</v>
      </c>
      <c r="E506" s="300">
        <f t="shared" si="1322"/>
        <v>41.499999999366402</v>
      </c>
      <c r="F506" s="300"/>
      <c r="G506" s="300">
        <f>SUM(G504:G505)</f>
        <v>17.27000000001091</v>
      </c>
      <c r="H506" s="300">
        <f t="shared" ref="H506" si="1329">SUM(H504:H505)</f>
        <v>16.353999999831736</v>
      </c>
      <c r="I506" s="300">
        <f t="shared" ref="I506" si="1330">SUM(I504:I505)</f>
        <v>3.0429999998716259</v>
      </c>
      <c r="J506" s="300">
        <f t="shared" si="1323"/>
        <v>36.666999999714271</v>
      </c>
      <c r="K506" s="300"/>
      <c r="L506" s="300">
        <f>SUM(L504:L505)</f>
        <v>17.572999999989115</v>
      </c>
      <c r="M506" s="300">
        <f t="shared" ref="M506" si="1331">SUM(M504:M505)</f>
        <v>17.637999999772283</v>
      </c>
      <c r="N506" s="300">
        <f t="shared" ref="N506" si="1332">SUM(N504:N505)</f>
        <v>1.8570000001227982</v>
      </c>
      <c r="O506" s="300">
        <f t="shared" si="1324"/>
        <v>37.067999999884194</v>
      </c>
      <c r="P506" s="300"/>
      <c r="Q506" s="300">
        <f>SUM(Q504:Q505)</f>
        <v>19.271000000005696</v>
      </c>
      <c r="R506" s="300">
        <f t="shared" ref="R506" si="1333">SUM(R504:R505)</f>
        <v>17.792999999518489</v>
      </c>
      <c r="S506" s="300">
        <f t="shared" ref="S506" si="1334">SUM(S504:S505)</f>
        <v>2.0230000000212289</v>
      </c>
      <c r="T506" s="300">
        <f t="shared" si="1325"/>
        <v>39.086999999545412</v>
      </c>
      <c r="U506" s="300"/>
      <c r="V506" s="300">
        <f>SUM(V504:V505)</f>
        <v>21.312000000061264</v>
      </c>
      <c r="W506" s="300">
        <f t="shared" ref="W506" si="1335">SUM(W504:W505)</f>
        <v>16.513999999974452</v>
      </c>
      <c r="X506" s="300">
        <f t="shared" ref="X506" si="1336">SUM(X504:X505)</f>
        <v>2.1190000000269671</v>
      </c>
      <c r="Y506" s="300">
        <f t="shared" si="1326"/>
        <v>39.945000000062684</v>
      </c>
    </row>
    <row r="507" spans="1:25" x14ac:dyDescent="0.2">
      <c r="C507" s="263"/>
    </row>
    <row r="508" spans="1:25" x14ac:dyDescent="0.2">
      <c r="A508" s="261" t="s">
        <v>359</v>
      </c>
      <c r="C508" s="263"/>
    </row>
    <row r="509" spans="1:25" x14ac:dyDescent="0.2">
      <c r="A509" s="260" t="s">
        <v>356</v>
      </c>
      <c r="B509" s="300">
        <f>SUM(B494,B499,B504)</f>
        <v>82.369999999487106</v>
      </c>
      <c r="C509" s="300">
        <f t="shared" ref="C509:D509" si="1337">SUM(C494,C499,C504)</f>
        <v>65.548999998662069</v>
      </c>
      <c r="D509" s="300">
        <f t="shared" si="1337"/>
        <v>7.9309999995224612</v>
      </c>
      <c r="E509" s="300">
        <f>SUM(B509:D509)</f>
        <v>155.84999999767163</v>
      </c>
      <c r="F509" s="300"/>
      <c r="G509" s="300">
        <f>SUM(G494,G499,G504)</f>
        <v>72.492000000314121</v>
      </c>
      <c r="H509" s="300">
        <f t="shared" ref="H509:I509" si="1338">SUM(H494,H499,H504)</f>
        <v>60.161999999333567</v>
      </c>
      <c r="I509" s="300">
        <f t="shared" si="1338"/>
        <v>10.357999999551005</v>
      </c>
      <c r="J509" s="300">
        <f>SUM(G509:I509)</f>
        <v>143.01199999919868</v>
      </c>
      <c r="K509" s="300"/>
      <c r="L509" s="300">
        <f>SUM(L494,L499,L504)</f>
        <v>77.657000000197158</v>
      </c>
      <c r="M509" s="300">
        <f t="shared" ref="M509:N509" si="1339">SUM(M494,M499,M504)</f>
        <v>69.671999998902294</v>
      </c>
      <c r="N509" s="300">
        <f t="shared" si="1339"/>
        <v>6.5650000004627795</v>
      </c>
      <c r="O509" s="300">
        <f>SUM(L509:N509)</f>
        <v>153.89399999956223</v>
      </c>
      <c r="P509" s="300"/>
      <c r="Q509" s="300">
        <f>SUM(Q494,Q499,Q504)</f>
        <v>84.657999999419388</v>
      </c>
      <c r="R509" s="300">
        <f t="shared" ref="R509:S509" si="1340">SUM(R494,R499,R504)</f>
        <v>71.822999997665889</v>
      </c>
      <c r="S509" s="300">
        <f t="shared" si="1340"/>
        <v>7.3499999999352532</v>
      </c>
      <c r="T509" s="300">
        <f>SUM(Q509:S509)</f>
        <v>163.83099999702054</v>
      </c>
      <c r="U509" s="300"/>
      <c r="V509" s="300">
        <f>SUM(V494,V499,V504)</f>
        <v>95.084999999819857</v>
      </c>
      <c r="W509" s="300">
        <f t="shared" ref="W509:X509" si="1341">SUM(W494,W499,W504)</f>
        <v>72.070999999878495</v>
      </c>
      <c r="X509" s="300">
        <f t="shared" si="1341"/>
        <v>8.4799999999910529</v>
      </c>
      <c r="Y509" s="300">
        <f>SUM(V509:X509)</f>
        <v>175.6359999996894</v>
      </c>
    </row>
    <row r="510" spans="1:25" x14ac:dyDescent="0.2">
      <c r="A510" s="260" t="s">
        <v>355</v>
      </c>
      <c r="B510" s="300">
        <f>SUM(B495,B500,B505)</f>
        <v>25.020999999568737</v>
      </c>
      <c r="C510" s="300">
        <f t="shared" ref="C510:D510" si="1342">SUM(C495,C500,C505)</f>
        <v>6.6779999999575512</v>
      </c>
      <c r="D510" s="300">
        <f t="shared" si="1342"/>
        <v>4.4320000001434865</v>
      </c>
      <c r="E510" s="300">
        <f t="shared" ref="E510:E511" si="1343">SUM(B510:D510)</f>
        <v>36.130999999669775</v>
      </c>
      <c r="F510" s="300"/>
      <c r="G510" s="300">
        <f>SUM(G495,G500,G505)</f>
        <v>24.648999999734436</v>
      </c>
      <c r="H510" s="300">
        <f t="shared" ref="H510:I510" si="1344">SUM(H495,H500,H505)</f>
        <v>8.0459999999555567</v>
      </c>
      <c r="I510" s="300">
        <f t="shared" si="1344"/>
        <v>0.83699999999269625</v>
      </c>
      <c r="J510" s="300">
        <f t="shared" ref="J510:J511" si="1345">SUM(G510:I510)</f>
        <v>33.531999999682689</v>
      </c>
      <c r="K510" s="300"/>
      <c r="L510" s="300">
        <f>SUM(L495,L500,L505)</f>
        <v>26.075999999751474</v>
      </c>
      <c r="M510" s="300">
        <f t="shared" ref="M510:N510" si="1346">SUM(M495,M500,M505)</f>
        <v>9.2830000000213655</v>
      </c>
      <c r="N510" s="300">
        <f t="shared" si="1346"/>
        <v>2.6100000000874002</v>
      </c>
      <c r="O510" s="300">
        <f t="shared" ref="O510:O511" si="1347">SUM(L510:N510)</f>
        <v>37.968999999860245</v>
      </c>
      <c r="P510" s="300"/>
      <c r="Q510" s="300">
        <f>SUM(Q495,Q500,Q505)</f>
        <v>27.820000000596277</v>
      </c>
      <c r="R510" s="300">
        <f t="shared" ref="R510:S510" si="1348">SUM(R495,R500,R505)</f>
        <v>10.028000000003741</v>
      </c>
      <c r="S510" s="300">
        <f t="shared" si="1348"/>
        <v>2.6660000004233266</v>
      </c>
      <c r="T510" s="300">
        <f t="shared" ref="T510:T511" si="1349">SUM(Q510:S510)</f>
        <v>40.514000001023341</v>
      </c>
      <c r="U510" s="300"/>
      <c r="V510" s="300">
        <f>SUM(V495,V500,V505)</f>
        <v>30.106000000546739</v>
      </c>
      <c r="W510" s="300">
        <f t="shared" ref="W510:X510" si="1350">SUM(W495,W500,W505)</f>
        <v>10.986999999989763</v>
      </c>
      <c r="X510" s="300">
        <f t="shared" si="1350"/>
        <v>2.6360000003206521</v>
      </c>
      <c r="Y510" s="300">
        <f t="shared" ref="Y510:Y511" si="1351">SUM(V510:X510)</f>
        <v>43.729000000857155</v>
      </c>
    </row>
    <row r="511" spans="1:25" x14ac:dyDescent="0.2">
      <c r="A511" s="264" t="s">
        <v>354</v>
      </c>
      <c r="B511" s="301">
        <f>SUM(B509:B510)</f>
        <v>107.39099999905585</v>
      </c>
      <c r="C511" s="301">
        <f t="shared" ref="C511" si="1352">SUM(C509:C510)</f>
        <v>72.226999998619618</v>
      </c>
      <c r="D511" s="301">
        <f t="shared" ref="D511" si="1353">SUM(D509:D510)</f>
        <v>12.362999999665949</v>
      </c>
      <c r="E511" s="301">
        <f t="shared" si="1343"/>
        <v>191.98099999734143</v>
      </c>
      <c r="F511" s="301"/>
      <c r="G511" s="301">
        <f>SUM(G509:G510)</f>
        <v>97.141000000048564</v>
      </c>
      <c r="H511" s="301">
        <f t="shared" ref="H511" si="1354">SUM(H509:H510)</f>
        <v>68.207999999289129</v>
      </c>
      <c r="I511" s="301">
        <f t="shared" ref="I511" si="1355">SUM(I509:I510)</f>
        <v>11.1949999995437</v>
      </c>
      <c r="J511" s="301">
        <f t="shared" si="1345"/>
        <v>176.54399999888142</v>
      </c>
      <c r="K511" s="301"/>
      <c r="L511" s="301">
        <f>SUM(L509:L510)</f>
        <v>103.73299999994863</v>
      </c>
      <c r="M511" s="301">
        <f t="shared" ref="M511" si="1356">SUM(M509:M510)</f>
        <v>78.954999998923654</v>
      </c>
      <c r="N511" s="301">
        <f t="shared" ref="N511" si="1357">SUM(N509:N510)</f>
        <v>9.1750000005501793</v>
      </c>
      <c r="O511" s="301">
        <f t="shared" si="1347"/>
        <v>191.86299999942244</v>
      </c>
      <c r="P511" s="301"/>
      <c r="Q511" s="301">
        <f>SUM(Q509:Q510)</f>
        <v>112.47800000001567</v>
      </c>
      <c r="R511" s="301">
        <f t="shared" ref="R511" si="1358">SUM(R509:R510)</f>
        <v>81.850999997669632</v>
      </c>
      <c r="S511" s="301">
        <f t="shared" ref="S511" si="1359">SUM(S509:S510)</f>
        <v>10.016000000358581</v>
      </c>
      <c r="T511" s="301">
        <f t="shared" si="1349"/>
        <v>204.34499999804387</v>
      </c>
      <c r="U511" s="301"/>
      <c r="V511" s="301">
        <f>SUM(V509:V510)</f>
        <v>125.1910000003666</v>
      </c>
      <c r="W511" s="301">
        <f t="shared" ref="W511" si="1360">SUM(W509:W510)</f>
        <v>83.057999999868258</v>
      </c>
      <c r="X511" s="301">
        <f t="shared" ref="X511" si="1361">SUM(X509:X510)</f>
        <v>11.116000000311704</v>
      </c>
      <c r="Y511" s="301">
        <f t="shared" si="1351"/>
        <v>219.36500000054656</v>
      </c>
    </row>
    <row r="512" spans="1:25" x14ac:dyDescent="0.2">
      <c r="C512" s="263"/>
    </row>
    <row r="513" spans="1:25" x14ac:dyDescent="0.2">
      <c r="A513" s="261"/>
    </row>
    <row r="514" spans="1:25" x14ac:dyDescent="0.2">
      <c r="C514" s="263"/>
    </row>
    <row r="515" spans="1:25" ht="15" x14ac:dyDescent="0.25">
      <c r="A515" s="265" t="str">
        <f>"Industry 21 : "&amp; name!B24</f>
        <v>Industry 21 : Arts and entertainment</v>
      </c>
      <c r="B515" s="371">
        <f>$B$5</f>
        <v>2015</v>
      </c>
      <c r="C515" s="371"/>
      <c r="D515" s="371"/>
      <c r="E515" s="371"/>
      <c r="F515" s="320"/>
      <c r="G515" s="371">
        <f>$G$5</f>
        <v>2019</v>
      </c>
      <c r="H515" s="371"/>
      <c r="I515" s="371"/>
      <c r="J515" s="371"/>
      <c r="K515" s="320"/>
      <c r="L515" s="371">
        <f>$L$5</f>
        <v>2020</v>
      </c>
      <c r="M515" s="371"/>
      <c r="N515" s="371"/>
      <c r="O515" s="371"/>
      <c r="P515" s="318"/>
      <c r="Q515" s="371">
        <f>$Q$5</f>
        <v>2025</v>
      </c>
      <c r="R515" s="371"/>
      <c r="S515" s="371"/>
      <c r="T515" s="371"/>
      <c r="U515" s="320"/>
      <c r="V515" s="371">
        <f>$V$5</f>
        <v>2035</v>
      </c>
      <c r="W515" s="371"/>
      <c r="X515" s="371"/>
      <c r="Y515" s="371"/>
    </row>
    <row r="516" spans="1:25" x14ac:dyDescent="0.2">
      <c r="A516" s="264"/>
      <c r="B516" s="268" t="str">
        <f>$B$6</f>
        <v>FT</v>
      </c>
      <c r="C516" s="268" t="str">
        <f>$C$6</f>
        <v>PT</v>
      </c>
      <c r="D516" s="268" t="str">
        <f>$D$6</f>
        <v>SE</v>
      </c>
      <c r="E516" s="268" t="str">
        <f>$E$6</f>
        <v>Total</v>
      </c>
      <c r="F516" s="268"/>
      <c r="G516" s="268" t="str">
        <f>$B$6</f>
        <v>FT</v>
      </c>
      <c r="H516" s="268" t="str">
        <f>$C$6</f>
        <v>PT</v>
      </c>
      <c r="I516" s="268" t="str">
        <f>$D$6</f>
        <v>SE</v>
      </c>
      <c r="J516" s="268" t="str">
        <f>$E$6</f>
        <v>Total</v>
      </c>
      <c r="K516" s="268"/>
      <c r="L516" s="268" t="str">
        <f>$L$6</f>
        <v>FT</v>
      </c>
      <c r="M516" s="268" t="str">
        <f>$M$6</f>
        <v>PT</v>
      </c>
      <c r="N516" s="268" t="str">
        <f>$N$6</f>
        <v>SE</v>
      </c>
      <c r="O516" s="268" t="str">
        <f>$O$6</f>
        <v>Total</v>
      </c>
      <c r="P516" s="268"/>
      <c r="Q516" s="268" t="str">
        <f>$L$6</f>
        <v>FT</v>
      </c>
      <c r="R516" s="268" t="str">
        <f>$M$6</f>
        <v>PT</v>
      </c>
      <c r="S516" s="268" t="str">
        <f>$N$6</f>
        <v>SE</v>
      </c>
      <c r="T516" s="268" t="str">
        <f>$O$6</f>
        <v>Total</v>
      </c>
      <c r="U516" s="268"/>
      <c r="V516" s="268" t="str">
        <f>$V$6</f>
        <v>FT</v>
      </c>
      <c r="W516" s="268" t="str">
        <f>$W$6</f>
        <v>PT</v>
      </c>
      <c r="X516" s="268" t="str">
        <f>$X$6</f>
        <v>SE</v>
      </c>
      <c r="Y516" s="268" t="str">
        <f>$Y$6</f>
        <v>Total</v>
      </c>
    </row>
    <row r="517" spans="1:25" x14ac:dyDescent="0.2">
      <c r="A517" s="262"/>
      <c r="C517" s="319"/>
      <c r="D517" s="319"/>
      <c r="E517" s="319"/>
      <c r="F517" s="319"/>
      <c r="G517" s="319"/>
      <c r="H517" s="319"/>
      <c r="I517" s="319"/>
      <c r="J517" s="319"/>
      <c r="K517" s="319"/>
      <c r="L517" s="319"/>
      <c r="M517" s="319"/>
      <c r="N517" s="319"/>
      <c r="O517" s="319"/>
      <c r="P517" s="319"/>
      <c r="Q517" s="319"/>
      <c r="R517" s="319"/>
      <c r="S517" s="319"/>
      <c r="T517" s="319"/>
      <c r="U517" s="319"/>
      <c r="V517" s="319"/>
      <c r="W517" s="319"/>
      <c r="X517" s="319"/>
      <c r="Y517" s="319"/>
    </row>
    <row r="518" spans="1:25" x14ac:dyDescent="0.2">
      <c r="A518" s="261" t="str">
        <f>name!A72</f>
        <v>Arts and entertainment</v>
      </c>
      <c r="C518" s="263"/>
    </row>
    <row r="519" spans="1:25" x14ac:dyDescent="0.2">
      <c r="A519" s="260" t="s">
        <v>356</v>
      </c>
      <c r="B519" s="300">
        <v>0.36099999999571636</v>
      </c>
      <c r="C519" s="300">
        <v>1.6370000000118732</v>
      </c>
      <c r="D519" s="300">
        <v>1.1100000000079642</v>
      </c>
      <c r="E519" s="300">
        <f>SUM(B519:D519)</f>
        <v>3.1080000000155534</v>
      </c>
      <c r="F519" s="300"/>
      <c r="G519" s="300">
        <v>0.35099999999918574</v>
      </c>
      <c r="H519" s="300">
        <v>0.79600000000135818</v>
      </c>
      <c r="I519" s="300">
        <v>1.1930000000388497</v>
      </c>
      <c r="J519" s="300">
        <f>SUM(G519:I519)</f>
        <v>2.3400000000393932</v>
      </c>
      <c r="K519" s="300"/>
      <c r="L519" s="300">
        <v>0.33699999999981334</v>
      </c>
      <c r="M519" s="300">
        <v>1.1160000000028694</v>
      </c>
      <c r="N519" s="300">
        <v>0.3939999999972757</v>
      </c>
      <c r="O519" s="300">
        <f>SUM(L519:N519)</f>
        <v>1.8469999999999582</v>
      </c>
      <c r="P519" s="300"/>
      <c r="Q519" s="300">
        <v>0.31300000000134004</v>
      </c>
      <c r="R519" s="300">
        <v>1.1160000000226922</v>
      </c>
      <c r="S519" s="300">
        <v>0.36899999998713512</v>
      </c>
      <c r="T519" s="300">
        <f>SUM(Q519:S519)</f>
        <v>1.7980000000111673</v>
      </c>
      <c r="U519" s="300"/>
      <c r="V519" s="300">
        <v>0.33000000000093366</v>
      </c>
      <c r="W519" s="300">
        <v>1.2919999999965646</v>
      </c>
      <c r="X519" s="300">
        <v>0.44500000000285239</v>
      </c>
      <c r="Y519" s="300">
        <f>SUM(V519:X519)</f>
        <v>2.0670000000003506</v>
      </c>
    </row>
    <row r="520" spans="1:25" x14ac:dyDescent="0.2">
      <c r="A520" s="260" t="s">
        <v>355</v>
      </c>
      <c r="B520" s="300">
        <v>0.79100000000018877</v>
      </c>
      <c r="C520" s="300">
        <v>0.20800000000257637</v>
      </c>
      <c r="D520" s="300">
        <v>1.7250000000403096</v>
      </c>
      <c r="E520" s="300">
        <f t="shared" ref="E520:E521" si="1362">SUM(B520:D520)</f>
        <v>2.7240000000430746</v>
      </c>
      <c r="F520" s="300"/>
      <c r="G520" s="300">
        <v>0.77599999999971325</v>
      </c>
      <c r="H520" s="300">
        <v>7.200000000066259E-2</v>
      </c>
      <c r="I520" s="300">
        <v>2.0500000000053022</v>
      </c>
      <c r="J520" s="300">
        <f t="shared" ref="J520:J521" si="1363">SUM(G520:I520)</f>
        <v>2.8980000000056778</v>
      </c>
      <c r="K520" s="300"/>
      <c r="L520" s="300">
        <v>0.46299999999951313</v>
      </c>
      <c r="M520" s="300">
        <v>0.13799999999991247</v>
      </c>
      <c r="N520" s="300">
        <v>1.8150000000471358</v>
      </c>
      <c r="O520" s="300">
        <f t="shared" ref="O520:O521" si="1364">SUM(L520:N520)</f>
        <v>2.4160000000465613</v>
      </c>
      <c r="P520" s="300"/>
      <c r="Q520" s="300">
        <v>0.44299999999851908</v>
      </c>
      <c r="R520" s="300">
        <v>0.13199999999894665</v>
      </c>
      <c r="S520" s="300">
        <v>1.629000000130155</v>
      </c>
      <c r="T520" s="300">
        <f t="shared" ref="T520:T521" si="1365">SUM(Q520:S520)</f>
        <v>2.2040000001276208</v>
      </c>
      <c r="U520" s="300"/>
      <c r="V520" s="300">
        <v>0.50199999999799327</v>
      </c>
      <c r="W520" s="300">
        <v>0.14399999999898813</v>
      </c>
      <c r="X520" s="300">
        <v>1.6890000001044043</v>
      </c>
      <c r="Y520" s="300">
        <f t="shared" ref="Y520:Y521" si="1366">SUM(V520:X520)</f>
        <v>2.3350000001013855</v>
      </c>
    </row>
    <row r="521" spans="1:25" x14ac:dyDescent="0.2">
      <c r="A521" s="260" t="s">
        <v>354</v>
      </c>
      <c r="B521" s="300">
        <f>SUM(B519:B520)</f>
        <v>1.1519999999959052</v>
      </c>
      <c r="C521" s="300">
        <f t="shared" ref="C521" si="1367">SUM(C519:C520)</f>
        <v>1.8450000000144495</v>
      </c>
      <c r="D521" s="300">
        <f t="shared" ref="D521" si="1368">SUM(D519:D520)</f>
        <v>2.8350000000482738</v>
      </c>
      <c r="E521" s="300">
        <f t="shared" si="1362"/>
        <v>5.8320000000586285</v>
      </c>
      <c r="F521" s="300"/>
      <c r="G521" s="300">
        <f>SUM(G519:G520)</f>
        <v>1.1269999999988989</v>
      </c>
      <c r="H521" s="300">
        <f t="shared" ref="H521" si="1369">SUM(H519:H520)</f>
        <v>0.86800000000202071</v>
      </c>
      <c r="I521" s="300">
        <f t="shared" ref="I521" si="1370">SUM(I519:I520)</f>
        <v>3.2430000000441517</v>
      </c>
      <c r="J521" s="300">
        <f t="shared" si="1363"/>
        <v>5.238000000045071</v>
      </c>
      <c r="K521" s="300"/>
      <c r="L521" s="300">
        <f>SUM(L519:L520)</f>
        <v>0.79999999999932647</v>
      </c>
      <c r="M521" s="300">
        <f t="shared" ref="M521" si="1371">SUM(M519:M520)</f>
        <v>1.2540000000027818</v>
      </c>
      <c r="N521" s="300">
        <f t="shared" ref="N521" si="1372">SUM(N519:N520)</f>
        <v>2.2090000000444117</v>
      </c>
      <c r="O521" s="300">
        <f t="shared" si="1364"/>
        <v>4.26300000004652</v>
      </c>
      <c r="P521" s="300"/>
      <c r="Q521" s="300">
        <f>SUM(Q519:Q520)</f>
        <v>0.75599999999985912</v>
      </c>
      <c r="R521" s="300">
        <f t="shared" ref="R521" si="1373">SUM(R519:R520)</f>
        <v>1.2480000000216389</v>
      </c>
      <c r="S521" s="300">
        <f t="shared" ref="S521" si="1374">SUM(S519:S520)</f>
        <v>1.9980000001172902</v>
      </c>
      <c r="T521" s="300">
        <f t="shared" si="1365"/>
        <v>4.0020000001387883</v>
      </c>
      <c r="U521" s="300"/>
      <c r="V521" s="300">
        <f>SUM(V519:V520)</f>
        <v>0.83199999999892693</v>
      </c>
      <c r="W521" s="300">
        <f t="shared" ref="W521" si="1375">SUM(W519:W520)</f>
        <v>1.4359999999955526</v>
      </c>
      <c r="X521" s="300">
        <f t="shared" ref="X521" si="1376">SUM(X519:X520)</f>
        <v>2.1340000001072568</v>
      </c>
      <c r="Y521" s="300">
        <f t="shared" si="1366"/>
        <v>4.4020000001017365</v>
      </c>
    </row>
    <row r="522" spans="1:25" x14ac:dyDescent="0.2">
      <c r="C522" s="319"/>
      <c r="D522" s="319"/>
      <c r="E522" s="319"/>
      <c r="F522" s="319"/>
      <c r="G522" s="319"/>
      <c r="H522" s="319"/>
      <c r="I522" s="319"/>
      <c r="J522" s="319"/>
      <c r="K522" s="319"/>
      <c r="L522" s="319"/>
      <c r="M522" s="319"/>
      <c r="N522" s="319"/>
      <c r="O522" s="319"/>
      <c r="P522" s="319"/>
      <c r="Q522" s="319"/>
      <c r="R522" s="319"/>
      <c r="S522" s="319"/>
      <c r="T522" s="319"/>
      <c r="U522" s="319"/>
      <c r="V522" s="319"/>
      <c r="W522" s="319"/>
      <c r="X522" s="319"/>
      <c r="Y522" s="319"/>
    </row>
    <row r="523" spans="1:25" x14ac:dyDescent="0.2">
      <c r="A523" s="261" t="str">
        <f>name!A73</f>
        <v>Libraries, etc</v>
      </c>
      <c r="C523" s="263"/>
    </row>
    <row r="524" spans="1:25" x14ac:dyDescent="0.2">
      <c r="A524" s="260" t="s">
        <v>356</v>
      </c>
      <c r="B524" s="300">
        <v>1.3439999999840533</v>
      </c>
      <c r="C524" s="300">
        <v>1.3110000000095094</v>
      </c>
      <c r="D524" s="300">
        <v>2.1390000000153453</v>
      </c>
      <c r="E524" s="300">
        <f>SUM(B524:D524)</f>
        <v>4.794000000008908</v>
      </c>
      <c r="F524" s="300"/>
      <c r="G524" s="300">
        <v>0.57499999999866569</v>
      </c>
      <c r="H524" s="300">
        <v>1.0850000000018512</v>
      </c>
      <c r="I524" s="300">
        <v>1.9830000000645749</v>
      </c>
      <c r="J524" s="300">
        <f>SUM(G524:I524)</f>
        <v>3.6430000000650917</v>
      </c>
      <c r="K524" s="300"/>
      <c r="L524" s="300">
        <v>0.55299999999969307</v>
      </c>
      <c r="M524" s="300">
        <v>1.5200000000039067</v>
      </c>
      <c r="N524" s="300">
        <v>0.6549999999954712</v>
      </c>
      <c r="O524" s="300">
        <f>SUM(L524:N524)</f>
        <v>2.7279999999990707</v>
      </c>
      <c r="P524" s="300"/>
      <c r="Q524" s="300">
        <v>0.51300000000219637</v>
      </c>
      <c r="R524" s="300">
        <v>1.5200000000309064</v>
      </c>
      <c r="S524" s="300">
        <v>0.61399999997859345</v>
      </c>
      <c r="T524" s="300">
        <f>SUM(Q524:S524)</f>
        <v>2.6470000000116962</v>
      </c>
      <c r="U524" s="300"/>
      <c r="V524" s="300">
        <v>0.54100000000153048</v>
      </c>
      <c r="W524" s="300">
        <v>1.7599999999953209</v>
      </c>
      <c r="X524" s="300">
        <v>0.74000000000474275</v>
      </c>
      <c r="Y524" s="300">
        <f>SUM(V524:X524)</f>
        <v>3.0410000000015942</v>
      </c>
    </row>
    <row r="525" spans="1:25" x14ac:dyDescent="0.2">
      <c r="A525" s="260" t="s">
        <v>355</v>
      </c>
      <c r="B525" s="300">
        <v>1.7110000000004073</v>
      </c>
      <c r="C525" s="300">
        <v>0.70500000000873264</v>
      </c>
      <c r="D525" s="300">
        <v>2.249000000052555</v>
      </c>
      <c r="E525" s="300">
        <f t="shared" ref="E525:E526" si="1377">SUM(B525:D525)</f>
        <v>4.6650000000616947</v>
      </c>
      <c r="F525" s="300"/>
      <c r="G525" s="300">
        <v>0.73899999999972699</v>
      </c>
      <c r="H525" s="300">
        <v>0.41700000000383713</v>
      </c>
      <c r="I525" s="300">
        <v>2.3050000000059625</v>
      </c>
      <c r="J525" s="300">
        <f t="shared" ref="J525:J526" si="1378">SUM(G525:I525)</f>
        <v>3.4610000000095269</v>
      </c>
      <c r="K525" s="300"/>
      <c r="L525" s="300">
        <v>0.4409999999995366</v>
      </c>
      <c r="M525" s="300">
        <v>0.79999999999949278</v>
      </c>
      <c r="N525" s="300">
        <v>2.0410000000530073</v>
      </c>
      <c r="O525" s="300">
        <f t="shared" ref="O525:O526" si="1379">SUM(L525:N525)</f>
        <v>3.2820000000520366</v>
      </c>
      <c r="P525" s="300"/>
      <c r="Q525" s="300">
        <v>0.42199999999858945</v>
      </c>
      <c r="R525" s="300">
        <v>0.76599999999388713</v>
      </c>
      <c r="S525" s="300">
        <v>1.8320000001463768</v>
      </c>
      <c r="T525" s="300">
        <f t="shared" ref="T525:T526" si="1380">SUM(Q525:S525)</f>
        <v>3.0200000001388534</v>
      </c>
      <c r="U525" s="300"/>
      <c r="V525" s="300">
        <v>0.47799999999808895</v>
      </c>
      <c r="W525" s="300">
        <v>0.83199999999415375</v>
      </c>
      <c r="X525" s="300">
        <v>1.9000000001174464</v>
      </c>
      <c r="Y525" s="300">
        <f t="shared" ref="Y525:Y526" si="1381">SUM(V525:X525)</f>
        <v>3.2100000001096891</v>
      </c>
    </row>
    <row r="526" spans="1:25" x14ac:dyDescent="0.2">
      <c r="A526" s="260" t="s">
        <v>354</v>
      </c>
      <c r="B526" s="300">
        <f>SUM(B524:B525)</f>
        <v>3.0549999999844606</v>
      </c>
      <c r="C526" s="300">
        <f t="shared" ref="C526" si="1382">SUM(C524:C525)</f>
        <v>2.0160000000182423</v>
      </c>
      <c r="D526" s="300">
        <f t="shared" ref="D526" si="1383">SUM(D524:D525)</f>
        <v>4.3880000000679003</v>
      </c>
      <c r="E526" s="300">
        <f t="shared" si="1377"/>
        <v>9.4590000000706027</v>
      </c>
      <c r="F526" s="300"/>
      <c r="G526" s="300">
        <f>SUM(G524:G525)</f>
        <v>1.3139999999983927</v>
      </c>
      <c r="H526" s="300">
        <f t="shared" ref="H526" si="1384">SUM(H524:H525)</f>
        <v>1.5020000000056883</v>
      </c>
      <c r="I526" s="300">
        <f t="shared" ref="I526" si="1385">SUM(I524:I525)</f>
        <v>4.2880000000705376</v>
      </c>
      <c r="J526" s="300">
        <f t="shared" si="1378"/>
        <v>7.1040000000746186</v>
      </c>
      <c r="K526" s="300"/>
      <c r="L526" s="300">
        <f>SUM(L524:L525)</f>
        <v>0.99399999999922972</v>
      </c>
      <c r="M526" s="300">
        <f t="shared" ref="M526" si="1386">SUM(M524:M525)</f>
        <v>2.3200000000033993</v>
      </c>
      <c r="N526" s="300">
        <f t="shared" ref="N526" si="1387">SUM(N524:N525)</f>
        <v>2.6960000000484783</v>
      </c>
      <c r="O526" s="300">
        <f t="shared" si="1379"/>
        <v>6.0100000000511073</v>
      </c>
      <c r="P526" s="300"/>
      <c r="Q526" s="300">
        <f>SUM(Q524:Q525)</f>
        <v>0.93500000000078587</v>
      </c>
      <c r="R526" s="300">
        <f t="shared" ref="R526" si="1388">SUM(R524:R525)</f>
        <v>2.2860000000247935</v>
      </c>
      <c r="S526" s="300">
        <f t="shared" ref="S526" si="1389">SUM(S524:S525)</f>
        <v>2.44600000012497</v>
      </c>
      <c r="T526" s="300">
        <f t="shared" si="1380"/>
        <v>5.6670000001505496</v>
      </c>
      <c r="U526" s="300"/>
      <c r="V526" s="300">
        <f>SUM(V524:V525)</f>
        <v>1.0189999999996195</v>
      </c>
      <c r="W526" s="300">
        <f t="shared" ref="W526" si="1390">SUM(W524:W525)</f>
        <v>2.5919999999894747</v>
      </c>
      <c r="X526" s="300">
        <f t="shared" ref="X526" si="1391">SUM(X524:X525)</f>
        <v>2.640000000122189</v>
      </c>
      <c r="Y526" s="300">
        <f t="shared" si="1381"/>
        <v>6.2510000001112829</v>
      </c>
    </row>
    <row r="527" spans="1:25" x14ac:dyDescent="0.2">
      <c r="C527" s="319"/>
      <c r="D527" s="319"/>
      <c r="E527" s="319"/>
      <c r="F527" s="319"/>
      <c r="G527" s="319"/>
      <c r="H527" s="319"/>
      <c r="I527" s="319"/>
      <c r="J527" s="319"/>
      <c r="K527" s="319"/>
      <c r="L527" s="319"/>
      <c r="M527" s="319"/>
      <c r="N527" s="319"/>
      <c r="O527" s="319"/>
      <c r="P527" s="319"/>
      <c r="Q527" s="319"/>
      <c r="R527" s="319"/>
      <c r="S527" s="319"/>
      <c r="T527" s="319"/>
      <c r="U527" s="319"/>
      <c r="V527" s="319"/>
      <c r="W527" s="319"/>
      <c r="X527" s="319"/>
      <c r="Y527" s="319"/>
    </row>
    <row r="528" spans="1:25" x14ac:dyDescent="0.2">
      <c r="A528" s="261" t="str">
        <f>name!A74</f>
        <v>Gambling and betting</v>
      </c>
      <c r="C528" s="263"/>
    </row>
    <row r="529" spans="1:25" x14ac:dyDescent="0.2">
      <c r="A529" s="260" t="s">
        <v>356</v>
      </c>
      <c r="B529" s="300">
        <v>1.1849999999859391</v>
      </c>
      <c r="C529" s="300">
        <v>1.2820000000092981</v>
      </c>
      <c r="D529" s="300">
        <v>0.53900000000386772</v>
      </c>
      <c r="E529" s="300">
        <f>SUM(B529:D529)</f>
        <v>3.0059999999991049</v>
      </c>
      <c r="F529" s="300"/>
      <c r="G529" s="300">
        <v>0.7379999999982888</v>
      </c>
      <c r="H529" s="300">
        <v>0.81200000000138395</v>
      </c>
      <c r="I529" s="300">
        <v>0.43500000001416567</v>
      </c>
      <c r="J529" s="300">
        <f>SUM(G529:I529)</f>
        <v>1.9850000000138384</v>
      </c>
      <c r="K529" s="300"/>
      <c r="L529" s="300">
        <v>0.56299999999968819</v>
      </c>
      <c r="M529" s="300">
        <v>1.1240000000028905</v>
      </c>
      <c r="N529" s="300">
        <v>7.4999999999481426E-2</v>
      </c>
      <c r="O529" s="300">
        <f>SUM(L529:N529)</f>
        <v>1.7620000000020601</v>
      </c>
      <c r="P529" s="300"/>
      <c r="Q529" s="300">
        <v>0.58100000000248664</v>
      </c>
      <c r="R529" s="300">
        <v>1.1950000000242993</v>
      </c>
      <c r="S529" s="300">
        <v>7.7999999997280786E-2</v>
      </c>
      <c r="T529" s="300">
        <f>SUM(Q529:S529)</f>
        <v>1.8540000000240666</v>
      </c>
      <c r="U529" s="300"/>
      <c r="V529" s="300">
        <v>0.59000000000166875</v>
      </c>
      <c r="W529" s="300">
        <v>1.2709999999966208</v>
      </c>
      <c r="X529" s="300">
        <v>8.2000000000525666E-2</v>
      </c>
      <c r="Y529" s="300">
        <f>SUM(V529:X529)</f>
        <v>1.9429999999988152</v>
      </c>
    </row>
    <row r="530" spans="1:25" x14ac:dyDescent="0.2">
      <c r="A530" s="260" t="s">
        <v>355</v>
      </c>
      <c r="B530" s="300">
        <v>1.7250000000004129</v>
      </c>
      <c r="C530" s="300">
        <v>1.8970000000234981</v>
      </c>
      <c r="D530" s="300">
        <v>0.19900000000465054</v>
      </c>
      <c r="E530" s="300">
        <f t="shared" ref="E530:E531" si="1392">SUM(B530:D530)</f>
        <v>3.8210000000285613</v>
      </c>
      <c r="F530" s="300"/>
      <c r="G530" s="300">
        <v>1.5809999999994144</v>
      </c>
      <c r="H530" s="300">
        <v>0.8990000000082734</v>
      </c>
      <c r="I530" s="300">
        <v>0.23100000000059764</v>
      </c>
      <c r="J530" s="300">
        <f t="shared" ref="J530:J531" si="1393">SUM(G530:I530)</f>
        <v>2.7110000000082852</v>
      </c>
      <c r="K530" s="300"/>
      <c r="L530" s="300">
        <v>1.3669999999985634</v>
      </c>
      <c r="M530" s="300">
        <v>1.1969999999992413</v>
      </c>
      <c r="N530" s="300">
        <v>0.22800000000592141</v>
      </c>
      <c r="O530" s="300">
        <f t="shared" ref="O530:O531" si="1394">SUM(L530:N530)</f>
        <v>2.7920000000037257</v>
      </c>
      <c r="P530" s="300"/>
      <c r="Q530" s="300">
        <v>1.4599999999951192</v>
      </c>
      <c r="R530" s="300">
        <v>1.3199999999894672</v>
      </c>
      <c r="S530" s="300">
        <v>0.26000000002077367</v>
      </c>
      <c r="T530" s="300">
        <f t="shared" ref="T530:T531" si="1395">SUM(Q530:S530)</f>
        <v>3.0400000000053602</v>
      </c>
      <c r="U530" s="300"/>
      <c r="V530" s="300">
        <v>1.5819999999936771</v>
      </c>
      <c r="W530" s="300">
        <v>1.49999999998946</v>
      </c>
      <c r="X530" s="300">
        <v>0.31600000001953321</v>
      </c>
      <c r="Y530" s="300">
        <f t="shared" ref="Y530:Y531" si="1396">SUM(V530:X530)</f>
        <v>3.39800000000267</v>
      </c>
    </row>
    <row r="531" spans="1:25" x14ac:dyDescent="0.2">
      <c r="A531" s="260" t="s">
        <v>354</v>
      </c>
      <c r="B531" s="300">
        <f>SUM(B529:B530)</f>
        <v>2.9099999999863519</v>
      </c>
      <c r="C531" s="300">
        <f t="shared" ref="C531" si="1397">SUM(C529:C530)</f>
        <v>3.1790000000327963</v>
      </c>
      <c r="D531" s="300">
        <f t="shared" ref="D531" si="1398">SUM(D529:D530)</f>
        <v>0.73800000000851829</v>
      </c>
      <c r="E531" s="300">
        <f t="shared" si="1392"/>
        <v>6.8270000000276658</v>
      </c>
      <c r="F531" s="300"/>
      <c r="G531" s="300">
        <f>SUM(G529:G530)</f>
        <v>2.3189999999977031</v>
      </c>
      <c r="H531" s="300">
        <f t="shared" ref="H531" si="1399">SUM(H529:H530)</f>
        <v>1.7110000000096575</v>
      </c>
      <c r="I531" s="300">
        <f t="shared" ref="I531" si="1400">SUM(I529:I530)</f>
        <v>0.66600000001476334</v>
      </c>
      <c r="J531" s="300">
        <f t="shared" si="1393"/>
        <v>4.6960000000221243</v>
      </c>
      <c r="K531" s="300"/>
      <c r="L531" s="300">
        <f>SUM(L529:L530)</f>
        <v>1.9299999999982516</v>
      </c>
      <c r="M531" s="300">
        <f t="shared" ref="M531" si="1401">SUM(M529:M530)</f>
        <v>2.3210000000021318</v>
      </c>
      <c r="N531" s="300">
        <f t="shared" ref="N531" si="1402">SUM(N529:N530)</f>
        <v>0.30300000000540284</v>
      </c>
      <c r="O531" s="300">
        <f t="shared" si="1394"/>
        <v>4.5540000000057859</v>
      </c>
      <c r="P531" s="300"/>
      <c r="Q531" s="300">
        <f>SUM(Q529:Q530)</f>
        <v>2.0409999999976058</v>
      </c>
      <c r="R531" s="300">
        <f t="shared" ref="R531" si="1403">SUM(R529:R530)</f>
        <v>2.5150000000137664</v>
      </c>
      <c r="S531" s="300">
        <f t="shared" ref="S531" si="1404">SUM(S529:S530)</f>
        <v>0.33800000001805447</v>
      </c>
      <c r="T531" s="300">
        <f t="shared" si="1395"/>
        <v>4.8940000000294264</v>
      </c>
      <c r="U531" s="300"/>
      <c r="V531" s="300">
        <f>SUM(V529:V530)</f>
        <v>2.1719999999953457</v>
      </c>
      <c r="W531" s="300">
        <f t="shared" ref="W531" si="1405">SUM(W529:W530)</f>
        <v>2.7709999999860808</v>
      </c>
      <c r="X531" s="300">
        <f t="shared" ref="X531" si="1406">SUM(X529:X530)</f>
        <v>0.39800000002005886</v>
      </c>
      <c r="Y531" s="300">
        <f t="shared" si="1396"/>
        <v>5.3410000000014852</v>
      </c>
    </row>
    <row r="532" spans="1:25" x14ac:dyDescent="0.2">
      <c r="C532" s="319"/>
      <c r="D532" s="319"/>
      <c r="E532" s="319"/>
      <c r="F532" s="319"/>
      <c r="G532" s="319"/>
      <c r="H532" s="319"/>
      <c r="I532" s="319"/>
      <c r="J532" s="319"/>
      <c r="K532" s="319"/>
      <c r="L532" s="319"/>
      <c r="M532" s="319"/>
      <c r="N532" s="319"/>
      <c r="O532" s="319"/>
      <c r="P532" s="319"/>
      <c r="Q532" s="319"/>
      <c r="R532" s="319"/>
      <c r="S532" s="319"/>
      <c r="T532" s="319"/>
      <c r="U532" s="319"/>
      <c r="V532" s="319"/>
      <c r="W532" s="319"/>
      <c r="X532" s="319"/>
      <c r="Y532" s="319"/>
    </row>
    <row r="533" spans="1:25" x14ac:dyDescent="0.2">
      <c r="A533" s="261" t="str">
        <f>name!A75</f>
        <v>Sport and recreation</v>
      </c>
      <c r="C533" s="263"/>
    </row>
    <row r="534" spans="1:25" x14ac:dyDescent="0.2">
      <c r="A534" s="260" t="s">
        <v>356</v>
      </c>
      <c r="B534" s="300">
        <v>2.4299999999715198</v>
      </c>
      <c r="C534" s="300">
        <v>2.9150000000215655</v>
      </c>
      <c r="D534" s="300">
        <v>0.62400000000506106</v>
      </c>
      <c r="E534" s="300">
        <f>SUM(B534:D534)</f>
        <v>5.9689999999981467</v>
      </c>
      <c r="F534" s="300"/>
      <c r="G534" s="300">
        <v>4.1439999999878836</v>
      </c>
      <c r="H534" s="300">
        <v>3.8850000000068392</v>
      </c>
      <c r="I534" s="300">
        <v>1.0750000000345501</v>
      </c>
      <c r="J534" s="300">
        <f>SUM(G534:I534)</f>
        <v>9.1040000000292718</v>
      </c>
      <c r="K534" s="300"/>
      <c r="L534" s="300">
        <v>3.1569999999968505</v>
      </c>
      <c r="M534" s="300">
        <v>5.3800000000142107</v>
      </c>
      <c r="N534" s="300">
        <v>0.18499999999853223</v>
      </c>
      <c r="O534" s="300">
        <f>SUM(L534:N534)</f>
        <v>8.7220000000095936</v>
      </c>
      <c r="P534" s="300"/>
      <c r="Q534" s="300">
        <v>3.259000000016782</v>
      </c>
      <c r="R534" s="300">
        <v>5.720000000116495</v>
      </c>
      <c r="S534" s="300">
        <v>0.19299999999353196</v>
      </c>
      <c r="T534" s="300">
        <f>SUM(Q534:S534)</f>
        <v>9.1720000001268094</v>
      </c>
      <c r="U534" s="300"/>
      <c r="V534" s="300">
        <v>3.3130000000089961</v>
      </c>
      <c r="W534" s="300">
        <v>6.0819999999836467</v>
      </c>
      <c r="X534" s="300">
        <v>0.20300000000128868</v>
      </c>
      <c r="Y534" s="300">
        <f>SUM(V534:X534)</f>
        <v>9.5979999999939309</v>
      </c>
    </row>
    <row r="535" spans="1:25" x14ac:dyDescent="0.2">
      <c r="A535" s="260" t="s">
        <v>355</v>
      </c>
      <c r="B535" s="300">
        <v>1.6150000000004578</v>
      </c>
      <c r="C535" s="300">
        <v>3.0320000000375931</v>
      </c>
      <c r="D535" s="300">
        <v>0.65300000001526526</v>
      </c>
      <c r="E535" s="300">
        <f t="shared" ref="E535:E536" si="1407">SUM(B535:D535)</f>
        <v>5.3000000000533163</v>
      </c>
      <c r="F535" s="300"/>
      <c r="G535" s="300">
        <v>4.0509999999985595</v>
      </c>
      <c r="H535" s="300">
        <v>3.0250000000278385</v>
      </c>
      <c r="I535" s="300">
        <v>1.6210000000042604</v>
      </c>
      <c r="J535" s="300">
        <f t="shared" ref="J535:J536" si="1408">SUM(G535:I535)</f>
        <v>8.6970000000306591</v>
      </c>
      <c r="K535" s="300"/>
      <c r="L535" s="300">
        <v>3.5039999999963345</v>
      </c>
      <c r="M535" s="300">
        <v>4.0289999999974722</v>
      </c>
      <c r="N535" s="300">
        <v>1.6010000000414881</v>
      </c>
      <c r="O535" s="300">
        <f t="shared" ref="O535:O536" si="1409">SUM(L535:N535)</f>
        <v>9.1340000000352948</v>
      </c>
      <c r="P535" s="300"/>
      <c r="Q535" s="300">
        <v>3.7409999999875558</v>
      </c>
      <c r="R535" s="300">
        <v>4.4419999999645743</v>
      </c>
      <c r="S535" s="300">
        <v>1.8230000001455366</v>
      </c>
      <c r="T535" s="300">
        <f t="shared" ref="T535:T536" si="1410">SUM(Q535:S535)</f>
        <v>10.006000000097668</v>
      </c>
      <c r="U535" s="300"/>
      <c r="V535" s="300">
        <v>4.0539999999841649</v>
      </c>
      <c r="W535" s="300">
        <v>5.0479999999645715</v>
      </c>
      <c r="X535" s="300">
        <v>2.2190000001380903</v>
      </c>
      <c r="Y535" s="300">
        <f t="shared" ref="Y535:Y536" si="1411">SUM(V535:X535)</f>
        <v>11.321000000086826</v>
      </c>
    </row>
    <row r="536" spans="1:25" x14ac:dyDescent="0.2">
      <c r="A536" s="260" t="s">
        <v>354</v>
      </c>
      <c r="B536" s="300">
        <f>SUM(B534:B535)</f>
        <v>4.0449999999719779</v>
      </c>
      <c r="C536" s="300">
        <f t="shared" ref="C536" si="1412">SUM(C534:C535)</f>
        <v>5.947000000059159</v>
      </c>
      <c r="D536" s="300">
        <f t="shared" ref="D536" si="1413">SUM(D534:D535)</f>
        <v>1.2770000000203263</v>
      </c>
      <c r="E536" s="300">
        <f t="shared" si="1407"/>
        <v>11.269000000051463</v>
      </c>
      <c r="F536" s="300"/>
      <c r="G536" s="300">
        <f>SUM(G534:G535)</f>
        <v>8.1949999999864431</v>
      </c>
      <c r="H536" s="300">
        <f t="shared" ref="H536" si="1414">SUM(H534:H535)</f>
        <v>6.9100000000346782</v>
      </c>
      <c r="I536" s="300">
        <f t="shared" ref="I536" si="1415">SUM(I534:I535)</f>
        <v>2.6960000000388105</v>
      </c>
      <c r="J536" s="300">
        <f t="shared" si="1408"/>
        <v>17.801000000059933</v>
      </c>
      <c r="K536" s="300"/>
      <c r="L536" s="300">
        <f>SUM(L534:L535)</f>
        <v>6.6609999999931855</v>
      </c>
      <c r="M536" s="300">
        <f t="shared" ref="M536" si="1416">SUM(M534:M535)</f>
        <v>9.4090000000116838</v>
      </c>
      <c r="N536" s="300">
        <f t="shared" ref="N536" si="1417">SUM(N534:N535)</f>
        <v>1.7860000000400205</v>
      </c>
      <c r="O536" s="300">
        <f t="shared" si="1409"/>
        <v>17.856000000044887</v>
      </c>
      <c r="P536" s="300"/>
      <c r="Q536" s="300">
        <f>SUM(Q534:Q535)</f>
        <v>7.0000000000043379</v>
      </c>
      <c r="R536" s="300">
        <f t="shared" ref="R536" si="1418">SUM(R534:R535)</f>
        <v>10.162000000081068</v>
      </c>
      <c r="S536" s="300">
        <f t="shared" ref="S536" si="1419">SUM(S534:S535)</f>
        <v>2.0160000001390688</v>
      </c>
      <c r="T536" s="300">
        <f t="shared" si="1410"/>
        <v>19.178000000224475</v>
      </c>
      <c r="U536" s="300"/>
      <c r="V536" s="300">
        <f>SUM(V534:V535)</f>
        <v>7.366999999993161</v>
      </c>
      <c r="W536" s="300">
        <f t="shared" ref="W536" si="1420">SUM(W534:W535)</f>
        <v>11.129999999948218</v>
      </c>
      <c r="X536" s="300">
        <f t="shared" ref="X536" si="1421">SUM(X534:X535)</f>
        <v>2.4220000001393789</v>
      </c>
      <c r="Y536" s="300">
        <f t="shared" si="1411"/>
        <v>20.919000000080757</v>
      </c>
    </row>
    <row r="537" spans="1:25" x14ac:dyDescent="0.2">
      <c r="A537" s="261"/>
    </row>
    <row r="538" spans="1:25" x14ac:dyDescent="0.2">
      <c r="A538" s="261" t="s">
        <v>358</v>
      </c>
    </row>
    <row r="539" spans="1:25" x14ac:dyDescent="0.2">
      <c r="A539" s="260" t="s">
        <v>356</v>
      </c>
      <c r="B539" s="300">
        <f>SUM(B519,B524,B529,B534)</f>
        <v>5.3199999999372292</v>
      </c>
      <c r="C539" s="300">
        <f t="shared" ref="C539:D540" si="1422">SUM(C519,C524,C529,C534)</f>
        <v>7.1450000000522458</v>
      </c>
      <c r="D539" s="300">
        <f t="shared" si="1422"/>
        <v>4.4120000000322381</v>
      </c>
      <c r="E539" s="300">
        <f>SUM(B539:D539)</f>
        <v>16.877000000021713</v>
      </c>
      <c r="F539" s="300"/>
      <c r="G539" s="300">
        <f>SUM(G519,G524,G529,G534)</f>
        <v>5.8079999999840233</v>
      </c>
      <c r="H539" s="300">
        <f t="shared" ref="H539:I539" si="1423">SUM(H519,H524,H529,H534)</f>
        <v>6.578000000011432</v>
      </c>
      <c r="I539" s="300">
        <f t="shared" si="1423"/>
        <v>4.6860000001521405</v>
      </c>
      <c r="J539" s="300">
        <f>SUM(G539:I539)</f>
        <v>17.072000000147597</v>
      </c>
      <c r="K539" s="300"/>
      <c r="L539" s="300">
        <f>SUM(L519,L524,L529,L534)</f>
        <v>4.6099999999960453</v>
      </c>
      <c r="M539" s="300">
        <f t="shared" ref="M539:N539" si="1424">SUM(M519,M524,M529,M534)</f>
        <v>9.1400000000238784</v>
      </c>
      <c r="N539" s="300">
        <f t="shared" si="1424"/>
        <v>1.3089999999907604</v>
      </c>
      <c r="O539" s="300">
        <f>SUM(L539:N539)</f>
        <v>15.059000000010684</v>
      </c>
      <c r="P539" s="300"/>
      <c r="Q539" s="300">
        <f>SUM(Q519,Q524,Q529,Q534)</f>
        <v>4.6660000000228052</v>
      </c>
      <c r="R539" s="300">
        <f t="shared" ref="R539:S539" si="1425">SUM(R519,R524,R529,R534)</f>
        <v>9.5510000001943922</v>
      </c>
      <c r="S539" s="300">
        <f t="shared" si="1425"/>
        <v>1.2539999999565412</v>
      </c>
      <c r="T539" s="300">
        <f>SUM(Q539:S539)</f>
        <v>15.471000000173738</v>
      </c>
      <c r="U539" s="300"/>
      <c r="V539" s="300">
        <f>SUM(V519,V524,V529,V534)</f>
        <v>4.7740000000131291</v>
      </c>
      <c r="W539" s="300">
        <f t="shared" ref="W539:X539" si="1426">SUM(W519,W524,W529,W534)</f>
        <v>10.404999999972151</v>
      </c>
      <c r="X539" s="300">
        <f t="shared" si="1426"/>
        <v>1.4700000000094093</v>
      </c>
      <c r="Y539" s="300">
        <f>SUM(V539:X539)</f>
        <v>16.64899999999469</v>
      </c>
    </row>
    <row r="540" spans="1:25" x14ac:dyDescent="0.2">
      <c r="A540" s="260" t="s">
        <v>355</v>
      </c>
      <c r="B540" s="300">
        <f>SUM(B520,B525,B530,B535)</f>
        <v>5.8420000000014669</v>
      </c>
      <c r="C540" s="300">
        <f t="shared" si="1422"/>
        <v>5.8420000000724004</v>
      </c>
      <c r="D540" s="300">
        <f t="shared" si="1422"/>
        <v>4.8260000001127805</v>
      </c>
      <c r="E540" s="300">
        <f t="shared" ref="E540:E541" si="1427">SUM(B540:D540)</f>
        <v>16.510000000186647</v>
      </c>
      <c r="F540" s="300"/>
      <c r="G540" s="300">
        <f>SUM(G520,G525,G530,G535)</f>
        <v>7.1469999999974139</v>
      </c>
      <c r="H540" s="300">
        <f t="shared" ref="H540:I540" si="1428">SUM(H520,H525,H530,H535)</f>
        <v>4.4130000000406113</v>
      </c>
      <c r="I540" s="300">
        <f t="shared" si="1428"/>
        <v>6.2070000000161221</v>
      </c>
      <c r="J540" s="300">
        <f t="shared" ref="J540:J541" si="1429">SUM(G540:I540)</f>
        <v>17.767000000054146</v>
      </c>
      <c r="K540" s="300"/>
      <c r="L540" s="300">
        <f>SUM(L520,L525,L530,L535)</f>
        <v>5.7749999999939483</v>
      </c>
      <c r="M540" s="300">
        <f t="shared" ref="M540:N540" si="1430">SUM(M520,M525,M530,M535)</f>
        <v>6.1639999999961184</v>
      </c>
      <c r="N540" s="300">
        <f t="shared" si="1430"/>
        <v>5.6850000001475518</v>
      </c>
      <c r="O540" s="300">
        <f t="shared" ref="O540:O541" si="1431">SUM(L540:N540)</f>
        <v>17.62400000013762</v>
      </c>
      <c r="P540" s="300"/>
      <c r="Q540" s="300">
        <f>SUM(Q520,Q525,Q530,Q535)</f>
        <v>6.065999999979784</v>
      </c>
      <c r="R540" s="300">
        <f t="shared" ref="R540:S540" si="1432">SUM(R520,R525,R530,R535)</f>
        <v>6.6599999999468746</v>
      </c>
      <c r="S540" s="300">
        <f t="shared" si="1432"/>
        <v>5.5440000004428427</v>
      </c>
      <c r="T540" s="300">
        <f t="shared" ref="T540:T541" si="1433">SUM(Q540:S540)</f>
        <v>18.2700000003695</v>
      </c>
      <c r="U540" s="300"/>
      <c r="V540" s="300">
        <f>SUM(V520,V525,V530,V535)</f>
        <v>6.6159999999739245</v>
      </c>
      <c r="W540" s="300">
        <f t="shared" ref="W540:X540" si="1434">SUM(W520,W525,W530,W535)</f>
        <v>7.5239999999471738</v>
      </c>
      <c r="X540" s="300">
        <f t="shared" si="1434"/>
        <v>6.1240000003794739</v>
      </c>
      <c r="Y540" s="300">
        <f t="shared" ref="Y540:Y541" si="1435">SUM(V540:X540)</f>
        <v>20.264000000300573</v>
      </c>
    </row>
    <row r="541" spans="1:25" x14ac:dyDescent="0.2">
      <c r="A541" s="264" t="s">
        <v>354</v>
      </c>
      <c r="B541" s="301">
        <f>SUM(B539:B540)</f>
        <v>11.161999999938697</v>
      </c>
      <c r="C541" s="301">
        <f t="shared" ref="C541" si="1436">SUM(C539:C540)</f>
        <v>12.987000000124645</v>
      </c>
      <c r="D541" s="301">
        <f t="shared" ref="D541" si="1437">SUM(D539:D540)</f>
        <v>9.2380000001450178</v>
      </c>
      <c r="E541" s="301">
        <f t="shared" si="1427"/>
        <v>33.38700000020836</v>
      </c>
      <c r="F541" s="301"/>
      <c r="G541" s="301">
        <f>SUM(G539:G540)</f>
        <v>12.954999999981437</v>
      </c>
      <c r="H541" s="301">
        <f t="shared" ref="H541" si="1438">SUM(H539:H540)</f>
        <v>10.991000000052043</v>
      </c>
      <c r="I541" s="301">
        <f t="shared" ref="I541" si="1439">SUM(I539:I540)</f>
        <v>10.893000000168263</v>
      </c>
      <c r="J541" s="301">
        <f t="shared" si="1429"/>
        <v>34.839000000201743</v>
      </c>
      <c r="K541" s="301"/>
      <c r="L541" s="301">
        <f>SUM(L539:L540)</f>
        <v>10.384999999989994</v>
      </c>
      <c r="M541" s="301">
        <f t="shared" ref="M541" si="1440">SUM(M539:M540)</f>
        <v>15.304000000019997</v>
      </c>
      <c r="N541" s="301">
        <f t="shared" ref="N541" si="1441">SUM(N539:N540)</f>
        <v>6.9940000001383122</v>
      </c>
      <c r="O541" s="301">
        <f t="shared" si="1431"/>
        <v>32.683000000148304</v>
      </c>
      <c r="P541" s="301"/>
      <c r="Q541" s="301">
        <f>SUM(Q539:Q540)</f>
        <v>10.732000000002589</v>
      </c>
      <c r="R541" s="301">
        <f t="shared" ref="R541" si="1442">SUM(R539:R540)</f>
        <v>16.211000000141269</v>
      </c>
      <c r="S541" s="301">
        <f t="shared" ref="S541" si="1443">SUM(S539:S540)</f>
        <v>6.7980000003993837</v>
      </c>
      <c r="T541" s="301">
        <f t="shared" si="1433"/>
        <v>33.741000000543238</v>
      </c>
      <c r="U541" s="301"/>
      <c r="V541" s="301">
        <f>SUM(V539:V540)</f>
        <v>11.389999999987054</v>
      </c>
      <c r="W541" s="301">
        <f t="shared" ref="W541" si="1444">SUM(W539:W540)</f>
        <v>17.928999999919327</v>
      </c>
      <c r="X541" s="301">
        <f t="shared" ref="X541" si="1445">SUM(X539:X540)</f>
        <v>7.594000000388883</v>
      </c>
      <c r="Y541" s="301">
        <f t="shared" si="1435"/>
        <v>36.913000000295263</v>
      </c>
    </row>
    <row r="545" spans="1:25" ht="15" x14ac:dyDescent="0.25">
      <c r="A545" s="265" t="str">
        <f>"Industry 22 : "&amp; name!B25</f>
        <v>Industry 22 : Other services</v>
      </c>
      <c r="B545" s="371">
        <f>$B$5</f>
        <v>2015</v>
      </c>
      <c r="C545" s="371"/>
      <c r="D545" s="371"/>
      <c r="E545" s="371"/>
      <c r="F545" s="320"/>
      <c r="G545" s="371">
        <f>$G$5</f>
        <v>2019</v>
      </c>
      <c r="H545" s="371"/>
      <c r="I545" s="371"/>
      <c r="J545" s="371"/>
      <c r="K545" s="320"/>
      <c r="L545" s="371">
        <f>$L$5</f>
        <v>2020</v>
      </c>
      <c r="M545" s="371"/>
      <c r="N545" s="371"/>
      <c r="O545" s="371"/>
      <c r="P545" s="318"/>
      <c r="Q545" s="371">
        <f>$Q$5</f>
        <v>2025</v>
      </c>
      <c r="R545" s="371"/>
      <c r="S545" s="371"/>
      <c r="T545" s="371"/>
      <c r="U545" s="320"/>
      <c r="V545" s="371">
        <f>$V$5</f>
        <v>2035</v>
      </c>
      <c r="W545" s="371"/>
      <c r="X545" s="371"/>
      <c r="Y545" s="371"/>
    </row>
    <row r="546" spans="1:25" x14ac:dyDescent="0.2">
      <c r="A546" s="264"/>
      <c r="B546" s="268" t="str">
        <f>$B$6</f>
        <v>FT</v>
      </c>
      <c r="C546" s="268" t="str">
        <f>$C$6</f>
        <v>PT</v>
      </c>
      <c r="D546" s="268" t="str">
        <f>$D$6</f>
        <v>SE</v>
      </c>
      <c r="E546" s="268" t="str">
        <f>$E$6</f>
        <v>Total</v>
      </c>
      <c r="F546" s="268"/>
      <c r="G546" s="268" t="str">
        <f>$B$6</f>
        <v>FT</v>
      </c>
      <c r="H546" s="268" t="str">
        <f>$C$6</f>
        <v>PT</v>
      </c>
      <c r="I546" s="268" t="str">
        <f>$D$6</f>
        <v>SE</v>
      </c>
      <c r="J546" s="268" t="str">
        <f>$E$6</f>
        <v>Total</v>
      </c>
      <c r="K546" s="268"/>
      <c r="L546" s="268" t="str">
        <f>$L$6</f>
        <v>FT</v>
      </c>
      <c r="M546" s="268" t="str">
        <f>$M$6</f>
        <v>PT</v>
      </c>
      <c r="N546" s="268" t="str">
        <f>$N$6</f>
        <v>SE</v>
      </c>
      <c r="O546" s="268" t="str">
        <f>$O$6</f>
        <v>Total</v>
      </c>
      <c r="P546" s="268"/>
      <c r="Q546" s="268" t="str">
        <f>$L$6</f>
        <v>FT</v>
      </c>
      <c r="R546" s="268" t="str">
        <f>$M$6</f>
        <v>PT</v>
      </c>
      <c r="S546" s="268" t="str">
        <f>$N$6</f>
        <v>SE</v>
      </c>
      <c r="T546" s="268" t="str">
        <f>$O$6</f>
        <v>Total</v>
      </c>
      <c r="U546" s="268"/>
      <c r="V546" s="268" t="str">
        <f>$V$6</f>
        <v>FT</v>
      </c>
      <c r="W546" s="268" t="str">
        <f>$W$6</f>
        <v>PT</v>
      </c>
      <c r="X546" s="268" t="str">
        <f>$X$6</f>
        <v>SE</v>
      </c>
      <c r="Y546" s="268" t="str">
        <f>$Y$6</f>
        <v>Total</v>
      </c>
    </row>
    <row r="547" spans="1:25" x14ac:dyDescent="0.2">
      <c r="C547" s="319"/>
      <c r="D547" s="319"/>
      <c r="E547" s="319"/>
      <c r="F547" s="319"/>
      <c r="G547" s="319"/>
      <c r="H547" s="319"/>
      <c r="I547" s="319"/>
      <c r="J547" s="319"/>
      <c r="K547" s="319"/>
      <c r="L547" s="319"/>
      <c r="M547" s="319"/>
      <c r="N547" s="319"/>
      <c r="O547" s="319"/>
      <c r="P547" s="319"/>
      <c r="Q547" s="319"/>
      <c r="R547" s="319"/>
      <c r="S547" s="319"/>
      <c r="T547" s="319"/>
      <c r="U547" s="319"/>
      <c r="V547" s="319"/>
      <c r="W547" s="319"/>
      <c r="X547" s="319"/>
      <c r="Y547" s="319"/>
    </row>
    <row r="548" spans="1:25" x14ac:dyDescent="0.2">
      <c r="A548" s="261" t="str">
        <f>name!A76</f>
        <v>Membership organisations</v>
      </c>
      <c r="C548" s="263"/>
    </row>
    <row r="549" spans="1:25" x14ac:dyDescent="0.2">
      <c r="A549" s="260" t="s">
        <v>356</v>
      </c>
      <c r="B549" s="300">
        <v>5.2319999999278144</v>
      </c>
      <c r="C549" s="300">
        <v>4.2099999999825783</v>
      </c>
      <c r="D549" s="300">
        <v>4.8150000000117092</v>
      </c>
      <c r="E549" s="300">
        <f>SUM(B549:D549)</f>
        <v>14.256999999922103</v>
      </c>
      <c r="F549" s="300"/>
      <c r="G549" s="300">
        <v>2.7400000000129108</v>
      </c>
      <c r="H549" s="300">
        <v>4.142000000002569</v>
      </c>
      <c r="I549" s="300">
        <v>4.9560000001118087</v>
      </c>
      <c r="J549" s="300">
        <f>SUM(G549:I549)</f>
        <v>11.838000000127288</v>
      </c>
      <c r="K549" s="300"/>
      <c r="L549" s="300">
        <v>2.5280000000113012</v>
      </c>
      <c r="M549" s="300">
        <v>2.7329999999994068</v>
      </c>
      <c r="N549" s="300">
        <v>6.1330000000044729</v>
      </c>
      <c r="O549" s="300">
        <f>SUM(L549:N549)</f>
        <v>11.394000000015181</v>
      </c>
      <c r="P549" s="300"/>
      <c r="Q549" s="300">
        <v>2.0959999999755938</v>
      </c>
      <c r="R549" s="300">
        <v>2.3049999999847963</v>
      </c>
      <c r="S549" s="300">
        <v>5.263999999859819</v>
      </c>
      <c r="T549" s="300">
        <f>SUM(Q549:S549)</f>
        <v>9.6649999998202105</v>
      </c>
      <c r="U549" s="300"/>
      <c r="V549" s="300">
        <v>1.9030000000069185</v>
      </c>
      <c r="W549" s="300">
        <v>2.1220000000030694</v>
      </c>
      <c r="X549" s="300">
        <v>4.9280000000434967</v>
      </c>
      <c r="Y549" s="300">
        <f>SUM(V549:X549)</f>
        <v>8.9530000000534855</v>
      </c>
    </row>
    <row r="550" spans="1:25" x14ac:dyDescent="0.2">
      <c r="A550" s="260" t="s">
        <v>355</v>
      </c>
      <c r="B550" s="300">
        <v>3.1559999999523876</v>
      </c>
      <c r="C550" s="300">
        <v>1.1430000000081766</v>
      </c>
      <c r="D550" s="300">
        <v>3.2470000000394204</v>
      </c>
      <c r="E550" s="300">
        <f t="shared" ref="E550:E551" si="1446">SUM(B550:D550)</f>
        <v>7.5459999999999852</v>
      </c>
      <c r="F550" s="300"/>
      <c r="G550" s="300">
        <v>1.8489999999812945</v>
      </c>
      <c r="H550" s="300">
        <v>0.46100000000174407</v>
      </c>
      <c r="I550" s="300">
        <v>0.56999999999834927</v>
      </c>
      <c r="J550" s="300">
        <f t="shared" ref="J550:J551" si="1447">SUM(G550:I550)</f>
        <v>2.8799999999813877</v>
      </c>
      <c r="K550" s="300"/>
      <c r="L550" s="300">
        <v>2.6199999999755272</v>
      </c>
      <c r="M550" s="300">
        <v>0.96200000000181096</v>
      </c>
      <c r="N550" s="300">
        <v>0</v>
      </c>
      <c r="O550" s="300">
        <f t="shared" ref="O550:O551" si="1448">SUM(L550:N550)</f>
        <v>3.581999999977338</v>
      </c>
      <c r="P550" s="300"/>
      <c r="Q550" s="300">
        <v>2.315000000030337</v>
      </c>
      <c r="R550" s="300">
        <v>0.81999999999556283</v>
      </c>
      <c r="S550" s="300">
        <v>0</v>
      </c>
      <c r="T550" s="300">
        <f t="shared" ref="T550:T551" si="1449">SUM(Q550:S550)</f>
        <v>3.1350000000259</v>
      </c>
      <c r="U550" s="300"/>
      <c r="V550" s="300">
        <v>2.3070000000178679</v>
      </c>
      <c r="W550" s="300">
        <v>0.78299999999611547</v>
      </c>
      <c r="X550" s="300">
        <v>0</v>
      </c>
      <c r="Y550" s="300">
        <f t="shared" ref="Y550:Y551" si="1450">SUM(V550:X550)</f>
        <v>3.0900000000139833</v>
      </c>
    </row>
    <row r="551" spans="1:25" x14ac:dyDescent="0.2">
      <c r="A551" s="260" t="s">
        <v>354</v>
      </c>
      <c r="B551" s="300">
        <f>SUM(B549:B550)</f>
        <v>8.3879999998802024</v>
      </c>
      <c r="C551" s="300">
        <f t="shared" ref="C551" si="1451">SUM(C549:C550)</f>
        <v>5.3529999999907547</v>
      </c>
      <c r="D551" s="300">
        <f t="shared" ref="D551" si="1452">SUM(D549:D550)</f>
        <v>8.06200000005113</v>
      </c>
      <c r="E551" s="300">
        <f t="shared" si="1446"/>
        <v>21.802999999922086</v>
      </c>
      <c r="F551" s="300"/>
      <c r="G551" s="300">
        <f>SUM(G549:G550)</f>
        <v>4.588999999994205</v>
      </c>
      <c r="H551" s="300">
        <f t="shared" ref="H551" si="1453">SUM(H549:H550)</f>
        <v>4.6030000000043128</v>
      </c>
      <c r="I551" s="300">
        <f t="shared" ref="I551" si="1454">SUM(I549:I550)</f>
        <v>5.5260000001101579</v>
      </c>
      <c r="J551" s="300">
        <f t="shared" si="1447"/>
        <v>14.718000000108677</v>
      </c>
      <c r="K551" s="300"/>
      <c r="L551" s="300">
        <f>SUM(L549:L550)</f>
        <v>5.147999999986828</v>
      </c>
      <c r="M551" s="300">
        <f t="shared" ref="M551" si="1455">SUM(M549:M550)</f>
        <v>3.695000000001218</v>
      </c>
      <c r="N551" s="300">
        <f t="shared" ref="N551" si="1456">SUM(N549:N550)</f>
        <v>6.1330000000044729</v>
      </c>
      <c r="O551" s="300">
        <f t="shared" si="1448"/>
        <v>14.975999999992517</v>
      </c>
      <c r="P551" s="300"/>
      <c r="Q551" s="300">
        <f>SUM(Q549:Q550)</f>
        <v>4.4110000000059308</v>
      </c>
      <c r="R551" s="300">
        <f t="shared" ref="R551" si="1457">SUM(R549:R550)</f>
        <v>3.1249999999803593</v>
      </c>
      <c r="S551" s="300">
        <f t="shared" ref="S551" si="1458">SUM(S549:S550)</f>
        <v>5.263999999859819</v>
      </c>
      <c r="T551" s="300">
        <f t="shared" si="1449"/>
        <v>12.799999999846108</v>
      </c>
      <c r="U551" s="300"/>
      <c r="V551" s="300">
        <f>SUM(V549:V550)</f>
        <v>4.2100000000247864</v>
      </c>
      <c r="W551" s="300">
        <f t="shared" ref="W551" si="1459">SUM(W549:W550)</f>
        <v>2.9049999999991849</v>
      </c>
      <c r="X551" s="300">
        <f t="shared" ref="X551" si="1460">SUM(X549:X550)</f>
        <v>4.9280000000434967</v>
      </c>
      <c r="Y551" s="300">
        <f t="shared" si="1450"/>
        <v>12.043000000067469</v>
      </c>
    </row>
    <row r="552" spans="1:25" x14ac:dyDescent="0.2">
      <c r="C552" s="319"/>
      <c r="D552" s="319"/>
      <c r="E552" s="319"/>
      <c r="F552" s="319"/>
      <c r="G552" s="319"/>
      <c r="H552" s="319"/>
      <c r="I552" s="319"/>
      <c r="J552" s="319"/>
      <c r="K552" s="319"/>
      <c r="L552" s="319"/>
      <c r="M552" s="319"/>
      <c r="N552" s="319"/>
      <c r="O552" s="319"/>
      <c r="P552" s="319"/>
      <c r="Q552" s="319"/>
      <c r="R552" s="319"/>
      <c r="S552" s="319"/>
      <c r="T552" s="319"/>
      <c r="U552" s="319"/>
      <c r="V552" s="319"/>
      <c r="W552" s="319"/>
      <c r="X552" s="319"/>
      <c r="Y552" s="319"/>
    </row>
    <row r="553" spans="1:25" x14ac:dyDescent="0.2">
      <c r="A553" s="261" t="str">
        <f>name!A77</f>
        <v>Repair of goods</v>
      </c>
      <c r="C553" s="263"/>
    </row>
    <row r="554" spans="1:25" x14ac:dyDescent="0.2">
      <c r="A554" s="260" t="s">
        <v>356</v>
      </c>
      <c r="B554" s="300">
        <v>0.53799999999285031</v>
      </c>
      <c r="C554" s="300">
        <v>1.200000000052546E-2</v>
      </c>
      <c r="D554" s="300">
        <v>0.207000000001858</v>
      </c>
      <c r="E554" s="300">
        <f>SUM(B554:D554)</f>
        <v>0.75699999999523382</v>
      </c>
      <c r="F554" s="300"/>
      <c r="G554" s="300">
        <v>0.47699999999659071</v>
      </c>
      <c r="H554" s="300">
        <v>0.12300000000250493</v>
      </c>
      <c r="I554" s="300">
        <v>0.48000000001005072</v>
      </c>
      <c r="J554" s="300">
        <f>SUM(G554:I554)</f>
        <v>1.0800000000091463</v>
      </c>
      <c r="K554" s="300"/>
      <c r="L554" s="300">
        <v>0.43999999999781464</v>
      </c>
      <c r="M554" s="300">
        <v>8.1000000002455469E-2</v>
      </c>
      <c r="N554" s="300">
        <v>0.59399999999502451</v>
      </c>
      <c r="O554" s="300">
        <f>SUM(L554:N554)</f>
        <v>1.1149999999952946</v>
      </c>
      <c r="P554" s="300"/>
      <c r="Q554" s="300">
        <v>0.36500000000473715</v>
      </c>
      <c r="R554" s="300">
        <v>6.9000000005657175E-2</v>
      </c>
      <c r="S554" s="300">
        <v>0.50999999998950207</v>
      </c>
      <c r="T554" s="300">
        <f>SUM(Q554:S554)</f>
        <v>0.94399999999989637</v>
      </c>
      <c r="U554" s="300"/>
      <c r="V554" s="300">
        <v>0.33099999999998692</v>
      </c>
      <c r="W554" s="300">
        <v>6.2999999999751255E-2</v>
      </c>
      <c r="X554" s="300">
        <v>0.47700000003026599</v>
      </c>
      <c r="Y554" s="300">
        <f>SUM(V554:X554)</f>
        <v>0.87100000003000422</v>
      </c>
    </row>
    <row r="555" spans="1:25" x14ac:dyDescent="0.2">
      <c r="A555" s="260" t="s">
        <v>355</v>
      </c>
      <c r="B555" s="300">
        <v>0.76899999998851787</v>
      </c>
      <c r="C555" s="300">
        <v>2.2000000000401809E-2</v>
      </c>
      <c r="D555" s="300">
        <v>0.52400000000622027</v>
      </c>
      <c r="E555" s="300">
        <f t="shared" ref="E555:E556" si="1461">SUM(B555:D555)</f>
        <v>1.3149999999951398</v>
      </c>
      <c r="F555" s="300"/>
      <c r="G555" s="300">
        <v>0.76199999999207613</v>
      </c>
      <c r="H555" s="300">
        <v>9.3000000001367641E-2</v>
      </c>
      <c r="I555" s="300">
        <v>0.20700000000088323</v>
      </c>
      <c r="J555" s="300">
        <f t="shared" ref="J555:J556" si="1462">SUM(G555:I555)</f>
        <v>1.061999999994327</v>
      </c>
      <c r="K555" s="300"/>
      <c r="L555" s="300">
        <v>1.0799999999888572</v>
      </c>
      <c r="M555" s="300">
        <v>0.19299999999964484</v>
      </c>
      <c r="N555" s="300">
        <v>0</v>
      </c>
      <c r="O555" s="300">
        <f t="shared" ref="O555:O556" si="1463">SUM(L555:N555)</f>
        <v>1.272999999988502</v>
      </c>
      <c r="P555" s="300"/>
      <c r="Q555" s="300">
        <v>0.95500000001518504</v>
      </c>
      <c r="R555" s="300">
        <v>0.16499999999829595</v>
      </c>
      <c r="S555" s="300">
        <v>0</v>
      </c>
      <c r="T555" s="300">
        <f t="shared" ref="T555:T556" si="1464">SUM(Q555:S555)</f>
        <v>1.1200000000134809</v>
      </c>
      <c r="U555" s="300"/>
      <c r="V555" s="300">
        <v>0.95100000001215457</v>
      </c>
      <c r="W555" s="300">
        <v>0.15699999999895745</v>
      </c>
      <c r="X555" s="300">
        <v>0</v>
      </c>
      <c r="Y555" s="300">
        <f t="shared" ref="Y555:Y556" si="1465">SUM(V555:X555)</f>
        <v>1.1080000000111121</v>
      </c>
    </row>
    <row r="556" spans="1:25" x14ac:dyDescent="0.2">
      <c r="A556" s="260" t="s">
        <v>354</v>
      </c>
      <c r="B556" s="300">
        <f>SUM(B554:B555)</f>
        <v>1.3069999999813682</v>
      </c>
      <c r="C556" s="300">
        <f t="shared" ref="C556" si="1466">SUM(C554:C555)</f>
        <v>3.4000000000927268E-2</v>
      </c>
      <c r="D556" s="300">
        <f t="shared" ref="D556" si="1467">SUM(D554:D555)</f>
        <v>0.7310000000080783</v>
      </c>
      <c r="E556" s="300">
        <f t="shared" si="1461"/>
        <v>2.071999999990374</v>
      </c>
      <c r="F556" s="300"/>
      <c r="G556" s="300">
        <f>SUM(G554:G555)</f>
        <v>1.2389999999886667</v>
      </c>
      <c r="H556" s="300">
        <f t="shared" ref="H556" si="1468">SUM(H554:H555)</f>
        <v>0.21600000000387257</v>
      </c>
      <c r="I556" s="300">
        <f t="shared" ref="I556" si="1469">SUM(I554:I555)</f>
        <v>0.68700000001093398</v>
      </c>
      <c r="J556" s="300">
        <f t="shared" si="1462"/>
        <v>2.1420000000034731</v>
      </c>
      <c r="K556" s="300"/>
      <c r="L556" s="300">
        <f>SUM(L554:L555)</f>
        <v>1.5199999999866718</v>
      </c>
      <c r="M556" s="300">
        <f t="shared" ref="M556" si="1470">SUM(M554:M555)</f>
        <v>0.27400000000210034</v>
      </c>
      <c r="N556" s="300">
        <f t="shared" ref="N556" si="1471">SUM(N554:N555)</f>
        <v>0.59399999999502451</v>
      </c>
      <c r="O556" s="300">
        <f t="shared" si="1463"/>
        <v>2.3879999999837969</v>
      </c>
      <c r="P556" s="300"/>
      <c r="Q556" s="300">
        <f>SUM(Q554:Q555)</f>
        <v>1.3200000000199221</v>
      </c>
      <c r="R556" s="300">
        <f t="shared" ref="R556" si="1472">SUM(R554:R555)</f>
        <v>0.23400000000395313</v>
      </c>
      <c r="S556" s="300">
        <f t="shared" ref="S556" si="1473">SUM(S554:S555)</f>
        <v>0.50999999998950207</v>
      </c>
      <c r="T556" s="300">
        <f t="shared" si="1464"/>
        <v>2.0640000000133774</v>
      </c>
      <c r="U556" s="300"/>
      <c r="V556" s="300">
        <f>SUM(V554:V555)</f>
        <v>1.2820000000121414</v>
      </c>
      <c r="W556" s="300">
        <f t="shared" ref="W556" si="1474">SUM(W554:W555)</f>
        <v>0.2199999999987087</v>
      </c>
      <c r="X556" s="300">
        <f t="shared" ref="X556" si="1475">SUM(X554:X555)</f>
        <v>0.47700000003026599</v>
      </c>
      <c r="Y556" s="300">
        <f t="shared" si="1465"/>
        <v>1.9790000000411161</v>
      </c>
    </row>
    <row r="557" spans="1:25" x14ac:dyDescent="0.2">
      <c r="C557" s="319"/>
      <c r="D557" s="319"/>
      <c r="E557" s="319"/>
      <c r="F557" s="319"/>
      <c r="G557" s="319"/>
      <c r="H557" s="319"/>
      <c r="I557" s="319"/>
      <c r="J557" s="319"/>
      <c r="K557" s="319"/>
      <c r="L557" s="319"/>
      <c r="M557" s="319"/>
      <c r="N557" s="319"/>
      <c r="O557" s="319"/>
      <c r="P557" s="319"/>
      <c r="Q557" s="319"/>
      <c r="R557" s="319"/>
      <c r="S557" s="319"/>
      <c r="T557" s="319"/>
      <c r="U557" s="319"/>
      <c r="V557" s="319"/>
      <c r="W557" s="319"/>
      <c r="X557" s="319"/>
      <c r="Y557" s="319"/>
    </row>
    <row r="558" spans="1:25" x14ac:dyDescent="0.2">
      <c r="A558" s="261" t="str">
        <f>name!A78</f>
        <v>Other personal service</v>
      </c>
      <c r="C558" s="263"/>
    </row>
    <row r="559" spans="1:25" x14ac:dyDescent="0.2">
      <c r="A559" s="260" t="s">
        <v>356</v>
      </c>
      <c r="B559" s="300">
        <v>2.585999999988092</v>
      </c>
      <c r="C559" s="300">
        <v>2.1450000000307208</v>
      </c>
      <c r="D559" s="300">
        <v>2.7160000000583069</v>
      </c>
      <c r="E559" s="300">
        <f>SUM(B559:D559)</f>
        <v>7.4470000000771197</v>
      </c>
      <c r="F559" s="300"/>
      <c r="G559" s="300">
        <v>2.2979999999590359</v>
      </c>
      <c r="H559" s="300">
        <v>3.2830000000057842</v>
      </c>
      <c r="I559" s="300">
        <v>4.6350000001049825</v>
      </c>
      <c r="J559" s="300">
        <f>SUM(G559:I559)</f>
        <v>10.216000000069803</v>
      </c>
      <c r="K559" s="300"/>
      <c r="L559" s="300">
        <v>2.1199999999712236</v>
      </c>
      <c r="M559" s="300">
        <v>2.1660000000092814</v>
      </c>
      <c r="N559" s="300">
        <v>5.7359999998700459</v>
      </c>
      <c r="O559" s="300">
        <f>SUM(L559:N559)</f>
        <v>10.02199999985055</v>
      </c>
      <c r="P559" s="300"/>
      <c r="Q559" s="300">
        <v>1.7580000000636329</v>
      </c>
      <c r="R559" s="300">
        <v>1.8270000000520228</v>
      </c>
      <c r="S559" s="300">
        <v>4.9239999999884203</v>
      </c>
      <c r="T559" s="300">
        <f>SUM(Q559:S559)</f>
        <v>8.5090000001040771</v>
      </c>
      <c r="U559" s="300"/>
      <c r="V559" s="300">
        <v>1.5959999999940906</v>
      </c>
      <c r="W559" s="300">
        <v>1.6819999999947077</v>
      </c>
      <c r="X559" s="300">
        <v>4.6090000000151239</v>
      </c>
      <c r="Y559" s="300">
        <f>SUM(V559:X559)</f>
        <v>7.8870000000039227</v>
      </c>
    </row>
    <row r="560" spans="1:25" x14ac:dyDescent="0.2">
      <c r="A560" s="260" t="s">
        <v>355</v>
      </c>
      <c r="B560" s="300">
        <v>3.1200000000103261</v>
      </c>
      <c r="C560" s="300">
        <v>1.4970000000194585</v>
      </c>
      <c r="D560" s="300">
        <v>3.9990000001039201</v>
      </c>
      <c r="E560" s="300">
        <f t="shared" ref="E560:E561" si="1476">SUM(B560:D560)</f>
        <v>8.616000000133706</v>
      </c>
      <c r="F560" s="300"/>
      <c r="G560" s="300">
        <v>3.1000000000008638</v>
      </c>
      <c r="H560" s="300">
        <v>0.93800000000905381</v>
      </c>
      <c r="I560" s="300">
        <v>1.1640000000068833</v>
      </c>
      <c r="J560" s="300">
        <f t="shared" ref="J560:J561" si="1477">SUM(G560:I560)</f>
        <v>5.2020000000168007</v>
      </c>
      <c r="K560" s="300"/>
      <c r="L560" s="300">
        <v>4.3929999999969001</v>
      </c>
      <c r="M560" s="300">
        <v>1.9589999999997245</v>
      </c>
      <c r="N560" s="300">
        <v>0</v>
      </c>
      <c r="O560" s="300">
        <f t="shared" ref="O560:O561" si="1478">SUM(L560:N560)</f>
        <v>6.3519999999966243</v>
      </c>
      <c r="P560" s="300"/>
      <c r="Q560" s="300">
        <v>3.8829999999933156</v>
      </c>
      <c r="R560" s="300">
        <v>1.6709999999860254</v>
      </c>
      <c r="S560" s="300">
        <v>0</v>
      </c>
      <c r="T560" s="300">
        <f t="shared" ref="T560:T561" si="1479">SUM(Q560:S560)</f>
        <v>5.5539999999793412</v>
      </c>
      <c r="U560" s="300"/>
      <c r="V560" s="300">
        <v>3.8689999999954972</v>
      </c>
      <c r="W560" s="300">
        <v>1.5939999999882537</v>
      </c>
      <c r="X560" s="300">
        <v>0</v>
      </c>
      <c r="Y560" s="300">
        <f t="shared" ref="Y560:Y561" si="1480">SUM(V560:X560)</f>
        <v>5.4629999999837509</v>
      </c>
    </row>
    <row r="561" spans="1:25" x14ac:dyDescent="0.2">
      <c r="A561" s="260" t="s">
        <v>354</v>
      </c>
      <c r="B561" s="300">
        <f>SUM(B559:B560)</f>
        <v>5.7059999999984186</v>
      </c>
      <c r="C561" s="300">
        <f t="shared" ref="C561" si="1481">SUM(C559:C560)</f>
        <v>3.6420000000501793</v>
      </c>
      <c r="D561" s="300">
        <f t="shared" ref="D561" si="1482">SUM(D559:D560)</f>
        <v>6.7150000001622274</v>
      </c>
      <c r="E561" s="300">
        <f t="shared" si="1476"/>
        <v>16.063000000210828</v>
      </c>
      <c r="F561" s="300"/>
      <c r="G561" s="300">
        <f>SUM(G559:G560)</f>
        <v>5.3979999999599002</v>
      </c>
      <c r="H561" s="300">
        <f t="shared" ref="H561" si="1483">SUM(H559:H560)</f>
        <v>4.221000000014838</v>
      </c>
      <c r="I561" s="300">
        <f t="shared" ref="I561" si="1484">SUM(I559:I560)</f>
        <v>5.7990000001118656</v>
      </c>
      <c r="J561" s="300">
        <f t="shared" si="1477"/>
        <v>15.418000000086604</v>
      </c>
      <c r="K561" s="300"/>
      <c r="L561" s="300">
        <f>SUM(L559:L560)</f>
        <v>6.5129999999681232</v>
      </c>
      <c r="M561" s="300">
        <f t="shared" ref="M561" si="1485">SUM(M559:M560)</f>
        <v>4.1250000000090061</v>
      </c>
      <c r="N561" s="300">
        <f t="shared" ref="N561" si="1486">SUM(N559:N560)</f>
        <v>5.7359999998700459</v>
      </c>
      <c r="O561" s="300">
        <f t="shared" si="1478"/>
        <v>16.373999999847175</v>
      </c>
      <c r="P561" s="300"/>
      <c r="Q561" s="300">
        <f>SUM(Q559:Q560)</f>
        <v>5.6410000000569482</v>
      </c>
      <c r="R561" s="300">
        <f t="shared" ref="R561" si="1487">SUM(R559:R560)</f>
        <v>3.498000000038048</v>
      </c>
      <c r="S561" s="300">
        <f t="shared" ref="S561" si="1488">SUM(S559:S560)</f>
        <v>4.9239999999884203</v>
      </c>
      <c r="T561" s="300">
        <f t="shared" si="1479"/>
        <v>14.063000000083417</v>
      </c>
      <c r="U561" s="300"/>
      <c r="V561" s="300">
        <f>SUM(V559:V560)</f>
        <v>5.4649999999895877</v>
      </c>
      <c r="W561" s="300">
        <f t="shared" ref="W561" si="1489">SUM(W559:W560)</f>
        <v>3.2759999999829614</v>
      </c>
      <c r="X561" s="300">
        <f t="shared" ref="X561" si="1490">SUM(X559:X560)</f>
        <v>4.6090000000151239</v>
      </c>
      <c r="Y561" s="300">
        <f t="shared" si="1480"/>
        <v>13.349999999987674</v>
      </c>
    </row>
    <row r="562" spans="1:25" x14ac:dyDescent="0.2">
      <c r="A562" s="261"/>
      <c r="C562" s="263"/>
    </row>
    <row r="563" spans="1:25" x14ac:dyDescent="0.2">
      <c r="A563" s="261" t="s">
        <v>357</v>
      </c>
      <c r="C563" s="263"/>
    </row>
    <row r="564" spans="1:25" x14ac:dyDescent="0.2">
      <c r="A564" s="260" t="s">
        <v>356</v>
      </c>
      <c r="B564" s="300">
        <f>SUM(B549,B554,B559)</f>
        <v>8.3559999999087573</v>
      </c>
      <c r="C564" s="300">
        <f t="shared" ref="C564:D564" si="1491">SUM(C549,C554,C559)</f>
        <v>6.3670000000138245</v>
      </c>
      <c r="D564" s="300">
        <f t="shared" si="1491"/>
        <v>7.7380000000718745</v>
      </c>
      <c r="E564" s="300">
        <f>SUM(B564:D564)</f>
        <v>22.460999999994456</v>
      </c>
      <c r="F564" s="300"/>
      <c r="G564" s="300">
        <f>SUM(G549,G554,G559)</f>
        <v>5.5149999999685377</v>
      </c>
      <c r="H564" s="300">
        <f t="shared" ref="H564:I564" si="1492">SUM(H549,H554,H559)</f>
        <v>7.548000000010858</v>
      </c>
      <c r="I564" s="300">
        <f t="shared" si="1492"/>
        <v>10.071000000226842</v>
      </c>
      <c r="J564" s="300">
        <f>SUM(G564:I564)</f>
        <v>23.134000000206239</v>
      </c>
      <c r="K564" s="300"/>
      <c r="L564" s="300">
        <f>SUM(L549,L554,L559)</f>
        <v>5.0879999999803394</v>
      </c>
      <c r="M564" s="300">
        <f t="shared" ref="M564" si="1493">SUM(M549,M554,M559)</f>
        <v>4.9800000000111435</v>
      </c>
      <c r="N564" s="300">
        <f>SUM(N549,N554,N559)</f>
        <v>12.462999999869544</v>
      </c>
      <c r="O564" s="300">
        <f>SUM(L564:N564)</f>
        <v>22.530999999861024</v>
      </c>
      <c r="P564" s="300"/>
      <c r="Q564" s="300">
        <f>SUM(Q549,Q554,Q559)</f>
        <v>4.2190000000439642</v>
      </c>
      <c r="R564" s="300">
        <f t="shared" ref="R564:S564" si="1494">SUM(R549,R554,R559)</f>
        <v>4.2010000000424768</v>
      </c>
      <c r="S564" s="300">
        <f t="shared" si="1494"/>
        <v>10.697999999837741</v>
      </c>
      <c r="T564" s="300">
        <f>SUM(Q564:S564)</f>
        <v>19.11799999992418</v>
      </c>
      <c r="U564" s="300"/>
      <c r="V564" s="300">
        <f>SUM(V549,V554,V559)</f>
        <v>3.8300000000009962</v>
      </c>
      <c r="W564" s="300">
        <f t="shared" ref="W564:X564" si="1495">SUM(W549,W554,W559)</f>
        <v>3.8669999999975282</v>
      </c>
      <c r="X564" s="300">
        <f t="shared" si="1495"/>
        <v>10.014000000088886</v>
      </c>
      <c r="Y564" s="300">
        <f>SUM(V564:X564)</f>
        <v>17.711000000087409</v>
      </c>
    </row>
    <row r="565" spans="1:25" x14ac:dyDescent="0.2">
      <c r="A565" s="260" t="s">
        <v>355</v>
      </c>
      <c r="B565" s="300">
        <f>SUM(B550,B555,B560)</f>
        <v>7.0449999999512318</v>
      </c>
      <c r="C565" s="300">
        <f t="shared" ref="C565:D565" si="1496">SUM(C550,C555,C560)</f>
        <v>2.6620000000280371</v>
      </c>
      <c r="D565" s="300">
        <f t="shared" si="1496"/>
        <v>7.7700000001495608</v>
      </c>
      <c r="E565" s="300">
        <f t="shared" ref="E565:E566" si="1497">SUM(B565:D565)</f>
        <v>17.477000000128829</v>
      </c>
      <c r="F565" s="300"/>
      <c r="G565" s="300">
        <f>SUM(G550,G555,G560)</f>
        <v>5.7109999999742342</v>
      </c>
      <c r="H565" s="300">
        <f t="shared" ref="H565:I565" si="1498">SUM(H550,H555,H560)</f>
        <v>1.4920000000121654</v>
      </c>
      <c r="I565" s="300">
        <f t="shared" si="1498"/>
        <v>1.9410000000061158</v>
      </c>
      <c r="J565" s="300">
        <f t="shared" ref="J565:J566" si="1499">SUM(G565:I565)</f>
        <v>9.1439999999925163</v>
      </c>
      <c r="K565" s="300"/>
      <c r="L565" s="300">
        <f>SUM(L550,L555,L560)</f>
        <v>8.0929999999612843</v>
      </c>
      <c r="M565" s="300">
        <f t="shared" ref="M565:N565" si="1500">SUM(M550,M555,M560)</f>
        <v>3.1140000000011803</v>
      </c>
      <c r="N565" s="300">
        <f t="shared" si="1500"/>
        <v>0</v>
      </c>
      <c r="O565" s="300">
        <f t="shared" ref="O565:O566" si="1501">SUM(L565:N565)</f>
        <v>11.206999999962465</v>
      </c>
      <c r="P565" s="300"/>
      <c r="Q565" s="300">
        <f>SUM(Q550,Q555,Q560)</f>
        <v>7.1530000000388378</v>
      </c>
      <c r="R565" s="300">
        <f t="shared" ref="R565:S565" si="1502">SUM(R550,R555,R560)</f>
        <v>2.6559999999798842</v>
      </c>
      <c r="S565" s="300">
        <f t="shared" si="1502"/>
        <v>0</v>
      </c>
      <c r="T565" s="300">
        <f t="shared" ref="T565:T566" si="1503">SUM(Q565:S565)</f>
        <v>9.8090000000187221</v>
      </c>
      <c r="U565" s="300"/>
      <c r="V565" s="300">
        <f>SUM(V550,V555,V560)</f>
        <v>7.1270000000255198</v>
      </c>
      <c r="W565" s="300">
        <f t="shared" ref="W565:X565" si="1504">SUM(W550,W555,W560)</f>
        <v>2.5339999999833265</v>
      </c>
      <c r="X565" s="300">
        <f t="shared" si="1504"/>
        <v>0</v>
      </c>
      <c r="Y565" s="300">
        <f t="shared" ref="Y565:Y566" si="1505">SUM(V565:X565)</f>
        <v>9.6610000000088458</v>
      </c>
    </row>
    <row r="566" spans="1:25" x14ac:dyDescent="0.2">
      <c r="A566" s="264" t="s">
        <v>354</v>
      </c>
      <c r="B566" s="301">
        <f>SUM(B564:B565)</f>
        <v>15.400999999859989</v>
      </c>
      <c r="C566" s="301">
        <f t="shared" ref="C566" si="1506">SUM(C564:C565)</f>
        <v>9.0290000000418615</v>
      </c>
      <c r="D566" s="301">
        <f t="shared" ref="D566" si="1507">SUM(D564:D565)</f>
        <v>15.508000000221436</v>
      </c>
      <c r="E566" s="301">
        <f t="shared" si="1497"/>
        <v>39.938000000123289</v>
      </c>
      <c r="F566" s="301"/>
      <c r="G566" s="301">
        <f>SUM(G564:G565)</f>
        <v>11.225999999942772</v>
      </c>
      <c r="H566" s="301">
        <f t="shared" ref="H566" si="1508">SUM(H564:H565)</f>
        <v>9.0400000000230243</v>
      </c>
      <c r="I566" s="301">
        <f t="shared" ref="I566" si="1509">SUM(I564:I565)</f>
        <v>12.012000000232959</v>
      </c>
      <c r="J566" s="301">
        <f t="shared" si="1499"/>
        <v>32.278000000198759</v>
      </c>
      <c r="K566" s="301"/>
      <c r="L566" s="301">
        <f>SUM(L564:L565)</f>
        <v>13.180999999941623</v>
      </c>
      <c r="M566" s="301">
        <f t="shared" ref="M566" si="1510">SUM(M564:M565)</f>
        <v>8.0940000000123238</v>
      </c>
      <c r="N566" s="301">
        <f t="shared" ref="N566" si="1511">SUM(N564:N565)</f>
        <v>12.462999999869544</v>
      </c>
      <c r="O566" s="301">
        <f t="shared" si="1501"/>
        <v>33.737999999823494</v>
      </c>
      <c r="P566" s="301"/>
      <c r="Q566" s="301">
        <f>SUM(Q564:Q565)</f>
        <v>11.372000000082803</v>
      </c>
      <c r="R566" s="301">
        <f t="shared" ref="R566" si="1512">SUM(R564:R565)</f>
        <v>6.857000000022361</v>
      </c>
      <c r="S566" s="301">
        <f t="shared" ref="S566" si="1513">SUM(S564:S565)</f>
        <v>10.697999999837741</v>
      </c>
      <c r="T566" s="301">
        <f t="shared" si="1503"/>
        <v>28.926999999942904</v>
      </c>
      <c r="U566" s="301"/>
      <c r="V566" s="301">
        <f>SUM(V564:V565)</f>
        <v>10.957000000026516</v>
      </c>
      <c r="W566" s="301">
        <f t="shared" ref="W566" si="1514">SUM(W564:W565)</f>
        <v>6.4009999999808542</v>
      </c>
      <c r="X566" s="301">
        <f t="shared" ref="X566" si="1515">SUM(X564:X565)</f>
        <v>10.014000000088886</v>
      </c>
      <c r="Y566" s="301">
        <f t="shared" si="1505"/>
        <v>27.372000000096257</v>
      </c>
    </row>
    <row r="578" spans="1:3" x14ac:dyDescent="0.2">
      <c r="A578" s="261"/>
    </row>
    <row r="579" spans="1:3" x14ac:dyDescent="0.2">
      <c r="C579" s="263"/>
    </row>
    <row r="580" spans="1:3" x14ac:dyDescent="0.2">
      <c r="C580" s="263"/>
    </row>
    <row r="581" spans="1:3" x14ac:dyDescent="0.2">
      <c r="C581" s="263"/>
    </row>
    <row r="582" spans="1:3" x14ac:dyDescent="0.2">
      <c r="C582" s="263"/>
    </row>
    <row r="587" spans="1:3" x14ac:dyDescent="0.2">
      <c r="C587" s="263"/>
    </row>
    <row r="588" spans="1:3" x14ac:dyDescent="0.2">
      <c r="A588" s="262"/>
    </row>
    <row r="589" spans="1:3" x14ac:dyDescent="0.2">
      <c r="A589" s="261"/>
    </row>
    <row r="592" spans="1:3" x14ac:dyDescent="0.2">
      <c r="C592" s="263"/>
    </row>
    <row r="593" spans="1:3" x14ac:dyDescent="0.2">
      <c r="A593" s="261"/>
    </row>
    <row r="594" spans="1:3" x14ac:dyDescent="0.2">
      <c r="C594" s="263"/>
    </row>
    <row r="595" spans="1:3" x14ac:dyDescent="0.2">
      <c r="C595" s="263"/>
    </row>
    <row r="596" spans="1:3" x14ac:dyDescent="0.2">
      <c r="C596" s="263"/>
    </row>
    <row r="598" spans="1:3" x14ac:dyDescent="0.2">
      <c r="A598" s="261"/>
    </row>
    <row r="599" spans="1:3" x14ac:dyDescent="0.2">
      <c r="C599" s="263"/>
    </row>
    <row r="600" spans="1:3" x14ac:dyDescent="0.2">
      <c r="C600" s="263"/>
    </row>
    <row r="601" spans="1:3" x14ac:dyDescent="0.2">
      <c r="C601" s="263"/>
    </row>
    <row r="602" spans="1:3" x14ac:dyDescent="0.2">
      <c r="C602" s="263"/>
    </row>
    <row r="603" spans="1:3" x14ac:dyDescent="0.2">
      <c r="C603" s="263"/>
    </row>
    <row r="604" spans="1:3" x14ac:dyDescent="0.2">
      <c r="C604" s="263"/>
    </row>
    <row r="605" spans="1:3" x14ac:dyDescent="0.2">
      <c r="C605" s="263"/>
    </row>
    <row r="606" spans="1:3" x14ac:dyDescent="0.2">
      <c r="C606" s="263"/>
    </row>
    <row r="607" spans="1:3" x14ac:dyDescent="0.2">
      <c r="A607" s="261"/>
    </row>
    <row r="608" spans="1:3" x14ac:dyDescent="0.2">
      <c r="C608" s="263"/>
    </row>
    <row r="609" spans="1:3" x14ac:dyDescent="0.2">
      <c r="C609" s="263"/>
    </row>
    <row r="610" spans="1:3" x14ac:dyDescent="0.2">
      <c r="A610" s="261"/>
    </row>
    <row r="611" spans="1:3" x14ac:dyDescent="0.2">
      <c r="C611" s="263"/>
    </row>
    <row r="612" spans="1:3" x14ac:dyDescent="0.2">
      <c r="C612" s="263"/>
    </row>
    <row r="613" spans="1:3" x14ac:dyDescent="0.2">
      <c r="C613" s="263"/>
    </row>
    <row r="638" spans="1:3" x14ac:dyDescent="0.2">
      <c r="A638" s="261"/>
    </row>
    <row r="639" spans="1:3" x14ac:dyDescent="0.2">
      <c r="C639" s="263"/>
    </row>
    <row r="640" spans="1:3" x14ac:dyDescent="0.2">
      <c r="C640" s="263"/>
    </row>
    <row r="641" spans="1:3" x14ac:dyDescent="0.2">
      <c r="C641" s="263"/>
    </row>
    <row r="643" spans="1:3" x14ac:dyDescent="0.2">
      <c r="A643" s="261"/>
    </row>
    <row r="644" spans="1:3" x14ac:dyDescent="0.2">
      <c r="C644" s="263"/>
    </row>
    <row r="645" spans="1:3" x14ac:dyDescent="0.2">
      <c r="C645" s="263"/>
    </row>
    <row r="646" spans="1:3" x14ac:dyDescent="0.2">
      <c r="C646" s="263"/>
    </row>
    <row r="647" spans="1:3" x14ac:dyDescent="0.2">
      <c r="C647" s="263"/>
    </row>
    <row r="648" spans="1:3" x14ac:dyDescent="0.2">
      <c r="A648" s="261"/>
    </row>
    <row r="649" spans="1:3" x14ac:dyDescent="0.2">
      <c r="C649" s="263"/>
    </row>
    <row r="650" spans="1:3" x14ac:dyDescent="0.2">
      <c r="C650" s="263"/>
    </row>
    <row r="651" spans="1:3" x14ac:dyDescent="0.2">
      <c r="C651" s="263"/>
    </row>
    <row r="652" spans="1:3" x14ac:dyDescent="0.2">
      <c r="A652" s="262"/>
    </row>
    <row r="653" spans="1:3" x14ac:dyDescent="0.2">
      <c r="A653" s="261"/>
    </row>
    <row r="654" spans="1:3" x14ac:dyDescent="0.2">
      <c r="C654" s="263"/>
    </row>
    <row r="655" spans="1:3" x14ac:dyDescent="0.2">
      <c r="C655" s="263"/>
    </row>
    <row r="656" spans="1:3" x14ac:dyDescent="0.2">
      <c r="C656" s="263"/>
    </row>
    <row r="658" spans="1:3" x14ac:dyDescent="0.2">
      <c r="A658" s="261"/>
    </row>
    <row r="659" spans="1:3" x14ac:dyDescent="0.2">
      <c r="C659" s="263"/>
    </row>
    <row r="660" spans="1:3" x14ac:dyDescent="0.2">
      <c r="C660" s="263"/>
    </row>
    <row r="661" spans="1:3" x14ac:dyDescent="0.2">
      <c r="C661" s="263"/>
    </row>
    <row r="662" spans="1:3" x14ac:dyDescent="0.2">
      <c r="C662" s="263"/>
    </row>
    <row r="663" spans="1:3" x14ac:dyDescent="0.2">
      <c r="A663" s="261"/>
    </row>
    <row r="664" spans="1:3" x14ac:dyDescent="0.2">
      <c r="C664" s="263"/>
    </row>
    <row r="665" spans="1:3" x14ac:dyDescent="0.2">
      <c r="C665" s="263"/>
    </row>
    <row r="666" spans="1:3" x14ac:dyDescent="0.2">
      <c r="A666" s="261"/>
    </row>
    <row r="667" spans="1:3" x14ac:dyDescent="0.2">
      <c r="C667" s="263"/>
    </row>
    <row r="668" spans="1:3" x14ac:dyDescent="0.2">
      <c r="C668" s="263"/>
    </row>
    <row r="669" spans="1:3" x14ac:dyDescent="0.2">
      <c r="C669" s="263"/>
    </row>
    <row r="670" spans="1:3" x14ac:dyDescent="0.2">
      <c r="C670" s="263"/>
    </row>
    <row r="671" spans="1:3" x14ac:dyDescent="0.2">
      <c r="C671" s="263"/>
    </row>
    <row r="672" spans="1:3" x14ac:dyDescent="0.2">
      <c r="C672" s="263"/>
    </row>
    <row r="673" spans="1:3" x14ac:dyDescent="0.2">
      <c r="A673" s="261"/>
      <c r="C673" s="263"/>
    </row>
    <row r="674" spans="1:3" x14ac:dyDescent="0.2">
      <c r="C674" s="263"/>
    </row>
    <row r="675" spans="1:3" x14ac:dyDescent="0.2">
      <c r="C675" s="263"/>
    </row>
    <row r="676" spans="1:3" x14ac:dyDescent="0.2">
      <c r="C676" s="263"/>
    </row>
    <row r="677" spans="1:3" x14ac:dyDescent="0.2">
      <c r="A677" s="262"/>
    </row>
    <row r="678" spans="1:3" x14ac:dyDescent="0.2">
      <c r="A678" s="261"/>
    </row>
    <row r="679" spans="1:3" x14ac:dyDescent="0.2">
      <c r="C679" s="263"/>
    </row>
    <row r="680" spans="1:3" x14ac:dyDescent="0.2">
      <c r="C680" s="263"/>
    </row>
    <row r="681" spans="1:3" x14ac:dyDescent="0.2">
      <c r="C681" s="263"/>
    </row>
    <row r="683" spans="1:3" x14ac:dyDescent="0.2">
      <c r="A683" s="261"/>
    </row>
    <row r="684" spans="1:3" x14ac:dyDescent="0.2">
      <c r="C684" s="263"/>
    </row>
    <row r="685" spans="1:3" x14ac:dyDescent="0.2">
      <c r="C685" s="263"/>
    </row>
    <row r="686" spans="1:3" x14ac:dyDescent="0.2">
      <c r="C686" s="263"/>
    </row>
    <row r="687" spans="1:3" x14ac:dyDescent="0.2">
      <c r="A687" s="262"/>
    </row>
    <row r="688" spans="1:3" x14ac:dyDescent="0.2">
      <c r="A688" s="261"/>
    </row>
    <row r="689" spans="1:3" x14ac:dyDescent="0.2">
      <c r="C689" s="263"/>
    </row>
    <row r="690" spans="1:3" x14ac:dyDescent="0.2">
      <c r="C690" s="263"/>
    </row>
    <row r="691" spans="1:3" x14ac:dyDescent="0.2">
      <c r="C691" s="263"/>
    </row>
    <row r="693" spans="1:3" x14ac:dyDescent="0.2">
      <c r="A693" s="261"/>
    </row>
    <row r="694" spans="1:3" x14ac:dyDescent="0.2">
      <c r="A694" s="261"/>
    </row>
    <row r="695" spans="1:3" x14ac:dyDescent="0.2">
      <c r="C695" s="263"/>
    </row>
    <row r="696" spans="1:3" x14ac:dyDescent="0.2">
      <c r="C696" s="263"/>
    </row>
    <row r="697" spans="1:3" x14ac:dyDescent="0.2">
      <c r="C697" s="263"/>
    </row>
    <row r="699" spans="1:3" x14ac:dyDescent="0.2">
      <c r="A699" s="261"/>
    </row>
    <row r="700" spans="1:3" x14ac:dyDescent="0.2">
      <c r="C700" s="263"/>
    </row>
    <row r="701" spans="1:3" x14ac:dyDescent="0.2">
      <c r="C701" s="263"/>
    </row>
    <row r="702" spans="1:3" x14ac:dyDescent="0.2">
      <c r="C702" s="263"/>
    </row>
    <row r="703" spans="1:3" x14ac:dyDescent="0.2">
      <c r="C703" s="263"/>
    </row>
    <row r="704" spans="1:3" x14ac:dyDescent="0.2">
      <c r="A704" s="261"/>
    </row>
    <row r="705" spans="1:3" x14ac:dyDescent="0.2">
      <c r="C705" s="263"/>
    </row>
    <row r="706" spans="1:3" x14ac:dyDescent="0.2">
      <c r="C706" s="263"/>
    </row>
    <row r="707" spans="1:3" x14ac:dyDescent="0.2">
      <c r="C707" s="263"/>
    </row>
    <row r="708" spans="1:3" x14ac:dyDescent="0.2">
      <c r="A708" s="262"/>
    </row>
    <row r="709" spans="1:3" x14ac:dyDescent="0.2">
      <c r="A709" s="261"/>
    </row>
    <row r="710" spans="1:3" x14ac:dyDescent="0.2">
      <c r="C710" s="263"/>
    </row>
    <row r="711" spans="1:3" x14ac:dyDescent="0.2">
      <c r="C711" s="263"/>
    </row>
    <row r="712" spans="1:3" x14ac:dyDescent="0.2">
      <c r="C712" s="263"/>
    </row>
    <row r="714" spans="1:3" x14ac:dyDescent="0.2">
      <c r="A714" s="261"/>
    </row>
    <row r="715" spans="1:3" x14ac:dyDescent="0.2">
      <c r="C715" s="263"/>
    </row>
    <row r="716" spans="1:3" x14ac:dyDescent="0.2">
      <c r="C716" s="263"/>
    </row>
    <row r="717" spans="1:3" x14ac:dyDescent="0.2">
      <c r="C717" s="263"/>
    </row>
    <row r="718" spans="1:3" x14ac:dyDescent="0.2">
      <c r="C718" s="263"/>
    </row>
    <row r="719" spans="1:3" x14ac:dyDescent="0.2">
      <c r="A719" s="261"/>
    </row>
    <row r="720" spans="1:3" x14ac:dyDescent="0.2">
      <c r="C720" s="263"/>
    </row>
    <row r="721" spans="1:3" x14ac:dyDescent="0.2">
      <c r="C721" s="263"/>
    </row>
    <row r="722" spans="1:3" x14ac:dyDescent="0.2">
      <c r="A722" s="261"/>
    </row>
    <row r="723" spans="1:3" x14ac:dyDescent="0.2">
      <c r="C723" s="263"/>
    </row>
    <row r="724" spans="1:3" x14ac:dyDescent="0.2">
      <c r="C724" s="263"/>
    </row>
    <row r="725" spans="1:3" x14ac:dyDescent="0.2">
      <c r="C725" s="263"/>
    </row>
    <row r="726" spans="1:3" x14ac:dyDescent="0.2">
      <c r="C726" s="263"/>
    </row>
    <row r="728" spans="1:3" x14ac:dyDescent="0.2">
      <c r="A728" s="261"/>
    </row>
    <row r="729" spans="1:3" x14ac:dyDescent="0.2">
      <c r="C729" s="263"/>
    </row>
    <row r="730" spans="1:3" x14ac:dyDescent="0.2">
      <c r="C730" s="263"/>
    </row>
    <row r="731" spans="1:3" x14ac:dyDescent="0.2">
      <c r="C731" s="263"/>
    </row>
    <row r="732" spans="1:3" x14ac:dyDescent="0.2">
      <c r="A732" s="262"/>
    </row>
    <row r="733" spans="1:3" x14ac:dyDescent="0.2">
      <c r="A733" s="261"/>
    </row>
    <row r="734" spans="1:3" x14ac:dyDescent="0.2">
      <c r="C734" s="263"/>
    </row>
    <row r="735" spans="1:3" x14ac:dyDescent="0.2">
      <c r="C735" s="263"/>
    </row>
    <row r="736" spans="1:3" x14ac:dyDescent="0.2">
      <c r="C736" s="263"/>
    </row>
    <row r="738" spans="1:3" x14ac:dyDescent="0.2">
      <c r="A738" s="261"/>
    </row>
    <row r="739" spans="1:3" x14ac:dyDescent="0.2">
      <c r="C739" s="263"/>
    </row>
    <row r="740" spans="1:3" x14ac:dyDescent="0.2">
      <c r="C740" s="263"/>
    </row>
    <row r="741" spans="1:3" x14ac:dyDescent="0.2">
      <c r="C741" s="263"/>
    </row>
    <row r="743" spans="1:3" x14ac:dyDescent="0.2">
      <c r="A743" s="261"/>
    </row>
    <row r="744" spans="1:3" x14ac:dyDescent="0.2">
      <c r="C744" s="263"/>
    </row>
    <row r="745" spans="1:3" x14ac:dyDescent="0.2">
      <c r="C745" s="263"/>
    </row>
    <row r="746" spans="1:3" x14ac:dyDescent="0.2">
      <c r="C746" s="263"/>
    </row>
    <row r="747" spans="1:3" x14ac:dyDescent="0.2">
      <c r="C747" s="263"/>
    </row>
    <row r="748" spans="1:3" x14ac:dyDescent="0.2">
      <c r="A748" s="261"/>
    </row>
    <row r="749" spans="1:3" x14ac:dyDescent="0.2">
      <c r="C749" s="263"/>
    </row>
    <row r="750" spans="1:3" x14ac:dyDescent="0.2">
      <c r="A750" s="261"/>
    </row>
    <row r="751" spans="1:3" x14ac:dyDescent="0.2">
      <c r="C751" s="263"/>
    </row>
    <row r="752" spans="1:3" x14ac:dyDescent="0.2">
      <c r="C752" s="263"/>
    </row>
    <row r="753" spans="1:3" x14ac:dyDescent="0.2">
      <c r="C753" s="263"/>
    </row>
    <row r="755" spans="1:3" x14ac:dyDescent="0.2">
      <c r="A755" s="261"/>
    </row>
    <row r="756" spans="1:3" x14ac:dyDescent="0.2">
      <c r="C756" s="263"/>
    </row>
    <row r="757" spans="1:3" x14ac:dyDescent="0.2">
      <c r="C757" s="263"/>
    </row>
    <row r="758" spans="1:3" x14ac:dyDescent="0.2">
      <c r="C758" s="263"/>
    </row>
    <row r="759" spans="1:3" x14ac:dyDescent="0.2">
      <c r="C759" s="263"/>
    </row>
    <row r="760" spans="1:3" x14ac:dyDescent="0.2">
      <c r="A760" s="261"/>
    </row>
    <row r="761" spans="1:3" x14ac:dyDescent="0.2">
      <c r="C761" s="263"/>
    </row>
    <row r="762" spans="1:3" x14ac:dyDescent="0.2">
      <c r="C762" s="263"/>
    </row>
    <row r="763" spans="1:3" x14ac:dyDescent="0.2">
      <c r="C763" s="263"/>
    </row>
    <row r="764" spans="1:3" x14ac:dyDescent="0.2">
      <c r="A764" s="262"/>
    </row>
    <row r="765" spans="1:3" x14ac:dyDescent="0.2">
      <c r="A765" s="261"/>
    </row>
    <row r="766" spans="1:3" x14ac:dyDescent="0.2">
      <c r="C766" s="263"/>
    </row>
    <row r="767" spans="1:3" x14ac:dyDescent="0.2">
      <c r="C767" s="263"/>
    </row>
    <row r="768" spans="1:3" x14ac:dyDescent="0.2">
      <c r="C768" s="263"/>
    </row>
    <row r="770" spans="1:3" x14ac:dyDescent="0.2">
      <c r="A770" s="261"/>
    </row>
    <row r="771" spans="1:3" x14ac:dyDescent="0.2">
      <c r="C771" s="263"/>
    </row>
    <row r="772" spans="1:3" x14ac:dyDescent="0.2">
      <c r="C772" s="263"/>
    </row>
    <row r="773" spans="1:3" x14ac:dyDescent="0.2">
      <c r="C773" s="263"/>
    </row>
    <row r="774" spans="1:3" x14ac:dyDescent="0.2">
      <c r="C774" s="263"/>
    </row>
    <row r="775" spans="1:3" x14ac:dyDescent="0.2">
      <c r="A775" s="261"/>
    </row>
    <row r="776" spans="1:3" x14ac:dyDescent="0.2">
      <c r="C776" s="263"/>
    </row>
    <row r="777" spans="1:3" x14ac:dyDescent="0.2">
      <c r="C777" s="263"/>
    </row>
    <row r="778" spans="1:3" x14ac:dyDescent="0.2">
      <c r="A778" s="261"/>
    </row>
    <row r="779" spans="1:3" x14ac:dyDescent="0.2">
      <c r="C779" s="263"/>
    </row>
    <row r="780" spans="1:3" x14ac:dyDescent="0.2">
      <c r="C780" s="263"/>
    </row>
    <row r="781" spans="1:3" x14ac:dyDescent="0.2">
      <c r="C781" s="263"/>
    </row>
    <row r="782" spans="1:3" x14ac:dyDescent="0.2">
      <c r="C782" s="263"/>
    </row>
    <row r="783" spans="1:3" x14ac:dyDescent="0.2">
      <c r="C783" s="263"/>
    </row>
    <row r="784" spans="1:3" x14ac:dyDescent="0.2">
      <c r="C784" s="263"/>
    </row>
    <row r="785" spans="1:3" x14ac:dyDescent="0.2">
      <c r="A785" s="261"/>
      <c r="C785" s="263"/>
    </row>
    <row r="786" spans="1:3" x14ac:dyDescent="0.2">
      <c r="C786" s="263"/>
    </row>
    <row r="787" spans="1:3" x14ac:dyDescent="0.2">
      <c r="C787" s="263"/>
    </row>
    <row r="788" spans="1:3" x14ac:dyDescent="0.2">
      <c r="C788" s="263"/>
    </row>
    <row r="789" spans="1:3" x14ac:dyDescent="0.2">
      <c r="A789" s="262"/>
    </row>
    <row r="790" spans="1:3" x14ac:dyDescent="0.2">
      <c r="A790" s="261"/>
    </row>
    <row r="791" spans="1:3" x14ac:dyDescent="0.2">
      <c r="C791" s="263"/>
    </row>
    <row r="792" spans="1:3" x14ac:dyDescent="0.2">
      <c r="C792" s="263"/>
    </row>
    <row r="793" spans="1:3" x14ac:dyDescent="0.2">
      <c r="C793" s="263"/>
    </row>
    <row r="795" spans="1:3" x14ac:dyDescent="0.2">
      <c r="A795" s="261"/>
    </row>
    <row r="796" spans="1:3" x14ac:dyDescent="0.2">
      <c r="C796" s="263"/>
    </row>
    <row r="797" spans="1:3" x14ac:dyDescent="0.2">
      <c r="C797" s="263"/>
    </row>
    <row r="798" spans="1:3" x14ac:dyDescent="0.2">
      <c r="C798" s="263"/>
    </row>
    <row r="799" spans="1:3" x14ac:dyDescent="0.2">
      <c r="A799" s="262"/>
    </row>
    <row r="800" spans="1:3" x14ac:dyDescent="0.2">
      <c r="A800" s="261"/>
    </row>
    <row r="801" spans="1:3" x14ac:dyDescent="0.2">
      <c r="C801" s="263"/>
    </row>
    <row r="802" spans="1:3" x14ac:dyDescent="0.2">
      <c r="C802" s="263"/>
    </row>
    <row r="803" spans="1:3" x14ac:dyDescent="0.2">
      <c r="C803" s="263"/>
    </row>
    <row r="805" spans="1:3" x14ac:dyDescent="0.2">
      <c r="A805" s="261"/>
    </row>
    <row r="806" spans="1:3" x14ac:dyDescent="0.2">
      <c r="A806" s="261"/>
    </row>
    <row r="807" spans="1:3" x14ac:dyDescent="0.2">
      <c r="C807" s="263"/>
    </row>
    <row r="808" spans="1:3" x14ac:dyDescent="0.2">
      <c r="C808" s="263"/>
    </row>
    <row r="809" spans="1:3" x14ac:dyDescent="0.2">
      <c r="C809" s="263"/>
    </row>
    <row r="811" spans="1:3" x14ac:dyDescent="0.2">
      <c r="A811" s="261"/>
    </row>
    <row r="812" spans="1:3" x14ac:dyDescent="0.2">
      <c r="C812" s="263"/>
    </row>
    <row r="813" spans="1:3" x14ac:dyDescent="0.2">
      <c r="C813" s="263"/>
    </row>
    <row r="814" spans="1:3" x14ac:dyDescent="0.2">
      <c r="C814" s="263"/>
    </row>
    <row r="815" spans="1:3" x14ac:dyDescent="0.2">
      <c r="C815" s="263"/>
    </row>
    <row r="816" spans="1:3" x14ac:dyDescent="0.2">
      <c r="A816" s="261"/>
    </row>
    <row r="817" spans="1:3" x14ac:dyDescent="0.2">
      <c r="C817" s="263"/>
    </row>
    <row r="818" spans="1:3" x14ac:dyDescent="0.2">
      <c r="C818" s="263"/>
    </row>
    <row r="819" spans="1:3" x14ac:dyDescent="0.2">
      <c r="C819" s="263"/>
    </row>
    <row r="820" spans="1:3" x14ac:dyDescent="0.2">
      <c r="A820" s="262"/>
    </row>
    <row r="821" spans="1:3" x14ac:dyDescent="0.2">
      <c r="A821" s="261"/>
    </row>
    <row r="822" spans="1:3" x14ac:dyDescent="0.2">
      <c r="C822" s="263"/>
    </row>
    <row r="823" spans="1:3" x14ac:dyDescent="0.2">
      <c r="C823" s="263"/>
    </row>
    <row r="824" spans="1:3" x14ac:dyDescent="0.2">
      <c r="C824" s="263"/>
    </row>
    <row r="826" spans="1:3" x14ac:dyDescent="0.2">
      <c r="A826" s="261"/>
    </row>
    <row r="827" spans="1:3" x14ac:dyDescent="0.2">
      <c r="C827" s="263"/>
    </row>
    <row r="828" spans="1:3" x14ac:dyDescent="0.2">
      <c r="C828" s="263"/>
    </row>
    <row r="829" spans="1:3" x14ac:dyDescent="0.2">
      <c r="C829" s="263"/>
    </row>
    <row r="830" spans="1:3" x14ac:dyDescent="0.2">
      <c r="C830" s="263"/>
    </row>
    <row r="831" spans="1:3" x14ac:dyDescent="0.2">
      <c r="A831" s="261"/>
    </row>
    <row r="832" spans="1:3" x14ac:dyDescent="0.2">
      <c r="C832" s="263"/>
    </row>
    <row r="833" spans="1:25" x14ac:dyDescent="0.2">
      <c r="C833" s="263"/>
    </row>
    <row r="834" spans="1:25" x14ac:dyDescent="0.2">
      <c r="A834" s="261"/>
    </row>
    <row r="835" spans="1:25" x14ac:dyDescent="0.2">
      <c r="C835" s="263"/>
    </row>
    <row r="836" spans="1:25" x14ac:dyDescent="0.2">
      <c r="C836" s="263"/>
    </row>
    <row r="837" spans="1:25" x14ac:dyDescent="0.2">
      <c r="C837" s="263"/>
    </row>
    <row r="838" spans="1:25" x14ac:dyDescent="0.2">
      <c r="A838" s="261"/>
    </row>
    <row r="839" spans="1:25" x14ac:dyDescent="0.2">
      <c r="C839" s="263"/>
    </row>
    <row r="840" spans="1:25" x14ac:dyDescent="0.2">
      <c r="C840" s="263"/>
    </row>
    <row r="841" spans="1:25" x14ac:dyDescent="0.2">
      <c r="A841" s="264"/>
      <c r="B841" s="315"/>
      <c r="C841" s="315"/>
      <c r="D841" s="315"/>
      <c r="E841" s="315"/>
      <c r="F841" s="315"/>
      <c r="G841" s="315"/>
      <c r="H841" s="315"/>
      <c r="I841" s="315"/>
      <c r="J841" s="315"/>
      <c r="K841" s="315"/>
      <c r="L841" s="315"/>
      <c r="M841" s="315"/>
      <c r="N841" s="315"/>
      <c r="O841" s="315"/>
      <c r="P841" s="315"/>
      <c r="Q841" s="315"/>
      <c r="R841" s="315"/>
      <c r="S841" s="315"/>
      <c r="T841" s="315"/>
      <c r="U841" s="315"/>
      <c r="V841" s="315"/>
      <c r="W841" s="315"/>
      <c r="X841" s="315"/>
      <c r="Y841" s="315"/>
    </row>
    <row r="842" spans="1:25" x14ac:dyDescent="0.2">
      <c r="A842" s="262"/>
    </row>
    <row r="843" spans="1:25" x14ac:dyDescent="0.2">
      <c r="A843" s="261"/>
    </row>
    <row r="844" spans="1:25" x14ac:dyDescent="0.2">
      <c r="C844" s="263"/>
    </row>
    <row r="845" spans="1:25" x14ac:dyDescent="0.2">
      <c r="C845" s="263"/>
    </row>
    <row r="846" spans="1:25" x14ac:dyDescent="0.2">
      <c r="A846" s="264"/>
      <c r="B846" s="315"/>
      <c r="C846" s="315"/>
      <c r="D846" s="315"/>
      <c r="E846" s="315"/>
      <c r="F846" s="315"/>
      <c r="G846" s="315"/>
      <c r="H846" s="315"/>
      <c r="I846" s="315"/>
      <c r="J846" s="315"/>
      <c r="K846" s="315"/>
      <c r="L846" s="315"/>
      <c r="M846" s="315"/>
      <c r="N846" s="315"/>
      <c r="O846" s="315"/>
      <c r="P846" s="315"/>
      <c r="Q846" s="315"/>
      <c r="R846" s="315"/>
      <c r="S846" s="315"/>
      <c r="T846" s="315"/>
      <c r="U846" s="315"/>
      <c r="V846" s="315"/>
      <c r="W846" s="315"/>
      <c r="X846" s="315"/>
      <c r="Y846" s="315"/>
    </row>
    <row r="847" spans="1:25" x14ac:dyDescent="0.2">
      <c r="A847" s="262"/>
    </row>
    <row r="848" spans="1:25" x14ac:dyDescent="0.2">
      <c r="A848" s="261"/>
    </row>
    <row r="849" spans="1:3" x14ac:dyDescent="0.2">
      <c r="C849" s="263"/>
    </row>
    <row r="850" spans="1:3" x14ac:dyDescent="0.2">
      <c r="C850" s="263"/>
    </row>
    <row r="851" spans="1:3" x14ac:dyDescent="0.2">
      <c r="C851" s="263"/>
    </row>
    <row r="853" spans="1:3" x14ac:dyDescent="0.2">
      <c r="A853" s="261"/>
    </row>
    <row r="854" spans="1:3" x14ac:dyDescent="0.2">
      <c r="C854" s="263"/>
    </row>
    <row r="855" spans="1:3" x14ac:dyDescent="0.2">
      <c r="C855" s="263"/>
    </row>
    <row r="856" spans="1:3" x14ac:dyDescent="0.2">
      <c r="C856" s="263"/>
    </row>
    <row r="857" spans="1:3" x14ac:dyDescent="0.2">
      <c r="C857" s="263"/>
    </row>
    <row r="858" spans="1:3" x14ac:dyDescent="0.2">
      <c r="A858" s="261"/>
    </row>
    <row r="859" spans="1:3" x14ac:dyDescent="0.2">
      <c r="C859" s="263"/>
    </row>
    <row r="860" spans="1:3" x14ac:dyDescent="0.2">
      <c r="C860" s="263"/>
    </row>
    <row r="861" spans="1:3" x14ac:dyDescent="0.2">
      <c r="C861" s="263"/>
    </row>
    <row r="862" spans="1:3" x14ac:dyDescent="0.2">
      <c r="A862" s="261"/>
    </row>
    <row r="863" spans="1:3" x14ac:dyDescent="0.2">
      <c r="C863" s="263"/>
    </row>
    <row r="864" spans="1:3" x14ac:dyDescent="0.2">
      <c r="C864" s="263"/>
    </row>
    <row r="865" spans="1:3" x14ac:dyDescent="0.2">
      <c r="C865" s="263"/>
    </row>
    <row r="867" spans="1:3" x14ac:dyDescent="0.2">
      <c r="A867" s="261"/>
    </row>
    <row r="868" spans="1:3" x14ac:dyDescent="0.2">
      <c r="C868" s="263"/>
    </row>
    <row r="869" spans="1:3" x14ac:dyDescent="0.2">
      <c r="C869" s="263"/>
    </row>
    <row r="870" spans="1:3" x14ac:dyDescent="0.2">
      <c r="C870" s="263"/>
    </row>
    <row r="871" spans="1:3" x14ac:dyDescent="0.2">
      <c r="C871" s="263"/>
    </row>
    <row r="872" spans="1:3" x14ac:dyDescent="0.2">
      <c r="A872" s="261"/>
    </row>
    <row r="873" spans="1:3" x14ac:dyDescent="0.2">
      <c r="C873" s="263"/>
    </row>
    <row r="874" spans="1:3" x14ac:dyDescent="0.2">
      <c r="C874" s="263"/>
    </row>
    <row r="875" spans="1:3" x14ac:dyDescent="0.2">
      <c r="C875" s="263"/>
    </row>
    <row r="876" spans="1:3" x14ac:dyDescent="0.2">
      <c r="A876" s="262"/>
    </row>
    <row r="877" spans="1:3" x14ac:dyDescent="0.2">
      <c r="A877" s="261"/>
    </row>
    <row r="878" spans="1:3" x14ac:dyDescent="0.2">
      <c r="C878" s="263"/>
    </row>
    <row r="879" spans="1:3" x14ac:dyDescent="0.2">
      <c r="C879" s="263"/>
    </row>
    <row r="880" spans="1:3" x14ac:dyDescent="0.2">
      <c r="C880" s="263"/>
    </row>
    <row r="882" spans="1:3" x14ac:dyDescent="0.2">
      <c r="A882" s="261"/>
    </row>
    <row r="883" spans="1:3" x14ac:dyDescent="0.2">
      <c r="C883" s="263"/>
    </row>
    <row r="884" spans="1:3" x14ac:dyDescent="0.2">
      <c r="C884" s="263"/>
    </row>
    <row r="885" spans="1:3" x14ac:dyDescent="0.2">
      <c r="C885" s="263"/>
    </row>
    <row r="886" spans="1:3" x14ac:dyDescent="0.2">
      <c r="C886" s="263"/>
    </row>
    <row r="887" spans="1:3" x14ac:dyDescent="0.2">
      <c r="A887" s="261"/>
    </row>
    <row r="888" spans="1:3" x14ac:dyDescent="0.2">
      <c r="C888" s="263"/>
    </row>
    <row r="889" spans="1:3" x14ac:dyDescent="0.2">
      <c r="C889" s="263"/>
    </row>
    <row r="890" spans="1:3" x14ac:dyDescent="0.2">
      <c r="A890" s="261"/>
    </row>
    <row r="891" spans="1:3" x14ac:dyDescent="0.2">
      <c r="C891" s="263"/>
    </row>
    <row r="892" spans="1:3" x14ac:dyDescent="0.2">
      <c r="C892" s="263"/>
    </row>
    <row r="893" spans="1:3" x14ac:dyDescent="0.2">
      <c r="C893" s="263"/>
    </row>
    <row r="894" spans="1:3" x14ac:dyDescent="0.2">
      <c r="C894" s="263"/>
    </row>
    <row r="895" spans="1:3" x14ac:dyDescent="0.2">
      <c r="C895" s="263"/>
    </row>
    <row r="896" spans="1:3" x14ac:dyDescent="0.2">
      <c r="C896" s="263"/>
    </row>
    <row r="897" spans="1:3" x14ac:dyDescent="0.2">
      <c r="A897" s="261"/>
      <c r="C897" s="263"/>
    </row>
    <row r="898" spans="1:3" x14ac:dyDescent="0.2">
      <c r="C898" s="263"/>
    </row>
    <row r="899" spans="1:3" x14ac:dyDescent="0.2">
      <c r="C899" s="263"/>
    </row>
    <row r="900" spans="1:3" x14ac:dyDescent="0.2">
      <c r="C900" s="263"/>
    </row>
    <row r="901" spans="1:3" x14ac:dyDescent="0.2">
      <c r="A901" s="262"/>
    </row>
    <row r="902" spans="1:3" x14ac:dyDescent="0.2">
      <c r="A902" s="261"/>
    </row>
    <row r="903" spans="1:3" x14ac:dyDescent="0.2">
      <c r="C903" s="263"/>
    </row>
    <row r="904" spans="1:3" x14ac:dyDescent="0.2">
      <c r="C904" s="263"/>
    </row>
    <row r="905" spans="1:3" x14ac:dyDescent="0.2">
      <c r="C905" s="263"/>
    </row>
    <row r="907" spans="1:3" x14ac:dyDescent="0.2">
      <c r="A907" s="261"/>
    </row>
    <row r="908" spans="1:3" x14ac:dyDescent="0.2">
      <c r="C908" s="263"/>
    </row>
    <row r="909" spans="1:3" x14ac:dyDescent="0.2">
      <c r="C909" s="263"/>
    </row>
    <row r="910" spans="1:3" x14ac:dyDescent="0.2">
      <c r="C910" s="263"/>
    </row>
    <row r="911" spans="1:3" x14ac:dyDescent="0.2">
      <c r="A911" s="262"/>
    </row>
    <row r="912" spans="1:3" x14ac:dyDescent="0.2">
      <c r="A912" s="261"/>
    </row>
    <row r="913" spans="1:3" x14ac:dyDescent="0.2">
      <c r="C913" s="263"/>
    </row>
    <row r="914" spans="1:3" x14ac:dyDescent="0.2">
      <c r="C914" s="263"/>
    </row>
    <row r="915" spans="1:3" x14ac:dyDescent="0.2">
      <c r="C915" s="263"/>
    </row>
    <row r="917" spans="1:3" x14ac:dyDescent="0.2">
      <c r="A917" s="261"/>
    </row>
    <row r="918" spans="1:3" x14ac:dyDescent="0.2">
      <c r="A918" s="261"/>
    </row>
    <row r="919" spans="1:3" x14ac:dyDescent="0.2">
      <c r="C919" s="263"/>
    </row>
    <row r="920" spans="1:3" x14ac:dyDescent="0.2">
      <c r="C920" s="263"/>
    </row>
    <row r="921" spans="1:3" x14ac:dyDescent="0.2">
      <c r="C921" s="263"/>
    </row>
    <row r="923" spans="1:3" x14ac:dyDescent="0.2">
      <c r="A923" s="261"/>
    </row>
    <row r="924" spans="1:3" x14ac:dyDescent="0.2">
      <c r="C924" s="263"/>
    </row>
    <row r="925" spans="1:3" x14ac:dyDescent="0.2">
      <c r="C925" s="263"/>
    </row>
    <row r="926" spans="1:3" x14ac:dyDescent="0.2">
      <c r="C926" s="263"/>
    </row>
    <row r="927" spans="1:3" x14ac:dyDescent="0.2">
      <c r="C927" s="263"/>
    </row>
    <row r="928" spans="1:3" x14ac:dyDescent="0.2">
      <c r="A928" s="261"/>
    </row>
    <row r="929" spans="1:3" x14ac:dyDescent="0.2">
      <c r="C929" s="263"/>
    </row>
    <row r="930" spans="1:3" x14ac:dyDescent="0.2">
      <c r="C930" s="263"/>
    </row>
    <row r="931" spans="1:3" x14ac:dyDescent="0.2">
      <c r="C931" s="263"/>
    </row>
    <row r="932" spans="1:3" x14ac:dyDescent="0.2">
      <c r="A932" s="262"/>
    </row>
    <row r="933" spans="1:3" x14ac:dyDescent="0.2">
      <c r="A933" s="261"/>
    </row>
    <row r="934" spans="1:3" x14ac:dyDescent="0.2">
      <c r="C934" s="263"/>
    </row>
    <row r="935" spans="1:3" x14ac:dyDescent="0.2">
      <c r="C935" s="263"/>
    </row>
    <row r="936" spans="1:3" x14ac:dyDescent="0.2">
      <c r="C936" s="263"/>
    </row>
    <row r="938" spans="1:3" x14ac:dyDescent="0.2">
      <c r="A938" s="261"/>
    </row>
    <row r="939" spans="1:3" x14ac:dyDescent="0.2">
      <c r="C939" s="263"/>
    </row>
    <row r="940" spans="1:3" x14ac:dyDescent="0.2">
      <c r="C940" s="263"/>
    </row>
    <row r="941" spans="1:3" x14ac:dyDescent="0.2">
      <c r="C941" s="263"/>
    </row>
    <row r="942" spans="1:3" x14ac:dyDescent="0.2">
      <c r="C942" s="263"/>
    </row>
    <row r="943" spans="1:3" x14ac:dyDescent="0.2">
      <c r="A943" s="261"/>
    </row>
    <row r="944" spans="1:3" x14ac:dyDescent="0.2">
      <c r="C944" s="263"/>
    </row>
    <row r="945" spans="1:3" x14ac:dyDescent="0.2">
      <c r="C945" s="263"/>
    </row>
    <row r="946" spans="1:3" x14ac:dyDescent="0.2">
      <c r="A946" s="261"/>
    </row>
    <row r="947" spans="1:3" x14ac:dyDescent="0.2">
      <c r="C947" s="263"/>
    </row>
    <row r="948" spans="1:3" x14ac:dyDescent="0.2">
      <c r="C948" s="263"/>
    </row>
    <row r="949" spans="1:3" x14ac:dyDescent="0.2">
      <c r="C949" s="263"/>
    </row>
    <row r="950" spans="1:3" x14ac:dyDescent="0.2">
      <c r="C950" s="263"/>
    </row>
    <row r="952" spans="1:3" x14ac:dyDescent="0.2">
      <c r="A952" s="261"/>
    </row>
    <row r="953" spans="1:3" x14ac:dyDescent="0.2">
      <c r="C953" s="263"/>
    </row>
    <row r="954" spans="1:3" x14ac:dyDescent="0.2">
      <c r="C954" s="263"/>
    </row>
    <row r="955" spans="1:3" x14ac:dyDescent="0.2">
      <c r="C955" s="263"/>
    </row>
    <row r="956" spans="1:3" x14ac:dyDescent="0.2">
      <c r="A956" s="262"/>
    </row>
    <row r="957" spans="1:3" x14ac:dyDescent="0.2">
      <c r="A957" s="261"/>
    </row>
    <row r="958" spans="1:3" x14ac:dyDescent="0.2">
      <c r="C958" s="263"/>
    </row>
    <row r="959" spans="1:3" x14ac:dyDescent="0.2">
      <c r="C959" s="263"/>
    </row>
    <row r="960" spans="1:3" x14ac:dyDescent="0.2">
      <c r="C960" s="263"/>
    </row>
    <row r="962" spans="1:3" x14ac:dyDescent="0.2">
      <c r="A962" s="261"/>
    </row>
    <row r="963" spans="1:3" x14ac:dyDescent="0.2">
      <c r="C963" s="263"/>
    </row>
    <row r="964" spans="1:3" x14ac:dyDescent="0.2">
      <c r="C964" s="263"/>
    </row>
    <row r="965" spans="1:3" x14ac:dyDescent="0.2">
      <c r="C965" s="263"/>
    </row>
    <row r="967" spans="1:3" x14ac:dyDescent="0.2">
      <c r="A967" s="261"/>
    </row>
    <row r="968" spans="1:3" x14ac:dyDescent="0.2">
      <c r="C968" s="263"/>
    </row>
    <row r="969" spans="1:3" x14ac:dyDescent="0.2">
      <c r="C969" s="263"/>
    </row>
    <row r="970" spans="1:3" x14ac:dyDescent="0.2">
      <c r="C970" s="263"/>
    </row>
    <row r="971" spans="1:3" x14ac:dyDescent="0.2">
      <c r="C971" s="263"/>
    </row>
    <row r="972" spans="1:3" x14ac:dyDescent="0.2">
      <c r="A972" s="261"/>
    </row>
    <row r="973" spans="1:3" x14ac:dyDescent="0.2">
      <c r="C973" s="263"/>
    </row>
    <row r="974" spans="1:3" x14ac:dyDescent="0.2">
      <c r="A974" s="261"/>
    </row>
    <row r="975" spans="1:3" x14ac:dyDescent="0.2">
      <c r="C975" s="263"/>
    </row>
    <row r="976" spans="1:3" x14ac:dyDescent="0.2">
      <c r="C976" s="263"/>
    </row>
    <row r="977" spans="1:3" x14ac:dyDescent="0.2">
      <c r="C977" s="263"/>
    </row>
    <row r="979" spans="1:3" x14ac:dyDescent="0.2">
      <c r="A979" s="261"/>
    </row>
    <row r="980" spans="1:3" x14ac:dyDescent="0.2">
      <c r="C980" s="263"/>
    </row>
    <row r="981" spans="1:3" x14ac:dyDescent="0.2">
      <c r="C981" s="263"/>
    </row>
    <row r="982" spans="1:3" x14ac:dyDescent="0.2">
      <c r="C982" s="263"/>
    </row>
    <row r="983" spans="1:3" x14ac:dyDescent="0.2">
      <c r="C983" s="263"/>
    </row>
    <row r="984" spans="1:3" x14ac:dyDescent="0.2">
      <c r="A984" s="261"/>
    </row>
    <row r="985" spans="1:3" x14ac:dyDescent="0.2">
      <c r="C985" s="263"/>
    </row>
    <row r="986" spans="1:3" x14ac:dyDescent="0.2">
      <c r="C986" s="263"/>
    </row>
    <row r="987" spans="1:3" x14ac:dyDescent="0.2">
      <c r="C987" s="263"/>
    </row>
    <row r="988" spans="1:3" x14ac:dyDescent="0.2">
      <c r="A988" s="262"/>
    </row>
    <row r="989" spans="1:3" x14ac:dyDescent="0.2">
      <c r="A989" s="261"/>
    </row>
    <row r="990" spans="1:3" x14ac:dyDescent="0.2">
      <c r="C990" s="263"/>
    </row>
    <row r="991" spans="1:3" x14ac:dyDescent="0.2">
      <c r="C991" s="263"/>
    </row>
    <row r="992" spans="1:3" x14ac:dyDescent="0.2">
      <c r="C992" s="263"/>
    </row>
    <row r="994" spans="1:3" x14ac:dyDescent="0.2">
      <c r="A994" s="261"/>
    </row>
    <row r="995" spans="1:3" x14ac:dyDescent="0.2">
      <c r="C995" s="263"/>
    </row>
    <row r="996" spans="1:3" x14ac:dyDescent="0.2">
      <c r="C996" s="263"/>
    </row>
    <row r="997" spans="1:3" x14ac:dyDescent="0.2">
      <c r="C997" s="263"/>
    </row>
    <row r="998" spans="1:3" x14ac:dyDescent="0.2">
      <c r="C998" s="263"/>
    </row>
    <row r="999" spans="1:3" x14ac:dyDescent="0.2">
      <c r="A999" s="261"/>
    </row>
    <row r="1000" spans="1:3" x14ac:dyDescent="0.2">
      <c r="C1000" s="263"/>
    </row>
    <row r="1001" spans="1:3" x14ac:dyDescent="0.2">
      <c r="C1001" s="263"/>
    </row>
    <row r="1002" spans="1:3" x14ac:dyDescent="0.2">
      <c r="A1002" s="261"/>
    </row>
    <row r="1003" spans="1:3" x14ac:dyDescent="0.2">
      <c r="C1003" s="263"/>
    </row>
    <row r="1004" spans="1:3" x14ac:dyDescent="0.2">
      <c r="C1004" s="263"/>
    </row>
    <row r="1005" spans="1:3" x14ac:dyDescent="0.2">
      <c r="C1005" s="263"/>
    </row>
    <row r="1006" spans="1:3" x14ac:dyDescent="0.2">
      <c r="C1006" s="263"/>
    </row>
    <row r="1007" spans="1:3" x14ac:dyDescent="0.2">
      <c r="C1007" s="263"/>
    </row>
    <row r="1008" spans="1:3" x14ac:dyDescent="0.2">
      <c r="C1008" s="263"/>
    </row>
    <row r="1009" spans="1:3" x14ac:dyDescent="0.2">
      <c r="A1009" s="261"/>
      <c r="C1009" s="263"/>
    </row>
    <row r="1010" spans="1:3" x14ac:dyDescent="0.2">
      <c r="C1010" s="263"/>
    </row>
    <row r="1011" spans="1:3" x14ac:dyDescent="0.2">
      <c r="C1011" s="263"/>
    </row>
    <row r="1012" spans="1:3" x14ac:dyDescent="0.2">
      <c r="C1012" s="263"/>
    </row>
    <row r="1013" spans="1:3" x14ac:dyDescent="0.2">
      <c r="A1013" s="262"/>
    </row>
    <row r="1014" spans="1:3" x14ac:dyDescent="0.2">
      <c r="A1014" s="261"/>
    </row>
    <row r="1015" spans="1:3" x14ac:dyDescent="0.2">
      <c r="C1015" s="263"/>
    </row>
    <row r="1016" spans="1:3" x14ac:dyDescent="0.2">
      <c r="C1016" s="263"/>
    </row>
    <row r="1017" spans="1:3" x14ac:dyDescent="0.2">
      <c r="C1017" s="263"/>
    </row>
    <row r="1019" spans="1:3" x14ac:dyDescent="0.2">
      <c r="A1019" s="261"/>
    </row>
    <row r="1020" spans="1:3" x14ac:dyDescent="0.2">
      <c r="C1020" s="263"/>
    </row>
    <row r="1021" spans="1:3" x14ac:dyDescent="0.2">
      <c r="C1021" s="263"/>
    </row>
    <row r="1022" spans="1:3" x14ac:dyDescent="0.2">
      <c r="C1022" s="263"/>
    </row>
    <row r="1023" spans="1:3" x14ac:dyDescent="0.2">
      <c r="A1023" s="262"/>
    </row>
    <row r="1024" spans="1:3" x14ac:dyDescent="0.2">
      <c r="A1024" s="261"/>
    </row>
    <row r="1025" spans="1:3" x14ac:dyDescent="0.2">
      <c r="C1025" s="263"/>
    </row>
    <row r="1026" spans="1:3" x14ac:dyDescent="0.2">
      <c r="C1026" s="263"/>
    </row>
    <row r="1027" spans="1:3" x14ac:dyDescent="0.2">
      <c r="C1027" s="263"/>
    </row>
    <row r="1029" spans="1:3" x14ac:dyDescent="0.2">
      <c r="A1029" s="261"/>
    </row>
    <row r="1030" spans="1:3" x14ac:dyDescent="0.2">
      <c r="A1030" s="261"/>
    </row>
    <row r="1031" spans="1:3" x14ac:dyDescent="0.2">
      <c r="C1031" s="263"/>
    </row>
    <row r="1032" spans="1:3" x14ac:dyDescent="0.2">
      <c r="C1032" s="263"/>
    </row>
    <row r="1033" spans="1:3" x14ac:dyDescent="0.2">
      <c r="C1033" s="263"/>
    </row>
    <row r="1035" spans="1:3" x14ac:dyDescent="0.2">
      <c r="A1035" s="261"/>
    </row>
    <row r="1036" spans="1:3" x14ac:dyDescent="0.2">
      <c r="C1036" s="263"/>
    </row>
    <row r="1037" spans="1:3" x14ac:dyDescent="0.2">
      <c r="C1037" s="263"/>
    </row>
    <row r="1038" spans="1:3" x14ac:dyDescent="0.2">
      <c r="C1038" s="263"/>
    </row>
    <row r="1039" spans="1:3" x14ac:dyDescent="0.2">
      <c r="C1039" s="263"/>
    </row>
    <row r="1040" spans="1:3" x14ac:dyDescent="0.2">
      <c r="A1040" s="261"/>
    </row>
    <row r="1041" spans="1:3" x14ac:dyDescent="0.2">
      <c r="C1041" s="263"/>
    </row>
    <row r="1042" spans="1:3" x14ac:dyDescent="0.2">
      <c r="C1042" s="263"/>
    </row>
    <row r="1043" spans="1:3" x14ac:dyDescent="0.2">
      <c r="C1043" s="263"/>
    </row>
    <row r="1044" spans="1:3" x14ac:dyDescent="0.2">
      <c r="A1044" s="262"/>
    </row>
    <row r="1045" spans="1:3" x14ac:dyDescent="0.2">
      <c r="A1045" s="261"/>
    </row>
    <row r="1046" spans="1:3" x14ac:dyDescent="0.2">
      <c r="C1046" s="263"/>
    </row>
    <row r="1047" spans="1:3" x14ac:dyDescent="0.2">
      <c r="C1047" s="263"/>
    </row>
    <row r="1048" spans="1:3" x14ac:dyDescent="0.2">
      <c r="C1048" s="263"/>
    </row>
    <row r="1050" spans="1:3" x14ac:dyDescent="0.2">
      <c r="A1050" s="261"/>
    </row>
    <row r="1051" spans="1:3" x14ac:dyDescent="0.2">
      <c r="C1051" s="263"/>
    </row>
    <row r="1052" spans="1:3" x14ac:dyDescent="0.2">
      <c r="C1052" s="263"/>
    </row>
    <row r="1053" spans="1:3" x14ac:dyDescent="0.2">
      <c r="C1053" s="263"/>
    </row>
    <row r="1054" spans="1:3" x14ac:dyDescent="0.2">
      <c r="C1054" s="263"/>
    </row>
    <row r="1055" spans="1:3" x14ac:dyDescent="0.2">
      <c r="A1055" s="261"/>
    </row>
    <row r="1056" spans="1:3" x14ac:dyDescent="0.2">
      <c r="C1056" s="263"/>
    </row>
    <row r="1057" spans="1:3" x14ac:dyDescent="0.2">
      <c r="C1057" s="263"/>
    </row>
    <row r="1058" spans="1:3" x14ac:dyDescent="0.2">
      <c r="A1058" s="261"/>
    </row>
    <row r="1059" spans="1:3" x14ac:dyDescent="0.2">
      <c r="C1059" s="263"/>
    </row>
    <row r="1060" spans="1:3" x14ac:dyDescent="0.2">
      <c r="C1060" s="263"/>
    </row>
    <row r="1061" spans="1:3" x14ac:dyDescent="0.2">
      <c r="C1061" s="263"/>
    </row>
  </sheetData>
  <mergeCells count="110">
    <mergeCell ref="B5:E5"/>
    <mergeCell ref="L5:O5"/>
    <mergeCell ref="V5:Y5"/>
    <mergeCell ref="B170:E170"/>
    <mergeCell ref="L170:O170"/>
    <mergeCell ref="V170:Y170"/>
    <mergeCell ref="B45:E45"/>
    <mergeCell ref="L45:O45"/>
    <mergeCell ref="V45:Y45"/>
    <mergeCell ref="B15:E15"/>
    <mergeCell ref="G5:J5"/>
    <mergeCell ref="Q5:T5"/>
    <mergeCell ref="G25:J25"/>
    <mergeCell ref="Q25:T25"/>
    <mergeCell ref="G45:J45"/>
    <mergeCell ref="Q45:T45"/>
    <mergeCell ref="B195:E195"/>
    <mergeCell ref="L195:O195"/>
    <mergeCell ref="V195:Y195"/>
    <mergeCell ref="L15:O15"/>
    <mergeCell ref="V15:Y15"/>
    <mergeCell ref="B25:E25"/>
    <mergeCell ref="L25:O25"/>
    <mergeCell ref="V25:Y25"/>
    <mergeCell ref="B70:E70"/>
    <mergeCell ref="L70:O70"/>
    <mergeCell ref="V70:Y70"/>
    <mergeCell ref="B160:E160"/>
    <mergeCell ref="L160:O160"/>
    <mergeCell ref="V160:Y160"/>
    <mergeCell ref="G15:J15"/>
    <mergeCell ref="Q15:T15"/>
    <mergeCell ref="G195:J195"/>
    <mergeCell ref="Q195:T195"/>
    <mergeCell ref="G70:J70"/>
    <mergeCell ref="Q70:T70"/>
    <mergeCell ref="G160:J160"/>
    <mergeCell ref="Q160:T160"/>
    <mergeCell ref="G170:J170"/>
    <mergeCell ref="Q170:T170"/>
    <mergeCell ref="G375:J375"/>
    <mergeCell ref="Q375:T375"/>
    <mergeCell ref="G385:J385"/>
    <mergeCell ref="Q385:T385"/>
    <mergeCell ref="G430:J430"/>
    <mergeCell ref="Q430:T430"/>
    <mergeCell ref="V280:Y280"/>
    <mergeCell ref="B300:E300"/>
    <mergeCell ref="B220:E220"/>
    <mergeCell ref="L220:O220"/>
    <mergeCell ref="V220:Y220"/>
    <mergeCell ref="B245:E245"/>
    <mergeCell ref="L245:O245"/>
    <mergeCell ref="V245:Y245"/>
    <mergeCell ref="B280:E280"/>
    <mergeCell ref="L280:O280"/>
    <mergeCell ref="G280:J280"/>
    <mergeCell ref="Q280:T280"/>
    <mergeCell ref="G220:J220"/>
    <mergeCell ref="Q220:T220"/>
    <mergeCell ref="G245:J245"/>
    <mergeCell ref="Q245:T245"/>
    <mergeCell ref="B545:E545"/>
    <mergeCell ref="B350:E350"/>
    <mergeCell ref="L350:O350"/>
    <mergeCell ref="V350:Y350"/>
    <mergeCell ref="L300:O300"/>
    <mergeCell ref="V300:Y300"/>
    <mergeCell ref="B325:E325"/>
    <mergeCell ref="L325:O325"/>
    <mergeCell ref="V325:Y325"/>
    <mergeCell ref="G300:J300"/>
    <mergeCell ref="Q300:T300"/>
    <mergeCell ref="G325:J325"/>
    <mergeCell ref="Q325:T325"/>
    <mergeCell ref="G350:J350"/>
    <mergeCell ref="Q350:T350"/>
    <mergeCell ref="V385:Y385"/>
    <mergeCell ref="B375:E375"/>
    <mergeCell ref="L375:O375"/>
    <mergeCell ref="V375:Y375"/>
    <mergeCell ref="B430:E430"/>
    <mergeCell ref="L430:O430"/>
    <mergeCell ref="V430:Y430"/>
    <mergeCell ref="B385:E385"/>
    <mergeCell ref="L385:O385"/>
    <mergeCell ref="L545:O545"/>
    <mergeCell ref="V545:Y545"/>
    <mergeCell ref="B470:E470"/>
    <mergeCell ref="L470:O470"/>
    <mergeCell ref="V470:Y470"/>
    <mergeCell ref="B515:E515"/>
    <mergeCell ref="L515:O515"/>
    <mergeCell ref="V515:Y515"/>
    <mergeCell ref="B480:E480"/>
    <mergeCell ref="L480:O480"/>
    <mergeCell ref="V480:Y480"/>
    <mergeCell ref="B490:E490"/>
    <mergeCell ref="L490:O490"/>
    <mergeCell ref="V490:Y490"/>
    <mergeCell ref="G470:J470"/>
    <mergeCell ref="G515:J515"/>
    <mergeCell ref="Q515:T515"/>
    <mergeCell ref="Q490:T490"/>
    <mergeCell ref="G545:J545"/>
    <mergeCell ref="Q545:T545"/>
    <mergeCell ref="Q470:T470"/>
    <mergeCell ref="G480:J480"/>
    <mergeCell ref="Q480:T480"/>
    <mergeCell ref="G490:J490"/>
  </mergeCells>
  <pageMargins left="0.7" right="0.7" top="0.75" bottom="0.75" header="0.3" footer="0.3"/>
  <pageSetup paperSize="9" scale="66" fitToWidth="0" fitToHeight="0" orientation="landscape" r:id="rId1"/>
  <rowBreaks count="14" manualBreakCount="14">
    <brk id="44" max="24" man="1"/>
    <brk id="69" max="24" man="1"/>
    <brk id="117" max="24" man="1"/>
    <brk id="156" max="24" man="1"/>
    <brk id="194" max="24" man="1"/>
    <brk id="241" max="24" man="1"/>
    <brk id="279" max="24" man="1"/>
    <brk id="324" max="24" man="1"/>
    <brk id="374" max="24" man="1"/>
    <brk id="426" max="24" man="1"/>
    <brk id="469" max="24" man="1"/>
    <brk id="514" max="24" man="1"/>
    <brk id="566" max="24" man="1"/>
    <brk id="671" max="24" man="1"/>
  </rowBreaks>
  <colBreaks count="1" manualBreakCount="1">
    <brk id="25" max="1048575" man="1"/>
  </colBreaks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3"/>
  <dimension ref="A1:P43"/>
  <sheetViews>
    <sheetView zoomScale="75" zoomScaleNormal="75" workbookViewId="0"/>
  </sheetViews>
  <sheetFormatPr defaultRowHeight="12.75" x14ac:dyDescent="0.2"/>
  <cols>
    <col min="1" max="1" width="11" style="80" bestFit="1" customWidth="1"/>
    <col min="2" max="9" width="9.140625" style="80"/>
    <col min="10" max="10" width="17.5703125" style="80" customWidth="1"/>
    <col min="11" max="11" width="8.28515625" style="80" customWidth="1"/>
    <col min="12" max="12" width="28.140625" customWidth="1"/>
    <col min="13" max="14" width="10.140625" customWidth="1"/>
  </cols>
  <sheetData>
    <row r="1" spans="1:16" ht="15.75" x14ac:dyDescent="0.25">
      <c r="A1" s="79" t="str">
        <f>CONCATENATE("Industry Figure 1  Growth in Employment by Industry Group (SIC 2007), ",M6," and ",N6,", ",Info!B5)</f>
        <v>Industry Figure 1  Growth in Employment by Industry Group (SIC 2007), 2015-2020 and 2020-2035, North East</v>
      </c>
    </row>
    <row r="2" spans="1:16" x14ac:dyDescent="0.2">
      <c r="A2" s="181" t="s">
        <v>534</v>
      </c>
    </row>
    <row r="3" spans="1:16" x14ac:dyDescent="0.2">
      <c r="L3" s="45" t="s">
        <v>449</v>
      </c>
    </row>
    <row r="5" spans="1:16" x14ac:dyDescent="0.2">
      <c r="L5" s="29" t="s">
        <v>418</v>
      </c>
    </row>
    <row r="6" spans="1:16" x14ac:dyDescent="0.2">
      <c r="L6" s="13"/>
      <c r="M6" s="15" t="str">
        <f>'Ind T4'!B87</f>
        <v>2015-2020</v>
      </c>
      <c r="N6" s="15" t="str">
        <f>'Ind T4'!C87</f>
        <v>2020-2035</v>
      </c>
      <c r="O6" s="15"/>
      <c r="P6" s="15"/>
    </row>
    <row r="7" spans="1:16" x14ac:dyDescent="0.2">
      <c r="L7" s="1" t="str">
        <f>'Ind T4'!A83</f>
        <v>All industries</v>
      </c>
      <c r="M7">
        <f>'Ind T4'!B122</f>
        <v>-0.30598127509877671</v>
      </c>
      <c r="N7">
        <f>'Ind T4'!C122</f>
        <v>0.33752261436221787</v>
      </c>
    </row>
    <row r="8" spans="1:16" x14ac:dyDescent="0.2">
      <c r="L8" s="13"/>
    </row>
    <row r="9" spans="1:16" x14ac:dyDescent="0.2">
      <c r="L9" s="13" t="str">
        <f>'Ind T4'!A81</f>
        <v>Health and social work</v>
      </c>
      <c r="M9">
        <f>'Ind T4'!B120</f>
        <v>-1.2295906347747909E-2</v>
      </c>
      <c r="N9">
        <f>'Ind T4'!C120</f>
        <v>0.89703568831791536</v>
      </c>
    </row>
    <row r="10" spans="1:16" x14ac:dyDescent="0.2">
      <c r="L10" s="13" t="str">
        <f>'Ind T4'!A80</f>
        <v>Education</v>
      </c>
      <c r="M10">
        <f>'Ind T4'!B119</f>
        <v>-0.7821291498766425</v>
      </c>
      <c r="N10">
        <f>'Ind T4'!C119</f>
        <v>0.64325521662738083</v>
      </c>
    </row>
    <row r="11" spans="1:16" x14ac:dyDescent="0.2">
      <c r="L11" s="13" t="str">
        <f>'Ind T4'!A79</f>
        <v>Public admin. and defence</v>
      </c>
      <c r="M11">
        <f>'Ind T4'!B118</f>
        <v>0.88376325475427731</v>
      </c>
      <c r="N11">
        <f>'Ind T4'!C118</f>
        <v>-9.4534382869071454E-2</v>
      </c>
    </row>
    <row r="12" spans="1:16" x14ac:dyDescent="0.2">
      <c r="L12" s="1" t="str">
        <f>CONCATENATE("[",'Ind T4'!A78,"]")</f>
        <v>[Non-marketed services]</v>
      </c>
      <c r="M12">
        <f>'Ind T4'!B117</f>
        <v>-6.8490082344629943E-2</v>
      </c>
      <c r="N12">
        <f>'Ind T4'!C117</f>
        <v>0.64363055244627265</v>
      </c>
    </row>
    <row r="13" spans="1:16" x14ac:dyDescent="0.2">
      <c r="L13" s="13"/>
    </row>
    <row r="14" spans="1:16" x14ac:dyDescent="0.2">
      <c r="L14" s="13" t="str">
        <f>'Ind T4'!A76</f>
        <v>Other services</v>
      </c>
      <c r="M14" s="82">
        <f>'Ind T4'!B115</f>
        <v>-3.317782180363904</v>
      </c>
      <c r="N14" s="82">
        <f>'Ind T4'!C115</f>
        <v>-1.3843564590900193</v>
      </c>
    </row>
    <row r="15" spans="1:16" x14ac:dyDescent="0.2">
      <c r="L15" s="13" t="str">
        <f>'Ind T4'!A75</f>
        <v>Arts and entertainment</v>
      </c>
      <c r="M15" s="82">
        <f>'Ind T4'!B114</f>
        <v>-0.4253236782690184</v>
      </c>
      <c r="N15" s="82">
        <f>'Ind T4'!C114</f>
        <v>0.81469221869561181</v>
      </c>
    </row>
    <row r="16" spans="1:16" x14ac:dyDescent="0.2">
      <c r="L16" s="13" t="str">
        <f>'Ind T4'!A74</f>
        <v>Support services</v>
      </c>
      <c r="M16" s="82">
        <f>'Ind T4'!B113</f>
        <v>0.46675555228361532</v>
      </c>
      <c r="N16" s="82">
        <f>'Ind T4'!C113</f>
        <v>0.37516084685238482</v>
      </c>
    </row>
    <row r="17" spans="12:14" x14ac:dyDescent="0.2">
      <c r="L17" s="13" t="str">
        <f>'Ind T4'!A73</f>
        <v>Professional services</v>
      </c>
      <c r="M17" s="82">
        <f>'Ind T4'!B112</f>
        <v>-2.4144361008234583</v>
      </c>
      <c r="N17" s="82">
        <f>'Ind T4'!C112</f>
        <v>0.54011052744145083</v>
      </c>
    </row>
    <row r="18" spans="12:14" x14ac:dyDescent="0.2">
      <c r="L18" s="13" t="str">
        <f>'Ind T4'!A72</f>
        <v>Real estate</v>
      </c>
      <c r="M18" s="82">
        <f>'Ind T4'!B111</f>
        <v>1.0716177464500598</v>
      </c>
      <c r="N18" s="82">
        <f>'Ind T4'!C111</f>
        <v>0.88453515462685317</v>
      </c>
    </row>
    <row r="19" spans="12:14" x14ac:dyDescent="0.2">
      <c r="L19" t="str">
        <f>'Ind T4'!A71</f>
        <v>Finance and insurance</v>
      </c>
      <c r="M19">
        <f>'Ind T4'!B110</f>
        <v>-2.4766636683457466</v>
      </c>
      <c r="N19">
        <f>'Ind T4'!C110</f>
        <v>0.24218678956147155</v>
      </c>
    </row>
    <row r="20" spans="12:14" x14ac:dyDescent="0.2">
      <c r="L20" t="str">
        <f>'Ind T4'!A70</f>
        <v>Information technology</v>
      </c>
      <c r="M20">
        <f>'Ind T4'!B109</f>
        <v>-2.0154465518005371</v>
      </c>
      <c r="N20">
        <f>'Ind T4'!C109</f>
        <v>1.2491151134933931</v>
      </c>
    </row>
    <row r="21" spans="12:14" x14ac:dyDescent="0.2">
      <c r="L21" t="str">
        <f>'Ind T4'!A69</f>
        <v>Media</v>
      </c>
      <c r="M21">
        <f>'Ind T4'!B108</f>
        <v>2.5964470429385322</v>
      </c>
      <c r="N21">
        <f>'Ind T4'!C108</f>
        <v>-8.2490936038182028E-3</v>
      </c>
    </row>
    <row r="22" spans="12:14" x14ac:dyDescent="0.2">
      <c r="L22" s="1" t="str">
        <f>CONCATENATE("[",'Ind T4'!A68,"]")</f>
        <v>[Business and other services]</v>
      </c>
      <c r="M22">
        <f>'Ind T4'!B107</f>
        <v>-1.1492491057750742</v>
      </c>
      <c r="N22">
        <f>'Ind T4'!C107</f>
        <v>0.37911766560443372</v>
      </c>
    </row>
    <row r="23" spans="12:14" x14ac:dyDescent="0.2">
      <c r="L23" s="13"/>
    </row>
    <row r="24" spans="12:14" x14ac:dyDescent="0.2">
      <c r="L24" s="13" t="str">
        <f>'Ind T4'!A66</f>
        <v>Accommodation and food</v>
      </c>
      <c r="M24">
        <f>'Ind T4'!B105</f>
        <v>1.5641465017990352</v>
      </c>
      <c r="N24">
        <f>'Ind T4'!C105</f>
        <v>1.2032894481447398</v>
      </c>
    </row>
    <row r="25" spans="12:14" x14ac:dyDescent="0.2">
      <c r="L25" s="13" t="str">
        <f>'Ind T4'!A65</f>
        <v>Transport and storage</v>
      </c>
      <c r="M25">
        <f>'Ind T4'!B104</f>
        <v>3.8047577490901041</v>
      </c>
      <c r="N25">
        <f>'Ind T4'!C104</f>
        <v>0.28306204486863162</v>
      </c>
    </row>
    <row r="26" spans="12:14" x14ac:dyDescent="0.2">
      <c r="L26" s="13" t="str">
        <f>'Ind T4'!A64</f>
        <v>Wholesale and retail trade</v>
      </c>
      <c r="M26">
        <f>'Ind T4'!B103</f>
        <v>-0.50689431032212573</v>
      </c>
      <c r="N26">
        <f>'Ind T4'!C103</f>
        <v>-1.2906663332756807E-3</v>
      </c>
    </row>
    <row r="27" spans="12:14" x14ac:dyDescent="0.2">
      <c r="L27" s="1" t="str">
        <f>CONCATENATE("[",'Ind T4'!A63,"]")</f>
        <v>[Trade, accomod. and transport]</v>
      </c>
      <c r="M27">
        <f>'Ind T4'!B102</f>
        <v>0.81821529615699884</v>
      </c>
      <c r="N27">
        <f>'Ind T4'!C102</f>
        <v>0.41642035856557236</v>
      </c>
    </row>
    <row r="28" spans="12:14" x14ac:dyDescent="0.2">
      <c r="L28" s="13"/>
    </row>
    <row r="29" spans="12:14" x14ac:dyDescent="0.2">
      <c r="L29" s="1" t="str">
        <f>CONCATENATE("[",'Ind T4'!A61,"]")</f>
        <v>[Construction]</v>
      </c>
      <c r="M29">
        <f>'Ind T4'!B100</f>
        <v>0.64048668023506394</v>
      </c>
      <c r="N29">
        <f>'Ind T4'!C100</f>
        <v>-0.27602754268255536</v>
      </c>
    </row>
    <row r="30" spans="12:14" x14ac:dyDescent="0.2">
      <c r="L30" s="13"/>
    </row>
    <row r="31" spans="12:14" x14ac:dyDescent="0.2">
      <c r="L31" s="13" t="str">
        <f>'Ind T4'!A59</f>
        <v>Rest of manufacturing</v>
      </c>
      <c r="M31">
        <f>'Ind T4'!B98</f>
        <v>-3.9189889924450272</v>
      </c>
      <c r="N31">
        <f>'Ind T4'!C98</f>
        <v>-0.98821092473546646</v>
      </c>
    </row>
    <row r="32" spans="12:14" x14ac:dyDescent="0.2">
      <c r="L32" s="13" t="str">
        <f>'Ind T4'!A58</f>
        <v>Engineering</v>
      </c>
      <c r="M32">
        <f>'Ind T4'!B97</f>
        <v>-3.759906448778727</v>
      </c>
      <c r="N32">
        <f>'Ind T4'!C97</f>
        <v>-0.34137129465912075</v>
      </c>
    </row>
    <row r="33" spans="12:14" x14ac:dyDescent="0.2">
      <c r="L33" s="13" t="str">
        <f>'Ind T4'!A57</f>
        <v>Food drink and tobacco</v>
      </c>
      <c r="M33">
        <f>'Ind T4'!B96</f>
        <v>1.5176270549353443</v>
      </c>
      <c r="N33">
        <f>'Ind T4'!C96</f>
        <v>-0.14033962672496125</v>
      </c>
    </row>
    <row r="34" spans="12:14" x14ac:dyDescent="0.2">
      <c r="L34" s="1" t="str">
        <f>CONCATENATE("[",'Ind T4'!A56,"]")</f>
        <v>[Manufacturing]</v>
      </c>
      <c r="M34">
        <f>'Ind T4'!B95</f>
        <v>-3.3402817243805893</v>
      </c>
      <c r="N34">
        <f>'Ind T4'!C95</f>
        <v>-0.77598144890543841</v>
      </c>
    </row>
    <row r="35" spans="12:14" x14ac:dyDescent="0.2">
      <c r="L35" s="13"/>
    </row>
    <row r="36" spans="12:14" x14ac:dyDescent="0.2">
      <c r="L36" s="13" t="str">
        <f>'Ind T4'!A54</f>
        <v>Water and sewerage</v>
      </c>
      <c r="M36">
        <f>'Ind T4'!B93</f>
        <v>3.1233265573671787</v>
      </c>
      <c r="N36">
        <f>'Ind T4'!C93</f>
        <v>0.32730901270849877</v>
      </c>
    </row>
    <row r="37" spans="12:14" x14ac:dyDescent="0.2">
      <c r="L37" s="13" t="str">
        <f>'Ind T4'!A53</f>
        <v>Electricity and gas</v>
      </c>
      <c r="M37">
        <f>'Ind T4'!B92</f>
        <v>19.798069565040976</v>
      </c>
      <c r="N37">
        <f>'Ind T4'!C92</f>
        <v>1.4315559427879876E-2</v>
      </c>
    </row>
    <row r="38" spans="12:14" x14ac:dyDescent="0.2">
      <c r="L38" s="13" t="str">
        <f>'Ind T4'!A52</f>
        <v>Mining and quarrying</v>
      </c>
      <c r="M38">
        <f>'Ind T4'!B91</f>
        <v>-3.119892028641158</v>
      </c>
      <c r="N38">
        <f>'Ind T4'!C91</f>
        <v>-1.7107740893458234</v>
      </c>
    </row>
    <row r="39" spans="12:14" x14ac:dyDescent="0.2">
      <c r="L39" s="44" t="str">
        <f>'Ind T4'!A51</f>
        <v>Agriculture</v>
      </c>
      <c r="M39">
        <f>'Ind T4'!B90</f>
        <v>-6.3395119861210265</v>
      </c>
      <c r="N39">
        <f>'Ind T4'!C90</f>
        <v>0.41458262232376697</v>
      </c>
    </row>
    <row r="40" spans="12:14" x14ac:dyDescent="0.2">
      <c r="L40" s="1" t="str">
        <f>CONCATENATE("[",'Ind T4'!A50,"]")</f>
        <v>[Primary sector and utilities]</v>
      </c>
      <c r="M40">
        <f>'Ind T4'!B89</f>
        <v>4.2835634656757993</v>
      </c>
      <c r="N40">
        <f>'Ind T4'!C89</f>
        <v>8.9544589846579647E-2</v>
      </c>
    </row>
    <row r="43" spans="12:14" x14ac:dyDescent="0.2">
      <c r="L43" t="str">
        <f>REPT(" ",11)</f>
        <v xml:space="preserve">           </v>
      </c>
    </row>
  </sheetData>
  <phoneticPr fontId="4" type="noConversion"/>
  <conditionalFormatting sqref="L6 L8 L13 O18:P18 L23 L28 O25:P25 L30 O23:P23 O13:P13 O8:P8 O6:P6">
    <cfRule type="cellIs" dxfId="14" priority="2" stopIfTrue="1" operator="equal">
      <formula>0</formula>
    </cfRule>
  </conditionalFormatting>
  <conditionalFormatting sqref="M6:N6 M8:N8 M13:N13 M23:N23 M28:N28 M30:N30">
    <cfRule type="cellIs" dxfId="13" priority="1" stopIfTrue="1" operator="equal">
      <formula>0</formula>
    </cfRule>
  </conditionalFormatting>
  <pageMargins left="0.55118110236220474" right="0.55118110236220474" top="0.98425196850393704" bottom="0.98425196850393704" header="0.51181102362204722" footer="0.51181102362204722"/>
  <pageSetup paperSize="9" scale="90" orientation="portrait" r:id="rId1"/>
  <headerFooter alignWithMargins="0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4"/>
  <dimension ref="A1:CR268"/>
  <sheetViews>
    <sheetView zoomScale="75" zoomScaleNormal="75" workbookViewId="0"/>
  </sheetViews>
  <sheetFormatPr defaultRowHeight="12.75" x14ac:dyDescent="0.2"/>
  <cols>
    <col min="1" max="1" width="17" style="80" customWidth="1"/>
    <col min="2" max="10" width="9.140625" style="80"/>
    <col min="11" max="11" width="23.28515625" style="80" customWidth="1"/>
    <col min="12" max="12" width="25.5703125" customWidth="1"/>
    <col min="13" max="15" width="7" bestFit="1" customWidth="1"/>
    <col min="16" max="16" width="6.5703125" bestFit="1" customWidth="1"/>
    <col min="17" max="17" width="7" bestFit="1" customWidth="1"/>
    <col min="18" max="18" width="7.42578125" bestFit="1" customWidth="1"/>
    <col min="19" max="23" width="7" bestFit="1" customWidth="1"/>
    <col min="24" max="24" width="6.5703125" bestFit="1" customWidth="1"/>
    <col min="25" max="26" width="7" bestFit="1" customWidth="1"/>
    <col min="27" max="28" width="7.42578125" bestFit="1" customWidth="1"/>
    <col min="29" max="31" width="7" bestFit="1" customWidth="1"/>
    <col min="32" max="37" width="7.42578125" bestFit="1" customWidth="1"/>
    <col min="38" max="38" width="7" bestFit="1" customWidth="1"/>
    <col min="39" max="40" width="7.5703125" customWidth="1"/>
    <col min="41" max="41" width="6.85546875" customWidth="1"/>
    <col min="42" max="42" width="7.140625" customWidth="1"/>
    <col min="43" max="43" width="7.5703125" customWidth="1"/>
    <col min="44" max="44" width="7.140625" customWidth="1"/>
    <col min="45" max="47" width="7.5703125" customWidth="1"/>
    <col min="48" max="48" width="7.140625" customWidth="1"/>
    <col min="49" max="52" width="7.5703125" customWidth="1"/>
    <col min="53" max="53" width="6.85546875" customWidth="1"/>
    <col min="54" max="57" width="7.5703125" customWidth="1"/>
    <col min="58" max="58" width="7.140625" customWidth="1"/>
    <col min="59" max="59" width="7.5703125" customWidth="1"/>
    <col min="60" max="60" width="6.5703125" customWidth="1"/>
    <col min="61" max="63" width="7.5703125" customWidth="1"/>
    <col min="64" max="64" width="2.42578125" customWidth="1"/>
    <col min="65" max="65" width="6.28515625" customWidth="1"/>
    <col min="66" max="66" width="19.42578125" customWidth="1"/>
  </cols>
  <sheetData>
    <row r="1" spans="1:96" ht="15.75" x14ac:dyDescent="0.25">
      <c r="A1" s="79" t="str">
        <f>CONCATENATE("Industry Figure 2  Employment by Industry (SIC 2007), ",$M$2,"-",$O$2,", ",Info!B5)</f>
        <v>Industry Figure 2  Employment by Industry (SIC 2007), 2010-2035, North East</v>
      </c>
      <c r="L1" s="45"/>
    </row>
    <row r="2" spans="1:96" x14ac:dyDescent="0.2">
      <c r="A2" s="181" t="s">
        <v>534</v>
      </c>
      <c r="L2" s="15" t="s">
        <v>28</v>
      </c>
      <c r="M2" s="47">
        <f>M4</f>
        <v>2010</v>
      </c>
      <c r="N2" s="46" t="s">
        <v>27</v>
      </c>
      <c r="O2" s="47">
        <f>MAX(Q4:BQ4)</f>
        <v>2035</v>
      </c>
    </row>
    <row r="3" spans="1:96" x14ac:dyDescent="0.2">
      <c r="L3" s="15"/>
      <c r="M3" s="15"/>
      <c r="N3" s="46"/>
      <c r="O3" s="15"/>
    </row>
    <row r="4" spans="1:96" x14ac:dyDescent="0.2">
      <c r="L4" s="13"/>
      <c r="M4" s="47">
        <v>2010</v>
      </c>
      <c r="N4" s="47">
        <v>2011</v>
      </c>
      <c r="O4" s="47">
        <v>2012</v>
      </c>
      <c r="P4" s="47">
        <v>2013</v>
      </c>
      <c r="Q4" s="47">
        <v>2014</v>
      </c>
      <c r="R4" s="47">
        <v>2015</v>
      </c>
      <c r="S4" s="47">
        <v>2016</v>
      </c>
      <c r="T4" s="47">
        <v>2017</v>
      </c>
      <c r="U4" s="47">
        <v>2018</v>
      </c>
      <c r="V4" s="47">
        <v>2019</v>
      </c>
      <c r="W4" s="47">
        <v>2020</v>
      </c>
      <c r="X4" s="47">
        <v>2021</v>
      </c>
      <c r="Y4" s="47">
        <v>2022</v>
      </c>
      <c r="Z4" s="47">
        <v>2023</v>
      </c>
      <c r="AA4" s="47">
        <v>2024</v>
      </c>
      <c r="AB4" s="47">
        <v>2025</v>
      </c>
      <c r="AC4" s="47">
        <v>2026</v>
      </c>
      <c r="AD4" s="47">
        <v>2027</v>
      </c>
      <c r="AE4" s="47">
        <v>2028</v>
      </c>
      <c r="AF4" s="47">
        <v>2029</v>
      </c>
      <c r="AG4" s="47">
        <v>2030</v>
      </c>
      <c r="AH4" s="47">
        <v>2031</v>
      </c>
      <c r="AI4" s="47">
        <v>2032</v>
      </c>
      <c r="AJ4" s="47">
        <v>2033</v>
      </c>
      <c r="AK4" s="47">
        <v>2034</v>
      </c>
      <c r="AL4" s="47">
        <v>2035</v>
      </c>
      <c r="AM4" s="47">
        <f t="shared" ref="AM4" si="0">BP4</f>
        <v>0</v>
      </c>
      <c r="AN4" s="10"/>
      <c r="AO4" s="10"/>
      <c r="AP4" s="10"/>
      <c r="AQ4" s="47"/>
      <c r="AR4" s="47"/>
      <c r="AS4" s="47"/>
      <c r="AT4" s="47"/>
      <c r="AU4" s="47"/>
      <c r="AV4" s="47"/>
      <c r="AW4" s="47"/>
      <c r="AX4" s="47"/>
      <c r="AY4" s="47"/>
      <c r="AZ4" s="47"/>
      <c r="BA4" s="47"/>
      <c r="BB4" s="47"/>
      <c r="BC4" s="47"/>
      <c r="BD4" s="47"/>
      <c r="BE4" s="47"/>
      <c r="BF4" s="47"/>
      <c r="BG4" s="47"/>
      <c r="BH4" s="47"/>
      <c r="BI4" s="47"/>
      <c r="BJ4" s="47"/>
      <c r="BK4" s="47"/>
      <c r="BL4" s="47"/>
      <c r="BM4" s="47"/>
      <c r="BN4" s="47"/>
      <c r="BO4" s="47"/>
      <c r="BP4" s="47"/>
      <c r="BQ4" s="10"/>
      <c r="BS4" s="47"/>
      <c r="BT4" s="47"/>
      <c r="BU4" s="47"/>
      <c r="BV4" s="47"/>
      <c r="BW4" s="47"/>
      <c r="BX4" s="47"/>
      <c r="BY4" s="47"/>
      <c r="BZ4" s="47"/>
      <c r="CA4" s="47"/>
      <c r="CB4" s="47"/>
      <c r="CC4" s="47"/>
      <c r="CD4" s="47"/>
      <c r="CE4" s="47"/>
      <c r="CF4" s="47"/>
      <c r="CG4" s="47"/>
      <c r="CH4" s="47"/>
      <c r="CI4" s="47"/>
      <c r="CJ4" s="47"/>
      <c r="CK4" s="47"/>
      <c r="CL4" s="47"/>
      <c r="CM4" s="47"/>
      <c r="CN4" s="47"/>
      <c r="CO4" s="47"/>
      <c r="CP4" s="47"/>
      <c r="CQ4" s="47"/>
      <c r="CR4" s="47"/>
    </row>
    <row r="5" spans="1:96" x14ac:dyDescent="0.2">
      <c r="L5" s="1" t="str">
        <f>'Ind T4'!A7</f>
        <v>Primary sector and utilities</v>
      </c>
      <c r="M5" s="86">
        <f>SUM(M6:M9)</f>
        <v>25.347999999964753</v>
      </c>
      <c r="N5" s="86">
        <f t="shared" ref="N5:AL5" si="1">SUM(N6:N9)</f>
        <v>33.050000000061097</v>
      </c>
      <c r="O5" s="86">
        <f t="shared" si="1"/>
        <v>23.227999999945759</v>
      </c>
      <c r="P5" s="86">
        <f t="shared" si="1"/>
        <v>26.276999999839063</v>
      </c>
      <c r="Q5" s="86">
        <f t="shared" si="1"/>
        <v>27.551999999959477</v>
      </c>
      <c r="R5" s="86">
        <f t="shared" si="1"/>
        <v>20.336000000008575</v>
      </c>
      <c r="S5" s="86">
        <f t="shared" si="1"/>
        <v>18.554999999967411</v>
      </c>
      <c r="T5" s="86">
        <f t="shared" si="1"/>
        <v>24.82899999996733</v>
      </c>
      <c r="U5" s="86">
        <f t="shared" si="1"/>
        <v>28.196000000183929</v>
      </c>
      <c r="V5" s="86">
        <f t="shared" si="1"/>
        <v>23.85699999991888</v>
      </c>
      <c r="W5" s="86">
        <f t="shared" si="1"/>
        <v>25.080999999810309</v>
      </c>
      <c r="X5" s="86">
        <f t="shared" si="1"/>
        <v>24.898999999820429</v>
      </c>
      <c r="Y5" s="86">
        <f t="shared" si="1"/>
        <v>24.717999999939693</v>
      </c>
      <c r="Z5" s="86">
        <f t="shared" si="1"/>
        <v>24.738999999953855</v>
      </c>
      <c r="AA5" s="86">
        <f t="shared" si="1"/>
        <v>24.97399999990261</v>
      </c>
      <c r="AB5" s="86">
        <f t="shared" si="1"/>
        <v>25.067000000062393</v>
      </c>
      <c r="AC5" s="86">
        <f t="shared" si="1"/>
        <v>25.14699999989563</v>
      </c>
      <c r="AD5" s="86">
        <f t="shared" si="1"/>
        <v>25.202000000011843</v>
      </c>
      <c r="AE5" s="86">
        <f t="shared" si="1"/>
        <v>25.238000000033491</v>
      </c>
      <c r="AF5" s="86">
        <f t="shared" si="1"/>
        <v>25.255000000082823</v>
      </c>
      <c r="AG5" s="86">
        <f t="shared" si="1"/>
        <v>25.285000000063821</v>
      </c>
      <c r="AH5" s="86">
        <f t="shared" si="1"/>
        <v>25.312000000076168</v>
      </c>
      <c r="AI5" s="86">
        <f t="shared" si="1"/>
        <v>25.344000000101829</v>
      </c>
      <c r="AJ5" s="86">
        <f t="shared" si="1"/>
        <v>25.360000000155242</v>
      </c>
      <c r="AK5" s="86">
        <f t="shared" si="1"/>
        <v>25.406000000042226</v>
      </c>
      <c r="AL5" s="86">
        <f t="shared" si="1"/>
        <v>25.419999999964574</v>
      </c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  <c r="BM5" s="11"/>
      <c r="BN5" s="11"/>
      <c r="BO5" s="11"/>
      <c r="BP5" s="11"/>
      <c r="BQ5" s="11"/>
      <c r="BS5" s="11"/>
      <c r="BT5" s="11"/>
      <c r="BU5" s="11"/>
      <c r="BV5" s="11"/>
      <c r="BW5" s="11"/>
      <c r="BX5" s="11"/>
      <c r="BY5" s="11"/>
      <c r="BZ5" s="11"/>
      <c r="CA5" s="11"/>
      <c r="CB5" s="11"/>
      <c r="CC5" s="11"/>
      <c r="CD5" s="11"/>
      <c r="CE5" s="11"/>
      <c r="CF5" s="11"/>
      <c r="CG5" s="11"/>
      <c r="CH5" s="11"/>
      <c r="CI5" s="11"/>
      <c r="CJ5" s="11"/>
      <c r="CK5" s="11"/>
      <c r="CL5" s="11"/>
      <c r="CM5" s="11"/>
      <c r="CN5" s="11"/>
      <c r="CO5" s="11"/>
      <c r="CP5" s="11"/>
      <c r="CQ5" s="11"/>
      <c r="CR5" s="11"/>
    </row>
    <row r="6" spans="1:96" x14ac:dyDescent="0.2">
      <c r="L6" s="82" t="str">
        <f>'Ind T4'!A8</f>
        <v>Agriculture</v>
      </c>
      <c r="M6" s="11">
        <v>10.407999999947899</v>
      </c>
      <c r="N6" s="11">
        <v>17.189000000108724</v>
      </c>
      <c r="O6" s="11">
        <v>5.846000000002495</v>
      </c>
      <c r="P6" s="11">
        <v>9.1729999998904059</v>
      </c>
      <c r="Q6" s="11">
        <v>12.800000000002639</v>
      </c>
      <c r="R6" s="11">
        <v>7.5630000000325035</v>
      </c>
      <c r="S6" s="11">
        <v>4.9390000000159713</v>
      </c>
      <c r="T6" s="11">
        <v>7.9769999999540886</v>
      </c>
      <c r="U6" s="11">
        <v>10.737000000129482</v>
      </c>
      <c r="V6" s="11">
        <v>5.6520000000104469</v>
      </c>
      <c r="W6" s="11">
        <v>5.4509999999013061</v>
      </c>
      <c r="X6" s="11">
        <v>5.4939999999436644</v>
      </c>
      <c r="Y6" s="11">
        <v>5.5309999999559976</v>
      </c>
      <c r="Z6" s="11">
        <v>5.5929999999462732</v>
      </c>
      <c r="AA6" s="11">
        <v>5.6319999999292962</v>
      </c>
      <c r="AB6" s="11">
        <v>5.6419999998911603</v>
      </c>
      <c r="AC6" s="11">
        <v>5.657999999825515</v>
      </c>
      <c r="AD6" s="11">
        <v>5.673999999944499</v>
      </c>
      <c r="AE6" s="11">
        <v>5.6849999999404774</v>
      </c>
      <c r="AF6" s="11">
        <v>5.6969999999611121</v>
      </c>
      <c r="AG6" s="11">
        <v>5.7159999999615367</v>
      </c>
      <c r="AH6" s="11">
        <v>5.7339999999768763</v>
      </c>
      <c r="AI6" s="11">
        <v>5.751999999970109</v>
      </c>
      <c r="AJ6" s="11">
        <v>5.7689999999793402</v>
      </c>
      <c r="AK6" s="171">
        <v>5.7839999998799296</v>
      </c>
      <c r="AL6" s="11">
        <v>5.7999999998997858</v>
      </c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  <c r="BM6" s="11"/>
      <c r="BN6" s="11"/>
      <c r="BO6" s="11"/>
      <c r="BP6" s="11"/>
      <c r="BQ6" s="11"/>
      <c r="BS6" s="11"/>
      <c r="BT6" s="11"/>
      <c r="BU6" s="11"/>
      <c r="BV6" s="11"/>
      <c r="BW6" s="11"/>
      <c r="BX6" s="11"/>
      <c r="BY6" s="11"/>
      <c r="BZ6" s="11"/>
      <c r="CA6" s="11"/>
      <c r="CB6" s="11"/>
      <c r="CC6" s="11"/>
      <c r="CD6" s="11"/>
      <c r="CE6" s="11"/>
      <c r="CF6" s="11"/>
      <c r="CG6" s="11"/>
      <c r="CH6" s="11"/>
      <c r="CI6" s="11"/>
      <c r="CJ6" s="11"/>
      <c r="CK6" s="11"/>
      <c r="CL6" s="11"/>
      <c r="CM6" s="11"/>
      <c r="CN6" s="11"/>
      <c r="CO6" s="11"/>
      <c r="CP6" s="11"/>
      <c r="CQ6" s="11"/>
      <c r="CR6" s="11"/>
    </row>
    <row r="7" spans="1:96" x14ac:dyDescent="0.2">
      <c r="L7" s="82" t="str">
        <f>'Ind T4'!A9</f>
        <v>Mining and quarrying</v>
      </c>
      <c r="M7" s="11">
        <v>2.5280000000027081</v>
      </c>
      <c r="N7" s="11">
        <v>2.8839999999956221</v>
      </c>
      <c r="O7" s="11">
        <v>2.6970000000011369</v>
      </c>
      <c r="P7" s="11">
        <v>2.6259999999910795</v>
      </c>
      <c r="Q7" s="11">
        <v>2.2010000000016237</v>
      </c>
      <c r="R7" s="11">
        <v>2.1220000000001642</v>
      </c>
      <c r="S7" s="11">
        <v>2.4939999999931195</v>
      </c>
      <c r="T7" s="11">
        <v>1.5439999999968277</v>
      </c>
      <c r="U7" s="11">
        <v>1.6140000000095249</v>
      </c>
      <c r="V7" s="11">
        <v>1.4599999999974611</v>
      </c>
      <c r="W7" s="11">
        <v>1.8109999999980091</v>
      </c>
      <c r="X7" s="11">
        <v>1.7620000000007983</v>
      </c>
      <c r="Y7" s="11">
        <v>1.7480000000081084</v>
      </c>
      <c r="Z7" s="11">
        <v>1.695000000004022</v>
      </c>
      <c r="AA7" s="11">
        <v>1.6390000000077676</v>
      </c>
      <c r="AB7" s="11">
        <v>1.5999999999931795</v>
      </c>
      <c r="AC7" s="11">
        <v>1.5739999999975665</v>
      </c>
      <c r="AD7" s="11">
        <v>1.5470000000004924</v>
      </c>
      <c r="AE7" s="11">
        <v>1.5229999999946389</v>
      </c>
      <c r="AF7" s="11">
        <v>1.5019999999904801</v>
      </c>
      <c r="AG7" s="11">
        <v>1.4849999999993075</v>
      </c>
      <c r="AH7" s="11">
        <v>1.4629999999961967</v>
      </c>
      <c r="AI7" s="11">
        <v>1.4449999999949696</v>
      </c>
      <c r="AJ7" s="11">
        <v>1.4259999999932413</v>
      </c>
      <c r="AK7" s="171">
        <v>1.4120000000000137</v>
      </c>
      <c r="AL7" s="11">
        <v>1.3979999999938684</v>
      </c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  <c r="BM7" s="11"/>
      <c r="BN7" s="11"/>
      <c r="BO7" s="11"/>
      <c r="BP7" s="11"/>
      <c r="BQ7" s="11"/>
      <c r="BS7" s="11"/>
      <c r="BT7" s="11"/>
      <c r="BU7" s="11"/>
      <c r="BV7" s="11"/>
      <c r="BW7" s="11"/>
      <c r="BX7" s="11"/>
      <c r="BY7" s="11"/>
      <c r="BZ7" s="11"/>
      <c r="CA7" s="11"/>
      <c r="CB7" s="11"/>
      <c r="CC7" s="11"/>
      <c r="CD7" s="11"/>
      <c r="CE7" s="11"/>
      <c r="CF7" s="11"/>
      <c r="CG7" s="11"/>
      <c r="CH7" s="11"/>
      <c r="CI7" s="11"/>
      <c r="CJ7" s="11"/>
      <c r="CK7" s="11"/>
      <c r="CL7" s="11"/>
      <c r="CM7" s="11"/>
      <c r="CN7" s="11"/>
      <c r="CO7" s="11"/>
      <c r="CP7" s="11"/>
      <c r="CQ7" s="11"/>
      <c r="CR7" s="11"/>
    </row>
    <row r="8" spans="1:96" x14ac:dyDescent="0.2">
      <c r="L8" s="82" t="str">
        <f>'Ind T4'!A10</f>
        <v>Electricity and gas</v>
      </c>
      <c r="M8" s="11">
        <v>7.9820000000236178</v>
      </c>
      <c r="N8" s="11">
        <v>6.0919999999520549</v>
      </c>
      <c r="O8" s="11">
        <v>7.9049999999533513</v>
      </c>
      <c r="P8" s="11">
        <v>8.5030000000122801</v>
      </c>
      <c r="Q8" s="11">
        <v>6.2029999999497845</v>
      </c>
      <c r="R8" s="11">
        <v>4.1479999999737878</v>
      </c>
      <c r="S8" s="11">
        <v>4.7999999999705993</v>
      </c>
      <c r="T8" s="11">
        <v>6.2920000000563787</v>
      </c>
      <c r="U8" s="11">
        <v>5.4789999999781074</v>
      </c>
      <c r="V8" s="11">
        <v>9.8579999999228942</v>
      </c>
      <c r="W8" s="11">
        <v>10.234999999929453</v>
      </c>
      <c r="X8" s="11">
        <v>10.22499999988726</v>
      </c>
      <c r="Y8" s="11">
        <v>10.083999999955742</v>
      </c>
      <c r="Z8" s="11">
        <v>10.052999999993352</v>
      </c>
      <c r="AA8" s="11">
        <v>10.062999999948531</v>
      </c>
      <c r="AB8" s="11">
        <v>10.067000000182878</v>
      </c>
      <c r="AC8" s="11">
        <v>10.067000000089218</v>
      </c>
      <c r="AD8" s="11">
        <v>10.076000000069618</v>
      </c>
      <c r="AE8" s="11">
        <v>10.084000000116751</v>
      </c>
      <c r="AF8" s="11">
        <v>10.10000000015356</v>
      </c>
      <c r="AG8" s="11">
        <v>10.119000000097232</v>
      </c>
      <c r="AH8" s="11">
        <v>10.144000000106185</v>
      </c>
      <c r="AI8" s="11">
        <v>10.169000000137354</v>
      </c>
      <c r="AJ8" s="11">
        <v>10.196000000175623</v>
      </c>
      <c r="AK8" s="171">
        <v>10.225000000120005</v>
      </c>
      <c r="AL8" s="11">
        <v>10.257000000087229</v>
      </c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  <c r="BM8" s="11"/>
      <c r="BN8" s="11"/>
      <c r="BO8" s="11"/>
      <c r="BP8" s="11"/>
      <c r="BQ8" s="11"/>
      <c r="BS8" s="11"/>
      <c r="BT8" s="11"/>
      <c r="BU8" s="11"/>
      <c r="BV8" s="11"/>
      <c r="BW8" s="11"/>
      <c r="BX8" s="11"/>
      <c r="BY8" s="11"/>
      <c r="BZ8" s="11"/>
      <c r="CA8" s="11"/>
      <c r="CB8" s="11"/>
      <c r="CC8" s="11"/>
      <c r="CD8" s="11"/>
      <c r="CE8" s="11"/>
      <c r="CF8" s="11"/>
      <c r="CG8" s="11"/>
      <c r="CH8" s="11"/>
      <c r="CI8" s="11"/>
      <c r="CJ8" s="11"/>
      <c r="CK8" s="11"/>
      <c r="CL8" s="11"/>
      <c r="CM8" s="11"/>
      <c r="CN8" s="11"/>
      <c r="CO8" s="11"/>
      <c r="CP8" s="11"/>
      <c r="CQ8" s="11"/>
      <c r="CR8" s="11"/>
    </row>
    <row r="9" spans="1:96" x14ac:dyDescent="0.2">
      <c r="L9" s="82" t="str">
        <f>'Ind T4'!A11</f>
        <v>Water and sewerage</v>
      </c>
      <c r="M9" s="11">
        <v>4.4299999999905282</v>
      </c>
      <c r="N9" s="11">
        <v>6.8850000000046929</v>
      </c>
      <c r="O9" s="11">
        <v>6.7799999999887737</v>
      </c>
      <c r="P9" s="11">
        <v>5.974999999945295</v>
      </c>
      <c r="Q9" s="11">
        <v>6.3480000000054311</v>
      </c>
      <c r="R9" s="11">
        <v>6.5030000000021211</v>
      </c>
      <c r="S9" s="11">
        <v>6.3219999999877201</v>
      </c>
      <c r="T9" s="11">
        <v>9.0159999999600355</v>
      </c>
      <c r="U9" s="11">
        <v>10.366000000066814</v>
      </c>
      <c r="V9" s="11">
        <v>6.8869999999880784</v>
      </c>
      <c r="W9" s="11">
        <v>7.5839999999815424</v>
      </c>
      <c r="X9" s="11">
        <v>7.4179999999887061</v>
      </c>
      <c r="Y9" s="11">
        <v>7.3550000000198468</v>
      </c>
      <c r="Z9" s="11">
        <v>7.3980000000102084</v>
      </c>
      <c r="AA9" s="11">
        <v>7.6400000000170163</v>
      </c>
      <c r="AB9" s="11">
        <v>7.7579999999951728</v>
      </c>
      <c r="AC9" s="11">
        <v>7.8479999999833341</v>
      </c>
      <c r="AD9" s="11">
        <v>7.9049999999972336</v>
      </c>
      <c r="AE9" s="11">
        <v>7.9459999999816233</v>
      </c>
      <c r="AF9" s="11">
        <v>7.9559999999776716</v>
      </c>
      <c r="AG9" s="11">
        <v>7.9650000000057446</v>
      </c>
      <c r="AH9" s="11">
        <v>7.9709999999969092</v>
      </c>
      <c r="AI9" s="11">
        <v>7.9779999999993976</v>
      </c>
      <c r="AJ9" s="11">
        <v>7.96900000000704</v>
      </c>
      <c r="AK9" s="171">
        <v>7.9850000000422749</v>
      </c>
      <c r="AL9" s="11">
        <v>7.9649999999836893</v>
      </c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  <c r="BC9" s="11"/>
      <c r="BD9" s="11"/>
      <c r="BE9" s="11"/>
      <c r="BF9" s="11"/>
      <c r="BG9" s="11"/>
      <c r="BH9" s="11"/>
      <c r="BI9" s="11"/>
      <c r="BJ9" s="11"/>
      <c r="BK9" s="11"/>
      <c r="BL9" s="11"/>
      <c r="BM9" s="11"/>
      <c r="BN9" s="11"/>
      <c r="BO9" s="11"/>
      <c r="BP9" s="11"/>
      <c r="BQ9" s="11"/>
      <c r="BS9" s="11"/>
      <c r="BT9" s="11"/>
      <c r="BU9" s="11"/>
      <c r="BV9" s="11"/>
      <c r="BW9" s="11"/>
      <c r="BX9" s="11"/>
      <c r="BY9" s="11"/>
      <c r="BZ9" s="11"/>
      <c r="CA9" s="11"/>
      <c r="CB9" s="11"/>
      <c r="CC9" s="11"/>
      <c r="CD9" s="11"/>
      <c r="CE9" s="11"/>
      <c r="CF9" s="11"/>
      <c r="CG9" s="11"/>
      <c r="CH9" s="11"/>
      <c r="CI9" s="11"/>
      <c r="CJ9" s="11"/>
      <c r="CK9" s="11"/>
      <c r="CL9" s="11"/>
      <c r="CM9" s="11"/>
      <c r="CN9" s="11"/>
      <c r="CO9" s="11"/>
      <c r="CP9" s="11"/>
      <c r="CQ9" s="11"/>
      <c r="CR9" s="11"/>
    </row>
    <row r="10" spans="1:96" x14ac:dyDescent="0.2">
      <c r="L10" s="13"/>
      <c r="AK10" s="171"/>
      <c r="AP10" s="11"/>
      <c r="BF10" s="11"/>
      <c r="BG10" s="11"/>
      <c r="BH10" s="11"/>
      <c r="BI10" s="11"/>
      <c r="BJ10" s="11"/>
      <c r="BK10" s="11"/>
      <c r="BL10" s="11"/>
      <c r="BM10" s="11"/>
      <c r="BN10" s="11"/>
      <c r="BO10" s="11"/>
      <c r="BP10" s="11"/>
      <c r="BQ10" s="11"/>
      <c r="BS10" s="11"/>
      <c r="BT10" s="11"/>
      <c r="BU10" s="11"/>
      <c r="BV10" s="11"/>
      <c r="BW10" s="11"/>
      <c r="BX10" s="11"/>
      <c r="BY10" s="11"/>
      <c r="BZ10" s="11"/>
      <c r="CA10" s="11"/>
      <c r="CB10" s="11"/>
      <c r="CC10" s="11"/>
      <c r="CD10" s="11"/>
      <c r="CE10" s="11"/>
      <c r="CF10" s="11"/>
      <c r="CG10" s="11"/>
      <c r="CH10" s="11"/>
      <c r="CI10" s="11"/>
      <c r="CJ10" s="11"/>
      <c r="CK10" s="11"/>
      <c r="CL10" s="11"/>
      <c r="CM10" s="11"/>
      <c r="CN10" s="11"/>
      <c r="CO10" s="11"/>
      <c r="CP10" s="11"/>
      <c r="CQ10" s="11"/>
      <c r="CR10" s="11"/>
    </row>
    <row r="11" spans="1:96" x14ac:dyDescent="0.2">
      <c r="L11" s="1" t="str">
        <f>'Ind T4'!A13</f>
        <v>Manufacturing</v>
      </c>
      <c r="M11" s="86">
        <f t="shared" ref="M11:P11" si="2">SUM(M12:M14)</f>
        <v>116.46199999990526</v>
      </c>
      <c r="N11" s="86">
        <f t="shared" si="2"/>
        <v>111.35400000020587</v>
      </c>
      <c r="O11" s="86">
        <f t="shared" si="2"/>
        <v>113.51799999951612</v>
      </c>
      <c r="P11" s="86">
        <f t="shared" si="2"/>
        <v>113.51199999909792</v>
      </c>
      <c r="Q11" s="86">
        <f>SUM(Q12:Q14)</f>
        <v>113.07199999988178</v>
      </c>
      <c r="R11" s="86">
        <f t="shared" ref="R11" si="3">SUM(R12:R14)</f>
        <v>122.03700000012461</v>
      </c>
      <c r="S11" s="86">
        <f t="shared" ref="S11" si="4">SUM(S12:S14)</f>
        <v>116.91000000015586</v>
      </c>
      <c r="T11" s="86">
        <f t="shared" ref="T11" si="5">SUM(T12:T14)</f>
        <v>126.0469999998565</v>
      </c>
      <c r="U11" s="86">
        <f t="shared" ref="U11" si="6">SUM(U12:U14)</f>
        <v>125.57100000089396</v>
      </c>
      <c r="V11" s="86">
        <f t="shared" ref="V11" si="7">SUM(V12:V14)</f>
        <v>110.95099999963999</v>
      </c>
      <c r="W11" s="86">
        <f t="shared" ref="W11" si="8">SUM(W12:W14)</f>
        <v>102.97199999972995</v>
      </c>
      <c r="X11" s="86">
        <f t="shared" ref="X11" si="9">SUM(X12:X14)</f>
        <v>104.16499999999596</v>
      </c>
      <c r="Y11" s="86">
        <f t="shared" ref="Y11" si="10">SUM(Y12:Y14)</f>
        <v>103.04500000073122</v>
      </c>
      <c r="Z11" s="86">
        <f t="shared" ref="Z11" si="11">SUM(Z12:Z14)</f>
        <v>102.25700000064275</v>
      </c>
      <c r="AA11" s="86">
        <f t="shared" ref="AA11" si="12">SUM(AA12:AA14)</f>
        <v>101.5320000006628</v>
      </c>
      <c r="AB11" s="86">
        <f t="shared" ref="AB11" si="13">SUM(AB12:AB14)</f>
        <v>100.48600000047473</v>
      </c>
      <c r="AC11" s="86">
        <f t="shared" ref="AC11" si="14">SUM(AC12:AC14)</f>
        <v>99.460999999953515</v>
      </c>
      <c r="AD11" s="86">
        <f>SUM(AD12:AD14)</f>
        <v>98.425000000163038</v>
      </c>
      <c r="AE11" s="86">
        <f t="shared" ref="AE11" si="15">SUM(AE12:AE14)</f>
        <v>97.424999999971945</v>
      </c>
      <c r="AF11" s="86">
        <f t="shared" ref="AF11" si="16">SUM(AF12:AF14)</f>
        <v>96.461999999815447</v>
      </c>
      <c r="AG11" s="86">
        <f t="shared" ref="AG11:AL11" si="17">SUM(AG12:AG14)</f>
        <v>95.621000000304747</v>
      </c>
      <c r="AH11" s="86">
        <f t="shared" si="17"/>
        <v>94.759000000024457</v>
      </c>
      <c r="AI11" s="86">
        <f t="shared" si="17"/>
        <v>93.926000000010163</v>
      </c>
      <c r="AJ11" s="86">
        <f t="shared" si="17"/>
        <v>93.124999999949551</v>
      </c>
      <c r="AK11" s="86">
        <f t="shared" si="17"/>
        <v>92.357000000297063</v>
      </c>
      <c r="AL11" s="86">
        <f t="shared" si="17"/>
        <v>91.615999999540549</v>
      </c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  <c r="BM11" s="11"/>
      <c r="BN11" s="11"/>
      <c r="BO11" s="11"/>
      <c r="BP11" s="11"/>
      <c r="BQ11" s="11"/>
      <c r="BS11" s="11"/>
      <c r="BT11" s="11"/>
      <c r="BU11" s="11"/>
      <c r="BV11" s="11"/>
      <c r="BW11" s="11"/>
      <c r="BX11" s="11"/>
      <c r="BY11" s="11"/>
      <c r="BZ11" s="11"/>
      <c r="CA11" s="11"/>
      <c r="CB11" s="11"/>
      <c r="CC11" s="11"/>
      <c r="CD11" s="11"/>
      <c r="CE11" s="11"/>
      <c r="CF11" s="11"/>
      <c r="CG11" s="11"/>
      <c r="CH11" s="11"/>
      <c r="CI11" s="11"/>
      <c r="CJ11" s="11"/>
      <c r="CK11" s="11"/>
      <c r="CL11" s="11"/>
      <c r="CM11" s="11"/>
      <c r="CN11" s="11"/>
      <c r="CO11" s="11"/>
      <c r="CP11" s="11"/>
      <c r="CQ11" s="11"/>
      <c r="CR11" s="11"/>
    </row>
    <row r="12" spans="1:96" x14ac:dyDescent="0.2">
      <c r="L12" s="82" t="str">
        <f>'Ind T4'!A14</f>
        <v>Food drink and tobacco</v>
      </c>
      <c r="M12" s="11">
        <v>13.120999999948593</v>
      </c>
      <c r="N12" s="11">
        <v>10.545000000073818</v>
      </c>
      <c r="O12" s="11">
        <v>12.468999999893969</v>
      </c>
      <c r="P12" s="11">
        <v>11.330999999861023</v>
      </c>
      <c r="Q12" s="11">
        <v>10.356000000014429</v>
      </c>
      <c r="R12" s="11">
        <v>11.212000000066105</v>
      </c>
      <c r="S12" s="11">
        <v>12.162000000128115</v>
      </c>
      <c r="T12" s="11">
        <v>11.206000000013109</v>
      </c>
      <c r="U12" s="11">
        <v>16.387000000248108</v>
      </c>
      <c r="V12" s="11">
        <v>12.574999999921447</v>
      </c>
      <c r="W12" s="11">
        <v>12.08899999995249</v>
      </c>
      <c r="X12" s="11">
        <v>12.110000000012624</v>
      </c>
      <c r="Y12" s="11">
        <v>12.140000000184024</v>
      </c>
      <c r="Z12" s="11">
        <v>12.238000000206524</v>
      </c>
      <c r="AA12" s="11">
        <v>12.24500000017734</v>
      </c>
      <c r="AB12" s="11">
        <v>12.193000000237667</v>
      </c>
      <c r="AC12" s="11">
        <v>12.176000000005301</v>
      </c>
      <c r="AD12" s="11">
        <v>12.145000000039158</v>
      </c>
      <c r="AE12" s="11">
        <v>12.109000000045691</v>
      </c>
      <c r="AF12" s="11">
        <v>12.070000000036041</v>
      </c>
      <c r="AG12" s="11">
        <v>12.034000000100052</v>
      </c>
      <c r="AH12" s="11">
        <v>11.999000000051421</v>
      </c>
      <c r="AI12" s="11">
        <v>11.960000000054059</v>
      </c>
      <c r="AJ12" s="11">
        <v>11.921000000050569</v>
      </c>
      <c r="AK12" s="171">
        <v>11.879000000123103</v>
      </c>
      <c r="AL12" s="11">
        <v>11.836999999912951</v>
      </c>
      <c r="AM12" s="11"/>
      <c r="AN12" s="11"/>
      <c r="AO12" s="11"/>
      <c r="AP12" s="11"/>
      <c r="AQ12" s="11"/>
      <c r="AR12" s="11"/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  <c r="BM12" s="11"/>
      <c r="BN12" s="11"/>
      <c r="BO12" s="11"/>
      <c r="BP12" s="11"/>
      <c r="BQ12" s="11"/>
      <c r="BS12" s="11"/>
      <c r="BT12" s="11"/>
      <c r="BU12" s="11"/>
      <c r="BV12" s="11"/>
      <c r="BW12" s="11"/>
      <c r="BX12" s="11"/>
      <c r="BY12" s="11"/>
      <c r="BZ12" s="11"/>
      <c r="CA12" s="11"/>
      <c r="CB12" s="11"/>
      <c r="CC12" s="11"/>
      <c r="CD12" s="11"/>
      <c r="CE12" s="11"/>
      <c r="CF12" s="11"/>
      <c r="CG12" s="11"/>
      <c r="CH12" s="11"/>
      <c r="CI12" s="11"/>
      <c r="CJ12" s="11"/>
      <c r="CK12" s="11"/>
      <c r="CL12" s="11"/>
      <c r="CM12" s="11"/>
      <c r="CN12" s="11"/>
      <c r="CO12" s="11"/>
      <c r="CP12" s="11"/>
      <c r="CQ12" s="11"/>
      <c r="CR12" s="11"/>
    </row>
    <row r="13" spans="1:96" x14ac:dyDescent="0.2">
      <c r="L13" s="82" t="str">
        <f>'Ind T4'!A15</f>
        <v>Engineering</v>
      </c>
      <c r="M13" s="11">
        <v>19.819000000022054</v>
      </c>
      <c r="N13" s="11">
        <v>22.106999999973038</v>
      </c>
      <c r="O13" s="11">
        <v>23.998999999871934</v>
      </c>
      <c r="P13" s="11">
        <v>21.151999999908913</v>
      </c>
      <c r="Q13" s="11">
        <v>20.164999999918685</v>
      </c>
      <c r="R13" s="11">
        <v>20.202999999951121</v>
      </c>
      <c r="S13" s="11">
        <v>18.801999999965993</v>
      </c>
      <c r="T13" s="11">
        <v>20.582000000008083</v>
      </c>
      <c r="U13" s="11">
        <v>21.716000000056795</v>
      </c>
      <c r="V13" s="11">
        <v>17.826999999924141</v>
      </c>
      <c r="W13" s="11">
        <v>16.679999999939167</v>
      </c>
      <c r="X13" s="11">
        <v>17.231999999960411</v>
      </c>
      <c r="Y13" s="11">
        <v>17.147000000069692</v>
      </c>
      <c r="Z13" s="11">
        <v>17.206000000064364</v>
      </c>
      <c r="AA13" s="11">
        <v>17.215000000062698</v>
      </c>
      <c r="AB13" s="11">
        <v>17.218000000096591</v>
      </c>
      <c r="AC13" s="11">
        <v>17.070000000030696</v>
      </c>
      <c r="AD13" s="11">
        <v>16.917000000052866</v>
      </c>
      <c r="AE13" s="11">
        <v>16.768000000025872</v>
      </c>
      <c r="AF13" s="11">
        <v>16.622000000015159</v>
      </c>
      <c r="AG13" s="11">
        <v>16.501000000073685</v>
      </c>
      <c r="AH13" s="11">
        <v>16.370000000030831</v>
      </c>
      <c r="AI13" s="11">
        <v>16.23900000003383</v>
      </c>
      <c r="AJ13" s="11">
        <v>16.107000000027675</v>
      </c>
      <c r="AK13" s="171">
        <v>15.97600000006344</v>
      </c>
      <c r="AL13" s="11">
        <v>15.845999999941995</v>
      </c>
      <c r="AM13" s="11"/>
      <c r="AN13" s="11"/>
      <c r="AO13" s="11"/>
      <c r="AP13" s="11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  <c r="BM13" s="11"/>
      <c r="BN13" s="11"/>
      <c r="BO13" s="11"/>
      <c r="BP13" s="11"/>
      <c r="BQ13" s="11"/>
      <c r="BS13" s="11"/>
      <c r="BT13" s="11"/>
      <c r="BU13" s="11"/>
      <c r="BV13" s="11"/>
      <c r="BW13" s="11"/>
      <c r="BX13" s="11"/>
      <c r="BY13" s="11"/>
      <c r="BZ13" s="11"/>
      <c r="CA13" s="11"/>
      <c r="CB13" s="11"/>
      <c r="CC13" s="11"/>
      <c r="CD13" s="11"/>
      <c r="CE13" s="11"/>
      <c r="CF13" s="11"/>
      <c r="CG13" s="11"/>
      <c r="CH13" s="11"/>
      <c r="CI13" s="11"/>
      <c r="CJ13" s="11"/>
      <c r="CK13" s="11"/>
      <c r="CL13" s="11"/>
      <c r="CM13" s="11"/>
      <c r="CN13" s="11"/>
      <c r="CO13" s="11"/>
      <c r="CP13" s="11"/>
      <c r="CQ13" s="11"/>
      <c r="CR13" s="11"/>
    </row>
    <row r="14" spans="1:96" x14ac:dyDescent="0.2">
      <c r="L14" s="82" t="str">
        <f>'Ind T4'!A16</f>
        <v>Rest of manufacturing</v>
      </c>
      <c r="M14" s="11">
        <v>83.521999999934607</v>
      </c>
      <c r="N14" s="11">
        <v>78.702000000159018</v>
      </c>
      <c r="O14" s="11">
        <v>77.049999999750227</v>
      </c>
      <c r="P14" s="11">
        <v>81.028999999327979</v>
      </c>
      <c r="Q14" s="11">
        <v>82.550999999948672</v>
      </c>
      <c r="R14" s="11">
        <v>90.622000000107377</v>
      </c>
      <c r="S14" s="11">
        <v>85.946000000061744</v>
      </c>
      <c r="T14" s="11">
        <v>94.258999999835297</v>
      </c>
      <c r="U14" s="11">
        <v>87.468000000589058</v>
      </c>
      <c r="V14" s="11">
        <v>80.548999999794404</v>
      </c>
      <c r="W14" s="11">
        <v>74.202999999838298</v>
      </c>
      <c r="X14" s="11">
        <v>74.823000000022915</v>
      </c>
      <c r="Y14" s="11">
        <v>73.758000000477509</v>
      </c>
      <c r="Z14" s="11">
        <v>72.813000000371858</v>
      </c>
      <c r="AA14" s="11">
        <v>72.072000000422776</v>
      </c>
      <c r="AB14" s="11">
        <v>71.075000000140477</v>
      </c>
      <c r="AC14" s="11">
        <v>70.214999999917524</v>
      </c>
      <c r="AD14" s="11">
        <v>69.363000000071011</v>
      </c>
      <c r="AE14" s="11">
        <v>68.547999999900384</v>
      </c>
      <c r="AF14" s="11">
        <v>67.769999999764238</v>
      </c>
      <c r="AG14" s="11">
        <v>67.086000000131008</v>
      </c>
      <c r="AH14" s="11">
        <v>66.389999999942205</v>
      </c>
      <c r="AI14" s="11">
        <v>65.72699999992227</v>
      </c>
      <c r="AJ14" s="11">
        <v>65.096999999871301</v>
      </c>
      <c r="AK14" s="171">
        <v>64.502000000110527</v>
      </c>
      <c r="AL14" s="11">
        <v>63.932999999685606</v>
      </c>
      <c r="AM14" s="11"/>
      <c r="AN14" s="11"/>
      <c r="AO14" s="11"/>
      <c r="AP14" s="11"/>
      <c r="AQ14" s="11"/>
      <c r="AR14" s="11"/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  <c r="BD14" s="11"/>
      <c r="BE14" s="11"/>
      <c r="BF14" s="11"/>
      <c r="BG14" s="11"/>
      <c r="BH14" s="11"/>
      <c r="BI14" s="11"/>
      <c r="BJ14" s="11"/>
      <c r="BK14" s="11"/>
      <c r="BL14" s="11"/>
      <c r="BM14" s="11"/>
      <c r="BN14" s="11"/>
      <c r="BO14" s="11"/>
      <c r="BP14" s="11"/>
      <c r="BQ14" s="11"/>
      <c r="BS14" s="11"/>
      <c r="BT14" s="11"/>
      <c r="BU14" s="11"/>
      <c r="BV14" s="11"/>
      <c r="BW14" s="11"/>
      <c r="BX14" s="11"/>
      <c r="BY14" s="11"/>
      <c r="BZ14" s="11"/>
      <c r="CA14" s="11"/>
      <c r="CB14" s="11"/>
      <c r="CC14" s="11"/>
      <c r="CD14" s="11"/>
      <c r="CE14" s="11"/>
      <c r="CF14" s="11"/>
      <c r="CG14" s="11"/>
      <c r="CH14" s="11"/>
      <c r="CI14" s="11"/>
      <c r="CJ14" s="11"/>
      <c r="CK14" s="11"/>
      <c r="CL14" s="11"/>
      <c r="CM14" s="11"/>
      <c r="CN14" s="11"/>
      <c r="CO14" s="11"/>
      <c r="CP14" s="11"/>
      <c r="CQ14" s="11"/>
      <c r="CR14" s="11"/>
    </row>
    <row r="15" spans="1:96" x14ac:dyDescent="0.2">
      <c r="L15" s="13"/>
      <c r="AK15" s="171"/>
      <c r="AP15" s="11"/>
      <c r="BF15" s="11"/>
      <c r="BG15" s="11"/>
      <c r="BH15" s="11"/>
      <c r="BI15" s="11"/>
      <c r="BJ15" s="11"/>
      <c r="BK15" s="11"/>
      <c r="BL15" s="11"/>
      <c r="BM15" s="11"/>
      <c r="BN15" s="11"/>
      <c r="BO15" s="11"/>
      <c r="BP15" s="11"/>
      <c r="BQ15" s="11"/>
      <c r="BS15" s="11"/>
      <c r="BT15" s="11"/>
      <c r="BU15" s="11"/>
      <c r="BV15" s="11"/>
      <c r="BW15" s="11"/>
      <c r="BX15" s="11"/>
      <c r="BY15" s="11"/>
      <c r="BZ15" s="11"/>
      <c r="CA15" s="11"/>
      <c r="CB15" s="11"/>
      <c r="CC15" s="11"/>
      <c r="CD15" s="11"/>
      <c r="CE15" s="11"/>
      <c r="CF15" s="11"/>
      <c r="CG15" s="11"/>
      <c r="CH15" s="11"/>
      <c r="CI15" s="11"/>
      <c r="CJ15" s="11"/>
      <c r="CK15" s="11"/>
      <c r="CL15" s="11"/>
      <c r="CM15" s="11"/>
      <c r="CN15" s="11"/>
      <c r="CO15" s="11"/>
      <c r="CP15" s="11"/>
      <c r="CQ15" s="11"/>
      <c r="CR15" s="11"/>
    </row>
    <row r="16" spans="1:96" x14ac:dyDescent="0.2">
      <c r="L16" s="1" t="str">
        <f>'Ind T4'!A18</f>
        <v>Construction</v>
      </c>
      <c r="M16" s="86">
        <v>84.206999999699008</v>
      </c>
      <c r="N16" s="86">
        <v>78.816000000302495</v>
      </c>
      <c r="O16" s="86">
        <v>74.371999999670223</v>
      </c>
      <c r="P16" s="86">
        <v>70.66499999867537</v>
      </c>
      <c r="Q16" s="86">
        <v>70.63499999980678</v>
      </c>
      <c r="R16" s="86">
        <v>66.990999999728743</v>
      </c>
      <c r="S16" s="86">
        <v>65.845999999572186</v>
      </c>
      <c r="T16" s="86">
        <v>66.819999999375582</v>
      </c>
      <c r="U16" s="86">
        <v>72.955000000898082</v>
      </c>
      <c r="V16" s="86">
        <v>72.67500000056009</v>
      </c>
      <c r="W16" s="86">
        <v>69.163999999273457</v>
      </c>
      <c r="X16" s="86">
        <v>67.606999999376939</v>
      </c>
      <c r="Y16" s="86">
        <v>67.369999998874846</v>
      </c>
      <c r="Z16" s="86">
        <v>66.972999998608216</v>
      </c>
      <c r="AA16" s="86">
        <v>66.823999998731125</v>
      </c>
      <c r="AB16" s="86">
        <v>66.884999997326702</v>
      </c>
      <c r="AC16" s="86">
        <v>66.882999997282496</v>
      </c>
      <c r="AD16" s="86">
        <v>66.734999997635413</v>
      </c>
      <c r="AE16" s="86">
        <v>66.654999996912991</v>
      </c>
      <c r="AF16" s="86">
        <v>66.532999997053381</v>
      </c>
      <c r="AG16" s="86">
        <v>66.485999997375828</v>
      </c>
      <c r="AH16" s="86">
        <v>66.444999997628003</v>
      </c>
      <c r="AI16" s="86">
        <v>66.414999997206664</v>
      </c>
      <c r="AJ16" s="86">
        <v>66.394999997172107</v>
      </c>
      <c r="AK16" s="355">
        <v>66.375999997539807</v>
      </c>
      <c r="AL16" s="86">
        <v>66.354999997656051</v>
      </c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  <c r="BG16" s="11"/>
      <c r="BH16" s="11"/>
      <c r="BI16" s="11"/>
      <c r="BJ16" s="11"/>
      <c r="BK16" s="11"/>
      <c r="BL16" s="11"/>
      <c r="BM16" s="11"/>
      <c r="BN16" s="11"/>
      <c r="BO16" s="11"/>
      <c r="BP16" s="11"/>
      <c r="BQ16" s="11"/>
      <c r="BS16" s="11"/>
      <c r="BT16" s="11"/>
      <c r="BU16" s="11"/>
      <c r="BV16" s="11"/>
      <c r="BW16" s="11"/>
      <c r="BX16" s="11"/>
      <c r="BY16" s="11"/>
      <c r="BZ16" s="11"/>
      <c r="CA16" s="11"/>
      <c r="CB16" s="11"/>
      <c r="CC16" s="11"/>
      <c r="CD16" s="11"/>
      <c r="CE16" s="11"/>
      <c r="CF16" s="11"/>
      <c r="CG16" s="11"/>
      <c r="CH16" s="11"/>
      <c r="CI16" s="11"/>
      <c r="CJ16" s="11"/>
      <c r="CK16" s="11"/>
      <c r="CL16" s="11"/>
      <c r="CM16" s="11"/>
      <c r="CN16" s="11"/>
      <c r="CO16" s="11"/>
      <c r="CP16" s="11"/>
      <c r="CQ16" s="11"/>
      <c r="CR16" s="11"/>
    </row>
    <row r="17" spans="12:96" x14ac:dyDescent="0.2">
      <c r="L17" s="13"/>
      <c r="AK17" s="171"/>
      <c r="AP17" s="11"/>
      <c r="BF17" s="11"/>
      <c r="BG17" s="11"/>
      <c r="BH17" s="11"/>
      <c r="BI17" s="11"/>
      <c r="BJ17" s="11"/>
      <c r="BK17" s="11"/>
      <c r="BL17" s="11"/>
      <c r="BM17" s="11"/>
      <c r="BN17" s="11"/>
      <c r="BO17" s="11"/>
      <c r="BP17" s="11"/>
      <c r="BQ17" s="11"/>
      <c r="BS17" s="11"/>
      <c r="BT17" s="11"/>
      <c r="BU17" s="11"/>
      <c r="BV17" s="11"/>
      <c r="BW17" s="11"/>
      <c r="BX17" s="11"/>
      <c r="BY17" s="11"/>
      <c r="BZ17" s="11"/>
      <c r="CA17" s="11"/>
      <c r="CB17" s="11"/>
      <c r="CC17" s="11"/>
      <c r="CD17" s="11"/>
      <c r="CE17" s="11"/>
      <c r="CF17" s="11"/>
      <c r="CG17" s="11"/>
      <c r="CH17" s="11"/>
      <c r="CI17" s="11"/>
      <c r="CJ17" s="11"/>
      <c r="CK17" s="11"/>
      <c r="CL17" s="11"/>
      <c r="CM17" s="11"/>
      <c r="CN17" s="11"/>
      <c r="CO17" s="11"/>
      <c r="CP17" s="11"/>
      <c r="CQ17" s="11"/>
      <c r="CR17" s="11"/>
    </row>
    <row r="18" spans="12:96" x14ac:dyDescent="0.2">
      <c r="L18" s="1" t="str">
        <f>'Ind T4'!A20</f>
        <v>Trade, accomod. and transport</v>
      </c>
      <c r="M18" s="86">
        <f t="shared" ref="M18:P18" si="18">SUM(M19:M21)</f>
        <v>272.44599999833287</v>
      </c>
      <c r="N18" s="86">
        <f t="shared" si="18"/>
        <v>288.79800000124663</v>
      </c>
      <c r="O18" s="86">
        <f t="shared" si="18"/>
        <v>272.1009999952156</v>
      </c>
      <c r="P18" s="86">
        <f t="shared" si="18"/>
        <v>290.88799999669891</v>
      </c>
      <c r="Q18" s="86">
        <f>SUM(Q19:Q21)</f>
        <v>298.22500000286499</v>
      </c>
      <c r="R18" s="86">
        <f t="shared" ref="R18" si="19">SUM(R19:R21)</f>
        <v>311.50100000559627</v>
      </c>
      <c r="S18" s="86">
        <f t="shared" ref="S18" si="20">SUM(S19:S21)</f>
        <v>301.96500000610587</v>
      </c>
      <c r="T18" s="86">
        <f t="shared" ref="T18" si="21">SUM(T19:T21)</f>
        <v>308.71900000377406</v>
      </c>
      <c r="U18" s="86">
        <f t="shared" ref="U18" si="22">SUM(U19:U21)</f>
        <v>305.11100000520418</v>
      </c>
      <c r="V18" s="86">
        <f t="shared" ref="V18" si="23">SUM(V19:V21)</f>
        <v>326.36800000044593</v>
      </c>
      <c r="W18" s="86">
        <f t="shared" ref="W18" si="24">SUM(W19:W21)</f>
        <v>324.45500000108882</v>
      </c>
      <c r="X18" s="86">
        <f t="shared" ref="X18" si="25">SUM(X19:X21)</f>
        <v>320.95099999939094</v>
      </c>
      <c r="Y18" s="86">
        <f t="shared" ref="Y18" si="26">SUM(Y19:Y21)</f>
        <v>321.43600000764229</v>
      </c>
      <c r="Z18" s="86">
        <f t="shared" ref="Z18" si="27">SUM(Z19:Z21)</f>
        <v>323.34000000975618</v>
      </c>
      <c r="AA18" s="86">
        <f t="shared" ref="AA18" si="28">SUM(AA19:AA21)</f>
        <v>325.96800000833798</v>
      </c>
      <c r="AB18" s="86">
        <f t="shared" ref="AB18" si="29">SUM(AB19:AB21)</f>
        <v>328.38100000981746</v>
      </c>
      <c r="AC18" s="86">
        <f t="shared" ref="AC18" si="30">SUM(AC19:AC21)</f>
        <v>330.33900000190738</v>
      </c>
      <c r="AD18" s="86">
        <f>SUM(AD19:AD21)</f>
        <v>332.13900000312447</v>
      </c>
      <c r="AE18" s="86">
        <f t="shared" ref="AE18" si="31">SUM(AE19:AE21)</f>
        <v>333.85300000448672</v>
      </c>
      <c r="AF18" s="86">
        <f t="shared" ref="AF18" si="32">SUM(AF19:AF21)</f>
        <v>335.5310000041261</v>
      </c>
      <c r="AG18" s="86">
        <f t="shared" ref="AG18:AL18" si="33">SUM(AG19:AG21)</f>
        <v>337.22500000445325</v>
      </c>
      <c r="AH18" s="86">
        <f t="shared" si="33"/>
        <v>338.88600000437157</v>
      </c>
      <c r="AI18" s="86">
        <f t="shared" si="33"/>
        <v>340.50800000400869</v>
      </c>
      <c r="AJ18" s="86">
        <f t="shared" si="33"/>
        <v>342.18000000370319</v>
      </c>
      <c r="AK18" s="86">
        <f t="shared" si="33"/>
        <v>343.77900000535362</v>
      </c>
      <c r="AL18" s="86">
        <f t="shared" si="33"/>
        <v>345.32299999881729</v>
      </c>
      <c r="AM18" s="11"/>
      <c r="AN18" s="11"/>
      <c r="AO18" s="11"/>
      <c r="AP18" s="11"/>
      <c r="AQ18" s="11"/>
      <c r="AR18" s="11"/>
      <c r="AS18" s="11"/>
      <c r="AT18" s="11"/>
      <c r="AU18" s="11"/>
      <c r="AV18" s="11"/>
      <c r="AW18" s="11"/>
      <c r="AX18" s="11"/>
      <c r="AY18" s="11"/>
      <c r="AZ18" s="11"/>
      <c r="BA18" s="11"/>
      <c r="BB18" s="11"/>
      <c r="BC18" s="11"/>
      <c r="BD18" s="11"/>
      <c r="BE18" s="11"/>
      <c r="BF18" s="11"/>
      <c r="BG18" s="11"/>
      <c r="BH18" s="11"/>
      <c r="BI18" s="11"/>
      <c r="BJ18" s="11"/>
      <c r="BK18" s="11"/>
      <c r="BL18" s="11"/>
      <c r="BM18" s="11"/>
      <c r="BN18" s="11"/>
      <c r="BO18" s="11"/>
      <c r="BP18" s="11"/>
      <c r="BQ18" s="11"/>
      <c r="BS18" s="11"/>
      <c r="BT18" s="11"/>
      <c r="BU18" s="11"/>
      <c r="BV18" s="11"/>
      <c r="BW18" s="11"/>
      <c r="BX18" s="11"/>
      <c r="BY18" s="11"/>
      <c r="BZ18" s="11"/>
      <c r="CA18" s="11"/>
      <c r="CB18" s="11"/>
      <c r="CC18" s="11"/>
      <c r="CD18" s="11"/>
      <c r="CE18" s="11"/>
      <c r="CF18" s="11"/>
      <c r="CG18" s="11"/>
      <c r="CH18" s="11"/>
      <c r="CI18" s="11"/>
      <c r="CJ18" s="11"/>
      <c r="CK18" s="11"/>
      <c r="CL18" s="11"/>
      <c r="CM18" s="11"/>
      <c r="CN18" s="11"/>
      <c r="CO18" s="11"/>
      <c r="CP18" s="11"/>
      <c r="CQ18" s="11"/>
      <c r="CR18" s="11"/>
    </row>
    <row r="19" spans="12:96" x14ac:dyDescent="0.2">
      <c r="L19" s="82" t="str">
        <f>'Ind T4'!A21</f>
        <v>Wholesale and retail trade</v>
      </c>
      <c r="M19" s="11">
        <v>162.81299999899053</v>
      </c>
      <c r="N19" s="11">
        <v>161.4540000004518</v>
      </c>
      <c r="O19" s="11">
        <v>155.92899999664584</v>
      </c>
      <c r="P19" s="11">
        <v>158.65699999797886</v>
      </c>
      <c r="Q19" s="11">
        <v>175.4860000023898</v>
      </c>
      <c r="R19" s="11">
        <v>174.85700000374186</v>
      </c>
      <c r="S19" s="11">
        <v>167.43300000397562</v>
      </c>
      <c r="T19" s="11">
        <v>161.76100000299868</v>
      </c>
      <c r="U19" s="11">
        <v>158.80200000351368</v>
      </c>
      <c r="V19" s="11">
        <v>170.39800000086126</v>
      </c>
      <c r="W19" s="11">
        <v>170.4700000010169</v>
      </c>
      <c r="X19" s="11">
        <v>169.66699999905316</v>
      </c>
      <c r="Y19" s="11">
        <v>169.15500000458479</v>
      </c>
      <c r="Z19" s="11">
        <v>169.14100000598441</v>
      </c>
      <c r="AA19" s="11">
        <v>169.20800000505295</v>
      </c>
      <c r="AB19" s="11">
        <v>169.38800000605769</v>
      </c>
      <c r="AC19" s="11">
        <v>169.4720000012988</v>
      </c>
      <c r="AD19" s="11">
        <v>169.53300000183037</v>
      </c>
      <c r="AE19" s="11">
        <v>169.58300000253686</v>
      </c>
      <c r="AF19" s="11">
        <v>169.64100000236374</v>
      </c>
      <c r="AG19" s="11">
        <v>169.72500000232586</v>
      </c>
      <c r="AH19" s="11">
        <v>169.82400000239048</v>
      </c>
      <c r="AI19" s="11">
        <v>169.92200000201927</v>
      </c>
      <c r="AJ19" s="11">
        <v>170.10800000176923</v>
      </c>
      <c r="AK19" s="171">
        <v>170.27800000274874</v>
      </c>
      <c r="AL19" s="11">
        <v>170.43699999908375</v>
      </c>
      <c r="AM19" s="11"/>
      <c r="AN19" s="11"/>
      <c r="AO19" s="11"/>
      <c r="AP19" s="11"/>
      <c r="AQ19" s="11"/>
      <c r="AR19" s="11"/>
      <c r="AS19" s="11"/>
      <c r="AT19" s="11"/>
      <c r="AU19" s="11"/>
      <c r="AV19" s="11"/>
      <c r="AW19" s="11"/>
      <c r="AX19" s="11"/>
      <c r="AY19" s="11"/>
      <c r="AZ19" s="11"/>
      <c r="BA19" s="11"/>
      <c r="BB19" s="11"/>
      <c r="BC19" s="11"/>
      <c r="BD19" s="11"/>
      <c r="BE19" s="11"/>
      <c r="BF19" s="11"/>
      <c r="BG19" s="11"/>
      <c r="BH19" s="11"/>
      <c r="BI19" s="11"/>
      <c r="BJ19" s="11"/>
      <c r="BK19" s="11"/>
      <c r="BL19" s="11"/>
      <c r="BM19" s="11"/>
      <c r="BN19" s="11"/>
      <c r="BO19" s="11"/>
      <c r="BP19" s="11"/>
      <c r="BQ19" s="11"/>
      <c r="BS19" s="11"/>
      <c r="BT19" s="11"/>
      <c r="BU19" s="11"/>
      <c r="BV19" s="11"/>
      <c r="BW19" s="11"/>
      <c r="BX19" s="11"/>
      <c r="BY19" s="11"/>
      <c r="BZ19" s="11"/>
      <c r="CA19" s="11"/>
      <c r="CB19" s="11"/>
      <c r="CC19" s="11"/>
      <c r="CD19" s="11"/>
      <c r="CE19" s="11"/>
      <c r="CF19" s="11"/>
      <c r="CG19" s="11"/>
      <c r="CH19" s="11"/>
      <c r="CI19" s="11"/>
      <c r="CJ19" s="11"/>
      <c r="CK19" s="11"/>
      <c r="CL19" s="11"/>
      <c r="CM19" s="11"/>
      <c r="CN19" s="11"/>
      <c r="CO19" s="11"/>
      <c r="CP19" s="11"/>
      <c r="CQ19" s="11"/>
      <c r="CR19" s="11"/>
    </row>
    <row r="20" spans="12:96" x14ac:dyDescent="0.2">
      <c r="L20" s="82" t="str">
        <f>'Ind T4'!A22</f>
        <v>Transport and storage</v>
      </c>
      <c r="M20" s="11">
        <v>42.370999999397142</v>
      </c>
      <c r="N20" s="11">
        <v>53.663000000163855</v>
      </c>
      <c r="O20" s="11">
        <v>47.54799999925762</v>
      </c>
      <c r="P20" s="11">
        <v>51.705999999081122</v>
      </c>
      <c r="Q20" s="11">
        <v>50.12500000012286</v>
      </c>
      <c r="R20" s="11">
        <v>50.688000000389223</v>
      </c>
      <c r="S20" s="11">
        <v>52.050000000533032</v>
      </c>
      <c r="T20" s="11">
        <v>52.525999999304467</v>
      </c>
      <c r="U20" s="11">
        <v>64.085000000285703</v>
      </c>
      <c r="V20" s="11">
        <v>59.498999999342587</v>
      </c>
      <c r="W20" s="11">
        <v>61.093000000102215</v>
      </c>
      <c r="X20" s="11">
        <v>62.855000000723663</v>
      </c>
      <c r="Y20" s="11">
        <v>62.934000001388902</v>
      </c>
      <c r="Z20" s="11">
        <v>63.035000001358043</v>
      </c>
      <c r="AA20" s="11">
        <v>63.311000001385132</v>
      </c>
      <c r="AB20" s="11">
        <v>63.446000000786242</v>
      </c>
      <c r="AC20" s="11">
        <v>63.494000000158458</v>
      </c>
      <c r="AD20" s="11">
        <v>63.535000000422528</v>
      </c>
      <c r="AE20" s="11">
        <v>63.571000000468679</v>
      </c>
      <c r="AF20" s="11">
        <v>63.603000000134429</v>
      </c>
      <c r="AG20" s="11">
        <v>63.648000000684682</v>
      </c>
      <c r="AH20" s="11">
        <v>63.67500000034223</v>
      </c>
      <c r="AI20" s="11">
        <v>63.699000000343815</v>
      </c>
      <c r="AJ20" s="11">
        <v>63.718000000204263</v>
      </c>
      <c r="AK20" s="171">
        <v>63.729000000698953</v>
      </c>
      <c r="AL20" s="11">
        <v>63.739000000015331</v>
      </c>
      <c r="AM20" s="11"/>
      <c r="AN20" s="11"/>
      <c r="AO20" s="11"/>
      <c r="AP20" s="11"/>
      <c r="AQ20" s="11"/>
      <c r="AR20" s="11"/>
      <c r="AS20" s="11"/>
      <c r="AT20" s="11"/>
      <c r="AU20" s="11"/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  <c r="BM20" s="11"/>
      <c r="BN20" s="11"/>
      <c r="BO20" s="11"/>
      <c r="BP20" s="11"/>
      <c r="BQ20" s="11"/>
      <c r="BS20" s="11"/>
      <c r="BT20" s="11"/>
      <c r="BU20" s="11"/>
      <c r="BV20" s="11"/>
      <c r="BW20" s="11"/>
      <c r="BX20" s="11"/>
      <c r="BY20" s="11"/>
      <c r="BZ20" s="11"/>
      <c r="CA20" s="11"/>
      <c r="CB20" s="11"/>
      <c r="CC20" s="11"/>
      <c r="CD20" s="11"/>
      <c r="CE20" s="11"/>
      <c r="CF20" s="11"/>
      <c r="CG20" s="11"/>
      <c r="CH20" s="11"/>
      <c r="CI20" s="11"/>
      <c r="CJ20" s="11"/>
      <c r="CK20" s="11"/>
      <c r="CL20" s="11"/>
      <c r="CM20" s="11"/>
      <c r="CN20" s="11"/>
      <c r="CO20" s="11"/>
      <c r="CP20" s="11"/>
      <c r="CQ20" s="11"/>
      <c r="CR20" s="11"/>
    </row>
    <row r="21" spans="12:96" x14ac:dyDescent="0.2">
      <c r="L21" s="82" t="str">
        <f>'Ind T4'!A23</f>
        <v>Accommodation and food</v>
      </c>
      <c r="M21" s="11">
        <v>67.261999999945218</v>
      </c>
      <c r="N21" s="11">
        <v>73.681000000630959</v>
      </c>
      <c r="O21" s="11">
        <v>68.623999999312161</v>
      </c>
      <c r="P21" s="11">
        <v>80.524999999638922</v>
      </c>
      <c r="Q21" s="11">
        <v>72.614000000352334</v>
      </c>
      <c r="R21" s="11">
        <v>85.956000001465171</v>
      </c>
      <c r="S21" s="11">
        <v>82.482000001597214</v>
      </c>
      <c r="T21" s="11">
        <v>94.432000001470882</v>
      </c>
      <c r="U21" s="11">
        <v>82.224000001404775</v>
      </c>
      <c r="V21" s="11">
        <v>96.471000000242128</v>
      </c>
      <c r="W21" s="11">
        <v>92.891999999969698</v>
      </c>
      <c r="X21" s="11">
        <v>88.428999999614106</v>
      </c>
      <c r="Y21" s="11">
        <v>89.347000001668562</v>
      </c>
      <c r="Z21" s="11">
        <v>91.164000002413729</v>
      </c>
      <c r="AA21" s="11">
        <v>93.449000001899904</v>
      </c>
      <c r="AB21" s="11">
        <v>95.547000002973505</v>
      </c>
      <c r="AC21" s="11">
        <v>97.373000000450105</v>
      </c>
      <c r="AD21" s="11">
        <v>99.071000000871521</v>
      </c>
      <c r="AE21" s="11">
        <v>100.69900000148121</v>
      </c>
      <c r="AF21" s="11">
        <v>102.2870000016279</v>
      </c>
      <c r="AG21" s="11">
        <v>103.85200000144273</v>
      </c>
      <c r="AH21" s="11">
        <v>105.38700000163885</v>
      </c>
      <c r="AI21" s="11">
        <v>106.88700000164562</v>
      </c>
      <c r="AJ21" s="11">
        <v>108.35400000172973</v>
      </c>
      <c r="AK21" s="171">
        <v>109.77200000190589</v>
      </c>
      <c r="AL21" s="11">
        <v>111.1469999997182</v>
      </c>
      <c r="AM21" s="11"/>
      <c r="AN21" s="11"/>
      <c r="AO21" s="11"/>
      <c r="AP21" s="11"/>
      <c r="AQ21" s="11"/>
      <c r="AR21" s="11"/>
      <c r="AS21" s="11"/>
      <c r="AT21" s="11"/>
      <c r="AU21" s="11"/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  <c r="BG21" s="11"/>
      <c r="BH21" s="11"/>
      <c r="BI21" s="11"/>
      <c r="BJ21" s="11"/>
      <c r="BK21" s="11"/>
      <c r="BL21" s="11"/>
      <c r="BM21" s="11"/>
      <c r="BN21" s="11"/>
      <c r="BO21" s="11"/>
      <c r="BP21" s="11"/>
      <c r="BQ21" s="11"/>
      <c r="BS21" s="11"/>
      <c r="BT21" s="11"/>
      <c r="BU21" s="11"/>
      <c r="BV21" s="11"/>
      <c r="BW21" s="11"/>
      <c r="BX21" s="11"/>
      <c r="BY21" s="11"/>
      <c r="BZ21" s="11"/>
      <c r="CA21" s="11"/>
      <c r="CB21" s="11"/>
      <c r="CC21" s="11"/>
      <c r="CD21" s="11"/>
      <c r="CE21" s="11"/>
      <c r="CF21" s="11"/>
      <c r="CG21" s="11"/>
      <c r="CH21" s="11"/>
      <c r="CI21" s="11"/>
      <c r="CJ21" s="11"/>
      <c r="CK21" s="11"/>
      <c r="CL21" s="11"/>
      <c r="CM21" s="11"/>
      <c r="CN21" s="11"/>
      <c r="CO21" s="11"/>
      <c r="CP21" s="11"/>
      <c r="CQ21" s="11"/>
      <c r="CR21" s="11"/>
    </row>
    <row r="22" spans="12:96" x14ac:dyDescent="0.2">
      <c r="L22" s="13"/>
      <c r="AK22" s="171"/>
      <c r="AP22" s="11"/>
      <c r="BF22" s="11"/>
      <c r="BG22" s="11"/>
      <c r="BH22" s="11"/>
      <c r="BI22" s="11"/>
      <c r="BJ22" s="11"/>
      <c r="BK22" s="11"/>
      <c r="BL22" s="11"/>
      <c r="BM22" s="11"/>
      <c r="BN22" s="11"/>
      <c r="BO22" s="11"/>
      <c r="BP22" s="11"/>
      <c r="BQ22" s="11"/>
      <c r="BR22" s="11"/>
      <c r="BS22" s="11"/>
      <c r="BT22" s="11"/>
    </row>
    <row r="23" spans="12:96" x14ac:dyDescent="0.2">
      <c r="L23" s="1" t="str">
        <f>'Ind T4'!A25</f>
        <v>Business and other services</v>
      </c>
      <c r="M23" s="86">
        <f>SUM(M24:M31)</f>
        <v>286.52700000015386</v>
      </c>
      <c r="N23" s="86">
        <f t="shared" ref="N23:AL23" si="34">SUM(N24:N31)</f>
        <v>278.04399999832748</v>
      </c>
      <c r="O23" s="86">
        <f t="shared" si="34"/>
        <v>284.8369999992193</v>
      </c>
      <c r="P23" s="86">
        <f t="shared" si="34"/>
        <v>290.82599999973002</v>
      </c>
      <c r="Q23" s="86">
        <f t="shared" si="34"/>
        <v>293.59199999903689</v>
      </c>
      <c r="R23" s="86">
        <f t="shared" si="34"/>
        <v>318.98199999946166</v>
      </c>
      <c r="S23" s="86">
        <f t="shared" si="34"/>
        <v>301.06199999881551</v>
      </c>
      <c r="T23" s="86">
        <f t="shared" si="34"/>
        <v>293.36700000075666</v>
      </c>
      <c r="U23" s="86">
        <f t="shared" si="34"/>
        <v>316.24399999997331</v>
      </c>
      <c r="V23" s="86">
        <f t="shared" si="34"/>
        <v>308.32999999960094</v>
      </c>
      <c r="W23" s="86">
        <f t="shared" si="34"/>
        <v>301.06899999909416</v>
      </c>
      <c r="X23" s="86">
        <f t="shared" si="34"/>
        <v>301.4209999978562</v>
      </c>
      <c r="Y23" s="86">
        <f t="shared" si="34"/>
        <v>300.22100000053149</v>
      </c>
      <c r="Z23" s="86">
        <f t="shared" si="34"/>
        <v>301.12600000067084</v>
      </c>
      <c r="AA23" s="86">
        <f t="shared" si="34"/>
        <v>302.69100000051554</v>
      </c>
      <c r="AB23" s="86">
        <f t="shared" si="34"/>
        <v>303.93300000331487</v>
      </c>
      <c r="AC23" s="86">
        <f t="shared" si="34"/>
        <v>305.32500000378633</v>
      </c>
      <c r="AD23" s="86">
        <f t="shared" si="34"/>
        <v>306.6970000044476</v>
      </c>
      <c r="AE23" s="86">
        <f t="shared" si="34"/>
        <v>308.0830000043984</v>
      </c>
      <c r="AF23" s="86">
        <f t="shared" si="34"/>
        <v>309.50400000499246</v>
      </c>
      <c r="AG23" s="86">
        <f t="shared" si="34"/>
        <v>311.03000000484462</v>
      </c>
      <c r="AH23" s="86">
        <f t="shared" si="34"/>
        <v>312.54000000457012</v>
      </c>
      <c r="AI23" s="86">
        <f t="shared" si="34"/>
        <v>314.07400000531482</v>
      </c>
      <c r="AJ23" s="86">
        <f t="shared" si="34"/>
        <v>315.61300000583009</v>
      </c>
      <c r="AK23" s="86">
        <f t="shared" si="34"/>
        <v>317.14000000504439</v>
      </c>
      <c r="AL23" s="86">
        <f t="shared" si="34"/>
        <v>318.65200000145637</v>
      </c>
      <c r="AM23" s="11"/>
      <c r="AN23" s="11"/>
      <c r="AO23" s="11"/>
      <c r="AP23" s="11"/>
      <c r="AQ23" s="11"/>
      <c r="AR23" s="11"/>
      <c r="AS23" s="11"/>
      <c r="AT23" s="11"/>
      <c r="AU23" s="11"/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  <c r="BM23" s="11"/>
      <c r="BN23" s="11"/>
      <c r="BO23" s="11"/>
      <c r="BP23" s="11"/>
      <c r="BQ23" s="11"/>
      <c r="BR23" s="11"/>
      <c r="BS23" s="11"/>
      <c r="BT23" s="11"/>
    </row>
    <row r="24" spans="12:96" x14ac:dyDescent="0.2">
      <c r="L24" s="82" t="str">
        <f>'Ind T4'!A26</f>
        <v>Media</v>
      </c>
      <c r="M24" s="11">
        <v>4.6669999999821385</v>
      </c>
      <c r="N24" s="11">
        <v>5.0869999999766611</v>
      </c>
      <c r="O24" s="11">
        <v>3.9289999999975631</v>
      </c>
      <c r="P24" s="11">
        <v>7.8180000000004322</v>
      </c>
      <c r="Q24" s="11">
        <v>5.3169999999924151</v>
      </c>
      <c r="R24" s="11">
        <v>7.8250000000005118</v>
      </c>
      <c r="S24" s="11">
        <v>4.8659999999540284</v>
      </c>
      <c r="T24" s="11">
        <v>6.9370000000563286</v>
      </c>
      <c r="U24" s="11">
        <v>3.5330000000045567</v>
      </c>
      <c r="V24" s="11">
        <v>9.1439999999976784</v>
      </c>
      <c r="W24" s="11">
        <v>8.8949999999797331</v>
      </c>
      <c r="X24" s="11">
        <v>8.7949999998932711</v>
      </c>
      <c r="Y24" s="11">
        <v>8.7669999999889523</v>
      </c>
      <c r="Z24" s="11">
        <v>8.7349999999485988</v>
      </c>
      <c r="AA24" s="11">
        <v>8.7149999999931822</v>
      </c>
      <c r="AB24" s="11">
        <v>8.7439999999353351</v>
      </c>
      <c r="AC24" s="11">
        <v>8.7620000001283476</v>
      </c>
      <c r="AD24" s="11">
        <v>8.7730000002604704</v>
      </c>
      <c r="AE24" s="11">
        <v>8.7910000002105875</v>
      </c>
      <c r="AF24" s="11">
        <v>8.8050000002214812</v>
      </c>
      <c r="AG24" s="11">
        <v>8.8200000002387267</v>
      </c>
      <c r="AH24" s="11">
        <v>8.8300000002273951</v>
      </c>
      <c r="AI24" s="11">
        <v>8.8450000002511029</v>
      </c>
      <c r="AJ24" s="11">
        <v>8.8570000002644633</v>
      </c>
      <c r="AK24" s="171">
        <v>8.8720000001446238</v>
      </c>
      <c r="AL24" s="11">
        <v>8.8840000000381973</v>
      </c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11"/>
      <c r="AZ24" s="11"/>
      <c r="BA24" s="11"/>
      <c r="BB24" s="11"/>
      <c r="BC24" s="11"/>
      <c r="BD24" s="11"/>
      <c r="BE24" s="11"/>
      <c r="BF24" s="11"/>
      <c r="BG24" s="11"/>
      <c r="BH24" s="11"/>
      <c r="BI24" s="11"/>
      <c r="BJ24" s="11"/>
      <c r="BK24" s="11"/>
      <c r="BL24" s="11"/>
      <c r="BM24" s="11"/>
      <c r="BN24" s="11"/>
      <c r="BO24" s="11"/>
      <c r="BP24" s="11"/>
      <c r="BQ24" s="11"/>
      <c r="BR24" s="11"/>
      <c r="BS24" s="11"/>
      <c r="BT24" s="11"/>
    </row>
    <row r="25" spans="12:96" x14ac:dyDescent="0.2">
      <c r="L25" s="82" t="str">
        <f>'Ind T4'!A27</f>
        <v>Information technology</v>
      </c>
      <c r="M25" s="11">
        <v>26.876000000065044</v>
      </c>
      <c r="N25" s="11">
        <v>29.039999999554929</v>
      </c>
      <c r="O25" s="11">
        <v>26.575999999853707</v>
      </c>
      <c r="P25" s="11">
        <v>25.043000000110904</v>
      </c>
      <c r="Q25" s="11">
        <v>24.293999999773462</v>
      </c>
      <c r="R25" s="11">
        <v>28.204999999688201</v>
      </c>
      <c r="S25" s="11">
        <v>25.924999999634345</v>
      </c>
      <c r="T25" s="11">
        <v>31.396000000299455</v>
      </c>
      <c r="U25" s="11">
        <v>34.071999999617752</v>
      </c>
      <c r="V25" s="11">
        <v>29.431999999776014</v>
      </c>
      <c r="W25" s="11">
        <v>25.47499999979382</v>
      </c>
      <c r="X25" s="11">
        <v>26.209999999549499</v>
      </c>
      <c r="Y25" s="11">
        <v>26.486999999725523</v>
      </c>
      <c r="Z25" s="11">
        <v>27.030999999778</v>
      </c>
      <c r="AA25" s="11">
        <v>27.456999999682544</v>
      </c>
      <c r="AB25" s="11">
        <v>27.810000000448834</v>
      </c>
      <c r="AC25" s="11">
        <v>28.145000000517925</v>
      </c>
      <c r="AD25" s="11">
        <v>28.445000000472636</v>
      </c>
      <c r="AE25" s="11">
        <v>28.731000000548214</v>
      </c>
      <c r="AF25" s="11">
        <v>29.011000000721435</v>
      </c>
      <c r="AG25" s="11">
        <v>29.31100000051164</v>
      </c>
      <c r="AH25" s="11">
        <v>29.602000000556181</v>
      </c>
      <c r="AI25" s="11">
        <v>29.890000000694105</v>
      </c>
      <c r="AJ25" s="11">
        <v>30.170000000846962</v>
      </c>
      <c r="AK25" s="171">
        <v>30.436000000574843</v>
      </c>
      <c r="AL25" s="11">
        <v>30.689000000358785</v>
      </c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  <c r="BM25" s="11"/>
      <c r="BN25" s="11"/>
      <c r="BO25" s="11"/>
      <c r="BP25" s="11"/>
      <c r="BQ25" s="11"/>
      <c r="BR25" s="11"/>
      <c r="BS25" s="11"/>
      <c r="BT25" s="11"/>
    </row>
    <row r="26" spans="12:96" x14ac:dyDescent="0.2">
      <c r="L26" s="82" t="str">
        <f>'Ind T4'!A28</f>
        <v>Finance and insurance</v>
      </c>
      <c r="M26" s="11">
        <v>26.321000000005139</v>
      </c>
      <c r="N26" s="11">
        <v>26.651999999807821</v>
      </c>
      <c r="O26" s="11">
        <v>24.040999999846466</v>
      </c>
      <c r="P26" s="11">
        <v>23.906999999966072</v>
      </c>
      <c r="Q26" s="11">
        <v>26.533999999800312</v>
      </c>
      <c r="R26" s="11">
        <v>26.168999999849351</v>
      </c>
      <c r="S26" s="11">
        <v>26.32399999979075</v>
      </c>
      <c r="T26" s="11">
        <v>24.392000000025604</v>
      </c>
      <c r="U26" s="11">
        <v>27.207999999824292</v>
      </c>
      <c r="V26" s="11">
        <v>24.832999999834986</v>
      </c>
      <c r="W26" s="11">
        <v>23.084999999885827</v>
      </c>
      <c r="X26" s="11">
        <v>23.916999999725594</v>
      </c>
      <c r="Y26" s="11">
        <v>23.932999999952116</v>
      </c>
      <c r="Z26" s="11">
        <v>23.942999999944078</v>
      </c>
      <c r="AA26" s="11">
        <v>23.898999999935462</v>
      </c>
      <c r="AB26" s="11">
        <v>23.889000000319875</v>
      </c>
      <c r="AC26" s="11">
        <v>23.905000000485565</v>
      </c>
      <c r="AD26" s="11">
        <v>23.921000000463025</v>
      </c>
      <c r="AE26" s="11">
        <v>23.931000000416329</v>
      </c>
      <c r="AF26" s="11">
        <v>23.940000000526204</v>
      </c>
      <c r="AG26" s="11">
        <v>23.955000000490973</v>
      </c>
      <c r="AH26" s="11">
        <v>23.951000000464276</v>
      </c>
      <c r="AI26" s="11">
        <v>23.94800000054402</v>
      </c>
      <c r="AJ26" s="11">
        <v>23.945000000603379</v>
      </c>
      <c r="AK26" s="171">
        <v>23.940000000527274</v>
      </c>
      <c r="AL26" s="11">
        <v>23.938000000099546</v>
      </c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  <c r="BG26" s="11"/>
      <c r="BH26" s="11"/>
      <c r="BI26" s="11"/>
      <c r="BJ26" s="11"/>
      <c r="BK26" s="11"/>
      <c r="BL26" s="11"/>
      <c r="BM26" s="11"/>
      <c r="BN26" s="11"/>
      <c r="BO26" s="11"/>
      <c r="BP26" s="11"/>
      <c r="BQ26" s="11"/>
      <c r="BR26" s="11"/>
      <c r="BS26" s="11"/>
      <c r="BT26" s="11"/>
    </row>
    <row r="27" spans="12:96" x14ac:dyDescent="0.2">
      <c r="L27" s="82" t="str">
        <f>'Ind T4'!A29</f>
        <v>Real estate</v>
      </c>
      <c r="M27" s="11">
        <v>22.21500000002132</v>
      </c>
      <c r="N27" s="11">
        <v>16.585999999907159</v>
      </c>
      <c r="O27" s="11">
        <v>17.236999999872271</v>
      </c>
      <c r="P27" s="11">
        <v>20.041999999910455</v>
      </c>
      <c r="Q27" s="11">
        <v>20.789999999890689</v>
      </c>
      <c r="R27" s="11">
        <v>17.609999999974573</v>
      </c>
      <c r="S27" s="11">
        <v>17.159999999973842</v>
      </c>
      <c r="T27" s="11">
        <v>13.764000000023774</v>
      </c>
      <c r="U27" s="11">
        <v>17.969000000004197</v>
      </c>
      <c r="V27" s="11">
        <v>20.42399999993853</v>
      </c>
      <c r="W27" s="11">
        <v>18.573999999919479</v>
      </c>
      <c r="X27" s="11">
        <v>18.386999999863399</v>
      </c>
      <c r="Y27" s="11">
        <v>18.205000000074335</v>
      </c>
      <c r="Z27" s="11">
        <v>18.214000000102423</v>
      </c>
      <c r="AA27" s="11">
        <v>18.357000000073398</v>
      </c>
      <c r="AB27" s="11">
        <v>18.522000000260267</v>
      </c>
      <c r="AC27" s="11">
        <v>18.740000000151745</v>
      </c>
      <c r="AD27" s="11">
        <v>18.985000000216935</v>
      </c>
      <c r="AE27" s="11">
        <v>19.245000000225918</v>
      </c>
      <c r="AF27" s="11">
        <v>19.515000000267751</v>
      </c>
      <c r="AG27" s="11">
        <v>19.788000000273655</v>
      </c>
      <c r="AH27" s="11">
        <v>20.066000000254384</v>
      </c>
      <c r="AI27" s="11">
        <v>20.347000000290986</v>
      </c>
      <c r="AJ27" s="11">
        <v>20.631000000332101</v>
      </c>
      <c r="AK27" s="171">
        <v>20.913000000325471</v>
      </c>
      <c r="AL27" s="11">
        <v>21.197000000018889</v>
      </c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  <c r="BM27" s="11"/>
      <c r="BN27" s="11"/>
      <c r="BO27" s="11"/>
      <c r="BP27" s="11"/>
      <c r="BQ27" s="11"/>
      <c r="BR27" s="11"/>
      <c r="BS27" s="11"/>
      <c r="BT27" s="11"/>
    </row>
    <row r="28" spans="12:96" x14ac:dyDescent="0.2">
      <c r="L28" s="82" t="str">
        <f>'Ind T4'!A30</f>
        <v>Professional services</v>
      </c>
      <c r="M28" s="11">
        <v>69.732000000527734</v>
      </c>
      <c r="N28" s="11">
        <v>71.270999998867936</v>
      </c>
      <c r="O28" s="11">
        <v>67.011999999867101</v>
      </c>
      <c r="P28" s="11">
        <v>65.261000000404081</v>
      </c>
      <c r="Q28" s="11">
        <v>70.228999999411101</v>
      </c>
      <c r="R28" s="11">
        <v>80.351999999048971</v>
      </c>
      <c r="S28" s="11">
        <v>81.506999998855662</v>
      </c>
      <c r="T28" s="11">
        <v>59.726000000503099</v>
      </c>
      <c r="U28" s="11">
        <v>66.548999999298758</v>
      </c>
      <c r="V28" s="11">
        <v>68.207999999705365</v>
      </c>
      <c r="W28" s="11">
        <v>71.108999999742551</v>
      </c>
      <c r="X28" s="11">
        <v>71.927999998965319</v>
      </c>
      <c r="Y28" s="11">
        <v>72.05999999955651</v>
      </c>
      <c r="Z28" s="11">
        <v>72.36699999957213</v>
      </c>
      <c r="AA28" s="11">
        <v>72.746999999551235</v>
      </c>
      <c r="AB28" s="11">
        <v>73.075000001019859</v>
      </c>
      <c r="AC28" s="11">
        <v>73.365000001897229</v>
      </c>
      <c r="AD28" s="11">
        <v>73.687000001734475</v>
      </c>
      <c r="AE28" s="11">
        <v>74.040000001709984</v>
      </c>
      <c r="AF28" s="11">
        <v>74.430000002068837</v>
      </c>
      <c r="AG28" s="11">
        <v>74.859000001746992</v>
      </c>
      <c r="AH28" s="11">
        <v>75.296000001760589</v>
      </c>
      <c r="AI28" s="11">
        <v>75.739000002090947</v>
      </c>
      <c r="AJ28" s="11">
        <v>76.18700000234594</v>
      </c>
      <c r="AK28" s="171">
        <v>76.641000001910115</v>
      </c>
      <c r="AL28" s="11">
        <v>77.093000000910507</v>
      </c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  <c r="BM28" s="11"/>
      <c r="BN28" s="11"/>
      <c r="BO28" s="11"/>
      <c r="BP28" s="11"/>
      <c r="BQ28" s="11"/>
      <c r="BR28" s="11"/>
      <c r="BS28" s="11"/>
      <c r="BT28" s="11"/>
    </row>
    <row r="29" spans="12:96" x14ac:dyDescent="0.2">
      <c r="L29" s="82" t="str">
        <f>'Ind T4'!A31</f>
        <v>Support services</v>
      </c>
      <c r="M29" s="11">
        <v>80.045999999856676</v>
      </c>
      <c r="N29" s="11">
        <v>66.369000000465249</v>
      </c>
      <c r="O29" s="11">
        <v>82.743999999734186</v>
      </c>
      <c r="P29" s="11">
        <v>80.412999999519428</v>
      </c>
      <c r="Q29" s="11">
        <v>79.776000000107985</v>
      </c>
      <c r="R29" s="11">
        <v>85.496000000568472</v>
      </c>
      <c r="S29" s="11">
        <v>87.5110000007069</v>
      </c>
      <c r="T29" s="11">
        <v>95.163999999918431</v>
      </c>
      <c r="U29" s="11">
        <v>97.389000000995921</v>
      </c>
      <c r="V29" s="11">
        <v>89.171999999947872</v>
      </c>
      <c r="W29" s="11">
        <v>87.509999999800925</v>
      </c>
      <c r="X29" s="11">
        <v>88.003000000177039</v>
      </c>
      <c r="Y29" s="11">
        <v>88.450000000865828</v>
      </c>
      <c r="Z29" s="11">
        <v>88.560000000975577</v>
      </c>
      <c r="AA29" s="11">
        <v>88.927000000846178</v>
      </c>
      <c r="AB29" s="11">
        <v>89.225000000844602</v>
      </c>
      <c r="AC29" s="11">
        <v>89.575999999823466</v>
      </c>
      <c r="AD29" s="11">
        <v>89.918000000079743</v>
      </c>
      <c r="AE29" s="11">
        <v>90.250000000114838</v>
      </c>
      <c r="AF29" s="11">
        <v>90.585000000019761</v>
      </c>
      <c r="AG29" s="11">
        <v>90.929000000323086</v>
      </c>
      <c r="AH29" s="11">
        <v>91.25900000014353</v>
      </c>
      <c r="AI29" s="11">
        <v>91.584000000140009</v>
      </c>
      <c r="AJ29" s="11">
        <v>91.913000000092978</v>
      </c>
      <c r="AK29" s="171">
        <v>92.239000000428916</v>
      </c>
      <c r="AL29" s="11">
        <v>92.565999999639004</v>
      </c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  <c r="BM29" s="11"/>
      <c r="BN29" s="11"/>
      <c r="BO29" s="11"/>
      <c r="BP29" s="11"/>
      <c r="BQ29" s="11"/>
      <c r="BR29" s="11"/>
      <c r="BS29" s="11"/>
      <c r="BT29" s="11"/>
    </row>
    <row r="30" spans="12:96" x14ac:dyDescent="0.2">
      <c r="L30" s="82" t="str">
        <f>'Ind T4'!A32</f>
        <v>Arts and entertainment</v>
      </c>
      <c r="M30" s="11">
        <v>27.633999999845766</v>
      </c>
      <c r="N30" s="11">
        <v>29.013999999985359</v>
      </c>
      <c r="O30" s="11">
        <v>36.644000000043732</v>
      </c>
      <c r="P30" s="11">
        <v>37.971999999865147</v>
      </c>
      <c r="Q30" s="11">
        <v>31.245000000073397</v>
      </c>
      <c r="R30" s="11">
        <v>33.387000000208353</v>
      </c>
      <c r="S30" s="11">
        <v>30.201000000044353</v>
      </c>
      <c r="T30" s="11">
        <v>30.83799999994611</v>
      </c>
      <c r="U30" s="11">
        <v>29.576000000099697</v>
      </c>
      <c r="V30" s="11">
        <v>34.839000000201779</v>
      </c>
      <c r="W30" s="11">
        <v>32.683000000148347</v>
      </c>
      <c r="X30" s="11">
        <v>33.153000000014771</v>
      </c>
      <c r="Y30" s="11">
        <v>32.805000000400661</v>
      </c>
      <c r="Z30" s="11">
        <v>33.008000000438912</v>
      </c>
      <c r="AA30" s="11">
        <v>33.490000000472172</v>
      </c>
      <c r="AB30" s="11">
        <v>33.741000000543231</v>
      </c>
      <c r="AC30" s="11">
        <v>34.087000000560359</v>
      </c>
      <c r="AD30" s="11">
        <v>34.399000000625328</v>
      </c>
      <c r="AE30" s="11">
        <v>34.694000000674393</v>
      </c>
      <c r="AF30" s="11">
        <v>34.979000000621646</v>
      </c>
      <c r="AG30" s="11">
        <v>35.280000000704341</v>
      </c>
      <c r="AH30" s="11">
        <v>35.599000000623889</v>
      </c>
      <c r="AI30" s="11">
        <v>35.925000000699569</v>
      </c>
      <c r="AJ30" s="11">
        <v>36.259000000678832</v>
      </c>
      <c r="AK30" s="171">
        <v>36.587000000747892</v>
      </c>
      <c r="AL30" s="11">
        <v>36.913000000295199</v>
      </c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  <c r="AX30" s="11"/>
      <c r="AY30" s="11"/>
      <c r="AZ30" s="11"/>
      <c r="BA30" s="11"/>
      <c r="BB30" s="11"/>
      <c r="BC30" s="11"/>
      <c r="BD30" s="11"/>
      <c r="BE30" s="11"/>
      <c r="BF30" s="11"/>
      <c r="BG30" s="11"/>
      <c r="BH30" s="11"/>
      <c r="BI30" s="11"/>
      <c r="BJ30" s="11"/>
      <c r="BK30" s="11"/>
      <c r="BL30" s="11"/>
      <c r="BM30" s="11"/>
      <c r="BN30" s="11"/>
      <c r="BO30" s="11"/>
      <c r="BP30" s="11"/>
      <c r="BQ30" s="11"/>
      <c r="BR30" s="11"/>
      <c r="BS30" s="11"/>
      <c r="BT30" s="11"/>
    </row>
    <row r="31" spans="12:96" x14ac:dyDescent="0.2">
      <c r="L31" s="82" t="str">
        <f>'Ind T4'!A33</f>
        <v>Other services</v>
      </c>
      <c r="M31" s="11">
        <v>29.03599999985002</v>
      </c>
      <c r="N31" s="11">
        <v>34.024999999762358</v>
      </c>
      <c r="O31" s="11">
        <v>26.654000000004345</v>
      </c>
      <c r="P31" s="11">
        <v>30.369999999953528</v>
      </c>
      <c r="Q31" s="11">
        <v>35.406999999987512</v>
      </c>
      <c r="R31" s="11">
        <v>39.938000000123239</v>
      </c>
      <c r="S31" s="11">
        <v>27.567999999855648</v>
      </c>
      <c r="T31" s="11">
        <v>31.149999999983809</v>
      </c>
      <c r="U31" s="11">
        <v>39.94800000012809</v>
      </c>
      <c r="V31" s="11">
        <v>32.278000000198759</v>
      </c>
      <c r="W31" s="11">
        <v>33.737999999823501</v>
      </c>
      <c r="X31" s="11">
        <v>31.02799999966733</v>
      </c>
      <c r="Y31" s="11">
        <v>29.513999999967542</v>
      </c>
      <c r="Z31" s="11">
        <v>29.267999999911122</v>
      </c>
      <c r="AA31" s="11">
        <v>29.098999999961393</v>
      </c>
      <c r="AB31" s="11">
        <v>28.926999999942922</v>
      </c>
      <c r="AC31" s="11">
        <v>28.745000000221676</v>
      </c>
      <c r="AD31" s="11">
        <v>28.569000000594976</v>
      </c>
      <c r="AE31" s="11">
        <v>28.401000000498151</v>
      </c>
      <c r="AF31" s="11">
        <v>28.239000000545385</v>
      </c>
      <c r="AG31" s="11">
        <v>28.088000000555237</v>
      </c>
      <c r="AH31" s="11">
        <v>27.937000000539861</v>
      </c>
      <c r="AI31" s="11">
        <v>27.796000000604042</v>
      </c>
      <c r="AJ31" s="11">
        <v>27.651000000665409</v>
      </c>
      <c r="AK31" s="171">
        <v>27.512000000385314</v>
      </c>
      <c r="AL31" s="11">
        <v>27.372000000096246</v>
      </c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  <c r="AX31" s="11"/>
      <c r="AY31" s="11"/>
      <c r="AZ31" s="11"/>
      <c r="BA31" s="11"/>
      <c r="BB31" s="11"/>
      <c r="BC31" s="11"/>
      <c r="BD31" s="11"/>
      <c r="BE31" s="11"/>
      <c r="BF31" s="11"/>
      <c r="BG31" s="11"/>
      <c r="BH31" s="11"/>
      <c r="BI31" s="11"/>
      <c r="BJ31" s="11"/>
      <c r="BK31" s="11"/>
      <c r="BL31" s="11"/>
      <c r="BM31" s="11"/>
      <c r="BN31" s="11"/>
      <c r="BO31" s="11"/>
      <c r="BP31" s="11"/>
      <c r="BQ31" s="11"/>
      <c r="BR31" s="11"/>
      <c r="BS31" s="11"/>
      <c r="BT31" s="11"/>
    </row>
    <row r="32" spans="12:96" x14ac:dyDescent="0.2">
      <c r="L32" s="13"/>
      <c r="AK32" s="171"/>
      <c r="AP32" s="11"/>
      <c r="BF32" s="11"/>
      <c r="BG32" s="11"/>
      <c r="BH32" s="11"/>
      <c r="BI32" s="11"/>
      <c r="BJ32" s="11"/>
      <c r="BK32" s="11"/>
      <c r="BL32" s="11"/>
      <c r="BM32" s="11"/>
      <c r="BN32" s="11"/>
      <c r="BO32" s="11"/>
      <c r="BP32" s="11"/>
      <c r="BQ32" s="11"/>
      <c r="BR32" s="11"/>
      <c r="BS32" s="11"/>
      <c r="BT32" s="11"/>
    </row>
    <row r="33" spans="1:72" x14ac:dyDescent="0.2">
      <c r="L33" s="1" t="str">
        <f>'Ind T4'!A35</f>
        <v>Non-marketed services</v>
      </c>
      <c r="M33" s="86">
        <f>SUM(M34:M36)</f>
        <v>386.57700000077671</v>
      </c>
      <c r="N33" s="86">
        <f t="shared" ref="N33:P33" si="35">SUM(N34:N36)</f>
        <v>354.83699999867122</v>
      </c>
      <c r="O33" s="86">
        <f t="shared" si="35"/>
        <v>357.78100000537944</v>
      </c>
      <c r="P33" s="86">
        <f t="shared" si="35"/>
        <v>348.83400000477434</v>
      </c>
      <c r="Q33" s="86">
        <f>SUM(Q34:Q36)</f>
        <v>366.57999999916922</v>
      </c>
      <c r="R33" s="86">
        <f t="shared" ref="R33" si="36">SUM(R34:R36)</f>
        <v>367.85599999673241</v>
      </c>
      <c r="S33" s="86">
        <f t="shared" ref="S33" si="37">SUM(S34:S36)</f>
        <v>353.38099999614985</v>
      </c>
      <c r="T33" s="86">
        <f t="shared" ref="T33" si="38">SUM(T34:T36)</f>
        <v>357.53799999769376</v>
      </c>
      <c r="U33" s="86">
        <f t="shared" ref="U33" si="39">SUM(U34:U36)</f>
        <v>349.09099999310286</v>
      </c>
      <c r="V33" s="86">
        <f t="shared" ref="V33" si="40">SUM(V34:V36)</f>
        <v>352.6870000006121</v>
      </c>
      <c r="W33" s="86">
        <f t="shared" ref="W33" si="41">SUM(W34:W36)</f>
        <v>366.59800000129326</v>
      </c>
      <c r="X33" s="86">
        <f t="shared" ref="X33" si="42">SUM(X34:X36)</f>
        <v>371.47400000223195</v>
      </c>
      <c r="Y33" s="86">
        <f t="shared" ref="Y33" si="43">SUM(Y34:Y36)</f>
        <v>375.75099999302358</v>
      </c>
      <c r="Z33" s="86">
        <f t="shared" ref="Z33" si="44">SUM(Z34:Z36)</f>
        <v>378.46199999147143</v>
      </c>
      <c r="AA33" s="86">
        <f t="shared" ref="AA33" si="45">SUM(AA34:AA36)</f>
        <v>381.44099999275454</v>
      </c>
      <c r="AB33" s="86">
        <f t="shared" ref="AB33" si="46">SUM(AB34:AB36)</f>
        <v>384.02399998943622</v>
      </c>
      <c r="AC33" s="86">
        <f t="shared" ref="AC33" si="47">SUM(AC34:AC36)</f>
        <v>385.97299999736532</v>
      </c>
      <c r="AD33" s="86">
        <f t="shared" ref="AD33" si="48">SUM(AD34:AD36)</f>
        <v>387.85699999550081</v>
      </c>
      <c r="AE33" s="86">
        <f t="shared" ref="AE33" si="49">SUM(AE34:AE36)</f>
        <v>389.74099999501567</v>
      </c>
      <c r="AF33" s="86">
        <f t="shared" ref="AF33" si="50">SUM(AF34:AF36)</f>
        <v>391.66599999478439</v>
      </c>
      <c r="AG33" s="86">
        <f t="shared" ref="AG33:AL33" si="51">SUM(AG34:AG36)</f>
        <v>393.68499999353713</v>
      </c>
      <c r="AH33" s="86">
        <f t="shared" si="51"/>
        <v>395.66999999434023</v>
      </c>
      <c r="AI33" s="86">
        <f t="shared" si="51"/>
        <v>397.65199999417985</v>
      </c>
      <c r="AJ33" s="86">
        <f t="shared" si="51"/>
        <v>399.65199999400988</v>
      </c>
      <c r="AK33" s="86">
        <f t="shared" si="51"/>
        <v>401.64499999228735</v>
      </c>
      <c r="AL33" s="86">
        <f t="shared" si="51"/>
        <v>403.63100000277814</v>
      </c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  <c r="AX33" s="11"/>
      <c r="AY33" s="11"/>
      <c r="AZ33" s="11"/>
      <c r="BA33" s="11"/>
      <c r="BB33" s="11"/>
      <c r="BC33" s="11"/>
      <c r="BD33" s="11"/>
      <c r="BE33" s="11"/>
      <c r="BF33" s="11"/>
      <c r="BG33" s="11"/>
      <c r="BH33" s="11"/>
      <c r="BI33" s="11"/>
      <c r="BJ33" s="11"/>
      <c r="BK33" s="11"/>
      <c r="BL33" s="11"/>
      <c r="BM33" s="11"/>
      <c r="BN33" s="11"/>
      <c r="BO33" s="11"/>
      <c r="BP33" s="11"/>
      <c r="BQ33" s="11"/>
      <c r="BR33" s="11"/>
      <c r="BS33" s="11"/>
      <c r="BT33" s="11"/>
    </row>
    <row r="34" spans="1:72" x14ac:dyDescent="0.2">
      <c r="L34" s="82" t="str">
        <f>'Ind T4'!A36</f>
        <v>Public admin. and defence</v>
      </c>
      <c r="M34" s="11">
        <v>108.78199999979836</v>
      </c>
      <c r="N34" s="11">
        <v>89.183999999252094</v>
      </c>
      <c r="O34" s="11">
        <v>76.585000000062038</v>
      </c>
      <c r="P34" s="11">
        <v>75.028999999977557</v>
      </c>
      <c r="Q34" s="11">
        <v>72.415999999683081</v>
      </c>
      <c r="R34" s="11">
        <v>67.457999999465031</v>
      </c>
      <c r="S34" s="11">
        <v>67.324999999295443</v>
      </c>
      <c r="T34" s="11">
        <v>67.633999999882676</v>
      </c>
      <c r="U34" s="11">
        <v>64.313999999459682</v>
      </c>
      <c r="V34" s="11">
        <v>68.509999999851416</v>
      </c>
      <c r="W34" s="11">
        <v>70.491999999956889</v>
      </c>
      <c r="X34" s="11">
        <v>69.689999999471723</v>
      </c>
      <c r="Y34" s="11">
        <v>69.218999999636026</v>
      </c>
      <c r="Z34" s="11">
        <v>68.976999999498588</v>
      </c>
      <c r="AA34" s="11">
        <v>68.620999999632588</v>
      </c>
      <c r="AB34" s="11">
        <v>68.748000000034438</v>
      </c>
      <c r="AC34" s="11">
        <v>68.836000000941425</v>
      </c>
      <c r="AD34" s="11">
        <v>68.924000000802749</v>
      </c>
      <c r="AE34" s="11">
        <v>69.0090000006103</v>
      </c>
      <c r="AF34" s="11">
        <v>69.096000000811074</v>
      </c>
      <c r="AG34" s="11">
        <v>69.179000000719</v>
      </c>
      <c r="AH34" s="11">
        <v>69.254000000739779</v>
      </c>
      <c r="AI34" s="11">
        <v>69.322000000856903</v>
      </c>
      <c r="AJ34" s="11">
        <v>69.390000000958679</v>
      </c>
      <c r="AK34" s="171">
        <v>69.44900000080753</v>
      </c>
      <c r="AL34" s="11">
        <v>69.499000000265639</v>
      </c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  <c r="BG34" s="11"/>
      <c r="BH34" s="11"/>
      <c r="BI34" s="11"/>
      <c r="BJ34" s="11"/>
      <c r="BK34" s="11"/>
      <c r="BL34" s="11"/>
      <c r="BM34" s="11"/>
      <c r="BN34" s="11"/>
      <c r="BO34" s="11"/>
      <c r="BP34" s="11"/>
      <c r="BQ34" s="11"/>
      <c r="BR34" s="11"/>
      <c r="BS34" s="11"/>
      <c r="BT34" s="11"/>
    </row>
    <row r="35" spans="1:72" x14ac:dyDescent="0.2">
      <c r="L35" s="82" t="str">
        <f>'Ind T4'!A37</f>
        <v>Education</v>
      </c>
      <c r="M35" s="11">
        <v>105.48400000027748</v>
      </c>
      <c r="N35" s="11">
        <v>104.05200000016895</v>
      </c>
      <c r="O35" s="11">
        <v>112.28700000364239</v>
      </c>
      <c r="P35" s="11">
        <v>101.40200000340488</v>
      </c>
      <c r="Q35" s="11">
        <v>102.73100000058616</v>
      </c>
      <c r="R35" s="11">
        <v>108.41699999992581</v>
      </c>
      <c r="S35" s="11">
        <v>106.93499999906213</v>
      </c>
      <c r="T35" s="11">
        <v>103.88399999875823</v>
      </c>
      <c r="U35" s="11">
        <v>102.73899999694973</v>
      </c>
      <c r="V35" s="11">
        <v>107.63300000187928</v>
      </c>
      <c r="W35" s="11">
        <v>104.24300000191386</v>
      </c>
      <c r="X35" s="11">
        <v>106.61000000250331</v>
      </c>
      <c r="Y35" s="11">
        <v>108.95499999580977</v>
      </c>
      <c r="Z35" s="11">
        <v>109.7679999950729</v>
      </c>
      <c r="AA35" s="11">
        <v>110.47499999588969</v>
      </c>
      <c r="AB35" s="11">
        <v>110.93099999135777</v>
      </c>
      <c r="AC35" s="11">
        <v>111.15499999627814</v>
      </c>
      <c r="AD35" s="11">
        <v>111.41599999585948</v>
      </c>
      <c r="AE35" s="11">
        <v>111.70799999588826</v>
      </c>
      <c r="AF35" s="11">
        <v>112.04499999539809</v>
      </c>
      <c r="AG35" s="11">
        <v>112.49399999441489</v>
      </c>
      <c r="AH35" s="11">
        <v>112.93599999559095</v>
      </c>
      <c r="AI35" s="11">
        <v>113.38699999515926</v>
      </c>
      <c r="AJ35" s="11">
        <v>113.84699999502021</v>
      </c>
      <c r="AK35" s="171">
        <v>114.30699999401163</v>
      </c>
      <c r="AL35" s="11">
        <v>114.767000001966</v>
      </c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  <c r="BG35" s="11"/>
      <c r="BH35" s="11"/>
      <c r="BI35" s="11"/>
      <c r="BJ35" s="11"/>
      <c r="BK35" s="11"/>
      <c r="BL35" s="11"/>
      <c r="BM35" s="11"/>
      <c r="BN35" s="11"/>
      <c r="BO35" s="11"/>
      <c r="BP35" s="11"/>
      <c r="BQ35" s="11"/>
      <c r="BR35" s="11"/>
      <c r="BS35" s="11"/>
      <c r="BT35" s="11"/>
    </row>
    <row r="36" spans="1:72" x14ac:dyDescent="0.2">
      <c r="L36" s="82" t="str">
        <f>'Ind T4'!A38</f>
        <v>Health and social work</v>
      </c>
      <c r="M36" s="11">
        <v>172.31100000070083</v>
      </c>
      <c r="N36" s="11">
        <v>161.60099999925018</v>
      </c>
      <c r="O36" s="11">
        <v>168.909000001675</v>
      </c>
      <c r="P36" s="11">
        <v>172.40300000139189</v>
      </c>
      <c r="Q36" s="11">
        <v>191.43299999889993</v>
      </c>
      <c r="R36" s="11">
        <v>191.98099999734157</v>
      </c>
      <c r="S36" s="11">
        <v>179.1209999977923</v>
      </c>
      <c r="T36" s="11">
        <v>186.01999999905286</v>
      </c>
      <c r="U36" s="11">
        <v>182.0379999966934</v>
      </c>
      <c r="V36" s="11">
        <v>176.54399999888142</v>
      </c>
      <c r="W36" s="11">
        <v>191.86299999942253</v>
      </c>
      <c r="X36" s="11">
        <v>195.17400000025688</v>
      </c>
      <c r="Y36" s="11">
        <v>197.57699999757779</v>
      </c>
      <c r="Z36" s="11">
        <v>199.71699999689992</v>
      </c>
      <c r="AA36" s="11">
        <v>202.34499999723229</v>
      </c>
      <c r="AB36" s="11">
        <v>204.34499999804402</v>
      </c>
      <c r="AC36" s="11">
        <v>205.98200000014577</v>
      </c>
      <c r="AD36" s="11">
        <v>207.51699999883857</v>
      </c>
      <c r="AE36" s="11">
        <v>209.02399999851713</v>
      </c>
      <c r="AF36" s="11">
        <v>210.52499999857523</v>
      </c>
      <c r="AG36" s="11">
        <v>212.01199999840324</v>
      </c>
      <c r="AH36" s="11">
        <v>213.4799999980095</v>
      </c>
      <c r="AI36" s="11">
        <v>214.94299999816366</v>
      </c>
      <c r="AJ36" s="11">
        <v>216.41499999803102</v>
      </c>
      <c r="AK36" s="171">
        <v>217.8889999974682</v>
      </c>
      <c r="AL36" s="11">
        <v>219.36500000054653</v>
      </c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  <c r="BG36" s="11"/>
      <c r="BH36" s="11"/>
      <c r="BI36" s="11"/>
      <c r="BJ36" s="11"/>
      <c r="BK36" s="11"/>
      <c r="BL36" s="11"/>
      <c r="BM36" s="11"/>
      <c r="BN36" s="11"/>
      <c r="BO36" s="11"/>
      <c r="BP36" s="11"/>
      <c r="BQ36" s="11"/>
      <c r="BR36" s="11"/>
      <c r="BS36" s="11"/>
      <c r="BT36" s="11"/>
    </row>
    <row r="37" spans="1:72" x14ac:dyDescent="0.2">
      <c r="L37" s="44"/>
      <c r="AH37" s="11"/>
      <c r="AI37" s="11"/>
      <c r="AJ37" s="11"/>
      <c r="AK37" s="171"/>
      <c r="AL37" s="11"/>
      <c r="AM37" s="11"/>
      <c r="AP37" s="11"/>
      <c r="AQ37" s="11"/>
      <c r="AR37" s="11"/>
      <c r="AS37" s="11"/>
      <c r="AT37" s="11"/>
      <c r="AU37" s="11"/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  <c r="BG37" s="11"/>
      <c r="BH37" s="11"/>
      <c r="BI37" s="11"/>
      <c r="BJ37" s="11"/>
      <c r="BK37" s="11"/>
      <c r="BL37" s="11"/>
      <c r="BM37" s="11"/>
      <c r="BN37" s="11"/>
      <c r="BO37" s="11"/>
      <c r="BP37" s="11"/>
      <c r="BQ37" s="11"/>
      <c r="BR37" s="11"/>
      <c r="BS37" s="11"/>
      <c r="BT37" s="11"/>
    </row>
    <row r="38" spans="1:72" x14ac:dyDescent="0.2">
      <c r="L38" s="1" t="str">
        <f>'Ind T4'!A40</f>
        <v>All industries</v>
      </c>
      <c r="M38" s="86">
        <f>SUM(M5,M11,M16,M18,M23,M33)</f>
        <v>1171.5669999988324</v>
      </c>
      <c r="N38" s="86">
        <f t="shared" ref="N38:P38" si="52">SUM(N5,N11,N16,N18,N23,N33)</f>
        <v>1144.8989999988148</v>
      </c>
      <c r="O38" s="86">
        <f t="shared" si="52"/>
        <v>1125.8369999989463</v>
      </c>
      <c r="P38" s="86">
        <f t="shared" si="52"/>
        <v>1141.0019999988158</v>
      </c>
      <c r="Q38" s="86">
        <f>SUM(Q5,Q11,Q16,Q18,Q23,Q33)</f>
        <v>1169.6560000007191</v>
      </c>
      <c r="R38" s="86">
        <f t="shared" ref="R38:AL38" si="53">SUM(R5,R11,R16,R18,R23,R33)</f>
        <v>1207.7030000016521</v>
      </c>
      <c r="S38" s="86">
        <f t="shared" si="53"/>
        <v>1157.7190000007668</v>
      </c>
      <c r="T38" s="86">
        <f t="shared" si="53"/>
        <v>1177.320000001424</v>
      </c>
      <c r="U38" s="86">
        <f t="shared" si="53"/>
        <v>1197.1680000002561</v>
      </c>
      <c r="V38" s="86">
        <f t="shared" si="53"/>
        <v>1194.868000000778</v>
      </c>
      <c r="W38" s="86">
        <f t="shared" si="53"/>
        <v>1189.3390000002898</v>
      </c>
      <c r="X38" s="86">
        <f t="shared" si="53"/>
        <v>1190.5169999986724</v>
      </c>
      <c r="Y38" s="86">
        <f t="shared" si="53"/>
        <v>1192.5410000007432</v>
      </c>
      <c r="Z38" s="86">
        <f t="shared" si="53"/>
        <v>1196.8970000011032</v>
      </c>
      <c r="AA38" s="86">
        <f t="shared" si="53"/>
        <v>1203.4300000009046</v>
      </c>
      <c r="AB38" s="86">
        <f t="shared" si="53"/>
        <v>1208.7760000004323</v>
      </c>
      <c r="AC38" s="86">
        <f t="shared" si="53"/>
        <v>1213.1280000001907</v>
      </c>
      <c r="AD38" s="86">
        <f>SUM(AD5,AD11,AD16,AD18,AD23,AD33)</f>
        <v>1217.055000000883</v>
      </c>
      <c r="AE38" s="86">
        <f t="shared" si="53"/>
        <v>1220.9950000008193</v>
      </c>
      <c r="AF38" s="86">
        <f t="shared" si="53"/>
        <v>1224.9510000008545</v>
      </c>
      <c r="AG38" s="86">
        <f t="shared" si="53"/>
        <v>1229.3320000005795</v>
      </c>
      <c r="AH38" s="86">
        <f t="shared" si="53"/>
        <v>1233.6120000010105</v>
      </c>
      <c r="AI38" s="86">
        <f t="shared" si="53"/>
        <v>1237.9190000008221</v>
      </c>
      <c r="AJ38" s="86">
        <f t="shared" si="53"/>
        <v>1242.3250000008202</v>
      </c>
      <c r="AK38" s="86">
        <f t="shared" si="53"/>
        <v>1246.7030000005643</v>
      </c>
      <c r="AL38" s="86">
        <f t="shared" si="53"/>
        <v>1250.9970000002131</v>
      </c>
      <c r="AM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  <c r="BG38" s="11"/>
      <c r="BH38" s="11"/>
      <c r="BI38" s="11"/>
      <c r="BJ38" s="11"/>
      <c r="BK38" s="11"/>
      <c r="BL38" s="11"/>
      <c r="BM38" s="11"/>
      <c r="BN38" s="11"/>
      <c r="BO38" s="11"/>
      <c r="BP38" s="11"/>
      <c r="BQ38" s="11"/>
      <c r="BR38" s="11"/>
      <c r="BS38" s="11"/>
      <c r="BT38" s="11"/>
    </row>
    <row r="39" spans="1:72" x14ac:dyDescent="0.2">
      <c r="AD39" s="11"/>
      <c r="AE39" s="11"/>
      <c r="AF39" s="11"/>
      <c r="AG39" s="11"/>
      <c r="AH39" s="11"/>
      <c r="AI39" s="11"/>
      <c r="AL39" s="11"/>
      <c r="AM39" s="11"/>
      <c r="AN39" s="11"/>
      <c r="AO39" s="11"/>
      <c r="AP39" s="11"/>
      <c r="AQ39" s="11"/>
      <c r="AR39" s="11"/>
      <c r="AS39" s="11"/>
      <c r="AT39" s="11"/>
      <c r="AU39" s="11"/>
      <c r="AV39" s="11"/>
      <c r="AW39" s="11"/>
      <c r="AX39" s="11"/>
      <c r="AY39" s="11"/>
      <c r="AZ39" s="11"/>
      <c r="BA39" s="11"/>
      <c r="BB39" s="11"/>
      <c r="BC39" s="11"/>
      <c r="BD39" s="11"/>
      <c r="BE39" s="11"/>
      <c r="BF39" s="11"/>
      <c r="BG39" s="11"/>
      <c r="BH39" s="11"/>
      <c r="BI39" s="11"/>
      <c r="BJ39" s="11"/>
      <c r="BK39" s="11"/>
      <c r="BL39" s="11"/>
      <c r="BM39" s="11"/>
      <c r="BN39" s="11"/>
      <c r="BO39" s="11"/>
      <c r="BP39" s="11"/>
    </row>
    <row r="40" spans="1:72" x14ac:dyDescent="0.2">
      <c r="AD40" s="11"/>
      <c r="AE40" s="11"/>
      <c r="AF40" s="11"/>
      <c r="AG40" s="11"/>
      <c r="AH40" s="11"/>
      <c r="AI40" s="11"/>
      <c r="AL40" s="11"/>
      <c r="AM40" s="11"/>
      <c r="AN40" s="11"/>
      <c r="AO40" s="11"/>
      <c r="AP40" s="11"/>
      <c r="AQ40" s="11"/>
      <c r="AR40" s="11"/>
      <c r="AS40" s="11"/>
      <c r="AT40" s="11"/>
      <c r="AU40" s="11"/>
      <c r="AV40" s="11"/>
      <c r="AW40" s="11"/>
      <c r="AX40" s="11"/>
      <c r="AY40" s="11"/>
      <c r="AZ40" s="11"/>
      <c r="BA40" s="11"/>
      <c r="BB40" s="11"/>
      <c r="BC40" s="11"/>
      <c r="BD40" s="11"/>
      <c r="BE40" s="11"/>
      <c r="BF40" s="11"/>
      <c r="BG40" s="11"/>
      <c r="BH40" s="11"/>
      <c r="BI40" s="11"/>
      <c r="BJ40" s="11"/>
      <c r="BK40" s="11"/>
      <c r="BL40" s="11"/>
      <c r="BM40" s="11"/>
      <c r="BN40" s="11"/>
      <c r="BO40" s="11"/>
      <c r="BP40" s="11"/>
    </row>
    <row r="41" spans="1:72" x14ac:dyDescent="0.2">
      <c r="L41" t="str">
        <f>REPT(" ",11)</f>
        <v xml:space="preserve">           </v>
      </c>
      <c r="AF41" s="11"/>
      <c r="AG41" s="11"/>
      <c r="AH41" s="11"/>
      <c r="AI41" s="11"/>
      <c r="AL41" s="11"/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11"/>
      <c r="AZ41" s="11"/>
      <c r="BA41" s="11"/>
      <c r="BB41" s="11"/>
      <c r="BC41" s="11"/>
      <c r="BD41" s="11"/>
      <c r="BE41" s="11"/>
      <c r="BF41" s="11"/>
      <c r="BG41" s="11"/>
      <c r="BH41" s="11"/>
      <c r="BI41" s="11"/>
      <c r="BJ41" s="11"/>
      <c r="BK41" s="11"/>
      <c r="BL41" s="11"/>
      <c r="BM41" s="11"/>
      <c r="BN41" s="11"/>
      <c r="BO41" s="11"/>
      <c r="BP41" s="11"/>
    </row>
    <row r="42" spans="1:72" x14ac:dyDescent="0.2">
      <c r="AL42" s="11"/>
      <c r="AM42" s="11"/>
      <c r="AN42" s="11"/>
      <c r="AO42" s="11"/>
      <c r="AP42" s="11"/>
      <c r="AQ42" s="11"/>
      <c r="AR42" s="11"/>
      <c r="AS42" s="11"/>
      <c r="AT42" s="11"/>
      <c r="AU42" s="11"/>
      <c r="AV42" s="11"/>
      <c r="AW42" s="11"/>
      <c r="AX42" s="11"/>
      <c r="AY42" s="11"/>
      <c r="AZ42" s="11"/>
      <c r="BA42" s="11"/>
      <c r="BB42" s="11"/>
      <c r="BC42" s="11"/>
      <c r="BD42" s="11"/>
      <c r="BE42" s="11"/>
      <c r="BF42" s="11"/>
      <c r="BG42" s="11"/>
      <c r="BH42" s="11"/>
      <c r="BI42" s="11"/>
      <c r="BJ42" s="11"/>
      <c r="BK42" s="11"/>
      <c r="BL42" s="11"/>
      <c r="BM42" s="11"/>
      <c r="BN42" s="11"/>
      <c r="BO42" s="11"/>
      <c r="BP42" s="11"/>
    </row>
    <row r="43" spans="1:72" x14ac:dyDescent="0.2">
      <c r="AL43" s="11"/>
      <c r="AM43" s="11"/>
      <c r="AN43" s="11"/>
      <c r="AO43" s="11"/>
      <c r="AP43" s="11"/>
      <c r="AQ43" s="11"/>
      <c r="AR43" s="11"/>
      <c r="AS43" s="11"/>
      <c r="AT43" s="11"/>
      <c r="AU43" s="11"/>
      <c r="AV43" s="11"/>
      <c r="AW43" s="11"/>
      <c r="AX43" s="11"/>
      <c r="AY43" s="11"/>
      <c r="AZ43" s="11"/>
      <c r="BA43" s="11"/>
      <c r="BB43" s="11"/>
      <c r="BC43" s="11"/>
      <c r="BD43" s="11"/>
      <c r="BE43" s="11"/>
      <c r="BF43" s="11"/>
      <c r="BG43" s="11"/>
      <c r="BH43" s="11"/>
      <c r="BI43" s="11"/>
      <c r="BJ43" s="11"/>
      <c r="BK43" s="11"/>
      <c r="BL43" s="11"/>
      <c r="BM43" s="11"/>
      <c r="BN43" s="11"/>
      <c r="BO43" s="11"/>
      <c r="BP43" s="11"/>
    </row>
    <row r="44" spans="1:72" x14ac:dyDescent="0.2"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AZ44" s="11"/>
      <c r="BA44" s="11"/>
      <c r="BB44" s="11"/>
      <c r="BC44" s="11"/>
      <c r="BD44" s="11"/>
      <c r="BE44" s="11"/>
      <c r="BF44" s="11"/>
      <c r="BG44" s="11"/>
      <c r="BH44" s="11"/>
      <c r="BI44" s="11"/>
      <c r="BJ44" s="11"/>
      <c r="BK44" s="11"/>
      <c r="BL44" s="11"/>
      <c r="BM44" s="11"/>
      <c r="BN44" s="11"/>
      <c r="BO44" s="11"/>
      <c r="BP44" s="11"/>
    </row>
    <row r="45" spans="1:72" x14ac:dyDescent="0.2">
      <c r="AL45" s="11"/>
      <c r="AM45" s="11"/>
      <c r="AN45" s="11"/>
      <c r="AO45" s="11"/>
      <c r="AP45" s="11"/>
      <c r="AQ45" s="11"/>
      <c r="AR45" s="11"/>
      <c r="AS45" s="11"/>
      <c r="AT45" s="11"/>
      <c r="AU45" s="11"/>
      <c r="AV45" s="11"/>
      <c r="AW45" s="11"/>
      <c r="AX45" s="11"/>
      <c r="AY45" s="11"/>
      <c r="AZ45" s="11"/>
      <c r="BA45" s="11"/>
      <c r="BB45" s="11"/>
      <c r="BC45" s="11"/>
      <c r="BD45" s="11"/>
      <c r="BE45" s="11"/>
      <c r="BF45" s="11"/>
      <c r="BG45" s="11"/>
      <c r="BH45" s="11"/>
      <c r="BI45" s="11"/>
      <c r="BJ45" s="11"/>
      <c r="BK45" s="11"/>
      <c r="BL45" s="11"/>
      <c r="BM45" s="11"/>
      <c r="BN45" s="11"/>
      <c r="BO45" s="11"/>
      <c r="BP45" s="11"/>
    </row>
    <row r="46" spans="1:72" x14ac:dyDescent="0.2">
      <c r="AL46" s="11"/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11"/>
      <c r="AY46" s="11"/>
      <c r="AZ46" s="11"/>
      <c r="BA46" s="11"/>
      <c r="BB46" s="11"/>
      <c r="BC46" s="11"/>
      <c r="BD46" s="11"/>
      <c r="BE46" s="11"/>
      <c r="BF46" s="11"/>
      <c r="BG46" s="11"/>
      <c r="BH46" s="11"/>
      <c r="BI46" s="11"/>
      <c r="BJ46" s="11"/>
      <c r="BK46" s="11"/>
      <c r="BL46" s="11"/>
      <c r="BM46" s="11"/>
      <c r="BN46" s="11"/>
      <c r="BO46" s="11"/>
      <c r="BP46" s="11"/>
    </row>
    <row r="47" spans="1:72" ht="15.75" x14ac:dyDescent="0.25">
      <c r="A47" s="79" t="str">
        <f>CONCATENATE("Industry Figure 2.1  Change in Employment in ",$L$5,", ",$M$2,"-",$O$2,", ",Info!B5)</f>
        <v>Industry Figure 2.1  Change in Employment in Primary sector and utilities, 2010-2035, North East</v>
      </c>
      <c r="AL47" s="11"/>
      <c r="AM47" s="11"/>
      <c r="AN47" s="11"/>
      <c r="AO47" s="11"/>
      <c r="AP47" s="11"/>
      <c r="AQ47" s="11"/>
      <c r="AR47" s="11"/>
      <c r="AS47" s="11"/>
      <c r="AT47" s="11"/>
      <c r="AU47" s="11"/>
      <c r="AV47" s="11"/>
      <c r="AW47" s="11"/>
      <c r="AX47" s="11"/>
      <c r="AY47" s="11"/>
      <c r="AZ47" s="11"/>
      <c r="BA47" s="11"/>
      <c r="BB47" s="11"/>
      <c r="BC47" s="11"/>
      <c r="BD47" s="11"/>
      <c r="BE47" s="11"/>
      <c r="BF47" s="11"/>
      <c r="BG47" s="11"/>
      <c r="BH47" s="11"/>
      <c r="BI47" s="11"/>
      <c r="BJ47" s="11"/>
      <c r="BK47" s="11"/>
      <c r="BL47" s="11"/>
      <c r="BM47" s="11"/>
      <c r="BN47" s="11"/>
      <c r="BO47" s="11"/>
      <c r="BP47" s="11"/>
    </row>
    <row r="48" spans="1:72" x14ac:dyDescent="0.2">
      <c r="AL48" s="11"/>
      <c r="AM48" s="11"/>
      <c r="AN48" s="11"/>
      <c r="AO48" s="11"/>
      <c r="AP48" s="11"/>
      <c r="AQ48" s="11"/>
      <c r="AR48" s="11"/>
      <c r="AS48" s="11"/>
      <c r="AT48" s="11"/>
      <c r="AU48" s="11"/>
      <c r="AV48" s="11"/>
      <c r="AW48" s="11"/>
      <c r="AX48" s="11"/>
      <c r="AY48" s="11"/>
      <c r="AZ48" s="11"/>
      <c r="BA48" s="11"/>
      <c r="BB48" s="11"/>
      <c r="BC48" s="11"/>
      <c r="BD48" s="11"/>
      <c r="BE48" s="11"/>
      <c r="BF48" s="11"/>
      <c r="BG48" s="11"/>
      <c r="BH48" s="11"/>
      <c r="BI48" s="11"/>
      <c r="BJ48" s="11"/>
      <c r="BK48" s="11"/>
      <c r="BL48" s="11"/>
      <c r="BM48" s="11"/>
      <c r="BN48" s="11"/>
      <c r="BO48" s="11"/>
      <c r="BP48" s="11"/>
    </row>
    <row r="49" spans="38:68" x14ac:dyDescent="0.2">
      <c r="AL49" s="11"/>
      <c r="AM49" s="11"/>
      <c r="AN49" s="11"/>
      <c r="AO49" s="11"/>
      <c r="AP49" s="11"/>
      <c r="AQ49" s="11"/>
      <c r="AR49" s="11"/>
      <c r="AS49" s="11"/>
      <c r="AT49" s="11"/>
      <c r="AU49" s="11"/>
      <c r="AV49" s="11"/>
      <c r="AW49" s="11"/>
      <c r="AX49" s="11"/>
      <c r="AY49" s="11"/>
      <c r="AZ49" s="11"/>
      <c r="BA49" s="11"/>
      <c r="BB49" s="11"/>
      <c r="BC49" s="11"/>
      <c r="BD49" s="11"/>
      <c r="BE49" s="11"/>
      <c r="BF49" s="11"/>
      <c r="BG49" s="11"/>
      <c r="BH49" s="11"/>
      <c r="BI49" s="11"/>
      <c r="BJ49" s="11"/>
      <c r="BK49" s="11"/>
      <c r="BL49" s="11"/>
      <c r="BM49" s="11"/>
      <c r="BN49" s="11"/>
      <c r="BO49" s="11"/>
      <c r="BP49" s="11"/>
    </row>
    <row r="50" spans="38:68" x14ac:dyDescent="0.2">
      <c r="AL50" s="11"/>
      <c r="AM50" s="11"/>
      <c r="AN50" s="11"/>
      <c r="AO50" s="11"/>
      <c r="AP50" s="11"/>
      <c r="AQ50" s="11"/>
      <c r="AR50" s="11"/>
      <c r="AS50" s="11"/>
      <c r="AT50" s="11"/>
      <c r="AU50" s="11"/>
      <c r="AV50" s="11"/>
      <c r="AW50" s="11"/>
      <c r="AX50" s="11"/>
      <c r="AY50" s="11"/>
      <c r="AZ50" s="11"/>
      <c r="BA50" s="11"/>
      <c r="BB50" s="11"/>
      <c r="BC50" s="11"/>
      <c r="BD50" s="11"/>
      <c r="BE50" s="11"/>
      <c r="BF50" s="11"/>
      <c r="BG50" s="11"/>
      <c r="BH50" s="11"/>
      <c r="BI50" s="11"/>
      <c r="BJ50" s="11"/>
      <c r="BK50" s="11"/>
      <c r="BL50" s="11"/>
      <c r="BM50" s="11"/>
      <c r="BN50" s="11"/>
      <c r="BO50" s="11"/>
      <c r="BP50" s="11"/>
    </row>
    <row r="51" spans="38:68" x14ac:dyDescent="0.2">
      <c r="AL51" s="11"/>
      <c r="AM51" s="11"/>
      <c r="AN51" s="11"/>
      <c r="AO51" s="11"/>
      <c r="AP51" s="11"/>
      <c r="AQ51" s="11"/>
      <c r="AR51" s="11"/>
      <c r="AS51" s="11"/>
      <c r="AT51" s="11"/>
      <c r="AU51" s="11"/>
      <c r="AV51" s="11"/>
      <c r="AW51" s="11"/>
      <c r="AX51" s="11"/>
      <c r="AY51" s="11"/>
      <c r="AZ51" s="11"/>
      <c r="BA51" s="11"/>
      <c r="BB51" s="11"/>
      <c r="BC51" s="11"/>
      <c r="BD51" s="11"/>
      <c r="BE51" s="11"/>
      <c r="BF51" s="11"/>
      <c r="BG51" s="11"/>
      <c r="BH51" s="11"/>
      <c r="BI51" s="11"/>
      <c r="BJ51" s="11"/>
      <c r="BK51" s="11"/>
      <c r="BL51" s="11"/>
      <c r="BM51" s="11"/>
      <c r="BN51" s="11"/>
      <c r="BO51" s="11"/>
      <c r="BP51" s="11"/>
    </row>
    <row r="52" spans="38:68" x14ac:dyDescent="0.2">
      <c r="AL52" s="11"/>
      <c r="AM52" s="11"/>
      <c r="AN52" s="11"/>
      <c r="AO52" s="11"/>
      <c r="AP52" s="11"/>
      <c r="AQ52" s="11"/>
      <c r="AR52" s="11"/>
      <c r="AS52" s="11"/>
      <c r="AT52" s="11"/>
      <c r="AU52" s="11"/>
      <c r="AV52" s="11"/>
      <c r="AW52" s="11"/>
      <c r="AX52" s="11"/>
      <c r="AY52" s="11"/>
      <c r="AZ52" s="11"/>
      <c r="BA52" s="11"/>
      <c r="BB52" s="11"/>
      <c r="BC52" s="11"/>
      <c r="BD52" s="11"/>
      <c r="BE52" s="11"/>
      <c r="BF52" s="11"/>
      <c r="BG52" s="11"/>
      <c r="BH52" s="11"/>
      <c r="BI52" s="11"/>
      <c r="BJ52" s="11"/>
      <c r="BK52" s="11"/>
      <c r="BL52" s="11"/>
      <c r="BM52" s="11"/>
      <c r="BN52" s="11"/>
      <c r="BO52" s="11"/>
      <c r="BP52" s="11"/>
    </row>
    <row r="53" spans="38:68" x14ac:dyDescent="0.2">
      <c r="AL53" s="11"/>
      <c r="AM53" s="11"/>
      <c r="AN53" s="11"/>
      <c r="AO53" s="11"/>
      <c r="AP53" s="11"/>
      <c r="AQ53" s="11"/>
      <c r="AR53" s="11"/>
      <c r="AS53" s="11"/>
      <c r="AT53" s="11"/>
      <c r="AU53" s="11"/>
      <c r="AV53" s="11"/>
      <c r="AW53" s="11"/>
      <c r="AX53" s="11"/>
      <c r="AY53" s="11"/>
      <c r="AZ53" s="11"/>
      <c r="BA53" s="11"/>
      <c r="BB53" s="11"/>
      <c r="BC53" s="11"/>
      <c r="BD53" s="11"/>
      <c r="BE53" s="11"/>
      <c r="BF53" s="11"/>
      <c r="BG53" s="11"/>
      <c r="BH53" s="11"/>
      <c r="BI53" s="11"/>
      <c r="BJ53" s="11"/>
      <c r="BK53" s="11"/>
      <c r="BL53" s="11"/>
      <c r="BM53" s="11"/>
      <c r="BN53" s="11"/>
      <c r="BO53" s="11"/>
      <c r="BP53" s="11"/>
    </row>
    <row r="54" spans="38:68" x14ac:dyDescent="0.2">
      <c r="AL54" s="11"/>
      <c r="AM54" s="11"/>
      <c r="AN54" s="11"/>
      <c r="AO54" s="11"/>
      <c r="AP54" s="11"/>
      <c r="AQ54" s="11"/>
      <c r="AR54" s="11"/>
      <c r="AS54" s="11"/>
      <c r="AT54" s="11"/>
      <c r="AU54" s="11"/>
      <c r="AV54" s="11"/>
      <c r="AW54" s="11"/>
      <c r="AX54" s="11"/>
      <c r="AY54" s="11"/>
      <c r="AZ54" s="11"/>
      <c r="BA54" s="11"/>
      <c r="BB54" s="11"/>
      <c r="BC54" s="11"/>
      <c r="BD54" s="11"/>
      <c r="BE54" s="11"/>
      <c r="BF54" s="11"/>
      <c r="BG54" s="11"/>
      <c r="BH54" s="11"/>
      <c r="BI54" s="11"/>
      <c r="BJ54" s="11"/>
      <c r="BK54" s="11"/>
      <c r="BL54" s="11"/>
      <c r="BM54" s="11"/>
      <c r="BN54" s="11"/>
      <c r="BO54" s="11"/>
      <c r="BP54" s="11"/>
    </row>
    <row r="55" spans="38:68" x14ac:dyDescent="0.2">
      <c r="AL55" s="11"/>
      <c r="AM55" s="11"/>
      <c r="AN55" s="11"/>
      <c r="AO55" s="11"/>
      <c r="AP55" s="11"/>
      <c r="AQ55" s="11"/>
      <c r="AR55" s="11"/>
      <c r="AS55" s="11"/>
      <c r="AT55" s="11"/>
      <c r="AU55" s="11"/>
      <c r="AV55" s="11"/>
      <c r="AW55" s="11"/>
      <c r="AX55" s="11"/>
      <c r="AY55" s="11"/>
      <c r="AZ55" s="11"/>
      <c r="BA55" s="11"/>
      <c r="BB55" s="11"/>
      <c r="BC55" s="11"/>
      <c r="BD55" s="11"/>
      <c r="BE55" s="11"/>
      <c r="BF55" s="11"/>
      <c r="BG55" s="11"/>
      <c r="BH55" s="11"/>
      <c r="BI55" s="11"/>
      <c r="BJ55" s="11"/>
      <c r="BK55" s="11"/>
      <c r="BL55" s="11"/>
      <c r="BM55" s="11"/>
      <c r="BN55" s="11"/>
      <c r="BO55" s="11"/>
      <c r="BP55" s="11"/>
    </row>
    <row r="56" spans="38:68" x14ac:dyDescent="0.2">
      <c r="AL56" s="11"/>
      <c r="AM56" s="11"/>
      <c r="AN56" s="11"/>
      <c r="AO56" s="11"/>
      <c r="AP56" s="11"/>
      <c r="AQ56" s="11"/>
      <c r="AR56" s="11"/>
      <c r="AS56" s="11"/>
      <c r="AT56" s="11"/>
      <c r="AU56" s="11"/>
      <c r="AV56" s="11"/>
      <c r="AW56" s="11"/>
      <c r="AX56" s="11"/>
      <c r="AY56" s="11"/>
      <c r="AZ56" s="11"/>
      <c r="BA56" s="11"/>
      <c r="BB56" s="11"/>
      <c r="BC56" s="11"/>
      <c r="BD56" s="11"/>
      <c r="BE56" s="11"/>
      <c r="BF56" s="11"/>
      <c r="BG56" s="11"/>
      <c r="BH56" s="11"/>
      <c r="BI56" s="11"/>
      <c r="BJ56" s="11"/>
      <c r="BK56" s="11"/>
      <c r="BL56" s="11"/>
      <c r="BM56" s="11"/>
      <c r="BN56" s="11"/>
      <c r="BO56" s="11"/>
      <c r="BP56" s="11"/>
    </row>
    <row r="57" spans="38:68" x14ac:dyDescent="0.2">
      <c r="AL57" s="11"/>
      <c r="AM57" s="11"/>
      <c r="AN57" s="11"/>
      <c r="AO57" s="11"/>
      <c r="AP57" s="11"/>
      <c r="AQ57" s="11"/>
      <c r="AR57" s="11"/>
      <c r="AS57" s="11"/>
      <c r="AT57" s="11"/>
      <c r="AU57" s="11"/>
      <c r="AV57" s="11"/>
      <c r="AW57" s="11"/>
      <c r="AX57" s="11"/>
      <c r="AY57" s="11"/>
      <c r="AZ57" s="11"/>
      <c r="BA57" s="11"/>
      <c r="BB57" s="11"/>
      <c r="BC57" s="11"/>
      <c r="BD57" s="11"/>
      <c r="BE57" s="11"/>
      <c r="BF57" s="11"/>
      <c r="BG57" s="11"/>
      <c r="BH57" s="11"/>
      <c r="BI57" s="11"/>
      <c r="BJ57" s="11"/>
      <c r="BK57" s="11"/>
      <c r="BL57" s="11"/>
      <c r="BM57" s="11"/>
      <c r="BN57" s="11"/>
      <c r="BO57" s="11"/>
      <c r="BP57" s="11"/>
    </row>
    <row r="58" spans="38:68" x14ac:dyDescent="0.2">
      <c r="AL58" s="11"/>
      <c r="AM58" s="11"/>
      <c r="AN58" s="11"/>
      <c r="AO58" s="11"/>
      <c r="AP58" s="11"/>
      <c r="AQ58" s="11"/>
      <c r="AR58" s="11"/>
      <c r="AS58" s="11"/>
      <c r="AT58" s="11"/>
      <c r="AU58" s="11"/>
      <c r="AV58" s="11"/>
      <c r="AW58" s="11"/>
      <c r="AX58" s="11"/>
      <c r="AY58" s="11"/>
      <c r="AZ58" s="11"/>
      <c r="BA58" s="11"/>
      <c r="BB58" s="11"/>
      <c r="BC58" s="11"/>
      <c r="BD58" s="11"/>
      <c r="BE58" s="11"/>
      <c r="BF58" s="11"/>
      <c r="BG58" s="11"/>
      <c r="BH58" s="11"/>
      <c r="BI58" s="11"/>
      <c r="BJ58" s="11"/>
      <c r="BK58" s="11"/>
      <c r="BL58" s="11"/>
      <c r="BM58" s="11"/>
      <c r="BN58" s="11"/>
      <c r="BO58" s="11"/>
      <c r="BP58" s="11"/>
    </row>
    <row r="59" spans="38:68" x14ac:dyDescent="0.2">
      <c r="AL59" s="11"/>
      <c r="AM59" s="11"/>
      <c r="AN59" s="11"/>
      <c r="AO59" s="11"/>
      <c r="AP59" s="11"/>
      <c r="AQ59" s="11"/>
      <c r="AR59" s="11"/>
      <c r="AS59" s="11"/>
      <c r="AT59" s="11"/>
      <c r="AU59" s="11"/>
      <c r="AV59" s="11"/>
      <c r="AW59" s="11"/>
      <c r="AX59" s="11"/>
      <c r="AY59" s="11"/>
      <c r="AZ59" s="11"/>
      <c r="BA59" s="11"/>
      <c r="BB59" s="11"/>
      <c r="BC59" s="11"/>
      <c r="BD59" s="11"/>
      <c r="BE59" s="11"/>
      <c r="BF59" s="11"/>
      <c r="BG59" s="11"/>
      <c r="BH59" s="11"/>
      <c r="BI59" s="11"/>
      <c r="BJ59" s="11"/>
      <c r="BK59" s="11"/>
      <c r="BL59" s="11"/>
      <c r="BM59" s="11"/>
      <c r="BN59" s="11"/>
      <c r="BO59" s="11"/>
      <c r="BP59" s="11"/>
    </row>
    <row r="60" spans="38:68" x14ac:dyDescent="0.2">
      <c r="AL60" s="11"/>
      <c r="AM60" s="11"/>
      <c r="AN60" s="11"/>
      <c r="AO60" s="11"/>
      <c r="AP60" s="11"/>
      <c r="AQ60" s="11"/>
      <c r="AR60" s="11"/>
      <c r="AS60" s="11"/>
      <c r="AT60" s="11"/>
      <c r="AU60" s="11"/>
      <c r="AV60" s="11"/>
      <c r="AW60" s="11"/>
      <c r="AX60" s="11"/>
      <c r="AY60" s="11"/>
      <c r="AZ60" s="11"/>
      <c r="BA60" s="11"/>
      <c r="BB60" s="11"/>
      <c r="BC60" s="11"/>
      <c r="BD60" s="11"/>
      <c r="BE60" s="11"/>
      <c r="BF60" s="11"/>
      <c r="BG60" s="11"/>
      <c r="BH60" s="11"/>
      <c r="BI60" s="11"/>
      <c r="BJ60" s="11"/>
      <c r="BK60" s="11"/>
      <c r="BL60" s="11"/>
      <c r="BM60" s="11"/>
      <c r="BN60" s="11"/>
      <c r="BO60" s="11"/>
      <c r="BP60" s="11"/>
    </row>
    <row r="61" spans="38:68" x14ac:dyDescent="0.2">
      <c r="AL61" s="11"/>
      <c r="AM61" s="11"/>
      <c r="AN61" s="11"/>
      <c r="AO61" s="11"/>
      <c r="AP61" s="11"/>
      <c r="AQ61" s="11"/>
      <c r="AR61" s="11"/>
      <c r="AS61" s="11"/>
      <c r="AT61" s="11"/>
      <c r="AU61" s="11"/>
      <c r="AV61" s="11"/>
      <c r="AW61" s="11"/>
      <c r="AX61" s="11"/>
      <c r="AY61" s="11"/>
      <c r="AZ61" s="11"/>
      <c r="BA61" s="11"/>
      <c r="BB61" s="11"/>
      <c r="BC61" s="11"/>
      <c r="BD61" s="11"/>
      <c r="BE61" s="11"/>
      <c r="BF61" s="11"/>
      <c r="BG61" s="11"/>
      <c r="BH61" s="11"/>
      <c r="BI61" s="11"/>
      <c r="BJ61" s="11"/>
      <c r="BK61" s="11"/>
      <c r="BL61" s="11"/>
      <c r="BM61" s="11"/>
      <c r="BN61" s="11"/>
      <c r="BO61" s="11"/>
      <c r="BP61" s="11"/>
    </row>
    <row r="62" spans="38:68" x14ac:dyDescent="0.2">
      <c r="AL62" s="11"/>
      <c r="AM62" s="11"/>
      <c r="AN62" s="11"/>
      <c r="AO62" s="11"/>
      <c r="AP62" s="11"/>
      <c r="AQ62" s="11"/>
      <c r="AR62" s="11"/>
      <c r="AS62" s="11"/>
      <c r="AT62" s="11"/>
      <c r="AU62" s="11"/>
      <c r="AV62" s="11"/>
      <c r="AW62" s="11"/>
      <c r="AX62" s="11"/>
      <c r="AY62" s="11"/>
      <c r="AZ62" s="11"/>
      <c r="BA62" s="11"/>
      <c r="BB62" s="11"/>
      <c r="BC62" s="11"/>
      <c r="BD62" s="11"/>
      <c r="BE62" s="11"/>
      <c r="BF62" s="11"/>
      <c r="BG62" s="11"/>
      <c r="BH62" s="11"/>
      <c r="BI62" s="11"/>
      <c r="BJ62" s="11"/>
      <c r="BK62" s="11"/>
      <c r="BL62" s="11"/>
      <c r="BM62" s="11"/>
      <c r="BN62" s="11"/>
      <c r="BO62" s="11"/>
      <c r="BP62" s="11"/>
    </row>
    <row r="63" spans="38:68" x14ac:dyDescent="0.2">
      <c r="AL63" s="11"/>
      <c r="AM63" s="11"/>
      <c r="AN63" s="11"/>
      <c r="AO63" s="11"/>
      <c r="AP63" s="11"/>
      <c r="AQ63" s="11"/>
      <c r="AR63" s="11"/>
      <c r="AS63" s="11"/>
      <c r="AT63" s="11"/>
      <c r="AU63" s="11"/>
      <c r="AV63" s="11"/>
      <c r="AW63" s="11"/>
      <c r="AX63" s="11"/>
      <c r="AY63" s="11"/>
      <c r="AZ63" s="11"/>
      <c r="BA63" s="11"/>
      <c r="BB63" s="11"/>
      <c r="BC63" s="11"/>
      <c r="BD63" s="11"/>
      <c r="BE63" s="11"/>
      <c r="BF63" s="11"/>
      <c r="BG63" s="11"/>
      <c r="BH63" s="11"/>
      <c r="BI63" s="11"/>
      <c r="BJ63" s="11"/>
      <c r="BK63" s="11"/>
      <c r="BL63" s="11"/>
      <c r="BM63" s="11"/>
      <c r="BN63" s="11"/>
      <c r="BO63" s="11"/>
      <c r="BP63" s="11"/>
    </row>
    <row r="64" spans="38:68" x14ac:dyDescent="0.2">
      <c r="AL64" s="11"/>
      <c r="AM64" s="11"/>
      <c r="AN64" s="11"/>
      <c r="AO64" s="11"/>
      <c r="AP64" s="11"/>
      <c r="AQ64" s="11"/>
      <c r="AR64" s="11"/>
      <c r="AS64" s="11"/>
      <c r="AT64" s="11"/>
      <c r="AU64" s="11"/>
      <c r="AV64" s="11"/>
      <c r="AW64" s="11"/>
      <c r="AX64" s="11"/>
      <c r="AY64" s="11"/>
      <c r="AZ64" s="11"/>
      <c r="BA64" s="11"/>
      <c r="BB64" s="11"/>
      <c r="BC64" s="11"/>
      <c r="BD64" s="11"/>
      <c r="BE64" s="11"/>
      <c r="BF64" s="11"/>
      <c r="BG64" s="11"/>
      <c r="BH64" s="11"/>
      <c r="BI64" s="11"/>
      <c r="BJ64" s="11"/>
      <c r="BK64" s="11"/>
      <c r="BL64" s="11"/>
      <c r="BM64" s="11"/>
      <c r="BN64" s="11"/>
      <c r="BO64" s="11"/>
      <c r="BP64" s="11"/>
    </row>
    <row r="65" spans="1:68" x14ac:dyDescent="0.2">
      <c r="AL65" s="11"/>
      <c r="AM65" s="11"/>
      <c r="AN65" s="11"/>
      <c r="AO65" s="11"/>
      <c r="AP65" s="11"/>
      <c r="AQ65" s="11"/>
      <c r="AR65" s="11"/>
      <c r="AS65" s="11"/>
      <c r="AT65" s="11"/>
      <c r="AU65" s="11"/>
      <c r="AV65" s="11"/>
      <c r="AW65" s="11"/>
      <c r="AX65" s="11"/>
      <c r="AY65" s="11"/>
      <c r="AZ65" s="11"/>
      <c r="BA65" s="11"/>
      <c r="BB65" s="11"/>
      <c r="BC65" s="11"/>
      <c r="BD65" s="11"/>
      <c r="BE65" s="11"/>
      <c r="BF65" s="11"/>
      <c r="BG65" s="11"/>
      <c r="BH65" s="11"/>
      <c r="BI65" s="11"/>
      <c r="BJ65" s="11"/>
      <c r="BK65" s="11"/>
      <c r="BL65" s="11"/>
      <c r="BM65" s="11"/>
      <c r="BN65" s="11"/>
      <c r="BO65" s="11"/>
      <c r="BP65" s="11"/>
    </row>
    <row r="66" spans="1:68" x14ac:dyDescent="0.2">
      <c r="AL66" s="11"/>
      <c r="AM66" s="11"/>
      <c r="AN66" s="11"/>
      <c r="AO66" s="11"/>
      <c r="AP66" s="11"/>
      <c r="AQ66" s="11"/>
      <c r="AR66" s="11"/>
      <c r="AS66" s="11"/>
      <c r="AT66" s="11"/>
      <c r="AU66" s="11"/>
      <c r="AV66" s="11"/>
      <c r="AW66" s="11"/>
      <c r="AX66" s="11"/>
      <c r="AY66" s="11"/>
      <c r="AZ66" s="11"/>
      <c r="BA66" s="11"/>
      <c r="BB66" s="11"/>
      <c r="BC66" s="11"/>
      <c r="BD66" s="11"/>
      <c r="BE66" s="11"/>
      <c r="BF66" s="11"/>
      <c r="BG66" s="11"/>
      <c r="BH66" s="11"/>
      <c r="BI66" s="11"/>
      <c r="BJ66" s="11"/>
      <c r="BK66" s="11"/>
      <c r="BL66" s="11"/>
      <c r="BM66" s="11"/>
      <c r="BN66" s="11"/>
      <c r="BO66" s="11"/>
      <c r="BP66" s="11"/>
    </row>
    <row r="67" spans="1:68" x14ac:dyDescent="0.2">
      <c r="AL67" s="11"/>
      <c r="AM67" s="11"/>
      <c r="AN67" s="11"/>
      <c r="AO67" s="11"/>
      <c r="AP67" s="11"/>
      <c r="AQ67" s="11"/>
      <c r="AR67" s="11"/>
      <c r="AS67" s="11"/>
      <c r="AT67" s="11"/>
      <c r="AU67" s="11"/>
      <c r="AV67" s="11"/>
      <c r="AW67" s="11"/>
      <c r="AX67" s="11"/>
      <c r="AY67" s="11"/>
      <c r="AZ67" s="11"/>
      <c r="BA67" s="11"/>
      <c r="BB67" s="11"/>
      <c r="BC67" s="11"/>
      <c r="BD67" s="11"/>
      <c r="BE67" s="11"/>
      <c r="BF67" s="11"/>
      <c r="BG67" s="11"/>
      <c r="BH67" s="11"/>
      <c r="BI67" s="11"/>
      <c r="BJ67" s="11"/>
      <c r="BK67" s="11"/>
      <c r="BL67" s="11"/>
      <c r="BM67" s="11"/>
      <c r="BN67" s="11"/>
      <c r="BO67" s="11"/>
      <c r="BP67" s="11"/>
    </row>
    <row r="68" spans="1:68" x14ac:dyDescent="0.2">
      <c r="AL68" s="11"/>
      <c r="AM68" s="11"/>
      <c r="AN68" s="11"/>
      <c r="AO68" s="11"/>
      <c r="AP68" s="11"/>
      <c r="AQ68" s="11"/>
      <c r="AR68" s="11"/>
      <c r="AS68" s="11"/>
      <c r="AT68" s="11"/>
      <c r="AU68" s="11"/>
      <c r="AV68" s="11"/>
      <c r="AW68" s="11"/>
      <c r="AX68" s="11"/>
      <c r="AY68" s="11"/>
      <c r="AZ68" s="11"/>
      <c r="BA68" s="11"/>
      <c r="BB68" s="11"/>
      <c r="BC68" s="11"/>
      <c r="BD68" s="11"/>
      <c r="BE68" s="11"/>
      <c r="BF68" s="11"/>
      <c r="BG68" s="11"/>
      <c r="BH68" s="11"/>
      <c r="BI68" s="11"/>
      <c r="BJ68" s="11"/>
      <c r="BK68" s="11"/>
      <c r="BL68" s="11"/>
      <c r="BM68" s="11"/>
      <c r="BN68" s="11"/>
      <c r="BO68" s="11"/>
      <c r="BP68" s="11"/>
    </row>
    <row r="69" spans="1:68" x14ac:dyDescent="0.2">
      <c r="AL69" s="11"/>
      <c r="AM69" s="11"/>
      <c r="AN69" s="11"/>
      <c r="AO69" s="11"/>
      <c r="AP69" s="11"/>
      <c r="AQ69" s="11"/>
      <c r="AR69" s="11"/>
      <c r="AS69" s="11"/>
      <c r="AT69" s="11"/>
      <c r="AU69" s="11"/>
      <c r="AV69" s="11"/>
      <c r="AW69" s="11"/>
      <c r="AX69" s="11"/>
      <c r="AY69" s="11"/>
      <c r="AZ69" s="11"/>
      <c r="BA69" s="11"/>
      <c r="BB69" s="11"/>
      <c r="BC69" s="11"/>
      <c r="BD69" s="11"/>
      <c r="BE69" s="11"/>
      <c r="BF69" s="11"/>
      <c r="BG69" s="11"/>
      <c r="BH69" s="11"/>
      <c r="BI69" s="11"/>
      <c r="BJ69" s="11"/>
      <c r="BK69" s="11"/>
      <c r="BL69" s="11"/>
      <c r="BM69" s="11"/>
      <c r="BN69" s="11"/>
      <c r="BO69" s="11"/>
      <c r="BP69" s="11"/>
    </row>
    <row r="70" spans="1:68" x14ac:dyDescent="0.2">
      <c r="AL70" s="11"/>
      <c r="AM70" s="11"/>
      <c r="AN70" s="11"/>
      <c r="AO70" s="11"/>
      <c r="AP70" s="11"/>
      <c r="AQ70" s="11"/>
      <c r="AR70" s="11"/>
      <c r="AS70" s="11"/>
      <c r="AT70" s="11"/>
      <c r="AU70" s="11"/>
      <c r="AV70" s="11"/>
      <c r="AW70" s="11"/>
      <c r="AX70" s="11"/>
      <c r="AY70" s="11"/>
      <c r="AZ70" s="11"/>
      <c r="BA70" s="11"/>
      <c r="BB70" s="11"/>
      <c r="BC70" s="11"/>
      <c r="BD70" s="11"/>
      <c r="BE70" s="11"/>
      <c r="BF70" s="11"/>
      <c r="BG70" s="11"/>
      <c r="BH70" s="11"/>
      <c r="BI70" s="11"/>
      <c r="BJ70" s="11"/>
      <c r="BK70" s="11"/>
      <c r="BL70" s="11"/>
      <c r="BM70" s="11"/>
      <c r="BN70" s="11"/>
      <c r="BO70" s="11"/>
      <c r="BP70" s="11"/>
    </row>
    <row r="71" spans="1:68" x14ac:dyDescent="0.2">
      <c r="AL71" s="11"/>
      <c r="AM71" s="11"/>
      <c r="AN71" s="11"/>
      <c r="AO71" s="11"/>
      <c r="AP71" s="11"/>
      <c r="AQ71" s="11"/>
      <c r="AR71" s="11"/>
      <c r="AS71" s="11"/>
      <c r="AT71" s="11"/>
      <c r="AU71" s="11"/>
      <c r="AV71" s="11"/>
      <c r="AW71" s="11"/>
      <c r="AX71" s="11"/>
      <c r="AY71" s="11"/>
      <c r="AZ71" s="11"/>
      <c r="BA71" s="11"/>
      <c r="BB71" s="11"/>
      <c r="BC71" s="11"/>
      <c r="BD71" s="11"/>
      <c r="BE71" s="11"/>
      <c r="BF71" s="11"/>
      <c r="BG71" s="11"/>
      <c r="BH71" s="11"/>
      <c r="BI71" s="11"/>
      <c r="BJ71" s="11"/>
      <c r="BK71" s="11"/>
      <c r="BL71" s="11"/>
      <c r="BM71" s="11"/>
      <c r="BN71" s="11"/>
      <c r="BO71" s="11"/>
      <c r="BP71" s="11"/>
    </row>
    <row r="72" spans="1:68" x14ac:dyDescent="0.2">
      <c r="AL72" s="11"/>
      <c r="AM72" s="11"/>
      <c r="AN72" s="11"/>
      <c r="AO72" s="11"/>
      <c r="AP72" s="11"/>
      <c r="AQ72" s="11"/>
      <c r="AR72" s="11"/>
      <c r="AS72" s="11"/>
      <c r="AT72" s="11"/>
      <c r="AU72" s="11"/>
      <c r="AV72" s="11"/>
      <c r="AW72" s="11"/>
      <c r="AX72" s="11"/>
      <c r="AY72" s="11"/>
      <c r="AZ72" s="11"/>
      <c r="BA72" s="11"/>
      <c r="BB72" s="11"/>
      <c r="BC72" s="11"/>
      <c r="BD72" s="11"/>
      <c r="BE72" s="11"/>
      <c r="BF72" s="11"/>
      <c r="BG72" s="11"/>
      <c r="BH72" s="11"/>
      <c r="BI72" s="11"/>
      <c r="BJ72" s="11"/>
      <c r="BK72" s="11"/>
      <c r="BL72" s="11"/>
      <c r="BM72" s="11"/>
      <c r="BN72" s="11"/>
      <c r="BO72" s="11"/>
      <c r="BP72" s="11"/>
    </row>
    <row r="73" spans="1:68" x14ac:dyDescent="0.2">
      <c r="AL73" s="11"/>
      <c r="AM73" s="11"/>
      <c r="AN73" s="11"/>
      <c r="AO73" s="11"/>
      <c r="AP73" s="11"/>
      <c r="AQ73" s="11"/>
      <c r="AR73" s="11"/>
      <c r="AS73" s="11"/>
      <c r="AT73" s="11"/>
      <c r="AU73" s="11"/>
      <c r="AV73" s="11"/>
      <c r="AW73" s="11"/>
      <c r="AX73" s="11"/>
      <c r="AY73" s="11"/>
      <c r="AZ73" s="11"/>
      <c r="BA73" s="11"/>
      <c r="BB73" s="11"/>
      <c r="BC73" s="11"/>
      <c r="BD73" s="11"/>
      <c r="BE73" s="11"/>
      <c r="BF73" s="11"/>
      <c r="BG73" s="11"/>
      <c r="BH73" s="11"/>
      <c r="BI73" s="11"/>
      <c r="BJ73" s="11"/>
      <c r="BK73" s="11"/>
      <c r="BL73" s="11"/>
      <c r="BM73" s="11"/>
      <c r="BN73" s="11"/>
      <c r="BO73" s="11"/>
      <c r="BP73" s="11"/>
    </row>
    <row r="74" spans="1:68" x14ac:dyDescent="0.2">
      <c r="AL74" s="11"/>
      <c r="AM74" s="11"/>
      <c r="AN74" s="11"/>
      <c r="AO74" s="11"/>
      <c r="AP74" s="11"/>
      <c r="AQ74" s="11"/>
      <c r="AR74" s="11"/>
      <c r="AS74" s="11"/>
      <c r="AT74" s="11"/>
      <c r="AU74" s="11"/>
      <c r="AV74" s="11"/>
      <c r="AW74" s="11"/>
      <c r="AX74" s="11"/>
      <c r="AY74" s="11"/>
      <c r="AZ74" s="11"/>
      <c r="BA74" s="11"/>
      <c r="BB74" s="11"/>
      <c r="BC74" s="11"/>
      <c r="BD74" s="11"/>
      <c r="BE74" s="11"/>
      <c r="BF74" s="11"/>
      <c r="BG74" s="11"/>
      <c r="BH74" s="11"/>
      <c r="BI74" s="11"/>
      <c r="BJ74" s="11"/>
      <c r="BK74" s="11"/>
      <c r="BL74" s="11"/>
      <c r="BM74" s="11"/>
      <c r="BN74" s="11"/>
      <c r="BO74" s="11"/>
      <c r="BP74" s="11"/>
    </row>
    <row r="75" spans="1:68" x14ac:dyDescent="0.2">
      <c r="AL75" s="11"/>
      <c r="AM75" s="11"/>
      <c r="AN75" s="11"/>
      <c r="AO75" s="11"/>
      <c r="AP75" s="11"/>
      <c r="AQ75" s="11"/>
      <c r="AR75" s="11"/>
      <c r="AS75" s="11"/>
      <c r="AT75" s="11"/>
      <c r="AU75" s="11"/>
      <c r="AV75" s="11"/>
      <c r="AW75" s="11"/>
      <c r="AX75" s="11"/>
      <c r="AY75" s="11"/>
      <c r="AZ75" s="11"/>
      <c r="BA75" s="11"/>
      <c r="BB75" s="11"/>
      <c r="BC75" s="11"/>
      <c r="BD75" s="11"/>
      <c r="BE75" s="11"/>
      <c r="BF75" s="11"/>
      <c r="BG75" s="11"/>
      <c r="BH75" s="11"/>
      <c r="BI75" s="11"/>
      <c r="BJ75" s="11"/>
      <c r="BK75" s="11"/>
      <c r="BL75" s="11"/>
      <c r="BM75" s="11"/>
      <c r="BN75" s="11"/>
      <c r="BO75" s="11"/>
      <c r="BP75" s="11"/>
    </row>
    <row r="76" spans="1:68" x14ac:dyDescent="0.2">
      <c r="AL76" s="11"/>
      <c r="AM76" s="11"/>
      <c r="AN76" s="11"/>
      <c r="AO76" s="11"/>
      <c r="AP76" s="11"/>
      <c r="AQ76" s="11"/>
      <c r="AR76" s="11"/>
      <c r="AS76" s="11"/>
      <c r="AT76" s="11"/>
      <c r="AU76" s="11"/>
      <c r="AV76" s="11"/>
      <c r="AW76" s="11"/>
      <c r="AX76" s="11"/>
      <c r="AY76" s="11"/>
      <c r="AZ76" s="11"/>
      <c r="BA76" s="11"/>
      <c r="BB76" s="11"/>
      <c r="BC76" s="11"/>
      <c r="BD76" s="11"/>
      <c r="BE76" s="11"/>
      <c r="BF76" s="11"/>
      <c r="BG76" s="11"/>
      <c r="BH76" s="11"/>
      <c r="BI76" s="11"/>
      <c r="BJ76" s="11"/>
      <c r="BK76" s="11"/>
      <c r="BL76" s="11"/>
      <c r="BM76" s="11"/>
      <c r="BN76" s="11"/>
      <c r="BO76" s="11"/>
      <c r="BP76" s="11"/>
    </row>
    <row r="77" spans="1:68" ht="15.75" x14ac:dyDescent="0.25">
      <c r="A77" s="79" t="str">
        <f>CONCATENATE("Industry Figure 2.2  Change in Employment in ",$L$11,", ",$M$2,"-",$O$2,", ",Info!B5)</f>
        <v>Industry Figure 2.2  Change in Employment in Manufacturing, 2010-2035, North East</v>
      </c>
      <c r="AL77" s="11"/>
      <c r="AM77" s="11"/>
      <c r="AN77" s="11"/>
      <c r="AO77" s="11"/>
      <c r="AP77" s="11"/>
      <c r="AQ77" s="11"/>
      <c r="AR77" s="11"/>
      <c r="AS77" s="11"/>
      <c r="AT77" s="11"/>
      <c r="AU77" s="11"/>
      <c r="AV77" s="11"/>
      <c r="AW77" s="11"/>
      <c r="AX77" s="11"/>
      <c r="AY77" s="11"/>
      <c r="AZ77" s="11"/>
      <c r="BA77" s="11"/>
      <c r="BB77" s="11"/>
      <c r="BC77" s="11"/>
      <c r="BD77" s="11"/>
      <c r="BE77" s="11"/>
      <c r="BF77" s="11"/>
      <c r="BG77" s="11"/>
      <c r="BH77" s="11"/>
      <c r="BI77" s="11"/>
      <c r="BJ77" s="11"/>
      <c r="BK77" s="11"/>
      <c r="BL77" s="11"/>
    </row>
    <row r="78" spans="1:68" x14ac:dyDescent="0.2">
      <c r="AL78" s="11"/>
      <c r="AM78" s="11"/>
      <c r="AN78" s="11"/>
      <c r="AO78" s="11"/>
      <c r="AP78" s="11"/>
      <c r="AQ78" s="11"/>
      <c r="AR78" s="11"/>
      <c r="AS78" s="11"/>
      <c r="AT78" s="11"/>
      <c r="AU78" s="11"/>
      <c r="AV78" s="11"/>
      <c r="AW78" s="11"/>
      <c r="AX78" s="11"/>
      <c r="AY78" s="11"/>
      <c r="AZ78" s="11"/>
      <c r="BA78" s="11"/>
      <c r="BB78" s="11"/>
      <c r="BC78" s="11"/>
      <c r="BD78" s="11"/>
      <c r="BE78" s="11"/>
      <c r="BF78" s="11"/>
      <c r="BG78" s="11"/>
      <c r="BH78" s="11"/>
      <c r="BI78" s="11"/>
      <c r="BJ78" s="11"/>
      <c r="BK78" s="11"/>
      <c r="BL78" s="11"/>
      <c r="BM78" s="11"/>
      <c r="BN78" s="11"/>
      <c r="BO78" s="11"/>
      <c r="BP78" s="11"/>
    </row>
    <row r="79" spans="1:68" x14ac:dyDescent="0.2">
      <c r="AL79" s="11"/>
    </row>
    <row r="107" spans="1:1" ht="15.75" x14ac:dyDescent="0.25">
      <c r="A107" s="79" t="str">
        <f>CONCATENATE("Industry Figure 2.3  Change in Employment in ",$L$16,", ",$M$2,"-",$O$2,", ",Info!B5)</f>
        <v>Industry Figure 2.3  Change in Employment in Construction, 2010-2035, North East</v>
      </c>
    </row>
    <row r="137" spans="1:1" ht="15.75" x14ac:dyDescent="0.25">
      <c r="A137" s="79" t="str">
        <f>CONCATENATE("Industry Figure 2.4  Change in Employment in ",$L$18,", ",$M$2,"-",$O$2,", ",Info!B5)</f>
        <v>Industry Figure 2.4  Change in Employment in Trade, accomod. and transport, 2010-2035, North East</v>
      </c>
    </row>
    <row r="167" spans="1:1" ht="15.75" x14ac:dyDescent="0.25">
      <c r="A167" s="79" t="str">
        <f>CONCATENATE("Industry Figure 2.5  Change in Employment in ",$L$23,", ",$M$2,"- ",$O$2,", ",Info!B5)</f>
        <v>Industry Figure 2.5  Change in Employment in Business and other services, 2010- 2035, North East</v>
      </c>
    </row>
    <row r="197" spans="1:1" ht="15.75" x14ac:dyDescent="0.25">
      <c r="A197" s="79" t="str">
        <f>CONCATENATE("Industry Figure 2.6  Change in Employment in ",$L$33,", ",$M$2,"-",$O$2,", ",Info!B5)</f>
        <v>Industry Figure 2.6  Change in Employment in Non-marketed services, 2010-2035, North East</v>
      </c>
    </row>
    <row r="227" spans="1:15" ht="15.75" x14ac:dyDescent="0.25">
      <c r="A227" s="79" t="str">
        <f>CONCATENATE("Industry Figure 2.7  Employment trends by broad sector (SIC 2007), shares in %, ",$M$230,"-",$O$230,", ",Info!B5)</f>
        <v>Industry Figure 2.7  Employment trends by broad sector (SIC 2007), shares in %, 2015-2035, North East</v>
      </c>
      <c r="L227" s="45" t="s">
        <v>440</v>
      </c>
    </row>
    <row r="228" spans="1:15" x14ac:dyDescent="0.2">
      <c r="L228" s="29" t="s">
        <v>421</v>
      </c>
    </row>
    <row r="230" spans="1:15" x14ac:dyDescent="0.2">
      <c r="M230" s="10">
        <f>'Ind T1'!B19</f>
        <v>2015</v>
      </c>
      <c r="N230" s="10">
        <f>'Ind T1'!D19</f>
        <v>2020</v>
      </c>
      <c r="O230" s="10">
        <f>'Ind T1'!F19</f>
        <v>2035</v>
      </c>
    </row>
    <row r="231" spans="1:15" x14ac:dyDescent="0.2">
      <c r="L231" t="str">
        <f>L33</f>
        <v>Non-marketed services</v>
      </c>
      <c r="M231" s="39">
        <f>'Ind T1'!B25</f>
        <v>30.459144342295186</v>
      </c>
      <c r="N231" s="39">
        <f>'Ind T1'!D25</f>
        <v>30.823676008371365</v>
      </c>
      <c r="O231" s="39">
        <f>'Ind T1'!F25</f>
        <v>32.264745639095011</v>
      </c>
    </row>
    <row r="232" spans="1:15" x14ac:dyDescent="0.2">
      <c r="L232" t="str">
        <f>L23</f>
        <v>Business and other services</v>
      </c>
      <c r="M232" s="39">
        <f>'Ind T1'!B24</f>
        <v>26.412288451633003</v>
      </c>
      <c r="N232" s="39">
        <f>'Ind T1'!D24</f>
        <v>25.313976923233895</v>
      </c>
      <c r="O232" s="39">
        <f>'Ind T1'!F24</f>
        <v>25.471843657610854</v>
      </c>
    </row>
    <row r="233" spans="1:15" x14ac:dyDescent="0.2">
      <c r="L233" t="str">
        <f>L18</f>
        <v>Trade, accomod. and transport</v>
      </c>
      <c r="M233" s="39">
        <f>'Ind T1'!B23</f>
        <v>25.792848076486536</v>
      </c>
      <c r="N233" s="39">
        <f>'Ind T1'!D23</f>
        <v>27.280279214001197</v>
      </c>
      <c r="O233" s="39">
        <f>'Ind T1'!F23</f>
        <v>27.603823190523912</v>
      </c>
    </row>
    <row r="234" spans="1:15" x14ac:dyDescent="0.2">
      <c r="L234" t="str">
        <f>L16</f>
        <v>Construction</v>
      </c>
      <c r="M234" s="39">
        <f>'Ind T1'!B22</f>
        <v>5.5469763675040227</v>
      </c>
      <c r="N234" s="39">
        <f>'Ind T1'!D22</f>
        <v>5.8153310367571054</v>
      </c>
      <c r="O234" s="39">
        <f>'Ind T1'!F22</f>
        <v>5.3041693943026837</v>
      </c>
    </row>
    <row r="235" spans="1:15" x14ac:dyDescent="0.2">
      <c r="L235" t="str">
        <f>L11</f>
        <v>Manufacturing</v>
      </c>
      <c r="M235" s="39">
        <f>'Ind T1'!B21</f>
        <v>10.104885058657439</v>
      </c>
      <c r="N235" s="39">
        <f>'Ind T1'!D21</f>
        <v>8.6579183899380112</v>
      </c>
      <c r="O235" s="39">
        <f>'Ind T1'!F21</f>
        <v>7.3234388251550513</v>
      </c>
    </row>
    <row r="236" spans="1:15" x14ac:dyDescent="0.2">
      <c r="L236" t="str">
        <f>L5</f>
        <v>Primary sector and utilities</v>
      </c>
      <c r="M236" s="39">
        <f>'Ind T1'!B20</f>
        <v>1.6838577034238349</v>
      </c>
      <c r="N236" s="39">
        <f>'Ind T1'!D20</f>
        <v>2.1088184276984272</v>
      </c>
      <c r="O236" s="39">
        <f>'Ind T1'!F20</f>
        <v>2.0319792933124732</v>
      </c>
    </row>
    <row r="257" spans="1:16" ht="15.75" x14ac:dyDescent="0.25">
      <c r="A257" s="79" t="str">
        <f>CONCATENATE("Industry Figure 2.8  Employment trends by broad sector (SIC 2007), change in thousands, ",$M$230,"-",$O$230,", ",Info!B5)</f>
        <v>Industry Figure 2.8  Employment trends by broad sector (SIC 2007), change in thousands, 2015-2035, North East</v>
      </c>
      <c r="L257" s="45" t="s">
        <v>441</v>
      </c>
    </row>
    <row r="258" spans="1:16" x14ac:dyDescent="0.2">
      <c r="L258" s="29" t="s">
        <v>420</v>
      </c>
      <c r="M258" s="10"/>
      <c r="N258" s="10"/>
      <c r="O258" s="10"/>
    </row>
    <row r="259" spans="1:16" x14ac:dyDescent="0.2">
      <c r="P259" s="10"/>
    </row>
    <row r="260" spans="1:16" x14ac:dyDescent="0.2">
      <c r="N260" s="10" t="str">
        <f>'Ind T1'!R4</f>
        <v>2015-2020</v>
      </c>
      <c r="O260" s="10" t="str">
        <f>'Ind T1'!F44</f>
        <v>2020-2035</v>
      </c>
      <c r="P260" s="11"/>
    </row>
    <row r="261" spans="1:16" x14ac:dyDescent="0.2">
      <c r="L261" t="str">
        <f t="shared" ref="L261:L266" si="54">L231</f>
        <v>Non-marketed services</v>
      </c>
      <c r="N261" s="11">
        <f>'Ind T1'!D12-'Ind T1'!B12</f>
        <v>-1.2579999954391496</v>
      </c>
      <c r="O261" s="11">
        <f>'Ind T1'!F50</f>
        <v>37.033000001484879</v>
      </c>
      <c r="P261" s="11"/>
    </row>
    <row r="262" spans="1:16" x14ac:dyDescent="0.2">
      <c r="L262" t="str">
        <f t="shared" si="54"/>
        <v>Business and other services</v>
      </c>
      <c r="N262" s="11">
        <f>'Ind T1'!D11-'Ind T1'!B11</f>
        <v>-17.913000000367504</v>
      </c>
      <c r="O262" s="11">
        <f>'Ind T1'!F49</f>
        <v>17.583000002362212</v>
      </c>
      <c r="P262" s="11"/>
    </row>
    <row r="263" spans="1:16" x14ac:dyDescent="0.2">
      <c r="L263" t="str">
        <f t="shared" si="54"/>
        <v>Trade, accomod. and transport</v>
      </c>
      <c r="N263" s="11">
        <f>'Ind T1'!D10-'Ind T1'!B10</f>
        <v>12.953999995492495</v>
      </c>
      <c r="O263" s="11">
        <f>'Ind T1'!F48</f>
        <v>20.867999997728532</v>
      </c>
      <c r="P263" s="11"/>
    </row>
    <row r="264" spans="1:16" x14ac:dyDescent="0.2">
      <c r="L264" t="str">
        <f t="shared" si="54"/>
        <v>Construction</v>
      </c>
      <c r="N264" s="11">
        <f>'Ind T1'!D9-'Ind T1'!B9</f>
        <v>2.1729999995447002</v>
      </c>
      <c r="O264" s="11">
        <f>'Ind T1'!F47</f>
        <v>-2.8090000016173917</v>
      </c>
      <c r="P264" s="11"/>
    </row>
    <row r="265" spans="1:16" x14ac:dyDescent="0.2">
      <c r="L265" t="str">
        <f t="shared" si="54"/>
        <v>Manufacturing</v>
      </c>
      <c r="N265" s="11">
        <f>'Ind T1'!D8-'Ind T1'!B8</f>
        <v>-19.065000000394647</v>
      </c>
      <c r="O265" s="11">
        <f>'Ind T1'!F46</f>
        <v>-11.356000000189397</v>
      </c>
      <c r="P265" s="11"/>
    </row>
    <row r="266" spans="1:16" x14ac:dyDescent="0.2">
      <c r="L266" t="str">
        <f t="shared" si="54"/>
        <v>Primary sector and utilities</v>
      </c>
      <c r="N266" s="11">
        <f>'Ind T1'!D7-'Ind T1'!B7</f>
        <v>4.7449999998017347</v>
      </c>
      <c r="O266" s="11">
        <f>'Ind T1'!F45</f>
        <v>0.33900000015426102</v>
      </c>
    </row>
    <row r="268" spans="1:16" x14ac:dyDescent="0.2">
      <c r="L268" t="str">
        <f>L38</f>
        <v>All industries</v>
      </c>
      <c r="N268" s="11">
        <f>'Ind T1'!D14-'Ind T1'!B14</f>
        <v>-18.364000001362228</v>
      </c>
      <c r="O268" s="11">
        <f>SUM(O261:O266)</f>
        <v>61.657999999923092</v>
      </c>
    </row>
  </sheetData>
  <phoneticPr fontId="4" type="noConversion"/>
  <conditionalFormatting sqref="L4:AM4 L22:AM22 L17:AM17">
    <cfRule type="cellIs" dxfId="12" priority="3" stopIfTrue="1" operator="equal">
      <formula>0</formula>
    </cfRule>
  </conditionalFormatting>
  <conditionalFormatting sqref="AQ4:BP4">
    <cfRule type="cellIs" dxfId="11" priority="2" stopIfTrue="1" operator="equal">
      <formula>0</formula>
    </cfRule>
  </conditionalFormatting>
  <conditionalFormatting sqref="BS4:CR4">
    <cfRule type="cellIs" dxfId="10" priority="1" stopIfTrue="1" operator="equal">
      <formula>0</formula>
    </cfRule>
  </conditionalFormatting>
  <pageMargins left="0.55118110236220474" right="0.55118110236220474" top="0.98425196850393704" bottom="0.98425196850393704" header="0.51181102362204722" footer="0.51181102362204722"/>
  <pageSetup paperSize="9" scale="90" orientation="portrait" r:id="rId1"/>
  <headerFooter alignWithMargins="0"/>
  <rowBreaks count="4" manualBreakCount="4">
    <brk id="46" max="9" man="1"/>
    <brk id="106" max="9" man="1"/>
    <brk id="166" max="9" man="1"/>
    <brk id="226" max="9" man="1"/>
  </rowBreaks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28"/>
  <dimension ref="A1:R1295"/>
  <sheetViews>
    <sheetView showGridLines="0" zoomScale="85" zoomScaleNormal="85" workbookViewId="0"/>
  </sheetViews>
  <sheetFormatPr defaultRowHeight="12.75" x14ac:dyDescent="0.2"/>
  <cols>
    <col min="1" max="1" width="38.42578125" customWidth="1"/>
    <col min="2" max="12" width="7.28515625" customWidth="1"/>
    <col min="257" max="257" width="33.140625" bestFit="1" customWidth="1"/>
    <col min="258" max="260" width="7.140625" customWidth="1"/>
    <col min="261" max="261" width="5" customWidth="1"/>
    <col min="262" max="264" width="7.140625" customWidth="1"/>
    <col min="265" max="265" width="5" customWidth="1"/>
    <col min="266" max="268" width="7.140625" customWidth="1"/>
    <col min="513" max="513" width="33.140625" bestFit="1" customWidth="1"/>
    <col min="514" max="516" width="7.140625" customWidth="1"/>
    <col min="517" max="517" width="5" customWidth="1"/>
    <col min="518" max="520" width="7.140625" customWidth="1"/>
    <col min="521" max="521" width="5" customWidth="1"/>
    <col min="522" max="524" width="7.140625" customWidth="1"/>
    <col min="769" max="769" width="33.140625" bestFit="1" customWidth="1"/>
    <col min="770" max="772" width="7.140625" customWidth="1"/>
    <col min="773" max="773" width="5" customWidth="1"/>
    <col min="774" max="776" width="7.140625" customWidth="1"/>
    <col min="777" max="777" width="5" customWidth="1"/>
    <col min="778" max="780" width="7.140625" customWidth="1"/>
    <col min="1025" max="1025" width="33.140625" bestFit="1" customWidth="1"/>
    <col min="1026" max="1028" width="7.140625" customWidth="1"/>
    <col min="1029" max="1029" width="5" customWidth="1"/>
    <col min="1030" max="1032" width="7.140625" customWidth="1"/>
    <col min="1033" max="1033" width="5" customWidth="1"/>
    <col min="1034" max="1036" width="7.140625" customWidth="1"/>
    <col min="1281" max="1281" width="33.140625" bestFit="1" customWidth="1"/>
    <col min="1282" max="1284" width="7.140625" customWidth="1"/>
    <col min="1285" max="1285" width="5" customWidth="1"/>
    <col min="1286" max="1288" width="7.140625" customWidth="1"/>
    <col min="1289" max="1289" width="5" customWidth="1"/>
    <col min="1290" max="1292" width="7.140625" customWidth="1"/>
    <col min="1537" max="1537" width="33.140625" bestFit="1" customWidth="1"/>
    <col min="1538" max="1540" width="7.140625" customWidth="1"/>
    <col min="1541" max="1541" width="5" customWidth="1"/>
    <col min="1542" max="1544" width="7.140625" customWidth="1"/>
    <col min="1545" max="1545" width="5" customWidth="1"/>
    <col min="1546" max="1548" width="7.140625" customWidth="1"/>
    <col min="1793" max="1793" width="33.140625" bestFit="1" customWidth="1"/>
    <col min="1794" max="1796" width="7.140625" customWidth="1"/>
    <col min="1797" max="1797" width="5" customWidth="1"/>
    <col min="1798" max="1800" width="7.140625" customWidth="1"/>
    <col min="1801" max="1801" width="5" customWidth="1"/>
    <col min="1802" max="1804" width="7.140625" customWidth="1"/>
    <col min="2049" max="2049" width="33.140625" bestFit="1" customWidth="1"/>
    <col min="2050" max="2052" width="7.140625" customWidth="1"/>
    <col min="2053" max="2053" width="5" customWidth="1"/>
    <col min="2054" max="2056" width="7.140625" customWidth="1"/>
    <col min="2057" max="2057" width="5" customWidth="1"/>
    <col min="2058" max="2060" width="7.140625" customWidth="1"/>
    <col min="2305" max="2305" width="33.140625" bestFit="1" customWidth="1"/>
    <col min="2306" max="2308" width="7.140625" customWidth="1"/>
    <col min="2309" max="2309" width="5" customWidth="1"/>
    <col min="2310" max="2312" width="7.140625" customWidth="1"/>
    <col min="2313" max="2313" width="5" customWidth="1"/>
    <col min="2314" max="2316" width="7.140625" customWidth="1"/>
    <col min="2561" max="2561" width="33.140625" bestFit="1" customWidth="1"/>
    <col min="2562" max="2564" width="7.140625" customWidth="1"/>
    <col min="2565" max="2565" width="5" customWidth="1"/>
    <col min="2566" max="2568" width="7.140625" customWidth="1"/>
    <col min="2569" max="2569" width="5" customWidth="1"/>
    <col min="2570" max="2572" width="7.140625" customWidth="1"/>
    <col min="2817" max="2817" width="33.140625" bestFit="1" customWidth="1"/>
    <col min="2818" max="2820" width="7.140625" customWidth="1"/>
    <col min="2821" max="2821" width="5" customWidth="1"/>
    <col min="2822" max="2824" width="7.140625" customWidth="1"/>
    <col min="2825" max="2825" width="5" customWidth="1"/>
    <col min="2826" max="2828" width="7.140625" customWidth="1"/>
    <col min="3073" max="3073" width="33.140625" bestFit="1" customWidth="1"/>
    <col min="3074" max="3076" width="7.140625" customWidth="1"/>
    <col min="3077" max="3077" width="5" customWidth="1"/>
    <col min="3078" max="3080" width="7.140625" customWidth="1"/>
    <col min="3081" max="3081" width="5" customWidth="1"/>
    <col min="3082" max="3084" width="7.140625" customWidth="1"/>
    <col min="3329" max="3329" width="33.140625" bestFit="1" customWidth="1"/>
    <col min="3330" max="3332" width="7.140625" customWidth="1"/>
    <col min="3333" max="3333" width="5" customWidth="1"/>
    <col min="3334" max="3336" width="7.140625" customWidth="1"/>
    <col min="3337" max="3337" width="5" customWidth="1"/>
    <col min="3338" max="3340" width="7.140625" customWidth="1"/>
    <col min="3585" max="3585" width="33.140625" bestFit="1" customWidth="1"/>
    <col min="3586" max="3588" width="7.140625" customWidth="1"/>
    <col min="3589" max="3589" width="5" customWidth="1"/>
    <col min="3590" max="3592" width="7.140625" customWidth="1"/>
    <col min="3593" max="3593" width="5" customWidth="1"/>
    <col min="3594" max="3596" width="7.140625" customWidth="1"/>
    <col min="3841" max="3841" width="33.140625" bestFit="1" customWidth="1"/>
    <col min="3842" max="3844" width="7.140625" customWidth="1"/>
    <col min="3845" max="3845" width="5" customWidth="1"/>
    <col min="3846" max="3848" width="7.140625" customWidth="1"/>
    <col min="3849" max="3849" width="5" customWidth="1"/>
    <col min="3850" max="3852" width="7.140625" customWidth="1"/>
    <col min="4097" max="4097" width="33.140625" bestFit="1" customWidth="1"/>
    <col min="4098" max="4100" width="7.140625" customWidth="1"/>
    <col min="4101" max="4101" width="5" customWidth="1"/>
    <col min="4102" max="4104" width="7.140625" customWidth="1"/>
    <col min="4105" max="4105" width="5" customWidth="1"/>
    <col min="4106" max="4108" width="7.140625" customWidth="1"/>
    <col min="4353" max="4353" width="33.140625" bestFit="1" customWidth="1"/>
    <col min="4354" max="4356" width="7.140625" customWidth="1"/>
    <col min="4357" max="4357" width="5" customWidth="1"/>
    <col min="4358" max="4360" width="7.140625" customWidth="1"/>
    <col min="4361" max="4361" width="5" customWidth="1"/>
    <col min="4362" max="4364" width="7.140625" customWidth="1"/>
    <col min="4609" max="4609" width="33.140625" bestFit="1" customWidth="1"/>
    <col min="4610" max="4612" width="7.140625" customWidth="1"/>
    <col min="4613" max="4613" width="5" customWidth="1"/>
    <col min="4614" max="4616" width="7.140625" customWidth="1"/>
    <col min="4617" max="4617" width="5" customWidth="1"/>
    <col min="4618" max="4620" width="7.140625" customWidth="1"/>
    <col min="4865" max="4865" width="33.140625" bestFit="1" customWidth="1"/>
    <col min="4866" max="4868" width="7.140625" customWidth="1"/>
    <col min="4869" max="4869" width="5" customWidth="1"/>
    <col min="4870" max="4872" width="7.140625" customWidth="1"/>
    <col min="4873" max="4873" width="5" customWidth="1"/>
    <col min="4874" max="4876" width="7.140625" customWidth="1"/>
    <col min="5121" max="5121" width="33.140625" bestFit="1" customWidth="1"/>
    <col min="5122" max="5124" width="7.140625" customWidth="1"/>
    <col min="5125" max="5125" width="5" customWidth="1"/>
    <col min="5126" max="5128" width="7.140625" customWidth="1"/>
    <col min="5129" max="5129" width="5" customWidth="1"/>
    <col min="5130" max="5132" width="7.140625" customWidth="1"/>
    <col min="5377" max="5377" width="33.140625" bestFit="1" customWidth="1"/>
    <col min="5378" max="5380" width="7.140625" customWidth="1"/>
    <col min="5381" max="5381" width="5" customWidth="1"/>
    <col min="5382" max="5384" width="7.140625" customWidth="1"/>
    <col min="5385" max="5385" width="5" customWidth="1"/>
    <col min="5386" max="5388" width="7.140625" customWidth="1"/>
    <col min="5633" max="5633" width="33.140625" bestFit="1" customWidth="1"/>
    <col min="5634" max="5636" width="7.140625" customWidth="1"/>
    <col min="5637" max="5637" width="5" customWidth="1"/>
    <col min="5638" max="5640" width="7.140625" customWidth="1"/>
    <col min="5641" max="5641" width="5" customWidth="1"/>
    <col min="5642" max="5644" width="7.140625" customWidth="1"/>
    <col min="5889" max="5889" width="33.140625" bestFit="1" customWidth="1"/>
    <col min="5890" max="5892" width="7.140625" customWidth="1"/>
    <col min="5893" max="5893" width="5" customWidth="1"/>
    <col min="5894" max="5896" width="7.140625" customWidth="1"/>
    <col min="5897" max="5897" width="5" customWidth="1"/>
    <col min="5898" max="5900" width="7.140625" customWidth="1"/>
    <col min="6145" max="6145" width="33.140625" bestFit="1" customWidth="1"/>
    <col min="6146" max="6148" width="7.140625" customWidth="1"/>
    <col min="6149" max="6149" width="5" customWidth="1"/>
    <col min="6150" max="6152" width="7.140625" customWidth="1"/>
    <col min="6153" max="6153" width="5" customWidth="1"/>
    <col min="6154" max="6156" width="7.140625" customWidth="1"/>
    <col min="6401" max="6401" width="33.140625" bestFit="1" customWidth="1"/>
    <col min="6402" max="6404" width="7.140625" customWidth="1"/>
    <col min="6405" max="6405" width="5" customWidth="1"/>
    <col min="6406" max="6408" width="7.140625" customWidth="1"/>
    <col min="6409" max="6409" width="5" customWidth="1"/>
    <col min="6410" max="6412" width="7.140625" customWidth="1"/>
    <col min="6657" max="6657" width="33.140625" bestFit="1" customWidth="1"/>
    <col min="6658" max="6660" width="7.140625" customWidth="1"/>
    <col min="6661" max="6661" width="5" customWidth="1"/>
    <col min="6662" max="6664" width="7.140625" customWidth="1"/>
    <col min="6665" max="6665" width="5" customWidth="1"/>
    <col min="6666" max="6668" width="7.140625" customWidth="1"/>
    <col min="6913" max="6913" width="33.140625" bestFit="1" customWidth="1"/>
    <col min="6914" max="6916" width="7.140625" customWidth="1"/>
    <col min="6917" max="6917" width="5" customWidth="1"/>
    <col min="6918" max="6920" width="7.140625" customWidth="1"/>
    <col min="6921" max="6921" width="5" customWidth="1"/>
    <col min="6922" max="6924" width="7.140625" customWidth="1"/>
    <col min="7169" max="7169" width="33.140625" bestFit="1" customWidth="1"/>
    <col min="7170" max="7172" width="7.140625" customWidth="1"/>
    <col min="7173" max="7173" width="5" customWidth="1"/>
    <col min="7174" max="7176" width="7.140625" customWidth="1"/>
    <col min="7177" max="7177" width="5" customWidth="1"/>
    <col min="7178" max="7180" width="7.140625" customWidth="1"/>
    <col min="7425" max="7425" width="33.140625" bestFit="1" customWidth="1"/>
    <col min="7426" max="7428" width="7.140625" customWidth="1"/>
    <col min="7429" max="7429" width="5" customWidth="1"/>
    <col min="7430" max="7432" width="7.140625" customWidth="1"/>
    <col min="7433" max="7433" width="5" customWidth="1"/>
    <col min="7434" max="7436" width="7.140625" customWidth="1"/>
    <col min="7681" max="7681" width="33.140625" bestFit="1" customWidth="1"/>
    <col min="7682" max="7684" width="7.140625" customWidth="1"/>
    <col min="7685" max="7685" width="5" customWidth="1"/>
    <col min="7686" max="7688" width="7.140625" customWidth="1"/>
    <col min="7689" max="7689" width="5" customWidth="1"/>
    <col min="7690" max="7692" width="7.140625" customWidth="1"/>
    <col min="7937" max="7937" width="33.140625" bestFit="1" customWidth="1"/>
    <col min="7938" max="7940" width="7.140625" customWidth="1"/>
    <col min="7941" max="7941" width="5" customWidth="1"/>
    <col min="7942" max="7944" width="7.140625" customWidth="1"/>
    <col min="7945" max="7945" width="5" customWidth="1"/>
    <col min="7946" max="7948" width="7.140625" customWidth="1"/>
    <col min="8193" max="8193" width="33.140625" bestFit="1" customWidth="1"/>
    <col min="8194" max="8196" width="7.140625" customWidth="1"/>
    <col min="8197" max="8197" width="5" customWidth="1"/>
    <col min="8198" max="8200" width="7.140625" customWidth="1"/>
    <col min="8201" max="8201" width="5" customWidth="1"/>
    <col min="8202" max="8204" width="7.140625" customWidth="1"/>
    <col min="8449" max="8449" width="33.140625" bestFit="1" customWidth="1"/>
    <col min="8450" max="8452" width="7.140625" customWidth="1"/>
    <col min="8453" max="8453" width="5" customWidth="1"/>
    <col min="8454" max="8456" width="7.140625" customWidth="1"/>
    <col min="8457" max="8457" width="5" customWidth="1"/>
    <col min="8458" max="8460" width="7.140625" customWidth="1"/>
    <col min="8705" max="8705" width="33.140625" bestFit="1" customWidth="1"/>
    <col min="8706" max="8708" width="7.140625" customWidth="1"/>
    <col min="8709" max="8709" width="5" customWidth="1"/>
    <col min="8710" max="8712" width="7.140625" customWidth="1"/>
    <col min="8713" max="8713" width="5" customWidth="1"/>
    <col min="8714" max="8716" width="7.140625" customWidth="1"/>
    <col min="8961" max="8961" width="33.140625" bestFit="1" customWidth="1"/>
    <col min="8962" max="8964" width="7.140625" customWidth="1"/>
    <col min="8965" max="8965" width="5" customWidth="1"/>
    <col min="8966" max="8968" width="7.140625" customWidth="1"/>
    <col min="8969" max="8969" width="5" customWidth="1"/>
    <col min="8970" max="8972" width="7.140625" customWidth="1"/>
    <col min="9217" max="9217" width="33.140625" bestFit="1" customWidth="1"/>
    <col min="9218" max="9220" width="7.140625" customWidth="1"/>
    <col min="9221" max="9221" width="5" customWidth="1"/>
    <col min="9222" max="9224" width="7.140625" customWidth="1"/>
    <col min="9225" max="9225" width="5" customWidth="1"/>
    <col min="9226" max="9228" width="7.140625" customWidth="1"/>
    <col min="9473" max="9473" width="33.140625" bestFit="1" customWidth="1"/>
    <col min="9474" max="9476" width="7.140625" customWidth="1"/>
    <col min="9477" max="9477" width="5" customWidth="1"/>
    <col min="9478" max="9480" width="7.140625" customWidth="1"/>
    <col min="9481" max="9481" width="5" customWidth="1"/>
    <col min="9482" max="9484" width="7.140625" customWidth="1"/>
    <col min="9729" max="9729" width="33.140625" bestFit="1" customWidth="1"/>
    <col min="9730" max="9732" width="7.140625" customWidth="1"/>
    <col min="9733" max="9733" width="5" customWidth="1"/>
    <col min="9734" max="9736" width="7.140625" customWidth="1"/>
    <col min="9737" max="9737" width="5" customWidth="1"/>
    <col min="9738" max="9740" width="7.140625" customWidth="1"/>
    <col min="9985" max="9985" width="33.140625" bestFit="1" customWidth="1"/>
    <col min="9986" max="9988" width="7.140625" customWidth="1"/>
    <col min="9989" max="9989" width="5" customWidth="1"/>
    <col min="9990" max="9992" width="7.140625" customWidth="1"/>
    <col min="9993" max="9993" width="5" customWidth="1"/>
    <col min="9994" max="9996" width="7.140625" customWidth="1"/>
    <col min="10241" max="10241" width="33.140625" bestFit="1" customWidth="1"/>
    <col min="10242" max="10244" width="7.140625" customWidth="1"/>
    <col min="10245" max="10245" width="5" customWidth="1"/>
    <col min="10246" max="10248" width="7.140625" customWidth="1"/>
    <col min="10249" max="10249" width="5" customWidth="1"/>
    <col min="10250" max="10252" width="7.140625" customWidth="1"/>
    <col min="10497" max="10497" width="33.140625" bestFit="1" customWidth="1"/>
    <col min="10498" max="10500" width="7.140625" customWidth="1"/>
    <col min="10501" max="10501" width="5" customWidth="1"/>
    <col min="10502" max="10504" width="7.140625" customWidth="1"/>
    <col min="10505" max="10505" width="5" customWidth="1"/>
    <col min="10506" max="10508" width="7.140625" customWidth="1"/>
    <col min="10753" max="10753" width="33.140625" bestFit="1" customWidth="1"/>
    <col min="10754" max="10756" width="7.140625" customWidth="1"/>
    <col min="10757" max="10757" width="5" customWidth="1"/>
    <col min="10758" max="10760" width="7.140625" customWidth="1"/>
    <col min="10761" max="10761" width="5" customWidth="1"/>
    <col min="10762" max="10764" width="7.140625" customWidth="1"/>
    <col min="11009" max="11009" width="33.140625" bestFit="1" customWidth="1"/>
    <col min="11010" max="11012" width="7.140625" customWidth="1"/>
    <col min="11013" max="11013" width="5" customWidth="1"/>
    <col min="11014" max="11016" width="7.140625" customWidth="1"/>
    <col min="11017" max="11017" width="5" customWidth="1"/>
    <col min="11018" max="11020" width="7.140625" customWidth="1"/>
    <col min="11265" max="11265" width="33.140625" bestFit="1" customWidth="1"/>
    <col min="11266" max="11268" width="7.140625" customWidth="1"/>
    <col min="11269" max="11269" width="5" customWidth="1"/>
    <col min="11270" max="11272" width="7.140625" customWidth="1"/>
    <col min="11273" max="11273" width="5" customWidth="1"/>
    <col min="11274" max="11276" width="7.140625" customWidth="1"/>
    <col min="11521" max="11521" width="33.140625" bestFit="1" customWidth="1"/>
    <col min="11522" max="11524" width="7.140625" customWidth="1"/>
    <col min="11525" max="11525" width="5" customWidth="1"/>
    <col min="11526" max="11528" width="7.140625" customWidth="1"/>
    <col min="11529" max="11529" width="5" customWidth="1"/>
    <col min="11530" max="11532" width="7.140625" customWidth="1"/>
    <col min="11777" max="11777" width="33.140625" bestFit="1" customWidth="1"/>
    <col min="11778" max="11780" width="7.140625" customWidth="1"/>
    <col min="11781" max="11781" width="5" customWidth="1"/>
    <col min="11782" max="11784" width="7.140625" customWidth="1"/>
    <col min="11785" max="11785" width="5" customWidth="1"/>
    <col min="11786" max="11788" width="7.140625" customWidth="1"/>
    <col min="12033" max="12033" width="33.140625" bestFit="1" customWidth="1"/>
    <col min="12034" max="12036" width="7.140625" customWidth="1"/>
    <col min="12037" max="12037" width="5" customWidth="1"/>
    <col min="12038" max="12040" width="7.140625" customWidth="1"/>
    <col min="12041" max="12041" width="5" customWidth="1"/>
    <col min="12042" max="12044" width="7.140625" customWidth="1"/>
    <col min="12289" max="12289" width="33.140625" bestFit="1" customWidth="1"/>
    <col min="12290" max="12292" width="7.140625" customWidth="1"/>
    <col min="12293" max="12293" width="5" customWidth="1"/>
    <col min="12294" max="12296" width="7.140625" customWidth="1"/>
    <col min="12297" max="12297" width="5" customWidth="1"/>
    <col min="12298" max="12300" width="7.140625" customWidth="1"/>
    <col min="12545" max="12545" width="33.140625" bestFit="1" customWidth="1"/>
    <col min="12546" max="12548" width="7.140625" customWidth="1"/>
    <col min="12549" max="12549" width="5" customWidth="1"/>
    <col min="12550" max="12552" width="7.140625" customWidth="1"/>
    <col min="12553" max="12553" width="5" customWidth="1"/>
    <col min="12554" max="12556" width="7.140625" customWidth="1"/>
    <col min="12801" max="12801" width="33.140625" bestFit="1" customWidth="1"/>
    <col min="12802" max="12804" width="7.140625" customWidth="1"/>
    <col min="12805" max="12805" width="5" customWidth="1"/>
    <col min="12806" max="12808" width="7.140625" customWidth="1"/>
    <col min="12809" max="12809" width="5" customWidth="1"/>
    <col min="12810" max="12812" width="7.140625" customWidth="1"/>
    <col min="13057" max="13057" width="33.140625" bestFit="1" customWidth="1"/>
    <col min="13058" max="13060" width="7.140625" customWidth="1"/>
    <col min="13061" max="13061" width="5" customWidth="1"/>
    <col min="13062" max="13064" width="7.140625" customWidth="1"/>
    <col min="13065" max="13065" width="5" customWidth="1"/>
    <col min="13066" max="13068" width="7.140625" customWidth="1"/>
    <col min="13313" max="13313" width="33.140625" bestFit="1" customWidth="1"/>
    <col min="13314" max="13316" width="7.140625" customWidth="1"/>
    <col min="13317" max="13317" width="5" customWidth="1"/>
    <col min="13318" max="13320" width="7.140625" customWidth="1"/>
    <col min="13321" max="13321" width="5" customWidth="1"/>
    <col min="13322" max="13324" width="7.140625" customWidth="1"/>
    <col min="13569" max="13569" width="33.140625" bestFit="1" customWidth="1"/>
    <col min="13570" max="13572" width="7.140625" customWidth="1"/>
    <col min="13573" max="13573" width="5" customWidth="1"/>
    <col min="13574" max="13576" width="7.140625" customWidth="1"/>
    <col min="13577" max="13577" width="5" customWidth="1"/>
    <col min="13578" max="13580" width="7.140625" customWidth="1"/>
    <col min="13825" max="13825" width="33.140625" bestFit="1" customWidth="1"/>
    <col min="13826" max="13828" width="7.140625" customWidth="1"/>
    <col min="13829" max="13829" width="5" customWidth="1"/>
    <col min="13830" max="13832" width="7.140625" customWidth="1"/>
    <col min="13833" max="13833" width="5" customWidth="1"/>
    <col min="13834" max="13836" width="7.140625" customWidth="1"/>
    <col min="14081" max="14081" width="33.140625" bestFit="1" customWidth="1"/>
    <col min="14082" max="14084" width="7.140625" customWidth="1"/>
    <col min="14085" max="14085" width="5" customWidth="1"/>
    <col min="14086" max="14088" width="7.140625" customWidth="1"/>
    <col min="14089" max="14089" width="5" customWidth="1"/>
    <col min="14090" max="14092" width="7.140625" customWidth="1"/>
    <col min="14337" max="14337" width="33.140625" bestFit="1" customWidth="1"/>
    <col min="14338" max="14340" width="7.140625" customWidth="1"/>
    <col min="14341" max="14341" width="5" customWidth="1"/>
    <col min="14342" max="14344" width="7.140625" customWidth="1"/>
    <col min="14345" max="14345" width="5" customWidth="1"/>
    <col min="14346" max="14348" width="7.140625" customWidth="1"/>
    <col min="14593" max="14593" width="33.140625" bestFit="1" customWidth="1"/>
    <col min="14594" max="14596" width="7.140625" customWidth="1"/>
    <col min="14597" max="14597" width="5" customWidth="1"/>
    <col min="14598" max="14600" width="7.140625" customWidth="1"/>
    <col min="14601" max="14601" width="5" customWidth="1"/>
    <col min="14602" max="14604" width="7.140625" customWidth="1"/>
    <col min="14849" max="14849" width="33.140625" bestFit="1" customWidth="1"/>
    <col min="14850" max="14852" width="7.140625" customWidth="1"/>
    <col min="14853" max="14853" width="5" customWidth="1"/>
    <col min="14854" max="14856" width="7.140625" customWidth="1"/>
    <col min="14857" max="14857" width="5" customWidth="1"/>
    <col min="14858" max="14860" width="7.140625" customWidth="1"/>
    <col min="15105" max="15105" width="33.140625" bestFit="1" customWidth="1"/>
    <col min="15106" max="15108" width="7.140625" customWidth="1"/>
    <col min="15109" max="15109" width="5" customWidth="1"/>
    <col min="15110" max="15112" width="7.140625" customWidth="1"/>
    <col min="15113" max="15113" width="5" customWidth="1"/>
    <col min="15114" max="15116" width="7.140625" customWidth="1"/>
    <col min="15361" max="15361" width="33.140625" bestFit="1" customWidth="1"/>
    <col min="15362" max="15364" width="7.140625" customWidth="1"/>
    <col min="15365" max="15365" width="5" customWidth="1"/>
    <col min="15366" max="15368" width="7.140625" customWidth="1"/>
    <col min="15369" max="15369" width="5" customWidth="1"/>
    <col min="15370" max="15372" width="7.140625" customWidth="1"/>
    <col min="15617" max="15617" width="33.140625" bestFit="1" customWidth="1"/>
    <col min="15618" max="15620" width="7.140625" customWidth="1"/>
    <col min="15621" max="15621" width="5" customWidth="1"/>
    <col min="15622" max="15624" width="7.140625" customWidth="1"/>
    <col min="15625" max="15625" width="5" customWidth="1"/>
    <col min="15626" max="15628" width="7.140625" customWidth="1"/>
    <col min="15873" max="15873" width="33.140625" bestFit="1" customWidth="1"/>
    <col min="15874" max="15876" width="7.140625" customWidth="1"/>
    <col min="15877" max="15877" width="5" customWidth="1"/>
    <col min="15878" max="15880" width="7.140625" customWidth="1"/>
    <col min="15881" max="15881" width="5" customWidth="1"/>
    <col min="15882" max="15884" width="7.140625" customWidth="1"/>
    <col min="16129" max="16129" width="33.140625" bestFit="1" customWidth="1"/>
    <col min="16130" max="16132" width="7.140625" customWidth="1"/>
    <col min="16133" max="16133" width="5" customWidth="1"/>
    <col min="16134" max="16136" width="7.140625" customWidth="1"/>
    <col min="16137" max="16137" width="5" customWidth="1"/>
    <col min="16138" max="16140" width="7.140625" customWidth="1"/>
  </cols>
  <sheetData>
    <row r="1" spans="1:14" ht="15.75" x14ac:dyDescent="0.25">
      <c r="A1" s="18" t="str">
        <f>CONCATENATE("Industry and Occupation Table 1  Occuptation composition (SOC2020) by gender, ",B$6,"-",J$6,", ",Info!B5)</f>
        <v>Industry and Occupation Table 1  Occuptation composition (SOC2020) by gender, 2015-2035, North East</v>
      </c>
      <c r="B1" s="236"/>
      <c r="C1" s="236"/>
      <c r="D1" s="236"/>
      <c r="E1" s="236"/>
      <c r="F1" s="236"/>
      <c r="G1" s="236"/>
      <c r="H1" s="236"/>
      <c r="I1" s="236"/>
      <c r="J1" s="236"/>
      <c r="K1" s="236"/>
      <c r="L1" s="248"/>
      <c r="M1" s="236"/>
      <c r="N1" s="236"/>
    </row>
    <row r="2" spans="1:14" x14ac:dyDescent="0.2">
      <c r="A2" s="258" t="s">
        <v>535</v>
      </c>
      <c r="B2" s="236"/>
      <c r="C2" s="236"/>
      <c r="D2" s="236"/>
      <c r="E2" s="236"/>
      <c r="F2" s="236"/>
      <c r="G2" s="236"/>
      <c r="H2" s="236"/>
      <c r="I2" s="236"/>
      <c r="J2" s="236"/>
      <c r="K2" s="236"/>
      <c r="L2" s="248"/>
      <c r="M2" s="236"/>
      <c r="N2" s="236"/>
    </row>
    <row r="3" spans="1:14" x14ac:dyDescent="0.2">
      <c r="A3" s="236"/>
      <c r="B3" s="236"/>
      <c r="C3" s="236"/>
      <c r="D3" s="236"/>
      <c r="E3" s="236"/>
      <c r="F3" s="236"/>
      <c r="G3" s="236"/>
      <c r="H3" s="236"/>
      <c r="I3" s="236"/>
      <c r="J3" s="236"/>
      <c r="K3" s="236"/>
      <c r="L3" s="248"/>
      <c r="M3" s="236"/>
      <c r="N3" s="236"/>
    </row>
    <row r="4" spans="1:14" x14ac:dyDescent="0.2">
      <c r="A4" s="236"/>
      <c r="B4" s="236"/>
      <c r="C4" s="236"/>
      <c r="D4" s="236"/>
      <c r="E4" s="236"/>
      <c r="F4" s="236"/>
      <c r="G4" s="236"/>
      <c r="H4" s="236"/>
      <c r="I4" s="236"/>
      <c r="J4" s="236"/>
      <c r="K4" s="236"/>
      <c r="L4" s="251" t="s">
        <v>35</v>
      </c>
      <c r="M4" s="236"/>
      <c r="N4" s="236"/>
    </row>
    <row r="5" spans="1:14" x14ac:dyDescent="0.2">
      <c r="A5" s="242"/>
      <c r="B5" s="242"/>
      <c r="C5" s="243"/>
      <c r="D5" s="243"/>
      <c r="E5" s="243"/>
      <c r="F5" s="243"/>
      <c r="G5" s="243"/>
      <c r="H5" s="243"/>
      <c r="I5" s="243"/>
      <c r="J5" s="243"/>
      <c r="K5" s="243"/>
      <c r="L5" s="236"/>
      <c r="M5" s="236"/>
      <c r="N5" s="236"/>
    </row>
    <row r="6" spans="1:14" x14ac:dyDescent="0.2">
      <c r="A6" s="241" t="s">
        <v>0</v>
      </c>
      <c r="B6" s="372">
        <v>2015</v>
      </c>
      <c r="C6" s="373"/>
      <c r="D6" s="373"/>
      <c r="E6" s="246"/>
      <c r="F6" s="372">
        <v>2020</v>
      </c>
      <c r="G6" s="372"/>
      <c r="H6" s="372"/>
      <c r="I6" s="246"/>
      <c r="J6" s="372">
        <v>2035</v>
      </c>
      <c r="K6" s="372"/>
      <c r="L6" s="372"/>
      <c r="M6" s="236"/>
      <c r="N6" s="236"/>
    </row>
    <row r="7" spans="1:14" x14ac:dyDescent="0.2">
      <c r="A7" s="252"/>
      <c r="B7" s="245" t="s">
        <v>352</v>
      </c>
      <c r="C7" s="245" t="s">
        <v>353</v>
      </c>
      <c r="D7" s="245" t="s">
        <v>32</v>
      </c>
      <c r="E7" s="245"/>
      <c r="F7" s="245" t="s">
        <v>352</v>
      </c>
      <c r="G7" s="245" t="s">
        <v>353</v>
      </c>
      <c r="H7" s="245" t="s">
        <v>32</v>
      </c>
      <c r="I7" s="245"/>
      <c r="J7" s="245" t="s">
        <v>352</v>
      </c>
      <c r="K7" s="245" t="s">
        <v>353</v>
      </c>
      <c r="L7" s="245" t="s">
        <v>32</v>
      </c>
      <c r="M7" s="236"/>
      <c r="N7" s="236"/>
    </row>
    <row r="8" spans="1:14" x14ac:dyDescent="0.2">
      <c r="A8" s="236"/>
      <c r="B8" s="257"/>
      <c r="C8" s="257"/>
      <c r="D8" s="257"/>
      <c r="E8" s="257"/>
      <c r="F8" s="257"/>
      <c r="G8" s="257"/>
      <c r="H8" s="257"/>
      <c r="I8" s="257"/>
      <c r="J8" s="257"/>
      <c r="K8" s="257"/>
      <c r="L8" s="257"/>
      <c r="M8" s="236"/>
      <c r="N8" s="236"/>
    </row>
    <row r="9" spans="1:14" x14ac:dyDescent="0.2">
      <c r="A9" s="237" t="str">
        <f>name!E$4</f>
        <v>Managers, directors and senior officials</v>
      </c>
      <c r="B9" s="249">
        <f>SUM(B26,B43,B60,B77,B94,B111,B128,B145,B162,B179,B196,B213,B230,B247,B264,B281,B298,B315,B332,B349,B366,B383,B400,B417,B434,B451,B468,B485,B502,B519,B536,B553,B570,B587,B604,B621,B638,B655,B672,B689,B706,B723,B740,B757,B774,B791,B808,B825,B842,B859,B876,B893,B910,B927,B944,B961,B978,B995,B1012,B1029,B1046,B1063,B1080,B1097,B1114,B1131,B1148,B1165,B1182,B1199,B1216,B1233,B1250,B1267,B1284)</f>
        <v>31.101981432318784</v>
      </c>
      <c r="C9" s="249">
        <f>SUM(C26,C43,C60,C77,C94,C111,C128,C145,C162,C179,C196,C213,C230,C247,C264,C281,C298,C315,C332,C349,C366,C383,C400,C417,C434,C451,C468,C485,C502,C519,C536,C553,C570,C587,C604,C621,C638,C655,C672,C689,C706,C723,C740,C757,C774,C791,C808,C825,C842,C859,C876,C893,C910,C927,C944,C961,C978,C995,C1012,C1029,C1046,C1063,C1080,C1097,C1114,C1131,C1148,C1165,C1182,C1199,C1216,C1233,C1250,C1267,C1284)</f>
        <v>57.474611642079687</v>
      </c>
      <c r="D9" s="249">
        <f>SUM(B9:C9)</f>
        <v>88.576593074398474</v>
      </c>
      <c r="E9" s="238"/>
      <c r="F9" s="249">
        <f>SUM(F26,F43,F60,F77,F94,F111,F128,F145,F162,F179,F196,F213,F230,F247,F264,F281,F298,F315,F332,F349,F366,F383,F400,F417,F434,F451,F468,F485,F502,F519,F536,F553,F570,F587,F604,F621,F638,F655,F672,F689,F706,F723,F740,F757,F774,F791,F808,F825,F842,F859,F876,F893,F910,F927,F944,F961,F978,F995,F1012,F1029,F1046,F1063,F1080,F1097,F1114,F1131,F1148,F1165,F1182,F1199,F1216,F1233,F1250,F1267,F1284)</f>
        <v>38.385321144526664</v>
      </c>
      <c r="G9" s="249">
        <f>SUM(G26,G43,G60,G77,G94,G111,G128,G145,G162,G179,G196,G213,G230,G247,G264,G281,G298,G315,G332,G349,G366,G383,G400,G417,G434,G451,G468,G485,G502,G519,G536,G553,G570,G587,G604,G621,G638,G655,G672,G689,G706,G723,G740,G757,G774,G791,G808,G825,G842,G859,G876,G893,G910,G927,G944,G961,G978,G995,G1012,G1029,G1046,G1063,G1080,G1097,G1114,G1131,G1148,G1165,G1182,G1199,G1216,G1233,G1250,G1267,G1284)</f>
        <v>61.342426939730586</v>
      </c>
      <c r="H9" s="249">
        <f>SUM(F9:G9)</f>
        <v>99.727748084257257</v>
      </c>
      <c r="I9" s="238"/>
      <c r="J9" s="249">
        <f>SUM(J26,J43,J60,J77,J94,J111,J128,J145,J162,J179,J196,J213,J230,J247,J264,J281,J298,J315,J332,J349,J366,J383,J400,J417,J434,J451,J468,J485,J502,J519,J536,J553,J570,J587,J604,J621,J638,J655,J672,J689,J706,J723,J740,J757,J774,J791,J808,J825,J842,J859,J876,J893,J910,J927,J944,J961,J978,J995,J1012,J1029,J1046,J1063,J1080,J1097,J1114,J1131,J1148,J1165,J1182,J1199,J1216,J1233,J1250,J1267,J1284)</f>
        <v>47.523734919391472</v>
      </c>
      <c r="K9" s="249">
        <f>SUM(K26,K43,K60,K77,K94,K111,K128,K145,K162,K179,K196,K213,K230,K247,K264,K281,K298,K315,K332,K349,K366,K383,K400,K417,K434,K451,K468,K485,K502,K519,K536,K553,K570,K587,K604,K621,K638,K655,K672,K689,K706,K723,K740,K757,K774,K791,K808,K825,K842,K859,K876,K893,K910,K927,K944,K961,K978,K995,K1012,K1029,K1046,K1063,K1080,K1097,K1114,K1131,K1148,K1165,K1182,K1199,K1216,K1233,K1250,K1267,K1284)</f>
        <v>68.586149105547179</v>
      </c>
      <c r="L9" s="249">
        <f>SUM(J9:K9)</f>
        <v>116.10988402493865</v>
      </c>
      <c r="M9" s="236"/>
      <c r="N9" s="236"/>
    </row>
    <row r="10" spans="1:14" x14ac:dyDescent="0.2">
      <c r="A10" s="237" t="str">
        <f>name!E$5</f>
        <v>Professional occupations</v>
      </c>
      <c r="B10" s="249">
        <f t="shared" ref="B10:C10" si="0">SUM(B27,B44,B61,B78,B95,B112,B129,B146,B163,B180,B197,B214,B231,B248,B265,B282,B299,B316,B333,B350,B367,B384,B401,B418,B435,B452,B469,B486,B503,B520,B537,B554,B571,B588,B605,B622,B639,B656,B673,B690,B707,B724,B741,B758,B775,B792,B809,B826,B843,B860,B877,B894,B911,B928,B945,B962,B979,B996,B1013,B1030,B1047,B1064,B1081,B1098,B1115,B1132,B1149,B1166,B1183,B1200,B1217,B1234,B1251,B1268,B1285)</f>
        <v>119.10569375085633</v>
      </c>
      <c r="C10" s="249">
        <f t="shared" si="0"/>
        <v>112.38503143689653</v>
      </c>
      <c r="D10" s="249">
        <f t="shared" ref="D10:D17" si="1">SUM(B10:C10)</f>
        <v>231.49072518775284</v>
      </c>
      <c r="E10" s="238"/>
      <c r="F10" s="249">
        <f t="shared" ref="F10:G10" si="2">SUM(F27,F44,F61,F78,F95,F112,F129,F146,F163,F180,F197,F214,F231,F248,F265,F282,F299,F316,F333,F350,F367,F384,F401,F418,F435,F452,F469,F486,F503,F520,F537,F554,F571,F588,F605,F622,F639,F656,F673,F690,F707,F724,F741,F758,F775,F792,F809,F826,F843,F860,F877,F894,F911,F928,F945,F962,F979,F996,F1013,F1030,F1047,F1064,F1081,F1098,F1115,F1132,F1149,F1166,F1183,F1200,F1217,F1234,F1251,F1268,F1285)</f>
        <v>138.61693794860312</v>
      </c>
      <c r="G10" s="249">
        <f t="shared" si="2"/>
        <v>116.13729913312609</v>
      </c>
      <c r="H10" s="249">
        <f t="shared" ref="H10:H17" si="3">SUM(F10:G10)</f>
        <v>254.75423708172923</v>
      </c>
      <c r="I10" s="238"/>
      <c r="J10" s="249">
        <f t="shared" ref="J10:K10" si="4">SUM(J27,J44,J61,J78,J95,J112,J129,J146,J163,J180,J197,J214,J231,J248,J265,J282,J299,J316,J333,J350,J367,J384,J401,J418,J435,J452,J469,J486,J503,J520,J537,J554,J571,J588,J605,J622,J639,J656,J673,J690,J707,J724,J741,J758,J775,J792,J809,J826,J843,J860,J877,J894,J911,J928,J945,J962,J979,J996,J1013,J1030,J1047,J1064,J1081,J1098,J1115,J1132,J1149,J1166,J1183,J1200,J1217,J1234,J1251,J1268,J1285)</f>
        <v>173.43160232975623</v>
      </c>
      <c r="K10" s="249">
        <f t="shared" si="4"/>
        <v>133.35550056359759</v>
      </c>
      <c r="L10" s="249">
        <f t="shared" ref="L10:L17" si="5">SUM(J10:K10)</f>
        <v>306.78710289335379</v>
      </c>
      <c r="M10" s="236"/>
      <c r="N10" s="236"/>
    </row>
    <row r="11" spans="1:14" x14ac:dyDescent="0.2">
      <c r="A11" s="237" t="str">
        <f>name!E$6</f>
        <v>Associate professional occupations</v>
      </c>
      <c r="B11" s="249">
        <f t="shared" ref="B11:C11" si="6">SUM(B28,B45,B62,B79,B96,B113,B130,B147,B164,B181,B198,B215,B232,B249,B266,B283,B300,B317,B334,B351,B368,B385,B402,B419,B436,B453,B470,B487,B504,B521,B538,B555,B572,B589,B606,B623,B640,B657,B674,B691,B708,B725,B742,B759,B776,B793,B810,B827,B844,B861,B878,B895,B912,B929,B946,B963,B980,B997,B1014,B1031,B1048,B1065,B1082,B1099,B1116,B1133,B1150,B1167,B1184,B1201,B1218,B1235,B1252,B1269,B1286)</f>
        <v>62.344445470900112</v>
      </c>
      <c r="C11" s="249">
        <f t="shared" si="6"/>
        <v>66.722708117321105</v>
      </c>
      <c r="D11" s="249">
        <f t="shared" si="1"/>
        <v>129.06715358822123</v>
      </c>
      <c r="E11" s="238"/>
      <c r="F11" s="249">
        <f t="shared" ref="F11:G11" si="7">SUM(F28,F45,F62,F79,F96,F113,F130,F147,F164,F181,F198,F215,F232,F249,F266,F283,F300,F317,F334,F351,F368,F385,F402,F419,F436,F453,F470,F487,F504,F521,F538,F555,F572,F589,F606,F623,F640,F657,F674,F691,F708,F725,F742,F759,F776,F793,F810,F827,F844,F861,F878,F895,F912,F929,F946,F963,F980,F997,F1014,F1031,F1048,F1065,F1082,F1099,F1116,F1133,F1150,F1167,F1184,F1201,F1218,F1235,F1252,F1269,F1286)</f>
        <v>68.429963473241386</v>
      </c>
      <c r="G11" s="249">
        <f t="shared" si="7"/>
        <v>71.842188863360917</v>
      </c>
      <c r="H11" s="249">
        <f t="shared" si="3"/>
        <v>140.27215233660229</v>
      </c>
      <c r="I11" s="238"/>
      <c r="J11" s="249">
        <f t="shared" ref="J11:K11" si="8">SUM(J28,J45,J62,J79,J96,J113,J130,J147,J164,J181,J198,J215,J232,J249,J266,J283,J300,J317,J334,J351,J368,J385,J402,J419,J436,J453,J470,J487,J504,J521,J538,J555,J572,J589,J606,J623,J640,J657,J674,J691,J708,J725,J742,J759,J776,J793,J810,J827,J844,J861,J878,J895,J912,J929,J946,J963,J980,J997,J1014,J1031,J1048,J1065,J1082,J1099,J1116,J1133,J1150,J1167,J1184,J1201,J1218,J1235,J1252,J1269,J1286)</f>
        <v>79.196600369867838</v>
      </c>
      <c r="K11" s="249">
        <f t="shared" si="8"/>
        <v>67.661589308615376</v>
      </c>
      <c r="L11" s="249">
        <f t="shared" si="5"/>
        <v>146.8581896784832</v>
      </c>
      <c r="M11" s="236"/>
      <c r="N11" s="236"/>
    </row>
    <row r="12" spans="1:14" x14ac:dyDescent="0.2">
      <c r="A12" s="237" t="str">
        <f>name!E$7</f>
        <v>Administrative and secretarial occupations</v>
      </c>
      <c r="B12" s="249">
        <f t="shared" ref="B12:C12" si="9">SUM(B29,B46,B63,B80,B97,B114,B131,B148,B165,B182,B199,B216,B233,B250,B267,B284,B301,B318,B335,B352,B369,B386,B403,B420,B437,B454,B471,B488,B505,B522,B539,B556,B573,B590,B607,B624,B641,B658,B675,B692,B709,B726,B743,B760,B777,B794,B811,B828,B845,B862,B879,B896,B913,B930,B947,B964,B981,B998,B1015,B1032,B1049,B1066,B1083,B1100,B1117,B1134,B1151,B1168,B1185,B1202,B1219,B1236,B1253,B1270,B1287)</f>
        <v>103.30581266524784</v>
      </c>
      <c r="C12" s="249">
        <f t="shared" si="9"/>
        <v>36.444972640524306</v>
      </c>
      <c r="D12" s="249">
        <f t="shared" si="1"/>
        <v>139.75078530577215</v>
      </c>
      <c r="E12" s="238"/>
      <c r="F12" s="249">
        <f t="shared" ref="F12:G12" si="10">SUM(F29,F46,F63,F80,F97,F114,F131,F148,F165,F182,F199,F216,F233,F250,F267,F284,F301,F318,F335,F352,F369,F386,F403,F420,F437,F454,F471,F488,F505,F522,F539,F556,F573,F590,F607,F624,F641,F658,F675,F692,F709,F726,F743,F760,F777,F794,F811,F828,F845,F862,F879,F896,F913,F930,F947,F964,F981,F998,F1015,F1032,F1049,F1066,F1083,F1100,F1117,F1134,F1151,F1168,F1185,F1202,F1219,F1236,F1253,F1270,F1287)</f>
        <v>94.291039562032466</v>
      </c>
      <c r="G12" s="249">
        <f t="shared" si="10"/>
        <v>38.400054573253023</v>
      </c>
      <c r="H12" s="249">
        <f t="shared" si="3"/>
        <v>132.69109413528548</v>
      </c>
      <c r="I12" s="238"/>
      <c r="J12" s="249">
        <f t="shared" ref="J12:K12" si="11">SUM(J29,J46,J63,J80,J97,J114,J131,J148,J165,J182,J199,J216,J233,J250,J267,J284,J301,J318,J335,J352,J369,J386,J403,J420,J437,J454,J471,J488,J505,J522,J539,J556,J573,J590,J607,J624,J641,J658,J675,J692,J709,J726,J743,J760,J777,J794,J811,J828,J845,J862,J879,J896,J913,J930,J947,J964,J981,J998,J1015,J1032,J1049,J1066,J1083,J1100,J1117,J1134,J1151,J1168,J1185,J1202,J1219,J1236,J1253,J1270,J1287)</f>
        <v>76.221713430276012</v>
      </c>
      <c r="K12" s="249">
        <f t="shared" si="11"/>
        <v>41.001487347227638</v>
      </c>
      <c r="L12" s="249">
        <f t="shared" si="5"/>
        <v>117.22320077750365</v>
      </c>
      <c r="M12" s="236"/>
      <c r="N12" s="236"/>
    </row>
    <row r="13" spans="1:14" x14ac:dyDescent="0.2">
      <c r="A13" s="237" t="str">
        <f>name!E$8</f>
        <v>Skilled trades occupations</v>
      </c>
      <c r="B13" s="249">
        <f t="shared" ref="B13:C13" si="12">SUM(B30,B47,B64,B81,B98,B115,B132,B149,B166,B183,B200,B217,B234,B251,B268,B285,B302,B319,B336,B353,B370,B387,B404,B421,B438,B455,B472,B489,B506,B523,B540,B557,B574,B591,B608,B625,B642,B659,B676,B693,B710,B727,B744,B761,B778,B795,B812,B829,B846,B863,B880,B897,B914,B931,B948,B965,B982,B999,B1016,B1033,B1050,B1067,B1084,B1101,B1118,B1135,B1152,B1169,B1186,B1203,B1220,B1237,B1254,B1271,B1288)</f>
        <v>13.664301220000926</v>
      </c>
      <c r="C13" s="249">
        <f t="shared" si="12"/>
        <v>117.43193177099324</v>
      </c>
      <c r="D13" s="249">
        <f t="shared" si="1"/>
        <v>131.09623299099417</v>
      </c>
      <c r="E13" s="238"/>
      <c r="F13" s="249">
        <f t="shared" ref="F13:G13" si="13">SUM(F30,F47,F64,F81,F98,F115,F132,F149,F166,F183,F200,F217,F234,F251,F268,F285,F302,F319,F336,F353,F370,F387,F404,F421,F438,F455,F472,F489,F506,F523,F540,F557,F574,F591,F608,F625,F642,F659,F676,F693,F710,F727,F744,F761,F778,F795,F812,F829,F846,F863,F880,F897,F914,F931,F948,F965,F982,F999,F1016,F1033,F1050,F1067,F1084,F1101,F1118,F1135,F1152,F1169,F1186,F1203,F1220,F1237,F1254,F1271,F1288)</f>
        <v>13.940526633368259</v>
      </c>
      <c r="G13" s="249">
        <f t="shared" si="13"/>
        <v>96.101797696663766</v>
      </c>
      <c r="H13" s="249">
        <f t="shared" si="3"/>
        <v>110.04232433003203</v>
      </c>
      <c r="I13" s="238"/>
      <c r="J13" s="249">
        <f t="shared" ref="J13:K13" si="14">SUM(J30,J47,J64,J81,J98,J115,J132,J149,J166,J183,J200,J217,J234,J251,J268,J285,J302,J319,J336,J353,J370,J387,J404,J421,J438,J455,J472,J489,J506,J523,J540,J557,J574,J591,J608,J625,J642,J659,J676,J693,J710,J727,J744,J761,J778,J795,J812,J829,J846,J863,J880,J897,J914,J931,J948,J965,J982,J999,J1016,J1033,J1050,J1067,J1084,J1101,J1118,J1135,J1152,J1169,J1186,J1203,J1220,J1237,J1254,J1271,J1288)</f>
        <v>15.706800637691911</v>
      </c>
      <c r="K13" s="249">
        <f t="shared" si="14"/>
        <v>84.320563562809554</v>
      </c>
      <c r="L13" s="249">
        <f t="shared" si="5"/>
        <v>100.02736420050147</v>
      </c>
      <c r="M13" s="236"/>
      <c r="N13" s="236"/>
    </row>
    <row r="14" spans="1:14" x14ac:dyDescent="0.2">
      <c r="A14" s="237" t="str">
        <f>name!E$9</f>
        <v>Caring, leisure and other service occupations</v>
      </c>
      <c r="B14" s="249">
        <f t="shared" ref="B14:C14" si="15">SUM(B31,B48,B65,B82,B99,B116,B133,B150,B167,B184,B201,B218,B235,B252,B269,B286,B303,B320,B337,B354,B371,B388,B405,B422,B439,B456,B473,B490,B507,B524,B541,B558,B575,B592,B609,B626,B643,B660,B677,B694,B711,B728,B745,B762,B779,B796,B813,B830,B847,B864,B881,B898,B915,B932,B949,B966,B983,B1000,B1017,B1034,B1051,B1068,B1085,B1102,B1119,B1136,B1153,B1170,B1187,B1204,B1221,B1238,B1255,B1272,B1289)</f>
        <v>97.341459024314574</v>
      </c>
      <c r="C14" s="249">
        <f t="shared" si="15"/>
        <v>20.128899282218011</v>
      </c>
      <c r="D14" s="249">
        <f t="shared" si="1"/>
        <v>117.47035830653259</v>
      </c>
      <c r="E14" s="238"/>
      <c r="F14" s="249">
        <f t="shared" ref="F14:G14" si="16">SUM(F31,F48,F65,F82,F99,F116,F133,F150,F167,F184,F201,F218,F235,F252,F269,F286,F303,F320,F337,F354,F371,F388,F405,F422,F439,F456,F473,F490,F507,F524,F541,F558,F575,F592,F609,F626,F643,F660,F677,F694,F711,F728,F745,F762,F779,F796,F813,F830,F847,F864,F881,F898,F915,F932,F949,F966,F983,F1000,F1017,F1034,F1051,F1068,F1085,F1102,F1119,F1136,F1153,F1170,F1187,F1204,F1221,F1238,F1255,F1272,F1289)</f>
        <v>92.888355161230976</v>
      </c>
      <c r="G14" s="249">
        <f t="shared" si="16"/>
        <v>20.547140887635397</v>
      </c>
      <c r="H14" s="249">
        <f t="shared" si="3"/>
        <v>113.43549604886637</v>
      </c>
      <c r="I14" s="238"/>
      <c r="J14" s="249">
        <f t="shared" ref="J14:K14" si="17">SUM(J31,J48,J65,J82,J99,J116,J133,J150,J167,J184,J201,J218,J235,J252,J269,J286,J303,J320,J337,J354,J371,J388,J405,J422,J439,J456,J473,J490,J507,J524,J541,J558,J575,J592,J609,J626,J643,J660,J677,J694,J711,J728,J745,J762,J779,J796,J813,J830,J847,J864,J881,J898,J915,J932,J949,J966,J983,J1000,J1017,J1034,J1051,J1068,J1085,J1102,J1119,J1136,J1153,J1170,J1187,J1204,J1221,J1238,J1255,J1272,J1289)</f>
        <v>99.811112792949203</v>
      </c>
      <c r="K14" s="249">
        <f t="shared" si="17"/>
        <v>24.965504658205468</v>
      </c>
      <c r="L14" s="249">
        <f t="shared" si="5"/>
        <v>124.77661745115466</v>
      </c>
      <c r="M14" s="236"/>
      <c r="N14" s="236"/>
    </row>
    <row r="15" spans="1:14" x14ac:dyDescent="0.2">
      <c r="A15" s="237" t="str">
        <f>name!E$10</f>
        <v>Sales and customer service occupations</v>
      </c>
      <c r="B15" s="249">
        <f t="shared" ref="B15:C15" si="18">SUM(B32,B49,B66,B83,B100,B117,B134,B151,B168,B185,B202,B219,B236,B253,B270,B287,B304,B321,B338,B355,B372,B389,B406,B423,B440,B457,B474,B491,B508,B525,B542,B559,B576,B593,B610,B627,B644,B661,B678,B695,B712,B729,B746,B763,B780,B797,B814,B831,B848,B865,B882,B899,B916,B933,B950,B967,B984,B1001,B1018,B1035,B1052,B1069,B1086,B1103,B1120,B1137,B1154,B1171,B1188,B1205,B1222,B1239,B1256,B1273,B1290)</f>
        <v>92.302798931897286</v>
      </c>
      <c r="C15" s="249">
        <f t="shared" si="18"/>
        <v>43.486605499382279</v>
      </c>
      <c r="D15" s="249">
        <f t="shared" si="1"/>
        <v>135.78940443127956</v>
      </c>
      <c r="E15" s="238"/>
      <c r="F15" s="249">
        <f t="shared" ref="F15:G15" si="19">SUM(F32,F49,F66,F83,F100,F117,F134,F151,F168,F185,F202,F219,F236,F253,F270,F287,F304,F321,F338,F355,F372,F389,F406,F423,F440,F457,F474,F491,F508,F525,F542,F559,F576,F593,F610,F627,F644,F661,F678,F695,F712,F729,F746,F763,F780,F797,F814,F831,F848,F865,F882,F899,F916,F933,F950,F967,F984,F1001,F1018,F1035,F1052,F1069,F1086,F1103,F1120,F1137,F1154,F1171,F1188,F1205,F1222,F1239,F1256,F1273,F1290)</f>
        <v>83.705024906720439</v>
      </c>
      <c r="G15" s="249">
        <f t="shared" si="19"/>
        <v>42.257698776925793</v>
      </c>
      <c r="H15" s="249">
        <f t="shared" si="3"/>
        <v>125.96272368364623</v>
      </c>
      <c r="I15" s="238"/>
      <c r="J15" s="249">
        <f t="shared" ref="J15:K15" si="20">SUM(J32,J49,J66,J83,J100,J117,J134,J151,J168,J185,J202,J219,J236,J253,J270,J287,J304,J321,J338,J355,J372,J389,J406,J423,J440,J457,J474,J491,J508,J525,J542,J559,J576,J593,J610,J627,J644,J661,J678,J695,J712,J729,J746,J763,J780,J797,J814,J831,J848,J865,J882,J899,J916,J933,J950,J967,J984,J1001,J1018,J1035,J1052,J1069,J1086,J1103,J1120,J1137,J1154,J1171,J1188,J1205,J1222,J1239,J1256,J1273,J1290)</f>
        <v>82.112355220772471</v>
      </c>
      <c r="K15" s="249">
        <f t="shared" si="20"/>
        <v>46.578647489847896</v>
      </c>
      <c r="L15" s="249">
        <f t="shared" si="5"/>
        <v>128.69100271062035</v>
      </c>
      <c r="M15" s="236"/>
      <c r="N15" s="236"/>
    </row>
    <row r="16" spans="1:14" x14ac:dyDescent="0.2">
      <c r="A16" s="237" t="str">
        <f>name!E$11</f>
        <v>Process, plant and machine operatives</v>
      </c>
      <c r="B16" s="249">
        <f t="shared" ref="B16:C16" si="21">SUM(B33,B50,B67,B84,B101,B118,B135,B152,B169,B186,B203,B220,B237,B254,B271,B288,B305,B322,B339,B356,B373,B390,B407,B424,B441,B458,B475,B492,B509,B526,B543,B560,B577,B594,B611,B628,B645,B662,B679,B696,B713,B730,B747,B764,B781,B798,B815,B832,B849,B866,B883,B900,B917,B934,B951,B968,B985,B1002,B1019,B1036,B1053,B1070,B1087,B1104,B1121,B1138,B1155,B1172,B1189,B1206,B1223,B1240,B1257,B1274,B1291)</f>
        <v>9.1523483997543469</v>
      </c>
      <c r="C16" s="249">
        <f t="shared" si="21"/>
        <v>75.664931011088598</v>
      </c>
      <c r="D16" s="249">
        <f t="shared" si="1"/>
        <v>84.817279410842943</v>
      </c>
      <c r="E16" s="238"/>
      <c r="F16" s="249">
        <f t="shared" ref="F16:G16" si="22">SUM(F33,F50,F67,F84,F101,F118,F135,F152,F169,F186,F203,F220,F237,F254,F271,F288,F305,F322,F339,F356,F373,F390,F407,F424,F441,F458,F475,F492,F509,F526,F543,F560,F577,F594,F611,F628,F645,F662,F679,F696,F713,F730,F747,F764,F781,F798,F815,F832,F849,F866,F883,F900,F917,F934,F951,F968,F985,F1002,F1019,F1036,F1053,F1070,F1087,F1104,F1121,F1138,F1155,F1172,F1189,F1206,F1223,F1240,F1257,F1274,F1291)</f>
        <v>7.5257230765593395</v>
      </c>
      <c r="G16" s="249">
        <f t="shared" si="22"/>
        <v>71.108814727435956</v>
      </c>
      <c r="H16" s="249">
        <f t="shared" si="3"/>
        <v>78.6345378039953</v>
      </c>
      <c r="I16" s="238"/>
      <c r="J16" s="249">
        <f t="shared" ref="J16:K16" si="23">SUM(J33,J50,J67,J84,J101,J118,J135,J152,J169,J186,J203,J220,J237,J254,J271,J288,J305,J322,J339,J356,J373,J390,J407,J424,J441,J458,J475,J492,J509,J526,J543,J560,J577,J594,J611,J628,J645,J662,J679,J696,J713,J730,J747,J764,J781,J798,J815,J832,J849,J866,J883,J900,J917,J934,J951,J968,J985,J1002,J1019,J1036,J1053,J1070,J1087,J1104,J1121,J1138,J1155,J1172,J1189,J1206,J1223,J1240,J1257,J1274,J1291)</f>
        <v>8.730967894873956</v>
      </c>
      <c r="K16" s="249">
        <f t="shared" si="23"/>
        <v>71.738958865873073</v>
      </c>
      <c r="L16" s="249">
        <f t="shared" si="5"/>
        <v>80.469926760747029</v>
      </c>
      <c r="M16" s="236"/>
      <c r="N16" s="236"/>
    </row>
    <row r="17" spans="1:14" x14ac:dyDescent="0.2">
      <c r="A17" s="237" t="str">
        <f>name!E$12</f>
        <v>Elementary occupations</v>
      </c>
      <c r="B17" s="249">
        <f t="shared" ref="B17:C17" si="24">SUM(B34,B51,B68,B85,B102,B119,B136,B153,B170,B187,B204,B221,B238,B255,B272,B289,B306,B323,B340,B357,B374,B391,B408,B425,B442,B459,B476,B493,B510,B527,B544,B561,B578,B595,B612,B629,B646,B663,B680,B697,B714,B731,B748,B765,B782,B799,B816,B833,B850,B867,B884,B901,B918,B935,B952,B969,B986,B1003,B1020,B1037,B1054,B1071,B1088,B1105,B1122,B1139,B1156,B1173,B1190,B1207,B1224,B1241,B1258,B1275,B1292)</f>
        <v>72.233159105654806</v>
      </c>
      <c r="C17" s="249">
        <f t="shared" si="24"/>
        <v>77.411308600203895</v>
      </c>
      <c r="D17" s="249">
        <f t="shared" si="1"/>
        <v>149.64446770585869</v>
      </c>
      <c r="E17" s="238"/>
      <c r="F17" s="249">
        <f t="shared" ref="F17:G17" si="25">SUM(F34,F51,F68,F85,F102,F119,F136,F153,F170,F187,F204,F221,F238,F255,F272,F289,F306,F323,F340,F357,F374,F391,F408,F425,F442,F459,F476,F493,F510,F527,F544,F561,F578,F595,F612,F629,F646,F663,F680,F697,F714,F731,F748,F765,F782,F799,F816,F833,F850,F867,F884,F901,F918,F935,F952,F969,F986,F1003,F1020,F1037,F1054,F1071,F1088,F1105,F1122,F1139,F1156,F1173,F1190,F1207,F1224,F1241,F1258,F1275,F1292)</f>
        <v>60.130108094540169</v>
      </c>
      <c r="G17" s="249">
        <f t="shared" si="25"/>
        <v>73.688578401335832</v>
      </c>
      <c r="H17" s="249">
        <f t="shared" si="3"/>
        <v>133.81868649587599</v>
      </c>
      <c r="I17" s="238"/>
      <c r="J17" s="249">
        <f t="shared" ref="J17:K17" si="26">SUM(J34,J51,J68,J85,J102,J119,J136,J153,J170,J187,J204,J221,J238,J255,J272,J289,J306,J323,J340,J357,J374,J391,J408,J425,J442,J459,J476,J493,J510,J527,J544,J561,J578,J595,J612,J629,J646,J663,J680,J697,J714,J731,J748,J765,J782,J799,J816,J833,J850,J867,J884,J901,J918,J935,J952,J969,J986,J1003,J1020,J1037,J1054,J1071,J1088,J1105,J1122,J1139,J1156,J1173,J1190,J1207,J1224,J1241,J1258,J1275,J1292)</f>
        <v>59.159112404784622</v>
      </c>
      <c r="K17" s="249">
        <f t="shared" si="26"/>
        <v>70.894599098125795</v>
      </c>
      <c r="L17" s="249">
        <f t="shared" si="5"/>
        <v>130.0537115029104</v>
      </c>
      <c r="M17" s="236"/>
      <c r="N17" s="236"/>
    </row>
    <row r="18" spans="1:14" x14ac:dyDescent="0.2">
      <c r="A18" s="237"/>
      <c r="B18" s="249"/>
      <c r="C18" s="249"/>
      <c r="D18" s="249"/>
      <c r="E18" s="238"/>
      <c r="F18" s="249"/>
      <c r="G18" s="249"/>
      <c r="H18" s="249"/>
      <c r="I18" s="238"/>
      <c r="J18" s="249"/>
      <c r="K18" s="249"/>
      <c r="L18" s="249"/>
      <c r="M18" s="236"/>
      <c r="N18" s="236"/>
    </row>
    <row r="19" spans="1:14" x14ac:dyDescent="0.2">
      <c r="A19" s="244" t="s">
        <v>32</v>
      </c>
      <c r="B19" s="247">
        <f>SUM(B9:B17)</f>
        <v>600.5520000009451</v>
      </c>
      <c r="C19" s="247">
        <f t="shared" ref="C19:L19" si="27">SUM(C9:C17)</f>
        <v>607.15100000070765</v>
      </c>
      <c r="D19" s="247">
        <f t="shared" si="27"/>
        <v>1207.7030000016525</v>
      </c>
      <c r="E19" s="247"/>
      <c r="F19" s="247">
        <f t="shared" si="27"/>
        <v>597.91300000082299</v>
      </c>
      <c r="G19" s="247">
        <f t="shared" si="27"/>
        <v>591.42599999946731</v>
      </c>
      <c r="H19" s="247">
        <f t="shared" si="27"/>
        <v>1189.3390000002901</v>
      </c>
      <c r="I19" s="247"/>
      <c r="J19" s="247">
        <f t="shared" si="27"/>
        <v>641.89400000036369</v>
      </c>
      <c r="K19" s="247">
        <f t="shared" si="27"/>
        <v>609.10299999984966</v>
      </c>
      <c r="L19" s="247">
        <f t="shared" si="27"/>
        <v>1250.9970000002131</v>
      </c>
      <c r="M19" s="236"/>
      <c r="N19" s="236"/>
    </row>
    <row r="20" spans="1:14" x14ac:dyDescent="0.2">
      <c r="A20" s="237"/>
      <c r="B20" s="238"/>
      <c r="C20" s="238"/>
      <c r="D20" s="238"/>
      <c r="E20" s="238"/>
      <c r="F20" s="238"/>
      <c r="G20" s="238"/>
      <c r="H20" s="238"/>
      <c r="I20" s="238"/>
      <c r="J20" s="238"/>
      <c r="K20" s="238"/>
      <c r="L20" s="239"/>
      <c r="M20" s="236"/>
      <c r="N20" s="236"/>
    </row>
    <row r="21" spans="1:14" x14ac:dyDescent="0.2">
      <c r="A21" s="237"/>
      <c r="B21" s="237"/>
      <c r="C21" s="237"/>
      <c r="D21" s="237"/>
      <c r="E21" s="237"/>
      <c r="F21" s="237"/>
      <c r="G21" s="237"/>
      <c r="H21" s="237"/>
      <c r="I21" s="237"/>
      <c r="J21" s="237"/>
      <c r="K21" s="237"/>
      <c r="L21" s="256" t="s">
        <v>35</v>
      </c>
      <c r="M21" s="236"/>
      <c r="N21" s="236"/>
    </row>
    <row r="22" spans="1:14" x14ac:dyDescent="0.2">
      <c r="A22" s="242"/>
      <c r="B22" s="250"/>
      <c r="C22" s="250"/>
      <c r="D22" s="250"/>
      <c r="E22" s="250"/>
      <c r="F22" s="250"/>
      <c r="G22" s="250"/>
      <c r="H22" s="250"/>
      <c r="I22" s="250"/>
      <c r="J22" s="250"/>
      <c r="K22" s="250"/>
      <c r="L22" s="236"/>
      <c r="M22" s="236"/>
      <c r="N22" s="236"/>
    </row>
    <row r="23" spans="1:14" x14ac:dyDescent="0.2">
      <c r="A23" s="241" t="str">
        <f>name!A4</f>
        <v>Agriculture, etc</v>
      </c>
      <c r="B23" s="372">
        <f>B$6</f>
        <v>2015</v>
      </c>
      <c r="C23" s="372"/>
      <c r="D23" s="372"/>
      <c r="E23" s="253"/>
      <c r="F23" s="372">
        <f>F$6</f>
        <v>2020</v>
      </c>
      <c r="G23" s="372"/>
      <c r="H23" s="372"/>
      <c r="I23" s="253"/>
      <c r="J23" s="372">
        <f>J$6</f>
        <v>2035</v>
      </c>
      <c r="K23" s="372"/>
      <c r="L23" s="372"/>
      <c r="M23" s="236"/>
      <c r="N23" s="236"/>
    </row>
    <row r="24" spans="1:14" x14ac:dyDescent="0.2">
      <c r="A24" s="254"/>
      <c r="B24" s="255" t="s">
        <v>352</v>
      </c>
      <c r="C24" s="255" t="s">
        <v>353</v>
      </c>
      <c r="D24" s="255" t="s">
        <v>32</v>
      </c>
      <c r="E24" s="255"/>
      <c r="F24" s="255" t="s">
        <v>352</v>
      </c>
      <c r="G24" s="255" t="s">
        <v>353</v>
      </c>
      <c r="H24" s="255" t="s">
        <v>32</v>
      </c>
      <c r="I24" s="255"/>
      <c r="J24" s="255" t="s">
        <v>352</v>
      </c>
      <c r="K24" s="255" t="s">
        <v>353</v>
      </c>
      <c r="L24" s="255" t="s">
        <v>32</v>
      </c>
      <c r="M24" s="236"/>
      <c r="N24" s="236"/>
    </row>
    <row r="25" spans="1:14" x14ac:dyDescent="0.2">
      <c r="A25" s="258"/>
      <c r="B25" s="259"/>
      <c r="C25" s="259"/>
      <c r="D25" s="259"/>
      <c r="E25" s="259"/>
      <c r="F25" s="259"/>
      <c r="G25" s="259"/>
      <c r="H25" s="259"/>
      <c r="I25" s="259"/>
      <c r="J25" s="259"/>
      <c r="K25" s="259"/>
      <c r="L25" s="259"/>
      <c r="M25" s="236"/>
      <c r="N25" s="236"/>
    </row>
    <row r="26" spans="1:14" x14ac:dyDescent="0.2">
      <c r="A26" s="237" t="str">
        <f>name!E$4</f>
        <v>Managers, directors and senior officials</v>
      </c>
      <c r="B26" s="302">
        <v>4.0756727383639679E-3</v>
      </c>
      <c r="C26" s="302">
        <v>0.54364054684609753</v>
      </c>
      <c r="D26" s="302">
        <f>SUM(B26:C26)</f>
        <v>0.54771621958446148</v>
      </c>
      <c r="E26" s="303"/>
      <c r="F26" s="302">
        <v>7.7952482585324362E-2</v>
      </c>
      <c r="G26" s="302">
        <v>0.25172656107333446</v>
      </c>
      <c r="H26" s="302">
        <f>SUM(F26:G26)</f>
        <v>0.32967904365865885</v>
      </c>
      <c r="I26" s="303"/>
      <c r="J26" s="302">
        <v>8.5335120482239721E-2</v>
      </c>
      <c r="K26" s="302">
        <v>0.39928424405008212</v>
      </c>
      <c r="L26" s="302">
        <f>SUM(J26:K26)</f>
        <v>0.48461936453232185</v>
      </c>
      <c r="M26" s="236"/>
      <c r="N26" s="236"/>
    </row>
    <row r="27" spans="1:14" x14ac:dyDescent="0.2">
      <c r="A27" s="237" t="str">
        <f>name!E$5</f>
        <v>Professional occupations</v>
      </c>
      <c r="B27" s="302">
        <v>7.1101645217503916E-3</v>
      </c>
      <c r="C27" s="302">
        <v>0.21935986819267925</v>
      </c>
      <c r="D27" s="302">
        <f t="shared" ref="D27:D34" si="28">SUM(B27:C27)</f>
        <v>0.22647003271442964</v>
      </c>
      <c r="E27" s="303"/>
      <c r="F27" s="302">
        <v>2.3915689108074567E-2</v>
      </c>
      <c r="G27" s="302">
        <v>0.1048371289692613</v>
      </c>
      <c r="H27" s="302">
        <f t="shared" ref="H27:H34" si="29">SUM(F27:G27)</f>
        <v>0.12875281807733585</v>
      </c>
      <c r="I27" s="303"/>
      <c r="J27" s="302">
        <v>4.0160562610531497E-2</v>
      </c>
      <c r="K27" s="302">
        <v>0.14136358383625539</v>
      </c>
      <c r="L27" s="302">
        <f t="shared" ref="L27:L34" si="30">SUM(J27:K27)</f>
        <v>0.18152414644678688</v>
      </c>
      <c r="M27" s="236"/>
      <c r="N27" s="236"/>
    </row>
    <row r="28" spans="1:14" x14ac:dyDescent="0.2">
      <c r="A28" s="237" t="str">
        <f>name!E$6</f>
        <v>Associate professional occupations</v>
      </c>
      <c r="B28" s="302">
        <v>7.4639228576383228E-3</v>
      </c>
      <c r="C28" s="302">
        <v>0.15414148275594686</v>
      </c>
      <c r="D28" s="302">
        <f t="shared" si="28"/>
        <v>0.16160540561358519</v>
      </c>
      <c r="E28" s="303"/>
      <c r="F28" s="302">
        <v>2.1424263688396637E-2</v>
      </c>
      <c r="G28" s="302">
        <v>6.0808893335408898E-2</v>
      </c>
      <c r="H28" s="302">
        <f t="shared" si="29"/>
        <v>8.2233157023805542E-2</v>
      </c>
      <c r="I28" s="303"/>
      <c r="J28" s="302">
        <v>3.0735777151199267E-2</v>
      </c>
      <c r="K28" s="302">
        <v>5.4498067527477843E-2</v>
      </c>
      <c r="L28" s="302">
        <f t="shared" si="30"/>
        <v>8.5233844678677118E-2</v>
      </c>
      <c r="M28" s="236"/>
      <c r="N28" s="236"/>
    </row>
    <row r="29" spans="1:14" x14ac:dyDescent="0.2">
      <c r="A29" s="237" t="str">
        <f>name!E$7</f>
        <v>Administrative and secretarial occupations</v>
      </c>
      <c r="B29" s="302">
        <v>2.2957871517483755E-2</v>
      </c>
      <c r="C29" s="302">
        <v>0.14561549324709128</v>
      </c>
      <c r="D29" s="302">
        <f t="shared" si="28"/>
        <v>0.16857336476457502</v>
      </c>
      <c r="E29" s="303"/>
      <c r="F29" s="302">
        <v>5.3631416066745499E-2</v>
      </c>
      <c r="G29" s="302">
        <v>3.0675252005483999E-2</v>
      </c>
      <c r="H29" s="302">
        <f t="shared" si="29"/>
        <v>8.4306668072229501E-2</v>
      </c>
      <c r="I29" s="303"/>
      <c r="J29" s="302">
        <v>2.678281404386839E-2</v>
      </c>
      <c r="K29" s="302">
        <v>3.9314019653666536E-2</v>
      </c>
      <c r="L29" s="302">
        <f t="shared" si="30"/>
        <v>6.6096833697534926E-2</v>
      </c>
      <c r="M29" s="236"/>
      <c r="N29" s="236"/>
    </row>
    <row r="30" spans="1:14" x14ac:dyDescent="0.2">
      <c r="A30" s="237" t="str">
        <f>name!E$8</f>
        <v>Skilled trades occupations</v>
      </c>
      <c r="B30" s="302">
        <v>9.287810584210146E-3</v>
      </c>
      <c r="C30" s="302">
        <v>5.1242750196838447</v>
      </c>
      <c r="D30" s="302">
        <f t="shared" si="28"/>
        <v>5.1335628302680547</v>
      </c>
      <c r="E30" s="303"/>
      <c r="F30" s="302">
        <v>1.3241035792279137</v>
      </c>
      <c r="G30" s="302">
        <v>2.8921206767956233</v>
      </c>
      <c r="H30" s="302">
        <f t="shared" si="29"/>
        <v>4.216224256023537</v>
      </c>
      <c r="I30" s="303"/>
      <c r="J30" s="302">
        <v>1.5050005218145543</v>
      </c>
      <c r="K30" s="302">
        <v>2.8359379110218619</v>
      </c>
      <c r="L30" s="302">
        <f t="shared" si="30"/>
        <v>4.340938432836416</v>
      </c>
      <c r="M30" s="236"/>
      <c r="N30" s="236"/>
    </row>
    <row r="31" spans="1:14" x14ac:dyDescent="0.2">
      <c r="A31" s="237" t="str">
        <f>name!E$9</f>
        <v>Caring, leisure and other service occupations</v>
      </c>
      <c r="B31" s="302">
        <v>2.4717901497436214E-2</v>
      </c>
      <c r="C31" s="302">
        <v>0.12606052734661591</v>
      </c>
      <c r="D31" s="302">
        <f t="shared" si="28"/>
        <v>0.15077842884405213</v>
      </c>
      <c r="E31" s="303"/>
      <c r="F31" s="302">
        <v>5.896521725048056E-2</v>
      </c>
      <c r="G31" s="302">
        <v>4.9413559914325979E-2</v>
      </c>
      <c r="H31" s="302">
        <f t="shared" si="29"/>
        <v>0.10837877716480654</v>
      </c>
      <c r="I31" s="303"/>
      <c r="J31" s="302">
        <v>4.7305197049963249E-2</v>
      </c>
      <c r="K31" s="302">
        <v>6.6905240954628187E-2</v>
      </c>
      <c r="L31" s="302">
        <f t="shared" si="30"/>
        <v>0.11421043800459144</v>
      </c>
      <c r="M31" s="236"/>
      <c r="N31" s="236"/>
    </row>
    <row r="32" spans="1:14" x14ac:dyDescent="0.2">
      <c r="A32" s="237" t="str">
        <f>name!E$10</f>
        <v>Sales and customer service occupations</v>
      </c>
      <c r="B32" s="302">
        <v>7.1194467266048177E-3</v>
      </c>
      <c r="C32" s="302">
        <v>0.12964611809694299</v>
      </c>
      <c r="D32" s="302">
        <f t="shared" si="28"/>
        <v>0.13676556482354779</v>
      </c>
      <c r="E32" s="303"/>
      <c r="F32" s="302">
        <v>2.3064774643175554E-2</v>
      </c>
      <c r="G32" s="302">
        <v>3.8774457265590145E-2</v>
      </c>
      <c r="H32" s="302">
        <f t="shared" si="29"/>
        <v>6.1839231908765696E-2</v>
      </c>
      <c r="I32" s="303"/>
      <c r="J32" s="302">
        <v>1.8336102988770343E-2</v>
      </c>
      <c r="K32" s="302">
        <v>4.3602398717721487E-2</v>
      </c>
      <c r="L32" s="302">
        <f t="shared" si="30"/>
        <v>6.193850170649183E-2</v>
      </c>
      <c r="M32" s="236"/>
      <c r="N32" s="236"/>
    </row>
    <row r="33" spans="1:18" x14ac:dyDescent="0.2">
      <c r="A33" s="237" t="str">
        <f>name!E$11</f>
        <v>Process, plant and machine operatives</v>
      </c>
      <c r="B33" s="302">
        <v>2.6237882618374759E-3</v>
      </c>
      <c r="C33" s="302">
        <v>0.25326799455121135</v>
      </c>
      <c r="D33" s="302">
        <f t="shared" si="28"/>
        <v>0.25589178281304881</v>
      </c>
      <c r="E33" s="303"/>
      <c r="F33" s="302">
        <v>1.2550409307923444E-2</v>
      </c>
      <c r="G33" s="302">
        <v>6.4783597764584505E-2</v>
      </c>
      <c r="H33" s="302">
        <f t="shared" si="29"/>
        <v>7.7334007072507954E-2</v>
      </c>
      <c r="I33" s="303"/>
      <c r="J33" s="302">
        <v>4.1624163915882688E-2</v>
      </c>
      <c r="K33" s="302">
        <v>5.0654814513501512E-2</v>
      </c>
      <c r="L33" s="302">
        <f t="shared" si="30"/>
        <v>9.2278978429384206E-2</v>
      </c>
      <c r="M33" s="236"/>
      <c r="N33" s="236"/>
    </row>
    <row r="34" spans="1:18" x14ac:dyDescent="0.2">
      <c r="A34" s="237" t="str">
        <f>name!E$12</f>
        <v>Elementary occupations</v>
      </c>
      <c r="B34" s="302">
        <v>4.1643421294911033E-2</v>
      </c>
      <c r="C34" s="302">
        <v>0.73999294931183068</v>
      </c>
      <c r="D34" s="302">
        <f t="shared" si="28"/>
        <v>0.78163637060674174</v>
      </c>
      <c r="E34" s="303"/>
      <c r="F34" s="302">
        <v>0.10739216806762805</v>
      </c>
      <c r="G34" s="302">
        <v>0.25485987283202666</v>
      </c>
      <c r="H34" s="302">
        <f t="shared" si="29"/>
        <v>0.36225204089965468</v>
      </c>
      <c r="I34" s="303"/>
      <c r="J34" s="302">
        <v>8.4719739940571512E-2</v>
      </c>
      <c r="K34" s="302">
        <v>0.2884397196270177</v>
      </c>
      <c r="L34" s="302">
        <f t="shared" si="30"/>
        <v>0.37315945956758922</v>
      </c>
      <c r="M34" s="236"/>
      <c r="N34" s="236"/>
    </row>
    <row r="35" spans="1:18" x14ac:dyDescent="0.2">
      <c r="A35" s="237"/>
      <c r="B35" s="302"/>
      <c r="C35" s="302"/>
      <c r="D35" s="302"/>
      <c r="E35" s="303"/>
      <c r="F35" s="302"/>
      <c r="G35" s="302"/>
      <c r="H35" s="302"/>
      <c r="I35" s="303"/>
      <c r="J35" s="302"/>
      <c r="K35" s="302"/>
      <c r="L35" s="302"/>
      <c r="M35" s="236"/>
      <c r="N35" s="312"/>
      <c r="R35" s="313"/>
    </row>
    <row r="36" spans="1:18" x14ac:dyDescent="0.2">
      <c r="A36" s="244" t="s">
        <v>32</v>
      </c>
      <c r="B36" s="311">
        <f>SUM(B26:B34)</f>
        <v>0.12700000000023612</v>
      </c>
      <c r="C36" s="311">
        <f t="shared" ref="C36:K36" si="31">SUM(C26:C34)</f>
        <v>7.4360000000322612</v>
      </c>
      <c r="D36" s="311">
        <f t="shared" si="31"/>
        <v>7.5630000000324964</v>
      </c>
      <c r="E36" s="311"/>
      <c r="F36" s="311">
        <f t="shared" si="31"/>
        <v>1.7029999999456622</v>
      </c>
      <c r="G36" s="311">
        <f t="shared" si="31"/>
        <v>3.7479999999556388</v>
      </c>
      <c r="H36" s="311">
        <f t="shared" si="31"/>
        <v>5.4509999999013026</v>
      </c>
      <c r="I36" s="311"/>
      <c r="J36" s="311">
        <f t="shared" si="31"/>
        <v>1.8799999999975809</v>
      </c>
      <c r="K36" s="311">
        <f t="shared" si="31"/>
        <v>3.9199999999022124</v>
      </c>
      <c r="L36" s="311">
        <f>SUM(L26:L34)</f>
        <v>5.7999999998997938</v>
      </c>
      <c r="M36" s="236"/>
      <c r="N36" s="236"/>
    </row>
    <row r="37" spans="1:18" x14ac:dyDescent="0.2">
      <c r="A37" s="237"/>
      <c r="B37" s="237"/>
      <c r="C37" s="237"/>
      <c r="D37" s="237"/>
      <c r="E37" s="237"/>
      <c r="F37" s="237"/>
      <c r="G37" s="237"/>
      <c r="H37" s="237"/>
      <c r="I37" s="237"/>
      <c r="J37" s="237"/>
      <c r="K37" s="237"/>
      <c r="L37" s="240"/>
      <c r="M37" s="236"/>
      <c r="N37" s="236"/>
    </row>
    <row r="38" spans="1:18" x14ac:dyDescent="0.2">
      <c r="A38" s="237"/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56" t="s">
        <v>35</v>
      </c>
      <c r="M38" s="236"/>
      <c r="N38" s="236"/>
    </row>
    <row r="39" spans="1:18" x14ac:dyDescent="0.2">
      <c r="A39" s="242"/>
      <c r="B39" s="250"/>
      <c r="C39" s="250"/>
      <c r="D39" s="250"/>
      <c r="E39" s="250"/>
      <c r="F39" s="250"/>
      <c r="G39" s="250"/>
      <c r="H39" s="250"/>
      <c r="I39" s="250"/>
      <c r="J39" s="250"/>
      <c r="K39" s="250"/>
      <c r="L39" s="236"/>
      <c r="M39" s="236"/>
      <c r="N39" s="236"/>
    </row>
    <row r="40" spans="1:18" x14ac:dyDescent="0.2">
      <c r="A40" s="241" t="str">
        <f>name!A5</f>
        <v>Coal, oil &amp; gas; Mining &amp; related</v>
      </c>
      <c r="B40" s="372">
        <f>B$6</f>
        <v>2015</v>
      </c>
      <c r="C40" s="372"/>
      <c r="D40" s="372"/>
      <c r="E40" s="253"/>
      <c r="F40" s="372">
        <f>F23</f>
        <v>2020</v>
      </c>
      <c r="G40" s="372"/>
      <c r="H40" s="372"/>
      <c r="I40" s="253"/>
      <c r="J40" s="372">
        <f>J23</f>
        <v>2035</v>
      </c>
      <c r="K40" s="372"/>
      <c r="L40" s="372"/>
      <c r="M40" s="236"/>
      <c r="N40" s="236"/>
    </row>
    <row r="41" spans="1:18" x14ac:dyDescent="0.2">
      <c r="A41" s="254"/>
      <c r="B41" s="255" t="s">
        <v>352</v>
      </c>
      <c r="C41" s="255" t="s">
        <v>353</v>
      </c>
      <c r="D41" s="255" t="s">
        <v>32</v>
      </c>
      <c r="E41" s="255"/>
      <c r="F41" s="255" t="s">
        <v>352</v>
      </c>
      <c r="G41" s="255" t="s">
        <v>353</v>
      </c>
      <c r="H41" s="255" t="s">
        <v>32</v>
      </c>
      <c r="I41" s="255"/>
      <c r="J41" s="255" t="s">
        <v>352</v>
      </c>
      <c r="K41" s="255" t="s">
        <v>353</v>
      </c>
      <c r="L41" s="255" t="s">
        <v>32</v>
      </c>
      <c r="M41" s="236"/>
      <c r="N41" s="236"/>
    </row>
    <row r="42" spans="1:18" x14ac:dyDescent="0.2">
      <c r="A42" s="258"/>
      <c r="B42" s="259"/>
      <c r="C42" s="259"/>
      <c r="D42" s="259"/>
      <c r="E42" s="259"/>
      <c r="F42" s="259"/>
      <c r="G42" s="259"/>
      <c r="H42" s="259"/>
      <c r="I42" s="259"/>
      <c r="J42" s="259"/>
      <c r="K42" s="259"/>
      <c r="L42" s="259"/>
      <c r="M42" s="236"/>
      <c r="N42" s="236"/>
    </row>
    <row r="43" spans="1:18" x14ac:dyDescent="0.2">
      <c r="A43" s="237" t="str">
        <f>name!E$4</f>
        <v>Managers, directors and senior officials</v>
      </c>
      <c r="B43" s="302">
        <v>3.584934955133031E-3</v>
      </c>
      <c r="C43" s="302">
        <v>0.17991676624514283</v>
      </c>
      <c r="D43" s="302">
        <f>SUM(B43:C43)</f>
        <v>0.18350170120027587</v>
      </c>
      <c r="E43" s="303"/>
      <c r="F43" s="302">
        <v>8.144299557250323E-3</v>
      </c>
      <c r="G43" s="302">
        <v>0.16510788201304866</v>
      </c>
      <c r="H43" s="302">
        <f>SUM(F43:G43)</f>
        <v>0.17325218157029898</v>
      </c>
      <c r="I43" s="303"/>
      <c r="J43" s="302">
        <v>2.0413879909780445E-2</v>
      </c>
      <c r="K43" s="302">
        <v>0.14634360946935307</v>
      </c>
      <c r="L43" s="302">
        <f>SUM(J43:K43)</f>
        <v>0.16675748937913351</v>
      </c>
      <c r="M43" s="236"/>
      <c r="N43" s="236"/>
    </row>
    <row r="44" spans="1:18" x14ac:dyDescent="0.2">
      <c r="A44" s="237" t="str">
        <f>name!E$5</f>
        <v>Professional occupations</v>
      </c>
      <c r="B44" s="302">
        <v>1.8040599299910601E-2</v>
      </c>
      <c r="C44" s="302">
        <v>0.22991346107867555</v>
      </c>
      <c r="D44" s="302">
        <f t="shared" ref="D44:D51" si="32">SUM(B44:C44)</f>
        <v>0.24795406037858614</v>
      </c>
      <c r="E44" s="303"/>
      <c r="F44" s="302">
        <v>4.6531425027254734E-2</v>
      </c>
      <c r="G44" s="302">
        <v>0.22300080418942092</v>
      </c>
      <c r="H44" s="302">
        <f t="shared" ref="H44:H51" si="33">SUM(F44:G44)</f>
        <v>0.26953222921667563</v>
      </c>
      <c r="I44" s="303"/>
      <c r="J44" s="302">
        <v>7.1588934473262561E-2</v>
      </c>
      <c r="K44" s="302">
        <v>0.19784943770851943</v>
      </c>
      <c r="L44" s="302">
        <f t="shared" ref="L44:L51" si="34">SUM(J44:K44)</f>
        <v>0.26943837218178202</v>
      </c>
      <c r="M44" s="236"/>
      <c r="N44" s="236"/>
    </row>
    <row r="45" spans="1:18" x14ac:dyDescent="0.2">
      <c r="A45" s="237" t="str">
        <f>name!E$6</f>
        <v>Associate professional occupations</v>
      </c>
      <c r="B45" s="302">
        <v>1.4890857914576703E-2</v>
      </c>
      <c r="C45" s="302">
        <v>0.33981452428360137</v>
      </c>
      <c r="D45" s="302">
        <f t="shared" si="32"/>
        <v>0.3547053821981781</v>
      </c>
      <c r="E45" s="303"/>
      <c r="F45" s="302">
        <v>3.3606398725531408E-2</v>
      </c>
      <c r="G45" s="302">
        <v>0.30241932126352844</v>
      </c>
      <c r="H45" s="302">
        <f t="shared" si="33"/>
        <v>0.33602571998905983</v>
      </c>
      <c r="I45" s="303"/>
      <c r="J45" s="302">
        <v>4.3575489435093769E-2</v>
      </c>
      <c r="K45" s="302">
        <v>0.19408661856092038</v>
      </c>
      <c r="L45" s="302">
        <f t="shared" si="34"/>
        <v>0.23766210799601414</v>
      </c>
      <c r="M45" s="236"/>
      <c r="N45" s="236"/>
    </row>
    <row r="46" spans="1:18" x14ac:dyDescent="0.2">
      <c r="A46" s="237" t="str">
        <f>name!E$7</f>
        <v>Administrative and secretarial occupations</v>
      </c>
      <c r="B46" s="302">
        <v>6.1408505430847068E-2</v>
      </c>
      <c r="C46" s="302">
        <v>4.032304839040831E-2</v>
      </c>
      <c r="D46" s="302">
        <f t="shared" si="32"/>
        <v>0.10173155382125537</v>
      </c>
      <c r="E46" s="303"/>
      <c r="F46" s="302">
        <v>0.11353852007039741</v>
      </c>
      <c r="G46" s="302">
        <v>4.0462971192616985E-2</v>
      </c>
      <c r="H46" s="302">
        <f t="shared" si="33"/>
        <v>0.15400149126301441</v>
      </c>
      <c r="I46" s="303"/>
      <c r="J46" s="302">
        <v>3.1516015251773562E-2</v>
      </c>
      <c r="K46" s="302">
        <v>3.129756750076651E-2</v>
      </c>
      <c r="L46" s="302">
        <f t="shared" si="34"/>
        <v>6.2813582752540065E-2</v>
      </c>
      <c r="M46" s="236"/>
      <c r="N46" s="236"/>
    </row>
    <row r="47" spans="1:18" x14ac:dyDescent="0.2">
      <c r="A47" s="237" t="str">
        <f>name!E$8</f>
        <v>Skilled trades occupations</v>
      </c>
      <c r="B47" s="302">
        <v>2.508925479003559E-3</v>
      </c>
      <c r="C47" s="302">
        <v>0.53066499804321121</v>
      </c>
      <c r="D47" s="302">
        <f t="shared" si="32"/>
        <v>0.53317392352221482</v>
      </c>
      <c r="E47" s="303"/>
      <c r="F47" s="302">
        <v>4.6237664039701061E-3</v>
      </c>
      <c r="G47" s="302">
        <v>0.3269191205744098</v>
      </c>
      <c r="H47" s="302">
        <f>SUM(F47:G47)</f>
        <v>0.33154288697837991</v>
      </c>
      <c r="I47" s="303"/>
      <c r="J47" s="302">
        <v>3.6109473012264658E-3</v>
      </c>
      <c r="K47" s="302">
        <v>0.17687130511064453</v>
      </c>
      <c r="L47" s="302">
        <f t="shared" si="34"/>
        <v>0.18048225241187099</v>
      </c>
      <c r="M47" s="236"/>
      <c r="N47" s="236"/>
    </row>
    <row r="48" spans="1:18" x14ac:dyDescent="0.2">
      <c r="A48" s="237" t="str">
        <f>name!E$9</f>
        <v>Caring, leisure and other service occupations</v>
      </c>
      <c r="B48" s="302">
        <v>5.9811243517504638E-3</v>
      </c>
      <c r="C48" s="302">
        <v>4.0819693899900394E-2</v>
      </c>
      <c r="D48" s="302">
        <f t="shared" si="32"/>
        <v>4.6800818251650861E-2</v>
      </c>
      <c r="E48" s="303"/>
      <c r="F48" s="302">
        <v>1.2115386203901986E-2</v>
      </c>
      <c r="G48" s="302">
        <v>4.0625651017093457E-2</v>
      </c>
      <c r="H48" s="302">
        <f t="shared" si="33"/>
        <v>5.2741037220995442E-2</v>
      </c>
      <c r="I48" s="303"/>
      <c r="J48" s="302">
        <v>1.251363528600573E-2</v>
      </c>
      <c r="K48" s="302">
        <v>3.8554642490792615E-2</v>
      </c>
      <c r="L48" s="302">
        <f t="shared" si="34"/>
        <v>5.1068277776798343E-2</v>
      </c>
      <c r="M48" s="236"/>
      <c r="N48" s="236"/>
    </row>
    <row r="49" spans="1:14" x14ac:dyDescent="0.2">
      <c r="A49" s="237" t="str">
        <f>name!E$10</f>
        <v>Sales and customer service occupations</v>
      </c>
      <c r="B49" s="302">
        <v>2.4916145956798252E-2</v>
      </c>
      <c r="C49" s="302">
        <v>2.0845122176001162E-2</v>
      </c>
      <c r="D49" s="302">
        <f t="shared" si="32"/>
        <v>4.5761268132799418E-2</v>
      </c>
      <c r="E49" s="303"/>
      <c r="F49" s="302">
        <v>4.3634706340508943E-2</v>
      </c>
      <c r="G49" s="302">
        <v>2.3737459937702994E-2</v>
      </c>
      <c r="H49" s="302">
        <f t="shared" si="33"/>
        <v>6.7372166278211937E-2</v>
      </c>
      <c r="I49" s="303"/>
      <c r="J49" s="302">
        <v>1.7034026550441003E-2</v>
      </c>
      <c r="K49" s="302">
        <v>1.964029985681217E-2</v>
      </c>
      <c r="L49" s="302">
        <f t="shared" si="34"/>
        <v>3.6674326407253169E-2</v>
      </c>
      <c r="M49" s="236"/>
      <c r="N49" s="236"/>
    </row>
    <row r="50" spans="1:14" x14ac:dyDescent="0.2">
      <c r="A50" s="237" t="str">
        <f>name!E$11</f>
        <v>Process, plant and machine operatives</v>
      </c>
      <c r="B50" s="302">
        <v>8.8603864693110506E-4</v>
      </c>
      <c r="C50" s="302">
        <v>0.55556461024771853</v>
      </c>
      <c r="D50" s="302">
        <f t="shared" si="32"/>
        <v>0.55645064889464968</v>
      </c>
      <c r="E50" s="303"/>
      <c r="F50" s="302">
        <v>1.18367983617367E-3</v>
      </c>
      <c r="G50" s="302">
        <v>0.38232336492054753</v>
      </c>
      <c r="H50" s="302">
        <f t="shared" si="33"/>
        <v>0.3835070447567212</v>
      </c>
      <c r="I50" s="303"/>
      <c r="J50" s="302">
        <v>6.8769209424526779E-4</v>
      </c>
      <c r="K50" s="302">
        <v>0.3683867124426709</v>
      </c>
      <c r="L50" s="302">
        <f t="shared" si="34"/>
        <v>0.36907440453691615</v>
      </c>
      <c r="M50" s="236"/>
      <c r="N50" s="236"/>
    </row>
    <row r="51" spans="1:14" x14ac:dyDescent="0.2">
      <c r="A51" s="237" t="str">
        <f>name!E$12</f>
        <v>Elementary occupations</v>
      </c>
      <c r="B51" s="302">
        <v>4.7828679645667126E-3</v>
      </c>
      <c r="C51" s="302">
        <v>4.7137775635988317E-2</v>
      </c>
      <c r="D51" s="302">
        <f t="shared" si="32"/>
        <v>5.1920643600555032E-2</v>
      </c>
      <c r="E51" s="303"/>
      <c r="F51" s="302">
        <v>7.6218178338378594E-3</v>
      </c>
      <c r="G51" s="302">
        <v>3.5403424890812489E-2</v>
      </c>
      <c r="H51" s="302">
        <f t="shared" si="33"/>
        <v>4.3025242724650345E-2</v>
      </c>
      <c r="I51" s="303"/>
      <c r="J51" s="302">
        <v>4.0593797000659151E-3</v>
      </c>
      <c r="K51" s="302">
        <v>1.9969806851494954E-2</v>
      </c>
      <c r="L51" s="302">
        <f t="shared" si="34"/>
        <v>2.4029186551560867E-2</v>
      </c>
      <c r="M51" s="236"/>
      <c r="N51" s="236"/>
    </row>
    <row r="52" spans="1:14" x14ac:dyDescent="0.2">
      <c r="A52" s="237"/>
      <c r="B52" s="302"/>
      <c r="C52" s="302"/>
      <c r="D52" s="302"/>
      <c r="E52" s="303"/>
      <c r="F52" s="302"/>
      <c r="G52" s="302"/>
      <c r="H52" s="302"/>
      <c r="I52" s="303"/>
      <c r="J52" s="302"/>
      <c r="K52" s="302"/>
      <c r="L52" s="302"/>
      <c r="M52" s="236"/>
      <c r="N52" s="236"/>
    </row>
    <row r="53" spans="1:14" x14ac:dyDescent="0.2">
      <c r="A53" s="244" t="s">
        <v>32</v>
      </c>
      <c r="B53" s="311">
        <f>SUM(B43:B51)</f>
        <v>0.13699999999951748</v>
      </c>
      <c r="C53" s="311">
        <f t="shared" ref="C53:L53" si="35">SUM(C43:C51)</f>
        <v>1.9850000000006476</v>
      </c>
      <c r="D53" s="311">
        <f t="shared" si="35"/>
        <v>2.1220000000001651</v>
      </c>
      <c r="E53" s="311"/>
      <c r="F53" s="311">
        <f t="shared" si="35"/>
        <v>0.27099999999882646</v>
      </c>
      <c r="G53" s="311">
        <f t="shared" si="35"/>
        <v>1.5399999999991811</v>
      </c>
      <c r="H53" s="311">
        <f t="shared" si="35"/>
        <v>1.8109999999980078</v>
      </c>
      <c r="I53" s="311"/>
      <c r="J53" s="311">
        <f t="shared" si="35"/>
        <v>0.20500000000189472</v>
      </c>
      <c r="K53" s="311">
        <f t="shared" si="35"/>
        <v>1.1929999999919745</v>
      </c>
      <c r="L53" s="311">
        <f t="shared" si="35"/>
        <v>1.3979999999938693</v>
      </c>
      <c r="M53" s="236"/>
      <c r="N53" s="236"/>
    </row>
    <row r="54" spans="1:14" x14ac:dyDescent="0.2">
      <c r="A54" s="237"/>
      <c r="B54" s="237"/>
      <c r="C54" s="237"/>
      <c r="D54" s="237"/>
      <c r="E54" s="237"/>
      <c r="F54" s="237"/>
      <c r="G54" s="237"/>
      <c r="H54" s="237"/>
      <c r="I54" s="237"/>
      <c r="J54" s="237"/>
      <c r="K54" s="237"/>
      <c r="L54" s="240"/>
      <c r="M54" s="236"/>
      <c r="N54" s="236"/>
    </row>
    <row r="55" spans="1:14" x14ac:dyDescent="0.2">
      <c r="A55" s="237"/>
      <c r="B55" s="237"/>
      <c r="C55" s="237"/>
      <c r="D55" s="237"/>
      <c r="E55" s="237"/>
      <c r="F55" s="237"/>
      <c r="G55" s="237"/>
      <c r="H55" s="237"/>
      <c r="I55" s="237"/>
      <c r="J55" s="237"/>
      <c r="K55" s="237"/>
      <c r="L55" s="256" t="s">
        <v>35</v>
      </c>
      <c r="M55" s="236"/>
      <c r="N55" s="236"/>
    </row>
    <row r="56" spans="1:14" x14ac:dyDescent="0.2">
      <c r="A56" s="242"/>
      <c r="B56" s="250"/>
      <c r="C56" s="250"/>
      <c r="D56" s="250"/>
      <c r="E56" s="250"/>
      <c r="F56" s="250"/>
      <c r="G56" s="250"/>
      <c r="H56" s="250"/>
      <c r="I56" s="250"/>
      <c r="J56" s="250"/>
      <c r="K56" s="250"/>
      <c r="L56" s="236"/>
      <c r="M56" s="236"/>
      <c r="N56" s="236"/>
    </row>
    <row r="57" spans="1:14" x14ac:dyDescent="0.2">
      <c r="A57" s="241" t="str">
        <f>name!A6</f>
        <v>Food products</v>
      </c>
      <c r="B57" s="372">
        <f>B$6</f>
        <v>2015</v>
      </c>
      <c r="C57" s="372"/>
      <c r="D57" s="372"/>
      <c r="E57" s="253"/>
      <c r="F57" s="372">
        <f>F40</f>
        <v>2020</v>
      </c>
      <c r="G57" s="372"/>
      <c r="H57" s="372"/>
      <c r="I57" s="253"/>
      <c r="J57" s="372">
        <f>J40</f>
        <v>2035</v>
      </c>
      <c r="K57" s="372"/>
      <c r="L57" s="372"/>
      <c r="M57" s="236"/>
      <c r="N57" s="236"/>
    </row>
    <row r="58" spans="1:14" x14ac:dyDescent="0.2">
      <c r="A58" s="254"/>
      <c r="B58" s="255" t="s">
        <v>352</v>
      </c>
      <c r="C58" s="255" t="s">
        <v>353</v>
      </c>
      <c r="D58" s="255" t="s">
        <v>32</v>
      </c>
      <c r="E58" s="255"/>
      <c r="F58" s="255" t="s">
        <v>352</v>
      </c>
      <c r="G58" s="255" t="s">
        <v>353</v>
      </c>
      <c r="H58" s="255" t="s">
        <v>32</v>
      </c>
      <c r="I58" s="255"/>
      <c r="J58" s="255" t="s">
        <v>352</v>
      </c>
      <c r="K58" s="255" t="s">
        <v>353</v>
      </c>
      <c r="L58" s="255" t="s">
        <v>32</v>
      </c>
      <c r="M58" s="236"/>
      <c r="N58" s="236"/>
    </row>
    <row r="59" spans="1:14" x14ac:dyDescent="0.2">
      <c r="A59" s="258"/>
      <c r="B59" s="259"/>
      <c r="C59" s="259"/>
      <c r="D59" s="259"/>
      <c r="E59" s="259"/>
      <c r="F59" s="259"/>
      <c r="G59" s="259"/>
      <c r="H59" s="259"/>
      <c r="I59" s="259"/>
      <c r="J59" s="259"/>
      <c r="K59" s="259"/>
      <c r="L59" s="259"/>
      <c r="M59" s="236"/>
      <c r="N59" s="236"/>
    </row>
    <row r="60" spans="1:14" x14ac:dyDescent="0.2">
      <c r="A60" s="237" t="str">
        <f>name!E$4</f>
        <v>Managers, directors and senior officials</v>
      </c>
      <c r="B60" s="302">
        <v>0.10060293807250327</v>
      </c>
      <c r="C60" s="302">
        <v>0.19997510104857952</v>
      </c>
      <c r="D60" s="302">
        <f>SUM(B60:C60)</f>
        <v>0.30057803912108277</v>
      </c>
      <c r="E60" s="303"/>
      <c r="F60" s="302">
        <v>0.19313019728677835</v>
      </c>
      <c r="G60" s="302">
        <v>0.25977235142861549</v>
      </c>
      <c r="H60" s="302">
        <f>SUM(F60:G60)</f>
        <v>0.45290254871539382</v>
      </c>
      <c r="I60" s="303"/>
      <c r="J60" s="302">
        <v>0.23351802215629822</v>
      </c>
      <c r="K60" s="302">
        <v>0.25127458184538176</v>
      </c>
      <c r="L60" s="302">
        <f>SUM(J60:K60)</f>
        <v>0.48479260400168001</v>
      </c>
      <c r="M60" s="236"/>
      <c r="N60" s="236"/>
    </row>
    <row r="61" spans="1:14" x14ac:dyDescent="0.2">
      <c r="A61" s="237" t="str">
        <f>name!E$5</f>
        <v>Professional occupations</v>
      </c>
      <c r="B61" s="302">
        <v>7.8472633563614183E-2</v>
      </c>
      <c r="C61" s="302">
        <v>0.2041384153937324</v>
      </c>
      <c r="D61" s="302">
        <f t="shared" ref="D61:D68" si="36">SUM(B61:C61)</f>
        <v>0.28261104895734657</v>
      </c>
      <c r="E61" s="303"/>
      <c r="F61" s="302">
        <v>0.17187509275192098</v>
      </c>
      <c r="G61" s="302">
        <v>0.30729567070578723</v>
      </c>
      <c r="H61" s="302">
        <f t="shared" ref="H61:H68" si="37">SUM(F61:G61)</f>
        <v>0.4791707634577082</v>
      </c>
      <c r="I61" s="303"/>
      <c r="J61" s="302">
        <v>0.24657181635141973</v>
      </c>
      <c r="K61" s="302">
        <v>0.36460569256232744</v>
      </c>
      <c r="L61" s="302">
        <f t="shared" ref="L61:L68" si="38">SUM(J61:K61)</f>
        <v>0.61117750891374722</v>
      </c>
      <c r="M61" s="236"/>
      <c r="N61" s="236"/>
    </row>
    <row r="62" spans="1:14" x14ac:dyDescent="0.2">
      <c r="A62" s="237" t="str">
        <f>name!E$6</f>
        <v>Associate professional occupations</v>
      </c>
      <c r="B62" s="302">
        <v>0.17000900832734128</v>
      </c>
      <c r="C62" s="302">
        <v>0.39530271766153224</v>
      </c>
      <c r="D62" s="302">
        <f t="shared" si="36"/>
        <v>0.56531172598887358</v>
      </c>
      <c r="E62" s="303"/>
      <c r="F62" s="302">
        <v>0.30252005370492807</v>
      </c>
      <c r="G62" s="302">
        <v>0.57337510113209744</v>
      </c>
      <c r="H62" s="302">
        <f t="shared" si="37"/>
        <v>0.87589515483702551</v>
      </c>
      <c r="I62" s="303"/>
      <c r="J62" s="302">
        <v>0.34824735231357756</v>
      </c>
      <c r="K62" s="302">
        <v>0.47654854108805184</v>
      </c>
      <c r="L62" s="302">
        <f t="shared" si="38"/>
        <v>0.8247958934016294</v>
      </c>
      <c r="M62" s="236"/>
      <c r="N62" s="236"/>
    </row>
    <row r="63" spans="1:14" x14ac:dyDescent="0.2">
      <c r="A63" s="237" t="str">
        <f>name!E$7</f>
        <v>Administrative and secretarial occupations</v>
      </c>
      <c r="B63" s="302">
        <v>0.18403909028276902</v>
      </c>
      <c r="C63" s="302">
        <v>0.32431692631095271</v>
      </c>
      <c r="D63" s="302">
        <f t="shared" si="36"/>
        <v>0.50835601659372176</v>
      </c>
      <c r="E63" s="303"/>
      <c r="F63" s="302">
        <v>0.2771090731238946</v>
      </c>
      <c r="G63" s="302">
        <v>0.43627121439453309</v>
      </c>
      <c r="H63" s="302">
        <f t="shared" si="37"/>
        <v>0.71338028751842764</v>
      </c>
      <c r="I63" s="303"/>
      <c r="J63" s="302">
        <v>0.32584264548496533</v>
      </c>
      <c r="K63" s="302">
        <v>0.40330241099100789</v>
      </c>
      <c r="L63" s="302">
        <f t="shared" si="38"/>
        <v>0.72914505647597316</v>
      </c>
      <c r="M63" s="236"/>
      <c r="N63" s="236"/>
    </row>
    <row r="64" spans="1:14" x14ac:dyDescent="0.2">
      <c r="A64" s="237" t="str">
        <f>name!E$8</f>
        <v>Skilled trades occupations</v>
      </c>
      <c r="B64" s="302">
        <v>8.1014637448111576E-2</v>
      </c>
      <c r="C64" s="302">
        <v>1.2738983206014678</v>
      </c>
      <c r="D64" s="302">
        <f t="shared" si="36"/>
        <v>1.3549129580495793</v>
      </c>
      <c r="E64" s="303"/>
      <c r="F64" s="302">
        <v>0.1102856823382001</v>
      </c>
      <c r="G64" s="302">
        <v>1.1672093445804888</v>
      </c>
      <c r="H64" s="302">
        <f t="shared" si="37"/>
        <v>1.2774950269186889</v>
      </c>
      <c r="I64" s="303"/>
      <c r="J64" s="302">
        <v>0.11470982411532381</v>
      </c>
      <c r="K64" s="302">
        <v>1.0267884115114707</v>
      </c>
      <c r="L64" s="302">
        <f t="shared" si="38"/>
        <v>1.1414982356267944</v>
      </c>
      <c r="M64" s="236"/>
      <c r="N64" s="236"/>
    </row>
    <row r="65" spans="1:14" x14ac:dyDescent="0.2">
      <c r="A65" s="237" t="str">
        <f>name!E$9</f>
        <v>Caring, leisure and other service occupations</v>
      </c>
      <c r="B65" s="302">
        <v>1.8420150336531129E-2</v>
      </c>
      <c r="C65" s="302">
        <v>3.5165593988296058E-2</v>
      </c>
      <c r="D65" s="302">
        <f t="shared" si="36"/>
        <v>5.3585744324827184E-2</v>
      </c>
      <c r="E65" s="303"/>
      <c r="F65" s="302">
        <v>2.5797498808190142E-2</v>
      </c>
      <c r="G65" s="302">
        <v>4.5417187932354657E-2</v>
      </c>
      <c r="H65" s="302">
        <f t="shared" si="37"/>
        <v>7.1214686740544791E-2</v>
      </c>
      <c r="I65" s="303"/>
      <c r="J65" s="302">
        <v>2.707967279369021E-2</v>
      </c>
      <c r="K65" s="302">
        <v>4.2995788610023539E-2</v>
      </c>
      <c r="L65" s="302">
        <f t="shared" si="38"/>
        <v>7.0075461403713749E-2</v>
      </c>
      <c r="M65" s="236"/>
      <c r="N65" s="236"/>
    </row>
    <row r="66" spans="1:14" x14ac:dyDescent="0.2">
      <c r="A66" s="237" t="str">
        <f>name!E$10</f>
        <v>Sales and customer service occupations</v>
      </c>
      <c r="B66" s="302">
        <v>0.31090746994083507</v>
      </c>
      <c r="C66" s="302">
        <v>0.36910143176883425</v>
      </c>
      <c r="D66" s="302">
        <f t="shared" si="36"/>
        <v>0.68000890170966932</v>
      </c>
      <c r="E66" s="303"/>
      <c r="F66" s="302">
        <v>0.42910163415338343</v>
      </c>
      <c r="G66" s="302">
        <v>0.39920447475956389</v>
      </c>
      <c r="H66" s="302">
        <f t="shared" si="37"/>
        <v>0.82830610891294731</v>
      </c>
      <c r="I66" s="303"/>
      <c r="J66" s="302">
        <v>0.54897538496253384</v>
      </c>
      <c r="K66" s="302">
        <v>0.42911343772477739</v>
      </c>
      <c r="L66" s="302">
        <f t="shared" si="38"/>
        <v>0.97808882268731123</v>
      </c>
      <c r="M66" s="236"/>
      <c r="N66" s="236"/>
    </row>
    <row r="67" spans="1:14" x14ac:dyDescent="0.2">
      <c r="A67" s="237" t="str">
        <f>name!E$11</f>
        <v>Process, plant and machine operatives</v>
      </c>
      <c r="B67" s="302">
        <v>1.2526488059491436</v>
      </c>
      <c r="C67" s="302">
        <v>2.5657417697151526</v>
      </c>
      <c r="D67" s="302">
        <f t="shared" si="36"/>
        <v>3.8183905756642962</v>
      </c>
      <c r="E67" s="303"/>
      <c r="F67" s="302">
        <v>1.4917181704902331</v>
      </c>
      <c r="G67" s="302">
        <v>2.4283768700241435</v>
      </c>
      <c r="H67" s="302">
        <f t="shared" si="37"/>
        <v>3.9200950405143766</v>
      </c>
      <c r="I67" s="303"/>
      <c r="J67" s="302">
        <v>1.3310063721805521</v>
      </c>
      <c r="K67" s="302">
        <v>2.4647138298866937</v>
      </c>
      <c r="L67" s="302">
        <f t="shared" si="38"/>
        <v>3.7957202020672458</v>
      </c>
      <c r="M67" s="236"/>
      <c r="N67" s="236"/>
    </row>
    <row r="68" spans="1:14" x14ac:dyDescent="0.2">
      <c r="A68" s="237" t="str">
        <f>name!E$12</f>
        <v>Elementary occupations</v>
      </c>
      <c r="B68" s="302">
        <v>0.83588526610329883</v>
      </c>
      <c r="C68" s="302">
        <v>0.99635972355459579</v>
      </c>
      <c r="D68" s="302">
        <f t="shared" si="36"/>
        <v>1.8322449896578945</v>
      </c>
      <c r="E68" s="303"/>
      <c r="F68" s="302">
        <v>0.92146259729258251</v>
      </c>
      <c r="G68" s="302">
        <v>0.95207778505065443</v>
      </c>
      <c r="H68" s="302">
        <f t="shared" si="37"/>
        <v>1.8735403823432368</v>
      </c>
      <c r="I68" s="303"/>
      <c r="J68" s="302">
        <v>0.89004890962307737</v>
      </c>
      <c r="K68" s="302">
        <v>0.69165730571699824</v>
      </c>
      <c r="L68" s="302">
        <f t="shared" si="38"/>
        <v>1.5817062153400756</v>
      </c>
      <c r="M68" s="236"/>
      <c r="N68" s="236"/>
    </row>
    <row r="69" spans="1:14" x14ac:dyDescent="0.2">
      <c r="A69" s="237"/>
      <c r="B69" s="302"/>
      <c r="C69" s="302"/>
      <c r="D69" s="302"/>
      <c r="E69" s="303"/>
      <c r="F69" s="302"/>
      <c r="G69" s="302"/>
      <c r="H69" s="302"/>
      <c r="I69" s="303"/>
      <c r="J69" s="302"/>
      <c r="K69" s="302"/>
      <c r="L69" s="302"/>
      <c r="M69" s="236"/>
      <c r="N69" s="236"/>
    </row>
    <row r="70" spans="1:14" x14ac:dyDescent="0.2">
      <c r="A70" s="244" t="s">
        <v>32</v>
      </c>
      <c r="B70" s="311">
        <f>SUM(B60:B68)</f>
        <v>3.0320000000241478</v>
      </c>
      <c r="C70" s="311">
        <f t="shared" ref="C70:L70" si="39">SUM(C60:C68)</f>
        <v>6.3640000000431431</v>
      </c>
      <c r="D70" s="311">
        <f t="shared" si="39"/>
        <v>9.396000000067291</v>
      </c>
      <c r="E70" s="311"/>
      <c r="F70" s="311">
        <f t="shared" si="39"/>
        <v>3.9229999999501115</v>
      </c>
      <c r="G70" s="311">
        <f t="shared" si="39"/>
        <v>6.5690000000082378</v>
      </c>
      <c r="H70" s="311">
        <f t="shared" si="39"/>
        <v>10.491999999958349</v>
      </c>
      <c r="I70" s="311"/>
      <c r="J70" s="311">
        <f t="shared" si="39"/>
        <v>4.0659999999814378</v>
      </c>
      <c r="K70" s="311">
        <f t="shared" si="39"/>
        <v>6.1509999999367331</v>
      </c>
      <c r="L70" s="311">
        <f t="shared" si="39"/>
        <v>10.216999999918171</v>
      </c>
      <c r="M70" s="236"/>
      <c r="N70" s="236"/>
    </row>
    <row r="71" spans="1:14" x14ac:dyDescent="0.2">
      <c r="A71" s="237"/>
      <c r="B71" s="237"/>
      <c r="C71" s="237"/>
      <c r="D71" s="237"/>
      <c r="E71" s="237"/>
      <c r="F71" s="237"/>
      <c r="G71" s="237"/>
      <c r="H71" s="237"/>
      <c r="I71" s="237"/>
      <c r="J71" s="237"/>
      <c r="K71" s="237"/>
      <c r="L71" s="240"/>
      <c r="M71" s="236"/>
      <c r="N71" s="236"/>
    </row>
    <row r="72" spans="1:14" x14ac:dyDescent="0.2">
      <c r="A72" s="237"/>
      <c r="B72" s="237"/>
      <c r="C72" s="237"/>
      <c r="D72" s="237"/>
      <c r="E72" s="237"/>
      <c r="F72" s="237"/>
      <c r="G72" s="237"/>
      <c r="H72" s="237"/>
      <c r="I72" s="237"/>
      <c r="J72" s="237"/>
      <c r="K72" s="237"/>
      <c r="L72" s="256" t="s">
        <v>35</v>
      </c>
      <c r="M72" s="236"/>
      <c r="N72" s="236"/>
    </row>
    <row r="73" spans="1:14" x14ac:dyDescent="0.2">
      <c r="A73" s="242"/>
      <c r="B73" s="250"/>
      <c r="C73" s="250"/>
      <c r="D73" s="250"/>
      <c r="E73" s="250"/>
      <c r="F73" s="250"/>
      <c r="G73" s="250"/>
      <c r="H73" s="250"/>
      <c r="I73" s="250"/>
      <c r="J73" s="250"/>
      <c r="K73" s="250"/>
      <c r="L73" s="236"/>
      <c r="M73" s="236"/>
      <c r="N73" s="236"/>
    </row>
    <row r="74" spans="1:14" x14ac:dyDescent="0.2">
      <c r="A74" s="241" t="str">
        <f>name!A7</f>
        <v>Beverages and tobacco</v>
      </c>
      <c r="B74" s="372">
        <f>B$6</f>
        <v>2015</v>
      </c>
      <c r="C74" s="372"/>
      <c r="D74" s="372"/>
      <c r="E74" s="253"/>
      <c r="F74" s="372">
        <f>F57</f>
        <v>2020</v>
      </c>
      <c r="G74" s="372"/>
      <c r="H74" s="372"/>
      <c r="I74" s="253"/>
      <c r="J74" s="372">
        <f>J57</f>
        <v>2035</v>
      </c>
      <c r="K74" s="372"/>
      <c r="L74" s="372"/>
      <c r="M74" s="236"/>
      <c r="N74" s="236"/>
    </row>
    <row r="75" spans="1:14" x14ac:dyDescent="0.2">
      <c r="A75" s="254"/>
      <c r="B75" s="255" t="s">
        <v>352</v>
      </c>
      <c r="C75" s="255" t="s">
        <v>353</v>
      </c>
      <c r="D75" s="255" t="s">
        <v>32</v>
      </c>
      <c r="E75" s="255"/>
      <c r="F75" s="255" t="s">
        <v>352</v>
      </c>
      <c r="G75" s="255" t="s">
        <v>353</v>
      </c>
      <c r="H75" s="255" t="s">
        <v>32</v>
      </c>
      <c r="I75" s="255"/>
      <c r="J75" s="255" t="s">
        <v>352</v>
      </c>
      <c r="K75" s="255" t="s">
        <v>353</v>
      </c>
      <c r="L75" s="255" t="s">
        <v>32</v>
      </c>
      <c r="M75" s="236"/>
      <c r="N75" s="236"/>
    </row>
    <row r="76" spans="1:14" x14ac:dyDescent="0.2">
      <c r="A76" s="258"/>
      <c r="B76" s="259"/>
      <c r="C76" s="259"/>
      <c r="D76" s="259"/>
      <c r="E76" s="259"/>
      <c r="F76" s="259"/>
      <c r="G76" s="259"/>
      <c r="H76" s="259"/>
      <c r="I76" s="259"/>
      <c r="J76" s="259"/>
      <c r="K76" s="259"/>
      <c r="L76" s="259"/>
      <c r="M76" s="236"/>
      <c r="N76" s="236"/>
    </row>
    <row r="77" spans="1:14" x14ac:dyDescent="0.2">
      <c r="A77" s="237" t="str">
        <f>name!E$4</f>
        <v>Managers, directors and senior officials</v>
      </c>
      <c r="B77" s="302">
        <v>0.18434674228888467</v>
      </c>
      <c r="C77" s="302">
        <v>3.24725208455642E-2</v>
      </c>
      <c r="D77" s="302">
        <f>SUM(B77:C77)</f>
        <v>0.21681926313444888</v>
      </c>
      <c r="E77" s="303"/>
      <c r="F77" s="302">
        <v>0.22207775144306202</v>
      </c>
      <c r="G77" s="302">
        <v>3.4709741637611015E-2</v>
      </c>
      <c r="H77" s="302">
        <f>SUM(F77:G77)</f>
        <v>0.25678749308067306</v>
      </c>
      <c r="I77" s="303"/>
      <c r="J77" s="302">
        <v>0.28777032138350839</v>
      </c>
      <c r="K77" s="302">
        <v>3.0124846259342013E-2</v>
      </c>
      <c r="L77" s="302">
        <f>SUM(J77:K77)</f>
        <v>0.31789516764285042</v>
      </c>
      <c r="M77" s="236"/>
      <c r="N77" s="236"/>
    </row>
    <row r="78" spans="1:14" x14ac:dyDescent="0.2">
      <c r="A78" s="237" t="str">
        <f>name!E$5</f>
        <v>Professional occupations</v>
      </c>
      <c r="B78" s="302">
        <v>0.15186702862533927</v>
      </c>
      <c r="C78" s="302">
        <v>6.9434957735038327E-2</v>
      </c>
      <c r="D78" s="302">
        <f t="shared" ref="D78:D85" si="40">SUM(B78:C78)</f>
        <v>0.22130198636037759</v>
      </c>
      <c r="E78" s="303"/>
      <c r="F78" s="302">
        <v>0.17204517843732986</v>
      </c>
      <c r="G78" s="302">
        <v>8.1873913276200527E-2</v>
      </c>
      <c r="H78" s="302">
        <f t="shared" ref="H78:H85" si="41">SUM(F78:G78)</f>
        <v>0.25391909171353039</v>
      </c>
      <c r="I78" s="303"/>
      <c r="J78" s="302">
        <v>0.22473386537965412</v>
      </c>
      <c r="K78" s="302">
        <v>9.8108719643550321E-2</v>
      </c>
      <c r="L78" s="302">
        <f t="shared" ref="L78:L85" si="42">SUM(J78:K78)</f>
        <v>0.32284258502320445</v>
      </c>
      <c r="M78" s="236"/>
      <c r="N78" s="236"/>
    </row>
    <row r="79" spans="1:14" x14ac:dyDescent="0.2">
      <c r="A79" s="237" t="str">
        <f>name!E$6</f>
        <v>Associate professional occupations</v>
      </c>
      <c r="B79" s="302">
        <v>0.18754240356722965</v>
      </c>
      <c r="C79" s="302">
        <v>8.5326938845935327E-2</v>
      </c>
      <c r="D79" s="302">
        <f t="shared" si="40"/>
        <v>0.27286934241316496</v>
      </c>
      <c r="E79" s="303"/>
      <c r="F79" s="302">
        <v>0.20800676059406312</v>
      </c>
      <c r="G79" s="302">
        <v>9.9326484816477059E-2</v>
      </c>
      <c r="H79" s="302">
        <f t="shared" si="41"/>
        <v>0.30733324541054019</v>
      </c>
      <c r="I79" s="303"/>
      <c r="J79" s="302">
        <v>0.22629545616522848</v>
      </c>
      <c r="K79" s="302">
        <v>8.0239125261617569E-2</v>
      </c>
      <c r="L79" s="302">
        <f t="shared" si="42"/>
        <v>0.30653458142684603</v>
      </c>
      <c r="M79" s="236"/>
      <c r="N79" s="236"/>
    </row>
    <row r="80" spans="1:14" x14ac:dyDescent="0.2">
      <c r="A80" s="237" t="str">
        <f>name!E$7</f>
        <v>Administrative and secretarial occupations</v>
      </c>
      <c r="B80" s="302">
        <v>0.18579438242406154</v>
      </c>
      <c r="C80" s="302">
        <v>1.6812935581601341E-2</v>
      </c>
      <c r="D80" s="302">
        <f t="shared" si="40"/>
        <v>0.2026073180056629</v>
      </c>
      <c r="E80" s="303"/>
      <c r="F80" s="302">
        <v>0.14563517533030984</v>
      </c>
      <c r="G80" s="302">
        <v>1.6069959331659743E-2</v>
      </c>
      <c r="H80" s="302">
        <f t="shared" si="41"/>
        <v>0.16170513466196959</v>
      </c>
      <c r="I80" s="303"/>
      <c r="J80" s="302">
        <v>0.105919381009278</v>
      </c>
      <c r="K80" s="302">
        <v>1.4575456552305284E-2</v>
      </c>
      <c r="L80" s="302">
        <f t="shared" si="42"/>
        <v>0.12049483756158329</v>
      </c>
      <c r="M80" s="236"/>
      <c r="N80" s="236"/>
    </row>
    <row r="81" spans="1:14" x14ac:dyDescent="0.2">
      <c r="A81" s="237" t="str">
        <f>name!E$8</f>
        <v>Skilled trades occupations</v>
      </c>
      <c r="B81" s="302">
        <v>1.8047980452864761E-2</v>
      </c>
      <c r="C81" s="302">
        <v>9.197502366008517E-2</v>
      </c>
      <c r="D81" s="302">
        <f t="shared" si="40"/>
        <v>0.11002300411294993</v>
      </c>
      <c r="E81" s="303"/>
      <c r="F81" s="302">
        <v>1.392566568239377E-2</v>
      </c>
      <c r="G81" s="302">
        <v>7.1393030402148672E-2</v>
      </c>
      <c r="H81" s="302">
        <f t="shared" si="41"/>
        <v>8.5318696084542442E-2</v>
      </c>
      <c r="I81" s="303"/>
      <c r="J81" s="302">
        <v>1.0111271081855059E-2</v>
      </c>
      <c r="K81" s="302">
        <v>5.4538573453039169E-2</v>
      </c>
      <c r="L81" s="302">
        <f t="shared" si="42"/>
        <v>6.4649844534894224E-2</v>
      </c>
      <c r="M81" s="236"/>
      <c r="N81" s="236"/>
    </row>
    <row r="82" spans="1:14" x14ac:dyDescent="0.2">
      <c r="A82" s="237" t="str">
        <f>name!E$9</f>
        <v>Caring, leisure and other service occupations</v>
      </c>
      <c r="B82" s="302">
        <v>9.2955194353360179E-2</v>
      </c>
      <c r="C82" s="302">
        <v>8.6417342808404636E-3</v>
      </c>
      <c r="D82" s="302">
        <f t="shared" si="40"/>
        <v>0.10159692863420064</v>
      </c>
      <c r="E82" s="303"/>
      <c r="F82" s="302">
        <v>5.1337381483507499E-2</v>
      </c>
      <c r="G82" s="302">
        <v>6.2371836290095592E-3</v>
      </c>
      <c r="H82" s="302">
        <f t="shared" si="41"/>
        <v>5.7574565112517059E-2</v>
      </c>
      <c r="I82" s="303"/>
      <c r="J82" s="302">
        <v>4.7631820955384443E-2</v>
      </c>
      <c r="K82" s="302">
        <v>7.4161186575099044E-3</v>
      </c>
      <c r="L82" s="302">
        <f t="shared" si="42"/>
        <v>5.504793961289435E-2</v>
      </c>
      <c r="M82" s="236"/>
      <c r="N82" s="236"/>
    </row>
    <row r="83" spans="1:14" x14ac:dyDescent="0.2">
      <c r="A83" s="237" t="str">
        <f>name!E$10</f>
        <v>Sales and customer service occupations</v>
      </c>
      <c r="B83" s="302">
        <v>0.10833135604594829</v>
      </c>
      <c r="C83" s="302">
        <v>3.6772953232861255E-2</v>
      </c>
      <c r="D83" s="302">
        <f t="shared" si="40"/>
        <v>0.14510430927880955</v>
      </c>
      <c r="E83" s="303"/>
      <c r="F83" s="302">
        <v>6.3207694894323013E-2</v>
      </c>
      <c r="G83" s="302">
        <v>2.9981440940365027E-2</v>
      </c>
      <c r="H83" s="302">
        <f t="shared" si="41"/>
        <v>9.3189135834688047E-2</v>
      </c>
      <c r="I83" s="303"/>
      <c r="J83" s="302">
        <v>6.5948733936061169E-2</v>
      </c>
      <c r="K83" s="302">
        <v>2.9708265261386972E-2</v>
      </c>
      <c r="L83" s="302">
        <f t="shared" si="42"/>
        <v>9.5656999197448134E-2</v>
      </c>
      <c r="M83" s="236"/>
      <c r="N83" s="236"/>
    </row>
    <row r="84" spans="1:14" x14ac:dyDescent="0.2">
      <c r="A84" s="237" t="str">
        <f>name!E$11</f>
        <v>Process, plant and machine operatives</v>
      </c>
      <c r="B84" s="302">
        <v>6.9994405708951907E-2</v>
      </c>
      <c r="C84" s="302">
        <v>0.23376531879034537</v>
      </c>
      <c r="D84" s="302">
        <f t="shared" si="40"/>
        <v>0.30375972449929728</v>
      </c>
      <c r="E84" s="303"/>
      <c r="F84" s="302">
        <v>5.0451424246518238E-2</v>
      </c>
      <c r="G84" s="302">
        <v>0.19112723667768633</v>
      </c>
      <c r="H84" s="302">
        <f t="shared" si="41"/>
        <v>0.24157866092420457</v>
      </c>
      <c r="I84" s="303"/>
      <c r="J84" s="302">
        <v>4.253759127531101E-2</v>
      </c>
      <c r="K84" s="302">
        <v>0.20019848885255412</v>
      </c>
      <c r="L84" s="302">
        <f t="shared" si="42"/>
        <v>0.24273608012786513</v>
      </c>
      <c r="M84" s="236"/>
      <c r="N84" s="236"/>
    </row>
    <row r="85" spans="1:14" x14ac:dyDescent="0.2">
      <c r="A85" s="237" t="str">
        <f>name!E$12</f>
        <v>Elementary occupations</v>
      </c>
      <c r="B85" s="302">
        <v>0.12612050652879117</v>
      </c>
      <c r="C85" s="302">
        <v>0.11579761703111029</v>
      </c>
      <c r="D85" s="302">
        <f t="shared" si="40"/>
        <v>0.24191812355990144</v>
      </c>
      <c r="E85" s="303"/>
      <c r="F85" s="302">
        <v>5.6312967881813863E-2</v>
      </c>
      <c r="G85" s="302">
        <v>8.3281009289648669E-2</v>
      </c>
      <c r="H85" s="302">
        <f t="shared" si="41"/>
        <v>0.13959397717146255</v>
      </c>
      <c r="I85" s="303"/>
      <c r="J85" s="302">
        <v>3.5051558813318923E-2</v>
      </c>
      <c r="K85" s="302">
        <v>5.9090406053878844E-2</v>
      </c>
      <c r="L85" s="302">
        <f t="shared" si="42"/>
        <v>9.4141964867197767E-2</v>
      </c>
      <c r="M85" s="236"/>
      <c r="N85" s="236"/>
    </row>
    <row r="86" spans="1:14" x14ac:dyDescent="0.2">
      <c r="A86" s="237"/>
      <c r="B86" s="302"/>
      <c r="C86" s="302"/>
      <c r="D86" s="302"/>
      <c r="E86" s="303"/>
      <c r="F86" s="302"/>
      <c r="G86" s="302"/>
      <c r="H86" s="302"/>
      <c r="I86" s="303"/>
      <c r="J86" s="302"/>
      <c r="K86" s="302"/>
      <c r="L86" s="302"/>
      <c r="M86" s="236"/>
      <c r="N86" s="236"/>
    </row>
    <row r="87" spans="1:14" x14ac:dyDescent="0.2">
      <c r="A87" s="244" t="s">
        <v>32</v>
      </c>
      <c r="B87" s="311">
        <f>SUM(B77:B85)</f>
        <v>1.1249999999954314</v>
      </c>
      <c r="C87" s="311">
        <f t="shared" ref="C87:D87" si="43">SUM(C77:C85)</f>
        <v>0.69100000000338169</v>
      </c>
      <c r="D87" s="311">
        <f t="shared" si="43"/>
        <v>1.8159999999988132</v>
      </c>
      <c r="E87" s="311"/>
      <c r="F87" s="311">
        <f t="shared" ref="F87:H87" si="44">SUM(F77:F85)</f>
        <v>0.98299999999332122</v>
      </c>
      <c r="G87" s="311">
        <f t="shared" si="44"/>
        <v>0.61400000000080657</v>
      </c>
      <c r="H87" s="311">
        <f t="shared" si="44"/>
        <v>1.5969999999941278</v>
      </c>
      <c r="I87" s="311"/>
      <c r="J87" s="311">
        <f t="shared" ref="J87:L87" si="45">SUM(J77:J85)</f>
        <v>1.0459999999995997</v>
      </c>
      <c r="K87" s="311">
        <f t="shared" si="45"/>
        <v>0.57399999999518414</v>
      </c>
      <c r="L87" s="311">
        <f t="shared" si="45"/>
        <v>1.6199999999947838</v>
      </c>
      <c r="M87" s="236"/>
      <c r="N87" s="236"/>
    </row>
    <row r="88" spans="1:14" x14ac:dyDescent="0.2">
      <c r="A88" s="237"/>
      <c r="B88" s="237"/>
      <c r="C88" s="237"/>
      <c r="D88" s="237"/>
      <c r="E88" s="237"/>
      <c r="F88" s="237"/>
      <c r="G88" s="237"/>
      <c r="H88" s="237"/>
      <c r="I88" s="237"/>
      <c r="J88" s="237"/>
      <c r="K88" s="237"/>
      <c r="L88" s="240"/>
      <c r="M88" s="236"/>
      <c r="N88" s="236"/>
    </row>
    <row r="89" spans="1:14" x14ac:dyDescent="0.2">
      <c r="A89" s="237"/>
      <c r="B89" s="237"/>
      <c r="C89" s="237"/>
      <c r="D89" s="237"/>
      <c r="E89" s="237"/>
      <c r="F89" s="237"/>
      <c r="G89" s="237"/>
      <c r="H89" s="237"/>
      <c r="I89" s="237"/>
      <c r="J89" s="237"/>
      <c r="K89" s="237"/>
      <c r="L89" s="256" t="s">
        <v>35</v>
      </c>
      <c r="M89" s="236"/>
      <c r="N89" s="236"/>
    </row>
    <row r="90" spans="1:14" x14ac:dyDescent="0.2">
      <c r="A90" s="242"/>
      <c r="B90" s="250"/>
      <c r="C90" s="250"/>
      <c r="D90" s="250"/>
      <c r="E90" s="250"/>
      <c r="F90" s="250"/>
      <c r="G90" s="250"/>
      <c r="H90" s="250"/>
      <c r="I90" s="250"/>
      <c r="J90" s="250"/>
      <c r="K90" s="250"/>
      <c r="L90" s="236"/>
      <c r="M90" s="236"/>
      <c r="N90" s="236"/>
    </row>
    <row r="91" spans="1:14" x14ac:dyDescent="0.2">
      <c r="A91" s="241" t="str">
        <f>name!A8</f>
        <v>Textiles</v>
      </c>
      <c r="B91" s="372">
        <f>B$6</f>
        <v>2015</v>
      </c>
      <c r="C91" s="372"/>
      <c r="D91" s="372"/>
      <c r="E91" s="253"/>
      <c r="F91" s="372">
        <f>F74</f>
        <v>2020</v>
      </c>
      <c r="G91" s="372"/>
      <c r="H91" s="372"/>
      <c r="I91" s="253"/>
      <c r="J91" s="372">
        <f>J74</f>
        <v>2035</v>
      </c>
      <c r="K91" s="372"/>
      <c r="L91" s="372"/>
      <c r="M91" s="236"/>
      <c r="N91" s="236"/>
    </row>
    <row r="92" spans="1:14" x14ac:dyDescent="0.2">
      <c r="A92" s="254"/>
      <c r="B92" s="255" t="s">
        <v>352</v>
      </c>
      <c r="C92" s="255" t="s">
        <v>353</v>
      </c>
      <c r="D92" s="255" t="s">
        <v>32</v>
      </c>
      <c r="E92" s="255"/>
      <c r="F92" s="255" t="s">
        <v>352</v>
      </c>
      <c r="G92" s="255" t="s">
        <v>353</v>
      </c>
      <c r="H92" s="255" t="s">
        <v>32</v>
      </c>
      <c r="I92" s="255"/>
      <c r="J92" s="255" t="s">
        <v>352</v>
      </c>
      <c r="K92" s="255" t="s">
        <v>353</v>
      </c>
      <c r="L92" s="255" t="s">
        <v>32</v>
      </c>
      <c r="M92" s="236"/>
      <c r="N92" s="236"/>
    </row>
    <row r="93" spans="1:14" x14ac:dyDescent="0.2">
      <c r="A93" s="258"/>
      <c r="B93" s="259"/>
      <c r="C93" s="259"/>
      <c r="D93" s="259"/>
      <c r="E93" s="259"/>
      <c r="F93" s="259"/>
      <c r="G93" s="259"/>
      <c r="H93" s="259"/>
      <c r="I93" s="259"/>
      <c r="J93" s="259"/>
      <c r="K93" s="259"/>
      <c r="L93" s="259"/>
      <c r="M93" s="236"/>
      <c r="N93" s="236"/>
    </row>
    <row r="94" spans="1:14" x14ac:dyDescent="0.2">
      <c r="A94" s="237" t="str">
        <f>name!E$4</f>
        <v>Managers, directors and senior officials</v>
      </c>
      <c r="B94" s="302">
        <v>8.2763111889333218E-2</v>
      </c>
      <c r="C94" s="302">
        <v>0.18240426540837171</v>
      </c>
      <c r="D94" s="302">
        <f>SUM(B94:C94)</f>
        <v>0.2651673772977049</v>
      </c>
      <c r="E94" s="303"/>
      <c r="F94" s="302">
        <v>6.6878103692088589E-2</v>
      </c>
      <c r="G94" s="302">
        <v>8.0242794166772921E-2</v>
      </c>
      <c r="H94" s="302">
        <f>SUM(F94:G94)</f>
        <v>0.14712089785886151</v>
      </c>
      <c r="I94" s="303"/>
      <c r="J94" s="302">
        <v>5.0423343880521498E-2</v>
      </c>
      <c r="K94" s="302">
        <v>6.1345766645486265E-2</v>
      </c>
      <c r="L94" s="302">
        <f>SUM(J94:K94)</f>
        <v>0.11176911052600777</v>
      </c>
      <c r="M94" s="236"/>
      <c r="N94" s="236"/>
    </row>
    <row r="95" spans="1:14" x14ac:dyDescent="0.2">
      <c r="A95" s="237" t="str">
        <f>name!E$5</f>
        <v>Professional occupations</v>
      </c>
      <c r="B95" s="302">
        <v>0.13093278963733512</v>
      </c>
      <c r="C95" s="302">
        <v>0.11469207621294367</v>
      </c>
      <c r="D95" s="302">
        <f t="shared" ref="D95:D102" si="46">SUM(B95:C95)</f>
        <v>0.24562486585027879</v>
      </c>
      <c r="E95" s="303"/>
      <c r="F95" s="302">
        <v>0.10719034569732241</v>
      </c>
      <c r="G95" s="302">
        <v>6.715626160960278E-2</v>
      </c>
      <c r="H95" s="302">
        <f t="shared" ref="H95:H102" si="47">SUM(F95:G95)</f>
        <v>0.17434660730692519</v>
      </c>
      <c r="I95" s="303"/>
      <c r="J95" s="302">
        <v>8.3127932830801401E-2</v>
      </c>
      <c r="K95" s="302">
        <v>6.227777165304714E-2</v>
      </c>
      <c r="L95" s="302">
        <f t="shared" ref="L95:L102" si="48">SUM(J95:K95)</f>
        <v>0.14540570448384854</v>
      </c>
      <c r="M95" s="236"/>
      <c r="N95" s="236"/>
    </row>
    <row r="96" spans="1:14" x14ac:dyDescent="0.2">
      <c r="A96" s="237" t="str">
        <f>name!E$6</f>
        <v>Associate professional occupations</v>
      </c>
      <c r="B96" s="302">
        <v>0.17269844405749885</v>
      </c>
      <c r="C96" s="302">
        <v>0.10431756427032636</v>
      </c>
      <c r="D96" s="302">
        <f t="shared" si="46"/>
        <v>0.27701600832782519</v>
      </c>
      <c r="E96" s="303"/>
      <c r="F96" s="302">
        <v>0.10637766110975634</v>
      </c>
      <c r="G96" s="302">
        <v>4.8065372534060062E-2</v>
      </c>
      <c r="H96" s="302">
        <f t="shared" si="47"/>
        <v>0.1544430336438164</v>
      </c>
      <c r="I96" s="303"/>
      <c r="J96" s="302">
        <v>8.5636308317224782E-2</v>
      </c>
      <c r="K96" s="302">
        <v>3.7245594764290943E-2</v>
      </c>
      <c r="L96" s="302">
        <f t="shared" si="48"/>
        <v>0.12288190308151573</v>
      </c>
      <c r="M96" s="236"/>
      <c r="N96" s="236"/>
    </row>
    <row r="97" spans="1:14" x14ac:dyDescent="0.2">
      <c r="A97" s="237" t="str">
        <f>name!E$7</f>
        <v>Administrative and secretarial occupations</v>
      </c>
      <c r="B97" s="302">
        <v>4.749326949665908E-2</v>
      </c>
      <c r="C97" s="302">
        <v>9.9865666454834301E-2</v>
      </c>
      <c r="D97" s="302">
        <f t="shared" si="46"/>
        <v>0.14735893595149338</v>
      </c>
      <c r="E97" s="303"/>
      <c r="F97" s="302">
        <v>3.3269803657415345E-2</v>
      </c>
      <c r="G97" s="302">
        <v>6.1058340762825743E-2</v>
      </c>
      <c r="H97" s="302">
        <f t="shared" si="47"/>
        <v>9.4328144420241095E-2</v>
      </c>
      <c r="I97" s="303"/>
      <c r="J97" s="302">
        <v>2.0939221156955377E-2</v>
      </c>
      <c r="K97" s="302">
        <v>4.8300579877464139E-2</v>
      </c>
      <c r="L97" s="302">
        <f t="shared" si="48"/>
        <v>6.9239801034419513E-2</v>
      </c>
      <c r="M97" s="236"/>
      <c r="N97" s="236"/>
    </row>
    <row r="98" spans="1:14" x14ac:dyDescent="0.2">
      <c r="A98" s="237" t="str">
        <f>name!E$8</f>
        <v>Skilled trades occupations</v>
      </c>
      <c r="B98" s="302">
        <v>0.13270397462775282</v>
      </c>
      <c r="C98" s="302">
        <v>0.17584881616271486</v>
      </c>
      <c r="D98" s="302">
        <f t="shared" si="46"/>
        <v>0.30855279079046771</v>
      </c>
      <c r="E98" s="303"/>
      <c r="F98" s="302">
        <v>7.7997695252184682E-2</v>
      </c>
      <c r="G98" s="302">
        <v>6.4823320941227239E-2</v>
      </c>
      <c r="H98" s="302">
        <f t="shared" si="47"/>
        <v>0.14282101619341192</v>
      </c>
      <c r="I98" s="303"/>
      <c r="J98" s="302">
        <v>7.3719252466485127E-2</v>
      </c>
      <c r="K98" s="302">
        <v>3.3543143737780001E-2</v>
      </c>
      <c r="L98" s="302">
        <f t="shared" si="48"/>
        <v>0.10726239620426513</v>
      </c>
      <c r="M98" s="236"/>
      <c r="N98" s="236"/>
    </row>
    <row r="99" spans="1:14" x14ac:dyDescent="0.2">
      <c r="A99" s="237" t="str">
        <f>name!E$9</f>
        <v>Caring, leisure and other service occupations</v>
      </c>
      <c r="B99" s="302">
        <v>0.12526281793445163</v>
      </c>
      <c r="C99" s="302">
        <v>7.1356956785590441E-3</v>
      </c>
      <c r="D99" s="302">
        <f t="shared" si="46"/>
        <v>0.13239851361301067</v>
      </c>
      <c r="E99" s="303"/>
      <c r="F99" s="302">
        <v>9.6047920193775907E-2</v>
      </c>
      <c r="G99" s="302">
        <v>2.5690154707966296E-3</v>
      </c>
      <c r="H99" s="302">
        <f t="shared" si="47"/>
        <v>9.8616935664572539E-2</v>
      </c>
      <c r="I99" s="303"/>
      <c r="J99" s="302">
        <v>6.0332611826819968E-2</v>
      </c>
      <c r="K99" s="302">
        <v>2.5540219025455384E-3</v>
      </c>
      <c r="L99" s="302">
        <f t="shared" si="48"/>
        <v>6.288663372936551E-2</v>
      </c>
      <c r="M99" s="236"/>
      <c r="N99" s="236"/>
    </row>
    <row r="100" spans="1:14" x14ac:dyDescent="0.2">
      <c r="A100" s="237" t="str">
        <f>name!E$10</f>
        <v>Sales and customer service occupations</v>
      </c>
      <c r="B100" s="302">
        <v>6.3674815881562347E-2</v>
      </c>
      <c r="C100" s="302">
        <v>3.9041282811774519E-2</v>
      </c>
      <c r="D100" s="302">
        <f t="shared" si="46"/>
        <v>0.10271609869333687</v>
      </c>
      <c r="E100" s="303"/>
      <c r="F100" s="302">
        <v>2.6428571827555127E-2</v>
      </c>
      <c r="G100" s="302">
        <v>1.5473046597622072E-2</v>
      </c>
      <c r="H100" s="302">
        <f t="shared" si="47"/>
        <v>4.1901618425177201E-2</v>
      </c>
      <c r="I100" s="303"/>
      <c r="J100" s="302">
        <v>1.4833460641534941E-2</v>
      </c>
      <c r="K100" s="302">
        <v>1.3987015241053219E-2</v>
      </c>
      <c r="L100" s="302">
        <f t="shared" si="48"/>
        <v>2.882047588258816E-2</v>
      </c>
      <c r="M100" s="236"/>
      <c r="N100" s="236"/>
    </row>
    <row r="101" spans="1:14" x14ac:dyDescent="0.2">
      <c r="A101" s="237" t="str">
        <f>name!E$11</f>
        <v>Process, plant and machine operatives</v>
      </c>
      <c r="B101" s="302">
        <v>0.34443016988481723</v>
      </c>
      <c r="C101" s="302">
        <v>0.32192002318291152</v>
      </c>
      <c r="D101" s="302">
        <f t="shared" si="46"/>
        <v>0.66635019306772869</v>
      </c>
      <c r="E101" s="303"/>
      <c r="F101" s="302">
        <v>0.14176709929318063</v>
      </c>
      <c r="G101" s="302">
        <v>0.13382585268078795</v>
      </c>
      <c r="H101" s="302">
        <f t="shared" si="47"/>
        <v>0.2755929519739686</v>
      </c>
      <c r="I101" s="303"/>
      <c r="J101" s="302">
        <v>0.11124035517422227</v>
      </c>
      <c r="K101" s="302">
        <v>0.11125090621526952</v>
      </c>
      <c r="L101" s="302">
        <f t="shared" si="48"/>
        <v>0.2224912613894918</v>
      </c>
      <c r="M101" s="236"/>
      <c r="N101" s="236"/>
    </row>
    <row r="102" spans="1:14" x14ac:dyDescent="0.2">
      <c r="A102" s="237" t="str">
        <f>name!E$12</f>
        <v>Elementary occupations</v>
      </c>
      <c r="B102" s="302">
        <v>0.19004060660127384</v>
      </c>
      <c r="C102" s="302">
        <v>0.13877460982165465</v>
      </c>
      <c r="D102" s="302">
        <f t="shared" si="46"/>
        <v>0.32881521642292849</v>
      </c>
      <c r="E102" s="303"/>
      <c r="F102" s="302">
        <v>7.004279927216997E-2</v>
      </c>
      <c r="G102" s="302">
        <v>5.8785995236153285E-2</v>
      </c>
      <c r="H102" s="302">
        <f t="shared" si="47"/>
        <v>0.12882879450832324</v>
      </c>
      <c r="I102" s="303"/>
      <c r="J102" s="302">
        <v>4.4747513709028797E-2</v>
      </c>
      <c r="K102" s="302">
        <v>3.1495199960462746E-2</v>
      </c>
      <c r="L102" s="302">
        <f t="shared" si="48"/>
        <v>7.6242713669491535E-2</v>
      </c>
      <c r="M102" s="236"/>
      <c r="N102" s="236"/>
    </row>
    <row r="103" spans="1:14" x14ac:dyDescent="0.2">
      <c r="A103" s="237"/>
      <c r="B103" s="302"/>
      <c r="C103" s="302"/>
      <c r="D103" s="302"/>
      <c r="E103" s="303"/>
      <c r="F103" s="302"/>
      <c r="G103" s="302"/>
      <c r="H103" s="302"/>
      <c r="I103" s="303"/>
      <c r="J103" s="302"/>
      <c r="K103" s="302"/>
      <c r="L103" s="302"/>
      <c r="M103" s="236"/>
      <c r="N103" s="236"/>
    </row>
    <row r="104" spans="1:14" x14ac:dyDescent="0.2">
      <c r="A104" s="244" t="s">
        <v>32</v>
      </c>
      <c r="B104" s="311">
        <f>SUM(B94:B102)</f>
        <v>1.2900000000106842</v>
      </c>
      <c r="C104" s="311">
        <f t="shared" ref="C104:D104" si="49">SUM(C94:C102)</f>
        <v>1.1840000000040907</v>
      </c>
      <c r="D104" s="311">
        <f t="shared" si="49"/>
        <v>2.4740000000147746</v>
      </c>
      <c r="E104" s="311"/>
      <c r="F104" s="311">
        <f t="shared" ref="F104:H104" si="50">SUM(F94:F102)</f>
        <v>0.72599999999544895</v>
      </c>
      <c r="G104" s="311">
        <f t="shared" si="50"/>
        <v>0.53199999999984859</v>
      </c>
      <c r="H104" s="311">
        <f t="shared" si="50"/>
        <v>1.2579999999952978</v>
      </c>
      <c r="I104" s="311"/>
      <c r="J104" s="311">
        <f t="shared" ref="J104:L104" si="51">SUM(J94:J102)</f>
        <v>0.54500000000359416</v>
      </c>
      <c r="K104" s="311">
        <f t="shared" si="51"/>
        <v>0.40199999999739949</v>
      </c>
      <c r="L104" s="311">
        <f t="shared" si="51"/>
        <v>0.94700000000099371</v>
      </c>
      <c r="M104" s="236"/>
      <c r="N104" s="236"/>
    </row>
    <row r="105" spans="1:14" x14ac:dyDescent="0.2">
      <c r="A105" s="237"/>
      <c r="B105" s="237"/>
      <c r="C105" s="237"/>
      <c r="D105" s="237"/>
      <c r="E105" s="237"/>
      <c r="F105" s="237"/>
      <c r="G105" s="237"/>
      <c r="H105" s="237"/>
      <c r="I105" s="237"/>
      <c r="J105" s="237"/>
      <c r="K105" s="237"/>
      <c r="L105" s="240"/>
      <c r="M105" s="236"/>
      <c r="N105" s="236"/>
    </row>
    <row r="106" spans="1:14" x14ac:dyDescent="0.2">
      <c r="A106" s="237"/>
      <c r="B106" s="237"/>
      <c r="C106" s="237"/>
      <c r="D106" s="237"/>
      <c r="E106" s="237"/>
      <c r="F106" s="237"/>
      <c r="G106" s="237"/>
      <c r="H106" s="237"/>
      <c r="I106" s="237"/>
      <c r="J106" s="237"/>
      <c r="K106" s="237"/>
      <c r="L106" s="256" t="s">
        <v>35</v>
      </c>
      <c r="M106" s="236"/>
      <c r="N106" s="236"/>
    </row>
    <row r="107" spans="1:14" x14ac:dyDescent="0.2">
      <c r="A107" s="242"/>
      <c r="B107" s="250"/>
      <c r="C107" s="250"/>
      <c r="D107" s="250"/>
      <c r="E107" s="250"/>
      <c r="F107" s="250"/>
      <c r="G107" s="250"/>
      <c r="H107" s="250"/>
      <c r="I107" s="250"/>
      <c r="J107" s="250"/>
      <c r="K107" s="250"/>
      <c r="L107" s="236"/>
      <c r="M107" s="236"/>
      <c r="N107" s="236"/>
    </row>
    <row r="108" spans="1:14" x14ac:dyDescent="0.2">
      <c r="A108" s="241" t="str">
        <f>name!A9</f>
        <v>Wearing apparel; Leather, etc</v>
      </c>
      <c r="B108" s="372">
        <f>B$6</f>
        <v>2015</v>
      </c>
      <c r="C108" s="372"/>
      <c r="D108" s="372"/>
      <c r="E108" s="253"/>
      <c r="F108" s="372">
        <f>F91</f>
        <v>2020</v>
      </c>
      <c r="G108" s="372"/>
      <c r="H108" s="372"/>
      <c r="I108" s="253"/>
      <c r="J108" s="372">
        <f>J91</f>
        <v>2035</v>
      </c>
      <c r="K108" s="372"/>
      <c r="L108" s="372"/>
      <c r="M108" s="236"/>
      <c r="N108" s="236"/>
    </row>
    <row r="109" spans="1:14" x14ac:dyDescent="0.2">
      <c r="A109" s="254"/>
      <c r="B109" s="255" t="s">
        <v>352</v>
      </c>
      <c r="C109" s="255" t="s">
        <v>353</v>
      </c>
      <c r="D109" s="255" t="s">
        <v>32</v>
      </c>
      <c r="E109" s="255"/>
      <c r="F109" s="255" t="s">
        <v>352</v>
      </c>
      <c r="G109" s="255" t="s">
        <v>353</v>
      </c>
      <c r="H109" s="255" t="s">
        <v>32</v>
      </c>
      <c r="I109" s="255"/>
      <c r="J109" s="255" t="s">
        <v>352</v>
      </c>
      <c r="K109" s="255" t="s">
        <v>353</v>
      </c>
      <c r="L109" s="255" t="s">
        <v>32</v>
      </c>
      <c r="M109" s="236"/>
      <c r="N109" s="236"/>
    </row>
    <row r="110" spans="1:14" x14ac:dyDescent="0.2">
      <c r="A110" s="258"/>
      <c r="B110" s="259"/>
      <c r="C110" s="259"/>
      <c r="D110" s="259"/>
      <c r="E110" s="259"/>
      <c r="F110" s="259"/>
      <c r="G110" s="259"/>
      <c r="H110" s="259"/>
      <c r="I110" s="259"/>
      <c r="J110" s="259"/>
      <c r="K110" s="259"/>
      <c r="L110" s="259"/>
      <c r="M110" s="236"/>
      <c r="N110" s="236"/>
    </row>
    <row r="111" spans="1:14" x14ac:dyDescent="0.2">
      <c r="A111" s="237" t="str">
        <f>name!E$4</f>
        <v>Managers, directors and senior officials</v>
      </c>
      <c r="B111" s="302">
        <v>2.7897982521436333E-2</v>
      </c>
      <c r="C111" s="302">
        <v>3.3160234708784354E-2</v>
      </c>
      <c r="D111" s="302">
        <f>SUM(B111:C111)</f>
        <v>6.1058217230220688E-2</v>
      </c>
      <c r="E111" s="303"/>
      <c r="F111" s="302">
        <v>6.9323167832117411E-3</v>
      </c>
      <c r="G111" s="302">
        <v>4.5326529387453556E-3</v>
      </c>
      <c r="H111" s="302">
        <f>SUM(F111:G111)</f>
        <v>1.1464969721957097E-2</v>
      </c>
      <c r="I111" s="303"/>
      <c r="J111" s="302">
        <v>5.7155029585964634E-3</v>
      </c>
      <c r="K111" s="302">
        <v>3.6181794883660451E-3</v>
      </c>
      <c r="L111" s="302">
        <f>SUM(J111:K111)</f>
        <v>9.3336824469625081E-3</v>
      </c>
      <c r="M111" s="236"/>
      <c r="N111" s="236"/>
    </row>
    <row r="112" spans="1:14" x14ac:dyDescent="0.2">
      <c r="A112" s="237" t="str">
        <f>name!E$5</f>
        <v>Professional occupations</v>
      </c>
      <c r="B112" s="302">
        <v>6.6546199029628744E-2</v>
      </c>
      <c r="C112" s="302">
        <v>3.4623806113289517E-2</v>
      </c>
      <c r="D112" s="302">
        <f t="shared" ref="D112:D119" si="52">SUM(B112:C112)</f>
        <v>0.10117000514291827</v>
      </c>
      <c r="E112" s="303"/>
      <c r="F112" s="302">
        <v>2.1351074908732847E-2</v>
      </c>
      <c r="G112" s="302">
        <v>7.0164727908806337E-3</v>
      </c>
      <c r="H112" s="302">
        <f t="shared" ref="H112:H119" si="53">SUM(F112:G112)</f>
        <v>2.8367547699613482E-2</v>
      </c>
      <c r="I112" s="303"/>
      <c r="J112" s="302">
        <v>1.8816524187454442E-2</v>
      </c>
      <c r="K112" s="302">
        <v>6.9390254804886278E-3</v>
      </c>
      <c r="L112" s="302">
        <f t="shared" ref="L112:L119" si="54">SUM(J112:K112)</f>
        <v>2.5755549667943071E-2</v>
      </c>
      <c r="M112" s="236"/>
      <c r="N112" s="236"/>
    </row>
    <row r="113" spans="1:14" x14ac:dyDescent="0.2">
      <c r="A113" s="237" t="str">
        <f>name!E$6</f>
        <v>Associate professional occupations</v>
      </c>
      <c r="B113" s="302">
        <v>0.10561781759146263</v>
      </c>
      <c r="C113" s="302">
        <v>3.8458698720239347E-2</v>
      </c>
      <c r="D113" s="302">
        <f t="shared" si="52"/>
        <v>0.14407651631170199</v>
      </c>
      <c r="E113" s="303"/>
      <c r="F113" s="302">
        <v>2.6758476802916834E-2</v>
      </c>
      <c r="G113" s="302">
        <v>6.1343665602013623E-3</v>
      </c>
      <c r="H113" s="302">
        <f t="shared" si="53"/>
        <v>3.2892843363118193E-2</v>
      </c>
      <c r="I113" s="303"/>
      <c r="J113" s="302">
        <v>2.197160154359579E-2</v>
      </c>
      <c r="K113" s="302">
        <v>4.1411503582384612E-3</v>
      </c>
      <c r="L113" s="302">
        <f t="shared" si="54"/>
        <v>2.611275190183425E-2</v>
      </c>
      <c r="M113" s="236"/>
      <c r="N113" s="236"/>
    </row>
    <row r="114" spans="1:14" x14ac:dyDescent="0.2">
      <c r="A114" s="237" t="str">
        <f>name!E$7</f>
        <v>Administrative and secretarial occupations</v>
      </c>
      <c r="B114" s="302">
        <v>3.5967376630186787E-2</v>
      </c>
      <c r="C114" s="302">
        <v>1.7151984842751024E-2</v>
      </c>
      <c r="D114" s="302">
        <f t="shared" si="52"/>
        <v>5.3119361472937811E-2</v>
      </c>
      <c r="E114" s="303"/>
      <c r="F114" s="302">
        <v>6.773047370931976E-3</v>
      </c>
      <c r="G114" s="302">
        <v>2.601556613635302E-3</v>
      </c>
      <c r="H114" s="302">
        <f t="shared" si="53"/>
        <v>9.3746039845672771E-3</v>
      </c>
      <c r="I114" s="303"/>
      <c r="J114" s="302">
        <v>5.096332338909001E-3</v>
      </c>
      <c r="K114" s="302">
        <v>1.5429629975638648E-3</v>
      </c>
      <c r="L114" s="302">
        <f t="shared" si="54"/>
        <v>6.639295336472866E-3</v>
      </c>
      <c r="M114" s="236"/>
      <c r="N114" s="236"/>
    </row>
    <row r="115" spans="1:14" x14ac:dyDescent="0.2">
      <c r="A115" s="237" t="str">
        <f>name!E$8</f>
        <v>Skilled trades occupations</v>
      </c>
      <c r="B115" s="302">
        <v>0.13043662518058491</v>
      </c>
      <c r="C115" s="302">
        <v>3.6336605678648722E-2</v>
      </c>
      <c r="D115" s="302">
        <f t="shared" si="52"/>
        <v>0.16677323085923362</v>
      </c>
      <c r="E115" s="303"/>
      <c r="F115" s="302">
        <v>2.1467059180532801E-2</v>
      </c>
      <c r="G115" s="302">
        <v>3.9565295436550258E-3</v>
      </c>
      <c r="H115" s="302">
        <f t="shared" si="53"/>
        <v>2.5423588724187825E-2</v>
      </c>
      <c r="I115" s="303"/>
      <c r="J115" s="302">
        <v>1.0547918890264229E-2</v>
      </c>
      <c r="K115" s="302">
        <v>2.2679880682173483E-3</v>
      </c>
      <c r="L115" s="302">
        <f t="shared" si="54"/>
        <v>1.2815906958481577E-2</v>
      </c>
      <c r="M115" s="236"/>
      <c r="N115" s="236"/>
    </row>
    <row r="116" spans="1:14" x14ac:dyDescent="0.2">
      <c r="A116" s="237" t="str">
        <f>name!E$9</f>
        <v>Caring, leisure and other service occupations</v>
      </c>
      <c r="B116" s="302">
        <v>0.39129835007728014</v>
      </c>
      <c r="C116" s="302">
        <v>3.7245061824642523E-3</v>
      </c>
      <c r="D116" s="302">
        <f t="shared" si="52"/>
        <v>0.39502285625974437</v>
      </c>
      <c r="E116" s="303"/>
      <c r="F116" s="302">
        <v>9.3376299833914336E-2</v>
      </c>
      <c r="G116" s="302">
        <v>6.2029375857149236E-4</v>
      </c>
      <c r="H116" s="302">
        <f t="shared" si="53"/>
        <v>9.3996593592485828E-2</v>
      </c>
      <c r="I116" s="303"/>
      <c r="J116" s="302">
        <v>7.9660433996539604E-2</v>
      </c>
      <c r="K116" s="302">
        <v>6.5648119780078594E-4</v>
      </c>
      <c r="L116" s="302">
        <f t="shared" si="54"/>
        <v>8.0316915194340394E-2</v>
      </c>
      <c r="M116" s="236"/>
      <c r="N116" s="236"/>
    </row>
    <row r="117" spans="1:14" x14ac:dyDescent="0.2">
      <c r="A117" s="237" t="str">
        <f>name!E$10</f>
        <v>Sales and customer service occupations</v>
      </c>
      <c r="B117" s="302">
        <v>4.1894046074229481E-2</v>
      </c>
      <c r="C117" s="302">
        <v>1.179118285119642E-2</v>
      </c>
      <c r="D117" s="302">
        <f t="shared" si="52"/>
        <v>5.3685228925425904E-2</v>
      </c>
      <c r="E117" s="303"/>
      <c r="F117" s="302">
        <v>6.0200834597404019E-3</v>
      </c>
      <c r="G117" s="302">
        <v>1.3938600616682408E-3</v>
      </c>
      <c r="H117" s="302">
        <f t="shared" si="53"/>
        <v>7.4139435214086429E-3</v>
      </c>
      <c r="I117" s="303"/>
      <c r="J117" s="302">
        <v>3.7687329877175955E-3</v>
      </c>
      <c r="K117" s="302">
        <v>1.1258764627441031E-3</v>
      </c>
      <c r="L117" s="302">
        <f t="shared" si="54"/>
        <v>4.8946094504616986E-3</v>
      </c>
      <c r="M117" s="236"/>
      <c r="N117" s="236"/>
    </row>
    <row r="118" spans="1:14" x14ac:dyDescent="0.2">
      <c r="A118" s="237" t="str">
        <f>name!E$11</f>
        <v>Process, plant and machine operatives</v>
      </c>
      <c r="B118" s="302">
        <v>0.33676047061987618</v>
      </c>
      <c r="C118" s="302">
        <v>5.6532506281176197E-2</v>
      </c>
      <c r="D118" s="302">
        <f t="shared" si="52"/>
        <v>0.39329297690105236</v>
      </c>
      <c r="E118" s="303"/>
      <c r="F118" s="302">
        <v>6.0355207558645693E-2</v>
      </c>
      <c r="G118" s="302">
        <v>8.9635626233846959E-3</v>
      </c>
      <c r="H118" s="302">
        <f t="shared" si="53"/>
        <v>6.9318770182030393E-2</v>
      </c>
      <c r="I118" s="303"/>
      <c r="J118" s="302">
        <v>4.0607836129815958E-2</v>
      </c>
      <c r="K118" s="302">
        <v>1.2056370010576956E-2</v>
      </c>
      <c r="L118" s="302">
        <f t="shared" si="54"/>
        <v>5.2664206140392911E-2</v>
      </c>
      <c r="M118" s="236"/>
      <c r="N118" s="236"/>
    </row>
    <row r="119" spans="1:14" x14ac:dyDescent="0.2">
      <c r="A119" s="237" t="str">
        <f>name!E$12</f>
        <v>Elementary occupations</v>
      </c>
      <c r="B119" s="302">
        <v>0.23258113228713878</v>
      </c>
      <c r="C119" s="302">
        <v>0.15722047462392374</v>
      </c>
      <c r="D119" s="302">
        <f t="shared" si="52"/>
        <v>0.38980160691106253</v>
      </c>
      <c r="E119" s="303"/>
      <c r="F119" s="302">
        <v>3.4966434098285121E-2</v>
      </c>
      <c r="G119" s="302">
        <v>1.9780705109340574E-2</v>
      </c>
      <c r="H119" s="302">
        <f t="shared" si="53"/>
        <v>5.4747139207625695E-2</v>
      </c>
      <c r="I119" s="303"/>
      <c r="J119" s="302">
        <v>2.4815116968732058E-2</v>
      </c>
      <c r="K119" s="302">
        <v>8.6519659356715187E-3</v>
      </c>
      <c r="L119" s="302">
        <f t="shared" si="54"/>
        <v>3.3467082904403575E-2</v>
      </c>
      <c r="M119" s="236"/>
      <c r="N119" s="236"/>
    </row>
    <row r="120" spans="1:14" x14ac:dyDescent="0.2">
      <c r="A120" s="237"/>
      <c r="B120" s="302"/>
      <c r="C120" s="302"/>
      <c r="D120" s="302"/>
      <c r="E120" s="303"/>
      <c r="F120" s="302"/>
      <c r="G120" s="302"/>
      <c r="H120" s="302"/>
      <c r="I120" s="303"/>
      <c r="J120" s="302"/>
      <c r="K120" s="302"/>
      <c r="L120" s="302"/>
      <c r="M120" s="236"/>
      <c r="N120" s="236"/>
    </row>
    <row r="121" spans="1:14" x14ac:dyDescent="0.2">
      <c r="A121" s="244" t="s">
        <v>32</v>
      </c>
      <c r="B121" s="311">
        <f>SUM(B111:B119)</f>
        <v>1.3690000000118241</v>
      </c>
      <c r="C121" s="311">
        <f t="shared" ref="C121:D121" si="55">SUM(C111:C119)</f>
        <v>0.38900000000247359</v>
      </c>
      <c r="D121" s="311">
        <f t="shared" si="55"/>
        <v>1.7580000000142975</v>
      </c>
      <c r="E121" s="311"/>
      <c r="F121" s="311">
        <f t="shared" ref="F121:H121" si="56">SUM(F111:F119)</f>
        <v>0.27799999999691172</v>
      </c>
      <c r="G121" s="311">
        <f t="shared" si="56"/>
        <v>5.5000000000082677E-2</v>
      </c>
      <c r="H121" s="311">
        <f t="shared" si="56"/>
        <v>0.33299999999699442</v>
      </c>
      <c r="I121" s="311"/>
      <c r="J121" s="311">
        <f t="shared" ref="J121:L121" si="57">SUM(J111:J119)</f>
        <v>0.21100000000162517</v>
      </c>
      <c r="K121" s="311">
        <f t="shared" si="57"/>
        <v>4.0999999999667712E-2</v>
      </c>
      <c r="L121" s="311">
        <f t="shared" si="57"/>
        <v>0.25200000000129286</v>
      </c>
      <c r="M121" s="236"/>
      <c r="N121" s="236"/>
    </row>
    <row r="122" spans="1:14" x14ac:dyDescent="0.2">
      <c r="A122" s="237"/>
      <c r="B122" s="237"/>
      <c r="C122" s="237"/>
      <c r="D122" s="237"/>
      <c r="E122" s="237"/>
      <c r="F122" s="237"/>
      <c r="G122" s="237"/>
      <c r="H122" s="237"/>
      <c r="I122" s="237"/>
      <c r="J122" s="237"/>
      <c r="K122" s="237"/>
      <c r="L122" s="240"/>
      <c r="M122" s="236"/>
      <c r="N122" s="236"/>
    </row>
    <row r="123" spans="1:14" x14ac:dyDescent="0.2">
      <c r="A123" s="237"/>
      <c r="B123" s="237"/>
      <c r="C123" s="237"/>
      <c r="D123" s="237"/>
      <c r="E123" s="237"/>
      <c r="F123" s="237"/>
      <c r="G123" s="237"/>
      <c r="H123" s="237"/>
      <c r="I123" s="237"/>
      <c r="J123" s="237"/>
      <c r="K123" s="237"/>
      <c r="L123" s="256" t="s">
        <v>35</v>
      </c>
      <c r="M123" s="236"/>
      <c r="N123" s="236"/>
    </row>
    <row r="124" spans="1:14" x14ac:dyDescent="0.2">
      <c r="A124" s="242"/>
      <c r="B124" s="250"/>
      <c r="C124" s="250"/>
      <c r="D124" s="250"/>
      <c r="E124" s="250"/>
      <c r="F124" s="250"/>
      <c r="G124" s="250"/>
      <c r="H124" s="250"/>
      <c r="I124" s="250"/>
      <c r="J124" s="250"/>
      <c r="K124" s="250"/>
      <c r="L124" s="236"/>
      <c r="M124" s="236"/>
      <c r="N124" s="236"/>
    </row>
    <row r="125" spans="1:14" x14ac:dyDescent="0.2">
      <c r="A125" s="241" t="str">
        <f>name!A10</f>
        <v xml:space="preserve">Wood and cork </v>
      </c>
      <c r="B125" s="372">
        <f>B$6</f>
        <v>2015</v>
      </c>
      <c r="C125" s="372"/>
      <c r="D125" s="372"/>
      <c r="E125" s="253"/>
      <c r="F125" s="372">
        <f>F108</f>
        <v>2020</v>
      </c>
      <c r="G125" s="372"/>
      <c r="H125" s="372"/>
      <c r="I125" s="253"/>
      <c r="J125" s="372">
        <f>J108</f>
        <v>2035</v>
      </c>
      <c r="K125" s="372"/>
      <c r="L125" s="372"/>
      <c r="M125" s="236"/>
      <c r="N125" s="236"/>
    </row>
    <row r="126" spans="1:14" x14ac:dyDescent="0.2">
      <c r="A126" s="254"/>
      <c r="B126" s="255" t="s">
        <v>352</v>
      </c>
      <c r="C126" s="255" t="s">
        <v>353</v>
      </c>
      <c r="D126" s="255" t="s">
        <v>32</v>
      </c>
      <c r="E126" s="255"/>
      <c r="F126" s="255" t="s">
        <v>352</v>
      </c>
      <c r="G126" s="255" t="s">
        <v>353</v>
      </c>
      <c r="H126" s="255" t="s">
        <v>32</v>
      </c>
      <c r="I126" s="255"/>
      <c r="J126" s="255" t="s">
        <v>352</v>
      </c>
      <c r="K126" s="255" t="s">
        <v>353</v>
      </c>
      <c r="L126" s="255" t="s">
        <v>32</v>
      </c>
      <c r="M126" s="236"/>
      <c r="N126" s="236"/>
    </row>
    <row r="127" spans="1:14" x14ac:dyDescent="0.2">
      <c r="A127" s="258"/>
      <c r="B127" s="259"/>
      <c r="C127" s="259"/>
      <c r="D127" s="259"/>
      <c r="E127" s="259"/>
      <c r="F127" s="259"/>
      <c r="G127" s="259"/>
      <c r="H127" s="259"/>
      <c r="I127" s="259"/>
      <c r="J127" s="259"/>
      <c r="K127" s="259"/>
      <c r="L127" s="259"/>
      <c r="M127" s="236"/>
      <c r="N127" s="236"/>
    </row>
    <row r="128" spans="1:14" x14ac:dyDescent="0.2">
      <c r="A128" s="237" t="str">
        <f>name!E$4</f>
        <v>Managers, directors and senior officials</v>
      </c>
      <c r="B128" s="302">
        <v>4.4071543935041986E-2</v>
      </c>
      <c r="C128" s="302">
        <v>0.16510440602537221</v>
      </c>
      <c r="D128" s="302">
        <f>SUM(B128:C128)</f>
        <v>0.20917594996041419</v>
      </c>
      <c r="E128" s="303"/>
      <c r="F128" s="302">
        <v>8.1538002800432566E-2</v>
      </c>
      <c r="G128" s="302">
        <v>0.21475895919633706</v>
      </c>
      <c r="H128" s="302">
        <f>SUM(F128:G128)</f>
        <v>0.29629696199676964</v>
      </c>
      <c r="I128" s="303"/>
      <c r="J128" s="302">
        <v>8.612225048110915E-2</v>
      </c>
      <c r="K128" s="302">
        <v>0.20043314843705815</v>
      </c>
      <c r="L128" s="302">
        <f>SUM(J128:K128)</f>
        <v>0.28655539891816728</v>
      </c>
      <c r="M128" s="236"/>
      <c r="N128" s="236"/>
    </row>
    <row r="129" spans="1:14" x14ac:dyDescent="0.2">
      <c r="A129" s="237" t="str">
        <f>name!E$5</f>
        <v>Professional occupations</v>
      </c>
      <c r="B129" s="302">
        <v>4.2666620822286887E-2</v>
      </c>
      <c r="C129" s="302">
        <v>0.10180251112860228</v>
      </c>
      <c r="D129" s="302">
        <f t="shared" ref="D129:D136" si="58">SUM(B129:C129)</f>
        <v>0.14446913195088917</v>
      </c>
      <c r="E129" s="303"/>
      <c r="F129" s="302">
        <v>7.9810044180795764E-2</v>
      </c>
      <c r="G129" s="302">
        <v>0.17001410867547948</v>
      </c>
      <c r="H129" s="302">
        <f t="shared" ref="H129:H136" si="59">SUM(F129:G129)</f>
        <v>0.24982415285627524</v>
      </c>
      <c r="I129" s="303"/>
      <c r="J129" s="302">
        <v>9.0027963709765124E-2</v>
      </c>
      <c r="K129" s="302">
        <v>0.19414058380993954</v>
      </c>
      <c r="L129" s="302">
        <f t="shared" ref="L129:L136" si="60">SUM(J129:K129)</f>
        <v>0.28416854751970466</v>
      </c>
      <c r="M129" s="236"/>
      <c r="N129" s="236"/>
    </row>
    <row r="130" spans="1:14" x14ac:dyDescent="0.2">
      <c r="A130" s="237" t="str">
        <f>name!E$6</f>
        <v>Associate professional occupations</v>
      </c>
      <c r="B130" s="302">
        <v>4.8571152849154295E-2</v>
      </c>
      <c r="C130" s="302">
        <v>0.15928042297045664</v>
      </c>
      <c r="D130" s="302">
        <f t="shared" si="58"/>
        <v>0.20785157581961095</v>
      </c>
      <c r="E130" s="303"/>
      <c r="F130" s="302">
        <v>7.4155597491770239E-2</v>
      </c>
      <c r="G130" s="302">
        <v>0.2679789407216141</v>
      </c>
      <c r="H130" s="302">
        <f t="shared" si="59"/>
        <v>0.34213453821338435</v>
      </c>
      <c r="I130" s="303"/>
      <c r="J130" s="302">
        <v>7.1852101021778622E-2</v>
      </c>
      <c r="K130" s="302">
        <v>0.22500303350410339</v>
      </c>
      <c r="L130" s="302">
        <f t="shared" si="60"/>
        <v>0.29685513452588203</v>
      </c>
      <c r="M130" s="236"/>
      <c r="N130" s="236"/>
    </row>
    <row r="131" spans="1:14" x14ac:dyDescent="0.2">
      <c r="A131" s="237" t="str">
        <f>name!E$7</f>
        <v>Administrative and secretarial occupations</v>
      </c>
      <c r="B131" s="302">
        <v>0.45256376489401112</v>
      </c>
      <c r="C131" s="302">
        <v>3.4921515264016212E-2</v>
      </c>
      <c r="D131" s="302">
        <f t="shared" si="58"/>
        <v>0.48748528015802733</v>
      </c>
      <c r="E131" s="303"/>
      <c r="F131" s="302">
        <v>0.3483682744054088</v>
      </c>
      <c r="G131" s="302">
        <v>5.843643907295238E-2</v>
      </c>
      <c r="H131" s="302">
        <f t="shared" si="59"/>
        <v>0.40680471347836117</v>
      </c>
      <c r="I131" s="303"/>
      <c r="J131" s="302">
        <v>0.28565841308743972</v>
      </c>
      <c r="K131" s="302">
        <v>5.0877749413449844E-2</v>
      </c>
      <c r="L131" s="302">
        <f t="shared" si="60"/>
        <v>0.33653616250088958</v>
      </c>
      <c r="M131" s="236"/>
      <c r="N131" s="236"/>
    </row>
    <row r="132" spans="1:14" x14ac:dyDescent="0.2">
      <c r="A132" s="237" t="str">
        <f>name!E$8</f>
        <v>Skilled trades occupations</v>
      </c>
      <c r="B132" s="302">
        <v>3.2120339610028109E-2</v>
      </c>
      <c r="C132" s="302">
        <v>1.1097930862587129</v>
      </c>
      <c r="D132" s="302">
        <f t="shared" si="58"/>
        <v>1.1419134258687409</v>
      </c>
      <c r="E132" s="303"/>
      <c r="F132" s="302">
        <v>4.0141490017913901E-2</v>
      </c>
      <c r="G132" s="302">
        <v>1.0038984432981046</v>
      </c>
      <c r="H132" s="302">
        <f t="shared" si="59"/>
        <v>1.0440399333160186</v>
      </c>
      <c r="I132" s="303"/>
      <c r="J132" s="302">
        <v>4.7861570117601872E-2</v>
      </c>
      <c r="K132" s="302">
        <v>0.81513878088878466</v>
      </c>
      <c r="L132" s="302">
        <f t="shared" si="60"/>
        <v>0.8630003510063865</v>
      </c>
      <c r="M132" s="236"/>
      <c r="N132" s="236"/>
    </row>
    <row r="133" spans="1:14" x14ac:dyDescent="0.2">
      <c r="A133" s="237" t="str">
        <f>name!E$9</f>
        <v>Caring, leisure and other service occupations</v>
      </c>
      <c r="B133" s="302">
        <v>1.1454803959321738E-2</v>
      </c>
      <c r="C133" s="302">
        <v>5.926529394314135E-3</v>
      </c>
      <c r="D133" s="302">
        <f t="shared" si="58"/>
        <v>1.7381333353635873E-2</v>
      </c>
      <c r="E133" s="303"/>
      <c r="F133" s="302">
        <v>1.0393541331587264E-2</v>
      </c>
      <c r="G133" s="302">
        <v>4.8144590178969349E-3</v>
      </c>
      <c r="H133" s="302">
        <f t="shared" si="59"/>
        <v>1.5208000349484198E-2</v>
      </c>
      <c r="I133" s="303"/>
      <c r="J133" s="302">
        <v>8.7563736200502104E-3</v>
      </c>
      <c r="K133" s="302">
        <v>3.7624965323304832E-3</v>
      </c>
      <c r="L133" s="302">
        <f t="shared" si="60"/>
        <v>1.2518870152380693E-2</v>
      </c>
      <c r="M133" s="236"/>
      <c r="N133" s="236"/>
    </row>
    <row r="134" spans="1:14" x14ac:dyDescent="0.2">
      <c r="A134" s="237" t="str">
        <f>name!E$10</f>
        <v>Sales and customer service occupations</v>
      </c>
      <c r="B134" s="302">
        <v>7.8072891934139674E-2</v>
      </c>
      <c r="C134" s="302">
        <v>2.1179434608010098E-2</v>
      </c>
      <c r="D134" s="302">
        <f>SUM(B134:C134)</f>
        <v>9.9252326542149771E-2</v>
      </c>
      <c r="E134" s="303"/>
      <c r="F134" s="302">
        <v>6.6786083178220254E-2</v>
      </c>
      <c r="G134" s="302">
        <v>2.7690024790595485E-2</v>
      </c>
      <c r="H134" s="302">
        <f t="shared" si="59"/>
        <v>9.447610796881574E-2</v>
      </c>
      <c r="I134" s="303"/>
      <c r="J134" s="302">
        <v>6.7891380282494404E-2</v>
      </c>
      <c r="K134" s="302">
        <v>2.8356698315503123E-2</v>
      </c>
      <c r="L134" s="302">
        <f t="shared" si="60"/>
        <v>9.6248078597997527E-2</v>
      </c>
      <c r="M134" s="236"/>
      <c r="N134" s="236"/>
    </row>
    <row r="135" spans="1:14" x14ac:dyDescent="0.2">
      <c r="A135" s="237" t="str">
        <f>name!E$11</f>
        <v>Process, plant and machine operatives</v>
      </c>
      <c r="B135" s="302">
        <v>6.4795124385736272E-2</v>
      </c>
      <c r="C135" s="302">
        <v>1.0501620221250032</v>
      </c>
      <c r="D135" s="302">
        <f t="shared" si="58"/>
        <v>1.1149571465107395</v>
      </c>
      <c r="E135" s="303"/>
      <c r="F135" s="302">
        <v>6.2028673911049367E-2</v>
      </c>
      <c r="G135" s="302">
        <v>1.2067703030382659</v>
      </c>
      <c r="H135" s="302">
        <f t="shared" si="59"/>
        <v>1.2687989769493153</v>
      </c>
      <c r="I135" s="303"/>
      <c r="J135" s="302">
        <v>9.9279712491391933E-2</v>
      </c>
      <c r="K135" s="302">
        <v>1.2878633548216767</v>
      </c>
      <c r="L135" s="302">
        <f t="shared" si="60"/>
        <v>1.3871430673130687</v>
      </c>
      <c r="M135" s="236"/>
      <c r="N135" s="236"/>
    </row>
    <row r="136" spans="1:14" x14ac:dyDescent="0.2">
      <c r="A136" s="237" t="str">
        <f>name!E$12</f>
        <v>Elementary occupations</v>
      </c>
      <c r="B136" s="302">
        <v>7.1683757617832425E-2</v>
      </c>
      <c r="C136" s="302">
        <v>0.17783007223159189</v>
      </c>
      <c r="D136" s="302">
        <f t="shared" si="58"/>
        <v>0.24951382984942433</v>
      </c>
      <c r="E136" s="303"/>
      <c r="F136" s="302">
        <v>4.3778292678868583E-2</v>
      </c>
      <c r="G136" s="302">
        <v>0.17863832219243853</v>
      </c>
      <c r="H136" s="302">
        <f t="shared" si="59"/>
        <v>0.22241661487130709</v>
      </c>
      <c r="I136" s="303"/>
      <c r="J136" s="302">
        <v>2.755023518865949E-2</v>
      </c>
      <c r="K136" s="302">
        <v>9.7424154241152069E-2</v>
      </c>
      <c r="L136" s="302">
        <f t="shared" si="60"/>
        <v>0.12497438942981157</v>
      </c>
      <c r="M136" s="236"/>
      <c r="N136" s="236"/>
    </row>
    <row r="137" spans="1:14" x14ac:dyDescent="0.2">
      <c r="A137" s="237"/>
      <c r="B137" s="302"/>
      <c r="C137" s="302"/>
      <c r="D137" s="302"/>
      <c r="E137" s="303"/>
      <c r="F137" s="302"/>
      <c r="G137" s="302"/>
      <c r="H137" s="302"/>
      <c r="I137" s="303"/>
      <c r="J137" s="302"/>
      <c r="K137" s="302"/>
      <c r="L137" s="302"/>
      <c r="M137" s="236"/>
      <c r="N137" s="236"/>
    </row>
    <row r="138" spans="1:14" x14ac:dyDescent="0.2">
      <c r="A138" s="244" t="s">
        <v>32</v>
      </c>
      <c r="B138" s="311">
        <f>SUM(B128:B136)</f>
        <v>0.8460000000075526</v>
      </c>
      <c r="C138" s="311">
        <f t="shared" ref="C138" si="61">SUM(C128:C136)</f>
        <v>2.8260000000060796</v>
      </c>
      <c r="D138" s="311">
        <f>SUM(D128:D136)</f>
        <v>3.6720000000136319</v>
      </c>
      <c r="E138" s="311"/>
      <c r="F138" s="311">
        <f t="shared" ref="F138:H138" si="62">SUM(F128:F136)</f>
        <v>0.80699999999604677</v>
      </c>
      <c r="G138" s="311">
        <f t="shared" si="62"/>
        <v>3.1330000000036842</v>
      </c>
      <c r="H138" s="311">
        <f t="shared" si="62"/>
        <v>3.9399999999997317</v>
      </c>
      <c r="I138" s="311"/>
      <c r="J138" s="311">
        <f t="shared" ref="J138:L138" si="63">SUM(J128:J136)</f>
        <v>0.78500000000029058</v>
      </c>
      <c r="K138" s="311">
        <f t="shared" si="63"/>
        <v>2.9029999999639977</v>
      </c>
      <c r="L138" s="311">
        <f t="shared" si="63"/>
        <v>3.6879999999642883</v>
      </c>
      <c r="M138" s="236"/>
      <c r="N138" s="236"/>
    </row>
    <row r="139" spans="1:14" x14ac:dyDescent="0.2">
      <c r="A139" s="237"/>
      <c r="B139" s="237"/>
      <c r="C139" s="237"/>
      <c r="D139" s="237"/>
      <c r="E139" s="237"/>
      <c r="F139" s="237"/>
      <c r="G139" s="237"/>
      <c r="H139" s="237"/>
      <c r="I139" s="237"/>
      <c r="J139" s="237"/>
      <c r="K139" s="237"/>
      <c r="L139" s="240"/>
      <c r="M139" s="236"/>
      <c r="N139" s="236"/>
    </row>
    <row r="140" spans="1:14" x14ac:dyDescent="0.2">
      <c r="A140" s="237"/>
      <c r="B140" s="237"/>
      <c r="C140" s="237"/>
      <c r="D140" s="237"/>
      <c r="E140" s="237"/>
      <c r="F140" s="237"/>
      <c r="G140" s="237"/>
      <c r="H140" s="237"/>
      <c r="I140" s="237"/>
      <c r="J140" s="237"/>
      <c r="K140" s="237"/>
      <c r="L140" s="256" t="s">
        <v>35</v>
      </c>
      <c r="M140" s="236"/>
      <c r="N140" s="236"/>
    </row>
    <row r="141" spans="1:14" x14ac:dyDescent="0.2">
      <c r="A141" s="242"/>
      <c r="B141" s="250"/>
      <c r="C141" s="250"/>
      <c r="D141" s="250"/>
      <c r="E141" s="250"/>
      <c r="F141" s="250"/>
      <c r="G141" s="250"/>
      <c r="H141" s="250"/>
      <c r="I141" s="250"/>
      <c r="J141" s="250"/>
      <c r="K141" s="250"/>
      <c r="L141" s="236"/>
      <c r="M141" s="236"/>
      <c r="N141" s="236"/>
    </row>
    <row r="142" spans="1:14" x14ac:dyDescent="0.2">
      <c r="A142" s="241" t="str">
        <f>name!A11</f>
        <v>Paper, etc</v>
      </c>
      <c r="B142" s="372">
        <f>B$6</f>
        <v>2015</v>
      </c>
      <c r="C142" s="372"/>
      <c r="D142" s="372"/>
      <c r="E142" s="253"/>
      <c r="F142" s="372">
        <f>F125</f>
        <v>2020</v>
      </c>
      <c r="G142" s="372"/>
      <c r="H142" s="372"/>
      <c r="I142" s="253"/>
      <c r="J142" s="372">
        <f>J125</f>
        <v>2035</v>
      </c>
      <c r="K142" s="372"/>
      <c r="L142" s="372"/>
      <c r="M142" s="236"/>
      <c r="N142" s="236"/>
    </row>
    <row r="143" spans="1:14" x14ac:dyDescent="0.2">
      <c r="A143" s="254"/>
      <c r="B143" s="255" t="s">
        <v>352</v>
      </c>
      <c r="C143" s="255" t="s">
        <v>353</v>
      </c>
      <c r="D143" s="255" t="s">
        <v>32</v>
      </c>
      <c r="E143" s="255"/>
      <c r="F143" s="255" t="s">
        <v>352</v>
      </c>
      <c r="G143" s="255" t="s">
        <v>353</v>
      </c>
      <c r="H143" s="255" t="s">
        <v>32</v>
      </c>
      <c r="I143" s="255"/>
      <c r="J143" s="255" t="s">
        <v>352</v>
      </c>
      <c r="K143" s="255" t="s">
        <v>353</v>
      </c>
      <c r="L143" s="255" t="s">
        <v>32</v>
      </c>
      <c r="M143" s="236"/>
      <c r="N143" s="236"/>
    </row>
    <row r="144" spans="1:14" x14ac:dyDescent="0.2">
      <c r="A144" s="258"/>
      <c r="B144" s="259"/>
      <c r="C144" s="259"/>
      <c r="D144" s="259"/>
      <c r="E144" s="259"/>
      <c r="F144" s="259"/>
      <c r="G144" s="259"/>
      <c r="H144" s="259"/>
      <c r="I144" s="259"/>
      <c r="J144" s="259"/>
      <c r="K144" s="259"/>
      <c r="L144" s="259"/>
      <c r="M144" s="236"/>
      <c r="N144" s="236"/>
    </row>
    <row r="145" spans="1:14" x14ac:dyDescent="0.2">
      <c r="A145" s="237" t="str">
        <f>name!E$4</f>
        <v>Managers, directors and senior officials</v>
      </c>
      <c r="B145" s="302">
        <v>3.4746947652360687E-2</v>
      </c>
      <c r="C145" s="302">
        <v>0.35652443780818532</v>
      </c>
      <c r="D145" s="302">
        <f>SUM(B145:C145)</f>
        <v>0.39127138546054602</v>
      </c>
      <c r="E145" s="303"/>
      <c r="F145" s="302">
        <v>3.1084786960167945E-2</v>
      </c>
      <c r="G145" s="302">
        <v>0.14486120204176675</v>
      </c>
      <c r="H145" s="302">
        <f>SUM(F145:G145)</f>
        <v>0.1759459890019347</v>
      </c>
      <c r="I145" s="303"/>
      <c r="J145" s="302">
        <v>3.4540126526852101E-2</v>
      </c>
      <c r="K145" s="302">
        <v>0.13853617595864381</v>
      </c>
      <c r="L145" s="302">
        <f>SUM(J145:K145)</f>
        <v>0.17307630248549591</v>
      </c>
      <c r="M145" s="236"/>
      <c r="N145" s="236"/>
    </row>
    <row r="146" spans="1:14" x14ac:dyDescent="0.2">
      <c r="A146" s="237" t="str">
        <f>name!E$5</f>
        <v>Professional occupations</v>
      </c>
      <c r="B146" s="302">
        <v>4.3254451652158028E-2</v>
      </c>
      <c r="C146" s="302">
        <v>0.33352217412993596</v>
      </c>
      <c r="D146" s="302">
        <f t="shared" ref="D146:D153" si="64">SUM(B146:C146)</f>
        <v>0.37677662578209398</v>
      </c>
      <c r="E146" s="303"/>
      <c r="F146" s="302">
        <v>4.2396907549122446E-2</v>
      </c>
      <c r="G146" s="302">
        <v>0.18061829543034094</v>
      </c>
      <c r="H146" s="302">
        <f t="shared" ref="H146:H153" si="65">SUM(F146:G146)</f>
        <v>0.22301520297946339</v>
      </c>
      <c r="I146" s="303"/>
      <c r="J146" s="302">
        <v>5.0803478634280051E-2</v>
      </c>
      <c r="K146" s="302">
        <v>0.20423635501603843</v>
      </c>
      <c r="L146" s="302">
        <f t="shared" ref="L146:L153" si="66">SUM(J146:K146)</f>
        <v>0.25503983365031846</v>
      </c>
      <c r="M146" s="236"/>
      <c r="N146" s="236"/>
    </row>
    <row r="147" spans="1:14" x14ac:dyDescent="0.2">
      <c r="A147" s="237" t="str">
        <f>name!E$6</f>
        <v>Associate professional occupations</v>
      </c>
      <c r="B147" s="302">
        <v>6.7237669489921242E-2</v>
      </c>
      <c r="C147" s="302">
        <v>0.24448093653397168</v>
      </c>
      <c r="D147" s="302">
        <f t="shared" si="64"/>
        <v>0.3117186060238929</v>
      </c>
      <c r="E147" s="303"/>
      <c r="F147" s="302">
        <v>5.6968236787562743E-2</v>
      </c>
      <c r="G147" s="302">
        <v>0.14197506710328803</v>
      </c>
      <c r="H147" s="302">
        <f t="shared" si="65"/>
        <v>0.19894330389085077</v>
      </c>
      <c r="I147" s="303"/>
      <c r="J147" s="302">
        <v>5.9953929114356715E-2</v>
      </c>
      <c r="K147" s="302">
        <v>0.11591947645215561</v>
      </c>
      <c r="L147" s="302">
        <f t="shared" si="66"/>
        <v>0.17587340556651232</v>
      </c>
      <c r="M147" s="236"/>
      <c r="N147" s="236"/>
    </row>
    <row r="148" spans="1:14" x14ac:dyDescent="0.2">
      <c r="A148" s="237" t="str">
        <f>name!E$7</f>
        <v>Administrative and secretarial occupations</v>
      </c>
      <c r="B148" s="302">
        <v>0.16245145231088967</v>
      </c>
      <c r="C148" s="302">
        <v>7.6904236900622064E-2</v>
      </c>
      <c r="D148" s="302">
        <f t="shared" si="64"/>
        <v>0.23935568921151174</v>
      </c>
      <c r="E148" s="303"/>
      <c r="F148" s="302">
        <v>0.100625316303008</v>
      </c>
      <c r="G148" s="302">
        <v>4.1273808476149108E-2</v>
      </c>
      <c r="H148" s="302">
        <f t="shared" si="65"/>
        <v>0.14189912477915712</v>
      </c>
      <c r="I148" s="303"/>
      <c r="J148" s="302">
        <v>7.9826469643862766E-2</v>
      </c>
      <c r="K148" s="302">
        <v>3.7949102778660392E-2</v>
      </c>
      <c r="L148" s="302">
        <f t="shared" si="66"/>
        <v>0.11777557242252315</v>
      </c>
      <c r="M148" s="236"/>
      <c r="N148" s="236"/>
    </row>
    <row r="149" spans="1:14" x14ac:dyDescent="0.2">
      <c r="A149" s="237" t="str">
        <f>name!E$8</f>
        <v>Skilled trades occupations</v>
      </c>
      <c r="B149" s="302">
        <v>1.3373497667308555E-2</v>
      </c>
      <c r="C149" s="302">
        <v>0.69463150365182069</v>
      </c>
      <c r="D149" s="302">
        <f t="shared" si="64"/>
        <v>0.70800500131912925</v>
      </c>
      <c r="E149" s="303"/>
      <c r="F149" s="302">
        <v>8.9364933192824392E-3</v>
      </c>
      <c r="G149" s="302">
        <v>0.24967330587827807</v>
      </c>
      <c r="H149" s="302">
        <f t="shared" si="65"/>
        <v>0.2586097991975605</v>
      </c>
      <c r="I149" s="303"/>
      <c r="J149" s="302">
        <v>6.5397050141123205E-3</v>
      </c>
      <c r="K149" s="302">
        <v>0.17436625924267171</v>
      </c>
      <c r="L149" s="302">
        <f t="shared" si="66"/>
        <v>0.18090596425678404</v>
      </c>
      <c r="M149" s="236"/>
      <c r="N149" s="236"/>
    </row>
    <row r="150" spans="1:14" x14ac:dyDescent="0.2">
      <c r="A150" s="237" t="str">
        <f>name!E$9</f>
        <v>Caring, leisure and other service occupations</v>
      </c>
      <c r="B150" s="302">
        <v>5.9021582988195318E-3</v>
      </c>
      <c r="C150" s="302">
        <v>1.4525276179145513E-2</v>
      </c>
      <c r="D150" s="302">
        <f t="shared" si="64"/>
        <v>2.0427434477965044E-2</v>
      </c>
      <c r="E150" s="303"/>
      <c r="F150" s="302">
        <v>3.465272859567616E-3</v>
      </c>
      <c r="G150" s="302">
        <v>7.3264766406499534E-3</v>
      </c>
      <c r="H150" s="302">
        <f t="shared" si="65"/>
        <v>1.0791749500217569E-2</v>
      </c>
      <c r="I150" s="303"/>
      <c r="J150" s="302">
        <v>1.8519561898780483E-3</v>
      </c>
      <c r="K150" s="302">
        <v>7.1452994892731844E-3</v>
      </c>
      <c r="L150" s="302">
        <f t="shared" si="66"/>
        <v>8.9972556791512327E-3</v>
      </c>
      <c r="M150" s="236"/>
      <c r="N150" s="236"/>
    </row>
    <row r="151" spans="1:14" x14ac:dyDescent="0.2">
      <c r="A151" s="237" t="str">
        <f>name!E$10</f>
        <v>Sales and customer service occupations</v>
      </c>
      <c r="B151" s="302">
        <v>4.4995595223802046E-2</v>
      </c>
      <c r="C151" s="302">
        <v>3.617158150278442E-2</v>
      </c>
      <c r="D151" s="302">
        <f t="shared" si="64"/>
        <v>8.1167176726586465E-2</v>
      </c>
      <c r="E151" s="303"/>
      <c r="F151" s="302">
        <v>2.544352505148445E-2</v>
      </c>
      <c r="G151" s="302">
        <v>1.2322073825162431E-2</v>
      </c>
      <c r="H151" s="302">
        <f t="shared" si="65"/>
        <v>3.7765598876646878E-2</v>
      </c>
      <c r="I151" s="303"/>
      <c r="J151" s="302">
        <v>2.6675272956478389E-2</v>
      </c>
      <c r="K151" s="302">
        <v>1.3751586857715988E-2</v>
      </c>
      <c r="L151" s="302">
        <f t="shared" si="66"/>
        <v>4.0426859814194374E-2</v>
      </c>
      <c r="M151" s="236"/>
      <c r="N151" s="236"/>
    </row>
    <row r="152" spans="1:14" x14ac:dyDescent="0.2">
      <c r="A152" s="237" t="str">
        <f>name!E$11</f>
        <v>Process, plant and machine operatives</v>
      </c>
      <c r="B152" s="302">
        <v>8.2978972953548752E-2</v>
      </c>
      <c r="C152" s="302">
        <v>1.451452612616996</v>
      </c>
      <c r="D152" s="302">
        <f t="shared" si="64"/>
        <v>1.5344315855705448</v>
      </c>
      <c r="E152" s="303"/>
      <c r="F152" s="302">
        <v>4.2376839473646427E-2</v>
      </c>
      <c r="G152" s="302">
        <v>0.60652902401829512</v>
      </c>
      <c r="H152" s="302">
        <f t="shared" si="65"/>
        <v>0.64890586349194157</v>
      </c>
      <c r="I152" s="303"/>
      <c r="J152" s="302">
        <v>5.3246001284057272E-2</v>
      </c>
      <c r="K152" s="302">
        <v>0.63197729477915743</v>
      </c>
      <c r="L152" s="302">
        <f t="shared" si="66"/>
        <v>0.68522329606321475</v>
      </c>
      <c r="M152" s="236"/>
      <c r="N152" s="236"/>
    </row>
    <row r="153" spans="1:14" x14ac:dyDescent="0.2">
      <c r="A153" s="237" t="str">
        <f>name!E$12</f>
        <v>Elementary occupations</v>
      </c>
      <c r="B153" s="302">
        <v>0.13205925475101038</v>
      </c>
      <c r="C153" s="302">
        <v>0.33678724069259786</v>
      </c>
      <c r="D153" s="302">
        <f t="shared" si="64"/>
        <v>0.46884649544360824</v>
      </c>
      <c r="E153" s="303"/>
      <c r="F153" s="302">
        <v>6.1702621691322963E-2</v>
      </c>
      <c r="G153" s="302">
        <v>0.13342074658662614</v>
      </c>
      <c r="H153" s="302">
        <f t="shared" si="65"/>
        <v>0.1951233682779491</v>
      </c>
      <c r="I153" s="303"/>
      <c r="J153" s="302">
        <v>4.7563060636130333E-2</v>
      </c>
      <c r="K153" s="302">
        <v>7.9118449412879696E-2</v>
      </c>
      <c r="L153" s="302">
        <f t="shared" si="66"/>
        <v>0.12668151004901002</v>
      </c>
      <c r="M153" s="236"/>
      <c r="N153" s="236"/>
    </row>
    <row r="154" spans="1:14" x14ac:dyDescent="0.2">
      <c r="A154" s="237"/>
      <c r="B154" s="302"/>
      <c r="C154" s="302"/>
      <c r="D154" s="302"/>
      <c r="E154" s="303"/>
      <c r="F154" s="302"/>
      <c r="G154" s="302"/>
      <c r="H154" s="302"/>
      <c r="I154" s="303"/>
      <c r="J154" s="302"/>
      <c r="K154" s="302"/>
      <c r="L154" s="302"/>
      <c r="M154" s="236"/>
      <c r="N154" s="236"/>
    </row>
    <row r="155" spans="1:14" x14ac:dyDescent="0.2">
      <c r="A155" s="244" t="s">
        <v>32</v>
      </c>
      <c r="B155" s="311">
        <f>SUM(B145:B153)</f>
        <v>0.58699999999981878</v>
      </c>
      <c r="C155" s="311">
        <f t="shared" ref="C155:D155" si="67">SUM(C145:C153)</f>
        <v>3.5450000000160595</v>
      </c>
      <c r="D155" s="311">
        <f t="shared" si="67"/>
        <v>4.1320000000158776</v>
      </c>
      <c r="E155" s="311"/>
      <c r="F155" s="311">
        <f t="shared" ref="F155:H155" si="68">SUM(F145:F153)</f>
        <v>0.37299999999516503</v>
      </c>
      <c r="G155" s="311">
        <f t="shared" si="68"/>
        <v>1.5180000000005567</v>
      </c>
      <c r="H155" s="311">
        <f t="shared" si="68"/>
        <v>1.8909999999957217</v>
      </c>
      <c r="I155" s="311"/>
      <c r="J155" s="311">
        <f t="shared" ref="J155:L155" si="69">SUM(J145:J153)</f>
        <v>0.36100000000000798</v>
      </c>
      <c r="K155" s="311">
        <f t="shared" si="69"/>
        <v>1.402999999987196</v>
      </c>
      <c r="L155" s="311">
        <f t="shared" si="69"/>
        <v>1.763999999987204</v>
      </c>
      <c r="M155" s="236"/>
      <c r="N155" s="236"/>
    </row>
    <row r="156" spans="1:14" x14ac:dyDescent="0.2">
      <c r="A156" s="237"/>
      <c r="B156" s="237"/>
      <c r="C156" s="237"/>
      <c r="D156" s="237"/>
      <c r="E156" s="237"/>
      <c r="F156" s="237"/>
      <c r="G156" s="237"/>
      <c r="H156" s="237"/>
      <c r="I156" s="237"/>
      <c r="J156" s="237"/>
      <c r="K156" s="237"/>
      <c r="L156" s="240"/>
      <c r="M156" s="236"/>
      <c r="N156" s="236"/>
    </row>
    <row r="157" spans="1:14" x14ac:dyDescent="0.2">
      <c r="A157" s="237"/>
      <c r="B157" s="237"/>
      <c r="C157" s="237"/>
      <c r="D157" s="237"/>
      <c r="E157" s="237"/>
      <c r="F157" s="237"/>
      <c r="G157" s="237"/>
      <c r="H157" s="237"/>
      <c r="I157" s="237"/>
      <c r="J157" s="237"/>
      <c r="K157" s="237"/>
      <c r="L157" s="256" t="s">
        <v>35</v>
      </c>
      <c r="M157" s="236"/>
      <c r="N157" s="236"/>
    </row>
    <row r="158" spans="1:14" x14ac:dyDescent="0.2">
      <c r="A158" s="242"/>
      <c r="B158" s="250"/>
      <c r="C158" s="250"/>
      <c r="D158" s="250"/>
      <c r="E158" s="250"/>
      <c r="F158" s="250"/>
      <c r="G158" s="250"/>
      <c r="H158" s="250"/>
      <c r="I158" s="250"/>
      <c r="J158" s="250"/>
      <c r="K158" s="250"/>
      <c r="L158" s="236"/>
      <c r="M158" s="236"/>
      <c r="N158" s="236"/>
    </row>
    <row r="159" spans="1:14" x14ac:dyDescent="0.2">
      <c r="A159" s="241" t="str">
        <f>name!A12</f>
        <v>Printing and recording</v>
      </c>
      <c r="B159" s="372">
        <f>B$6</f>
        <v>2015</v>
      </c>
      <c r="C159" s="372"/>
      <c r="D159" s="372"/>
      <c r="E159" s="253"/>
      <c r="F159" s="372">
        <f>F142</f>
        <v>2020</v>
      </c>
      <c r="G159" s="372"/>
      <c r="H159" s="372"/>
      <c r="I159" s="253"/>
      <c r="J159" s="372">
        <f>J142</f>
        <v>2035</v>
      </c>
      <c r="K159" s="372"/>
      <c r="L159" s="372"/>
      <c r="M159" s="236"/>
      <c r="N159" s="236"/>
    </row>
    <row r="160" spans="1:14" x14ac:dyDescent="0.2">
      <c r="A160" s="254"/>
      <c r="B160" s="255" t="s">
        <v>352</v>
      </c>
      <c r="C160" s="255" t="s">
        <v>353</v>
      </c>
      <c r="D160" s="255" t="s">
        <v>32</v>
      </c>
      <c r="E160" s="255"/>
      <c r="F160" s="255" t="s">
        <v>352</v>
      </c>
      <c r="G160" s="255" t="s">
        <v>353</v>
      </c>
      <c r="H160" s="255" t="s">
        <v>32</v>
      </c>
      <c r="I160" s="255"/>
      <c r="J160" s="255" t="s">
        <v>352</v>
      </c>
      <c r="K160" s="255" t="s">
        <v>353</v>
      </c>
      <c r="L160" s="255" t="s">
        <v>32</v>
      </c>
      <c r="M160" s="236"/>
      <c r="N160" s="236"/>
    </row>
    <row r="161" spans="1:14" x14ac:dyDescent="0.2">
      <c r="A161" s="258"/>
      <c r="B161" s="259"/>
      <c r="C161" s="259"/>
      <c r="D161" s="259"/>
      <c r="E161" s="259"/>
      <c r="F161" s="259"/>
      <c r="G161" s="259"/>
      <c r="H161" s="259"/>
      <c r="I161" s="259"/>
      <c r="J161" s="259"/>
      <c r="K161" s="259"/>
      <c r="L161" s="259"/>
      <c r="M161" s="236"/>
      <c r="N161" s="236"/>
    </row>
    <row r="162" spans="1:14" x14ac:dyDescent="0.2">
      <c r="A162" s="237" t="str">
        <f>name!E$4</f>
        <v>Managers, directors and senior officials</v>
      </c>
      <c r="B162" s="302">
        <v>0.21654268373965213</v>
      </c>
      <c r="C162" s="302">
        <v>0.89136914369071385</v>
      </c>
      <c r="D162" s="302">
        <f>SUM(B162:C162)</f>
        <v>1.1079118274303661</v>
      </c>
      <c r="E162" s="303"/>
      <c r="F162" s="302">
        <v>0.1188142534426966</v>
      </c>
      <c r="G162" s="302">
        <v>0.43626808957525465</v>
      </c>
      <c r="H162" s="302">
        <f>SUM(F162:G162)</f>
        <v>0.55508234301795123</v>
      </c>
      <c r="I162" s="303"/>
      <c r="J162" s="302">
        <v>0.1037529591248444</v>
      </c>
      <c r="K162" s="302">
        <v>0.33887480629781747</v>
      </c>
      <c r="L162" s="302">
        <f>SUM(J162:K162)</f>
        <v>0.44262776542266186</v>
      </c>
      <c r="M162" s="236"/>
      <c r="N162" s="236"/>
    </row>
    <row r="163" spans="1:14" x14ac:dyDescent="0.2">
      <c r="A163" s="237" t="str">
        <f>name!E$5</f>
        <v>Professional occupations</v>
      </c>
      <c r="B163" s="302">
        <v>0.26434147396320612</v>
      </c>
      <c r="C163" s="302">
        <v>0.79264609017612908</v>
      </c>
      <c r="D163" s="302">
        <f t="shared" ref="D163:D170" si="70">SUM(B163:C163)</f>
        <v>1.0569875641393351</v>
      </c>
      <c r="E163" s="303"/>
      <c r="F163" s="302">
        <v>0.16257329608591523</v>
      </c>
      <c r="G163" s="302">
        <v>0.4549574259888659</v>
      </c>
      <c r="H163" s="302">
        <f t="shared" ref="H163:H170" si="71">SUM(F163:G163)</f>
        <v>0.6175307220747811</v>
      </c>
      <c r="I163" s="303"/>
      <c r="J163" s="302">
        <v>0.14970639964909963</v>
      </c>
      <c r="K163" s="302">
        <v>0.39101909336423923</v>
      </c>
      <c r="L163" s="302">
        <f t="shared" ref="L163:L170" si="72">SUM(J163:K163)</f>
        <v>0.54072549301333883</v>
      </c>
      <c r="M163" s="236"/>
      <c r="N163" s="236"/>
    </row>
    <row r="164" spans="1:14" x14ac:dyDescent="0.2">
      <c r="A164" s="237" t="str">
        <f>name!E$6</f>
        <v>Associate professional occupations</v>
      </c>
      <c r="B164" s="302">
        <v>0.55538588259854771</v>
      </c>
      <c r="C164" s="302">
        <v>0.60268809730764206</v>
      </c>
      <c r="D164" s="302">
        <f t="shared" si="70"/>
        <v>1.1580739799061899</v>
      </c>
      <c r="E164" s="303"/>
      <c r="F164" s="302">
        <v>0.28242253147572421</v>
      </c>
      <c r="G164" s="302">
        <v>0.32220986937864643</v>
      </c>
      <c r="H164" s="302">
        <f t="shared" si="71"/>
        <v>0.60463240085437064</v>
      </c>
      <c r="I164" s="303"/>
      <c r="J164" s="302">
        <v>0.23265116670550123</v>
      </c>
      <c r="K164" s="302">
        <v>0.21245609493902901</v>
      </c>
      <c r="L164" s="302">
        <f t="shared" si="72"/>
        <v>0.44510726164453024</v>
      </c>
      <c r="M164" s="236"/>
      <c r="N164" s="236"/>
    </row>
    <row r="165" spans="1:14" x14ac:dyDescent="0.2">
      <c r="A165" s="237" t="str">
        <f>name!E$7</f>
        <v>Administrative and secretarial occupations</v>
      </c>
      <c r="B165" s="302">
        <v>0.79535051971436121</v>
      </c>
      <c r="C165" s="302">
        <v>0.12633801159311242</v>
      </c>
      <c r="D165" s="302">
        <f t="shared" si="70"/>
        <v>0.92168853130747364</v>
      </c>
      <c r="E165" s="303"/>
      <c r="F165" s="302">
        <v>0.33429086368521654</v>
      </c>
      <c r="G165" s="302">
        <v>6.8357437330720541E-2</v>
      </c>
      <c r="H165" s="302">
        <f t="shared" si="71"/>
        <v>0.40264830101593707</v>
      </c>
      <c r="I165" s="303"/>
      <c r="J165" s="302">
        <v>0.21675369950980444</v>
      </c>
      <c r="K165" s="302">
        <v>4.8559229334255882E-2</v>
      </c>
      <c r="L165" s="302">
        <f t="shared" si="72"/>
        <v>0.26531292884406033</v>
      </c>
      <c r="M165" s="236"/>
      <c r="N165" s="236"/>
    </row>
    <row r="166" spans="1:14" x14ac:dyDescent="0.2">
      <c r="A166" s="237" t="str">
        <f>name!E$8</f>
        <v>Skilled trades occupations</v>
      </c>
      <c r="B166" s="302">
        <v>7.212836819810628E-2</v>
      </c>
      <c r="C166" s="302">
        <v>1.0169366331216401</v>
      </c>
      <c r="D166" s="302">
        <f t="shared" si="70"/>
        <v>1.0890650013197463</v>
      </c>
      <c r="E166" s="303"/>
      <c r="F166" s="302">
        <v>3.1723963922650505E-2</v>
      </c>
      <c r="G166" s="302">
        <v>0.34835818264453416</v>
      </c>
      <c r="H166" s="302">
        <f t="shared" si="71"/>
        <v>0.38008214656718464</v>
      </c>
      <c r="I166" s="303"/>
      <c r="J166" s="302">
        <v>1.5275634357499351E-2</v>
      </c>
      <c r="K166" s="302">
        <v>0.16645405760275567</v>
      </c>
      <c r="L166" s="302">
        <f t="shared" si="72"/>
        <v>0.18172969196025501</v>
      </c>
      <c r="M166" s="236"/>
      <c r="N166" s="236"/>
    </row>
    <row r="167" spans="1:14" x14ac:dyDescent="0.2">
      <c r="A167" s="237" t="str">
        <f>name!E$9</f>
        <v>Caring, leisure and other service occupations</v>
      </c>
      <c r="B167" s="302">
        <v>3.4824401830039216E-2</v>
      </c>
      <c r="C167" s="302">
        <v>1.584792426451381E-2</v>
      </c>
      <c r="D167" s="302">
        <f t="shared" si="70"/>
        <v>5.0672326094553022E-2</v>
      </c>
      <c r="E167" s="303"/>
      <c r="F167" s="302">
        <v>1.1355030526201907E-2</v>
      </c>
      <c r="G167" s="302">
        <v>8.2254249014859487E-3</v>
      </c>
      <c r="H167" s="302">
        <f t="shared" si="71"/>
        <v>1.9580455427687854E-2</v>
      </c>
      <c r="I167" s="303"/>
      <c r="J167" s="302">
        <v>5.9440508456388916E-3</v>
      </c>
      <c r="K167" s="302">
        <v>6.5643382688203612E-3</v>
      </c>
      <c r="L167" s="302">
        <f t="shared" si="72"/>
        <v>1.2508389114459253E-2</v>
      </c>
      <c r="M167" s="236"/>
      <c r="N167" s="236"/>
    </row>
    <row r="168" spans="1:14" x14ac:dyDescent="0.2">
      <c r="A168" s="237" t="str">
        <f>name!E$10</f>
        <v>Sales and customer service occupations</v>
      </c>
      <c r="B168" s="302">
        <v>0.270886624118441</v>
      </c>
      <c r="C168" s="302">
        <v>9.8115109686505816E-2</v>
      </c>
      <c r="D168" s="302">
        <f t="shared" si="70"/>
        <v>0.36900173380494683</v>
      </c>
      <c r="E168" s="303"/>
      <c r="F168" s="302">
        <v>0.11481901900451799</v>
      </c>
      <c r="G168" s="302">
        <v>4.2373512516388788E-2</v>
      </c>
      <c r="H168" s="302">
        <f t="shared" si="71"/>
        <v>0.15719253152090679</v>
      </c>
      <c r="I168" s="303"/>
      <c r="J168" s="302">
        <v>9.1083074244647108E-2</v>
      </c>
      <c r="K168" s="302">
        <v>3.6389515224289182E-2</v>
      </c>
      <c r="L168" s="302">
        <f t="shared" si="72"/>
        <v>0.1274725894689363</v>
      </c>
      <c r="M168" s="236"/>
      <c r="N168" s="236"/>
    </row>
    <row r="169" spans="1:14" x14ac:dyDescent="0.2">
      <c r="A169" s="237" t="str">
        <f>name!E$11</f>
        <v>Process, plant and machine operatives</v>
      </c>
      <c r="B169" s="302">
        <v>0.12998599188684687</v>
      </c>
      <c r="C169" s="302">
        <v>0.72818898064267956</v>
      </c>
      <c r="D169" s="302">
        <f t="shared" si="70"/>
        <v>0.85817497252952646</v>
      </c>
      <c r="E169" s="303"/>
      <c r="F169" s="302">
        <v>5.05817784532578E-2</v>
      </c>
      <c r="G169" s="302">
        <v>0.28843961125092332</v>
      </c>
      <c r="H169" s="302">
        <f t="shared" si="71"/>
        <v>0.33902138970418111</v>
      </c>
      <c r="I169" s="303"/>
      <c r="J169" s="302">
        <v>7.0768531319424427E-2</v>
      </c>
      <c r="K169" s="302">
        <v>0.24491338464019588</v>
      </c>
      <c r="L169" s="302">
        <f t="shared" si="72"/>
        <v>0.31568191595962031</v>
      </c>
      <c r="M169" s="236"/>
      <c r="N169" s="236"/>
    </row>
    <row r="170" spans="1:14" x14ac:dyDescent="0.2">
      <c r="A170" s="237" t="str">
        <f>name!E$12</f>
        <v>Elementary occupations</v>
      </c>
      <c r="B170" s="302">
        <v>0.39655405394510584</v>
      </c>
      <c r="C170" s="302">
        <v>0.48887000951831239</v>
      </c>
      <c r="D170" s="302">
        <f t="shared" si="70"/>
        <v>0.88542406346341829</v>
      </c>
      <c r="E170" s="303"/>
      <c r="F170" s="302">
        <v>0.12741926339539258</v>
      </c>
      <c r="G170" s="302">
        <v>0.20281044640972112</v>
      </c>
      <c r="H170" s="302">
        <f t="shared" si="71"/>
        <v>0.33022970980511368</v>
      </c>
      <c r="I170" s="303"/>
      <c r="J170" s="302">
        <v>8.6064484244515599E-2</v>
      </c>
      <c r="K170" s="302">
        <v>9.6769480325051505E-2</v>
      </c>
      <c r="L170" s="302">
        <f t="shared" si="72"/>
        <v>0.1828339645695671</v>
      </c>
      <c r="M170" s="236"/>
      <c r="N170" s="236"/>
    </row>
    <row r="171" spans="1:14" x14ac:dyDescent="0.2">
      <c r="A171" s="237"/>
      <c r="B171" s="302"/>
      <c r="C171" s="302"/>
      <c r="D171" s="302"/>
      <c r="E171" s="303"/>
      <c r="F171" s="302"/>
      <c r="G171" s="302"/>
      <c r="H171" s="302"/>
      <c r="I171" s="303"/>
      <c r="J171" s="302"/>
      <c r="K171" s="302"/>
      <c r="L171" s="302"/>
      <c r="M171" s="236"/>
      <c r="N171" s="236"/>
    </row>
    <row r="172" spans="1:14" x14ac:dyDescent="0.2">
      <c r="A172" s="244" t="s">
        <v>32</v>
      </c>
      <c r="B172" s="311">
        <f>SUM(B162:B170)</f>
        <v>2.7359999999943061</v>
      </c>
      <c r="C172" s="311">
        <f t="shared" ref="C172:D172" si="73">SUM(C162:C170)</f>
        <v>4.7610000000012489</v>
      </c>
      <c r="D172" s="311">
        <f t="shared" si="73"/>
        <v>7.4969999999955546</v>
      </c>
      <c r="E172" s="311"/>
      <c r="F172" s="311">
        <f t="shared" ref="F172:H172" si="74">SUM(F162:F170)</f>
        <v>1.2339999999915734</v>
      </c>
      <c r="G172" s="311">
        <f t="shared" si="74"/>
        <v>2.1719999999965411</v>
      </c>
      <c r="H172" s="311">
        <f t="shared" si="74"/>
        <v>3.4059999999881141</v>
      </c>
      <c r="I172" s="311"/>
      <c r="J172" s="311">
        <f t="shared" ref="J172:L172" si="75">SUM(J162:J170)</f>
        <v>0.97200000000097508</v>
      </c>
      <c r="K172" s="311">
        <f t="shared" si="75"/>
        <v>1.5419999999964542</v>
      </c>
      <c r="L172" s="311">
        <f t="shared" si="75"/>
        <v>2.513999999997429</v>
      </c>
      <c r="M172" s="236"/>
      <c r="N172" s="236"/>
    </row>
    <row r="173" spans="1:14" x14ac:dyDescent="0.2">
      <c r="A173" s="237"/>
      <c r="B173" s="237"/>
      <c r="C173" s="237"/>
      <c r="D173" s="237"/>
      <c r="E173" s="237"/>
      <c r="F173" s="237"/>
      <c r="G173" s="237"/>
      <c r="H173" s="237"/>
      <c r="I173" s="237"/>
      <c r="J173" s="237"/>
      <c r="K173" s="237"/>
      <c r="L173" s="240"/>
      <c r="M173" s="236"/>
      <c r="N173" s="236"/>
    </row>
    <row r="174" spans="1:14" x14ac:dyDescent="0.2">
      <c r="A174" s="237"/>
      <c r="B174" s="237"/>
      <c r="C174" s="237"/>
      <c r="D174" s="237"/>
      <c r="E174" s="237"/>
      <c r="F174" s="237"/>
      <c r="G174" s="237"/>
      <c r="H174" s="237"/>
      <c r="I174" s="237"/>
      <c r="J174" s="237"/>
      <c r="K174" s="237"/>
      <c r="L174" s="256" t="s">
        <v>35</v>
      </c>
      <c r="M174" s="236"/>
      <c r="N174" s="236"/>
    </row>
    <row r="175" spans="1:14" x14ac:dyDescent="0.2">
      <c r="A175" s="242"/>
      <c r="B175" s="250"/>
      <c r="C175" s="250"/>
      <c r="D175" s="250"/>
      <c r="E175" s="250"/>
      <c r="F175" s="250"/>
      <c r="G175" s="250"/>
      <c r="H175" s="250"/>
      <c r="I175" s="250"/>
      <c r="J175" s="250"/>
      <c r="K175" s="250"/>
      <c r="L175" s="236"/>
      <c r="M175" s="236"/>
      <c r="N175" s="236"/>
    </row>
    <row r="176" spans="1:14" x14ac:dyDescent="0.2">
      <c r="A176" s="241" t="str">
        <f>name!A13</f>
        <v>Coke and petroleum; Chemicals, etc</v>
      </c>
      <c r="B176" s="372">
        <f>B$6</f>
        <v>2015</v>
      </c>
      <c r="C176" s="372"/>
      <c r="D176" s="372"/>
      <c r="E176" s="253"/>
      <c r="F176" s="372">
        <f>F159</f>
        <v>2020</v>
      </c>
      <c r="G176" s="372"/>
      <c r="H176" s="372"/>
      <c r="I176" s="253"/>
      <c r="J176" s="372">
        <f>J159</f>
        <v>2035</v>
      </c>
      <c r="K176" s="372"/>
      <c r="L176" s="372"/>
      <c r="M176" s="236"/>
      <c r="N176" s="236"/>
    </row>
    <row r="177" spans="1:14" x14ac:dyDescent="0.2">
      <c r="A177" s="254"/>
      <c r="B177" s="255" t="s">
        <v>352</v>
      </c>
      <c r="C177" s="255" t="s">
        <v>353</v>
      </c>
      <c r="D177" s="255" t="s">
        <v>32</v>
      </c>
      <c r="E177" s="255"/>
      <c r="F177" s="255" t="s">
        <v>352</v>
      </c>
      <c r="G177" s="255" t="s">
        <v>353</v>
      </c>
      <c r="H177" s="255" t="s">
        <v>32</v>
      </c>
      <c r="I177" s="255"/>
      <c r="J177" s="255" t="s">
        <v>352</v>
      </c>
      <c r="K177" s="255" t="s">
        <v>353</v>
      </c>
      <c r="L177" s="255" t="s">
        <v>32</v>
      </c>
      <c r="M177" s="236"/>
      <c r="N177" s="236"/>
    </row>
    <row r="178" spans="1:14" x14ac:dyDescent="0.2">
      <c r="A178" s="258"/>
      <c r="B178" s="259"/>
      <c r="C178" s="259"/>
      <c r="D178" s="259"/>
      <c r="E178" s="259"/>
      <c r="F178" s="259"/>
      <c r="G178" s="259"/>
      <c r="H178" s="259"/>
      <c r="I178" s="259"/>
      <c r="J178" s="259"/>
      <c r="K178" s="259"/>
      <c r="L178" s="259"/>
      <c r="M178" s="236"/>
      <c r="N178" s="236"/>
    </row>
    <row r="179" spans="1:14" x14ac:dyDescent="0.2">
      <c r="A179" s="237" t="str">
        <f>name!E$4</f>
        <v>Managers, directors and senior officials</v>
      </c>
      <c r="B179" s="302">
        <v>7.8097893546587388E-2</v>
      </c>
      <c r="C179" s="302">
        <v>0.76054163382433437</v>
      </c>
      <c r="D179" s="302">
        <f>SUM(B179:C179)</f>
        <v>0.83863952737092173</v>
      </c>
      <c r="E179" s="303"/>
      <c r="F179" s="302">
        <v>0.12027279299519897</v>
      </c>
      <c r="G179" s="302">
        <v>0.69315229103942422</v>
      </c>
      <c r="H179" s="302">
        <f>SUM(F179:G179)</f>
        <v>0.81342508403462321</v>
      </c>
      <c r="I179" s="303"/>
      <c r="J179" s="302">
        <v>8.3790199146168823E-2</v>
      </c>
      <c r="K179" s="302">
        <v>0.42367548491683599</v>
      </c>
      <c r="L179" s="302">
        <f>SUM(J179:K179)</f>
        <v>0.50746568406300485</v>
      </c>
      <c r="M179" s="236"/>
      <c r="N179" s="236"/>
    </row>
    <row r="180" spans="1:14" x14ac:dyDescent="0.2">
      <c r="A180" s="237" t="str">
        <f>name!E$5</f>
        <v>Professional occupations</v>
      </c>
      <c r="B180" s="302">
        <v>0.20682104384324207</v>
      </c>
      <c r="C180" s="302">
        <v>2.0113239378189056</v>
      </c>
      <c r="D180" s="302">
        <f t="shared" ref="D180:D187" si="76">SUM(B180:C180)</f>
        <v>2.2181449816621477</v>
      </c>
      <c r="E180" s="303"/>
      <c r="F180" s="302">
        <v>0.32415258501034683</v>
      </c>
      <c r="G180" s="302">
        <v>2.020134468435093</v>
      </c>
      <c r="H180" s="302">
        <f t="shared" ref="H180:H187" si="77">SUM(F180:G180)</f>
        <v>2.3442870534454396</v>
      </c>
      <c r="I180" s="303"/>
      <c r="J180" s="302">
        <v>0.25153473370129248</v>
      </c>
      <c r="K180" s="302">
        <v>1.4307104678442122</v>
      </c>
      <c r="L180" s="302">
        <f t="shared" ref="L180:L187" si="78">SUM(J180:K180)</f>
        <v>1.6822452015455047</v>
      </c>
      <c r="M180" s="236"/>
      <c r="N180" s="236"/>
    </row>
    <row r="181" spans="1:14" x14ac:dyDescent="0.2">
      <c r="A181" s="237" t="str">
        <f>name!E$6</f>
        <v>Associate professional occupations</v>
      </c>
      <c r="B181" s="302">
        <v>0.19439372801032476</v>
      </c>
      <c r="C181" s="302">
        <v>0.91344397989249615</v>
      </c>
      <c r="D181" s="302">
        <f t="shared" si="76"/>
        <v>1.107837707902821</v>
      </c>
      <c r="E181" s="303"/>
      <c r="F181" s="302">
        <v>0.28500265700886768</v>
      </c>
      <c r="G181" s="302">
        <v>0.9468607995931263</v>
      </c>
      <c r="H181" s="302">
        <f t="shared" si="77"/>
        <v>1.2318634566019939</v>
      </c>
      <c r="I181" s="303"/>
      <c r="J181" s="302">
        <v>0.18593520477023559</v>
      </c>
      <c r="K181" s="302">
        <v>0.5106106594996721</v>
      </c>
      <c r="L181" s="302">
        <f t="shared" si="78"/>
        <v>0.69654586426990772</v>
      </c>
      <c r="M181" s="236"/>
      <c r="N181" s="236"/>
    </row>
    <row r="182" spans="1:14" x14ac:dyDescent="0.2">
      <c r="A182" s="237" t="str">
        <f>name!E$7</f>
        <v>Administrative and secretarial occupations</v>
      </c>
      <c r="B182" s="302">
        <v>0.18162892792991317</v>
      </c>
      <c r="C182" s="302">
        <v>0.18535605213194892</v>
      </c>
      <c r="D182" s="302">
        <f t="shared" si="76"/>
        <v>0.36698498006186209</v>
      </c>
      <c r="E182" s="303"/>
      <c r="F182" s="302">
        <v>0.26849970650964899</v>
      </c>
      <c r="G182" s="302">
        <v>0.16111438545969239</v>
      </c>
      <c r="H182" s="302">
        <f t="shared" si="77"/>
        <v>0.42961409196934142</v>
      </c>
      <c r="I182" s="303"/>
      <c r="J182" s="302">
        <v>0.12810126284177376</v>
      </c>
      <c r="K182" s="302">
        <v>8.8845945266074228E-2</v>
      </c>
      <c r="L182" s="302">
        <f t="shared" si="78"/>
        <v>0.21694720810784798</v>
      </c>
      <c r="M182" s="236"/>
      <c r="N182" s="236"/>
    </row>
    <row r="183" spans="1:14" x14ac:dyDescent="0.2">
      <c r="A183" s="237" t="str">
        <f>name!E$8</f>
        <v>Skilled trades occupations</v>
      </c>
      <c r="B183" s="302">
        <v>4.6712882212488378E-2</v>
      </c>
      <c r="C183" s="302">
        <v>0.56738890799442077</v>
      </c>
      <c r="D183" s="302">
        <f t="shared" si="76"/>
        <v>0.61410179020690914</v>
      </c>
      <c r="E183" s="303"/>
      <c r="F183" s="302">
        <v>7.7391061212513768E-2</v>
      </c>
      <c r="G183" s="302">
        <v>0.32878239617755761</v>
      </c>
      <c r="H183" s="302">
        <f t="shared" si="77"/>
        <v>0.40617345739007138</v>
      </c>
      <c r="I183" s="303"/>
      <c r="J183" s="302">
        <v>5.5861003388068861E-2</v>
      </c>
      <c r="K183" s="302">
        <v>0.15521687615194094</v>
      </c>
      <c r="L183" s="302">
        <f t="shared" si="78"/>
        <v>0.21107787954000978</v>
      </c>
      <c r="M183" s="236"/>
      <c r="N183" s="236"/>
    </row>
    <row r="184" spans="1:14" x14ac:dyDescent="0.2">
      <c r="A184" s="237" t="str">
        <f>name!E$9</f>
        <v>Caring, leisure and other service occupations</v>
      </c>
      <c r="B184" s="302">
        <v>5.1339814509080227E-2</v>
      </c>
      <c r="C184" s="302">
        <v>1.9437794739757E-2</v>
      </c>
      <c r="D184" s="302">
        <f t="shared" si="76"/>
        <v>7.077760924883722E-2</v>
      </c>
      <c r="E184" s="303"/>
      <c r="F184" s="302">
        <v>7.0557637734661546E-2</v>
      </c>
      <c r="G184" s="302">
        <v>2.1006373581498101E-2</v>
      </c>
      <c r="H184" s="302">
        <f t="shared" si="77"/>
        <v>9.1564011316159655E-2</v>
      </c>
      <c r="I184" s="303"/>
      <c r="J184" s="302">
        <v>3.8888909642161157E-2</v>
      </c>
      <c r="K184" s="302">
        <v>1.4620326525272558E-2</v>
      </c>
      <c r="L184" s="302">
        <f t="shared" si="78"/>
        <v>5.3509236167433714E-2</v>
      </c>
      <c r="M184" s="236"/>
      <c r="N184" s="236"/>
    </row>
    <row r="185" spans="1:14" x14ac:dyDescent="0.2">
      <c r="A185" s="237" t="str">
        <f>name!E$10</f>
        <v>Sales and customer service occupations</v>
      </c>
      <c r="B185" s="302">
        <v>8.8874904922796788E-2</v>
      </c>
      <c r="C185" s="302">
        <v>7.6817542381284451E-2</v>
      </c>
      <c r="D185" s="302">
        <f t="shared" si="76"/>
        <v>0.16569244730408123</v>
      </c>
      <c r="E185" s="303"/>
      <c r="F185" s="302">
        <v>0.13873007039254601</v>
      </c>
      <c r="G185" s="302">
        <v>8.4854620526611774E-2</v>
      </c>
      <c r="H185" s="302">
        <f t="shared" si="77"/>
        <v>0.22358469091915778</v>
      </c>
      <c r="I185" s="303"/>
      <c r="J185" s="302">
        <v>8.8527222510206519E-2</v>
      </c>
      <c r="K185" s="302">
        <v>6.2026110622632649E-2</v>
      </c>
      <c r="L185" s="302">
        <f t="shared" si="78"/>
        <v>0.15055333313283917</v>
      </c>
      <c r="M185" s="236"/>
      <c r="N185" s="236"/>
    </row>
    <row r="186" spans="1:14" x14ac:dyDescent="0.2">
      <c r="A186" s="237" t="str">
        <f>name!E$11</f>
        <v>Process, plant and machine operatives</v>
      </c>
      <c r="B186" s="302">
        <v>0.4527111914935979</v>
      </c>
      <c r="C186" s="302">
        <v>2.5667565217419015</v>
      </c>
      <c r="D186" s="302">
        <f t="shared" si="76"/>
        <v>3.0194677132354992</v>
      </c>
      <c r="E186" s="303"/>
      <c r="F186" s="302">
        <v>0.47038974391253857</v>
      </c>
      <c r="G186" s="302">
        <v>1.7597367340932832</v>
      </c>
      <c r="H186" s="302">
        <f t="shared" si="77"/>
        <v>2.2301264780058219</v>
      </c>
      <c r="I186" s="303"/>
      <c r="J186" s="302">
        <v>0.41944260811364636</v>
      </c>
      <c r="K186" s="302">
        <v>1.1467410702706098</v>
      </c>
      <c r="L186" s="302">
        <f t="shared" si="78"/>
        <v>1.5661836783842562</v>
      </c>
      <c r="M186" s="236"/>
      <c r="N186" s="236"/>
    </row>
    <row r="187" spans="1:14" x14ac:dyDescent="0.2">
      <c r="A187" s="237" t="str">
        <f>name!E$12</f>
        <v>Elementary occupations</v>
      </c>
      <c r="B187" s="302">
        <v>0.28841961352866308</v>
      </c>
      <c r="C187" s="302">
        <v>0.3479336294601435</v>
      </c>
      <c r="D187" s="302">
        <f t="shared" si="76"/>
        <v>0.63635324298880658</v>
      </c>
      <c r="E187" s="303"/>
      <c r="F187" s="302">
        <v>0.38400374520519881</v>
      </c>
      <c r="G187" s="302">
        <v>0.26035793108134736</v>
      </c>
      <c r="H187" s="302">
        <f t="shared" si="77"/>
        <v>0.64436167628654617</v>
      </c>
      <c r="I187" s="303"/>
      <c r="J187" s="302">
        <v>0.18891885588801666</v>
      </c>
      <c r="K187" s="302">
        <v>9.6553058898401573E-2</v>
      </c>
      <c r="L187" s="302">
        <f t="shared" si="78"/>
        <v>0.2854719147864182</v>
      </c>
      <c r="M187" s="236"/>
      <c r="N187" s="236"/>
    </row>
    <row r="188" spans="1:14" x14ac:dyDescent="0.2">
      <c r="A188" s="237"/>
      <c r="B188" s="302"/>
      <c r="C188" s="302"/>
      <c r="D188" s="302"/>
      <c r="E188" s="303"/>
      <c r="F188" s="302"/>
      <c r="G188" s="302"/>
      <c r="H188" s="302"/>
      <c r="I188" s="303"/>
      <c r="J188" s="302"/>
      <c r="K188" s="302"/>
      <c r="L188" s="302"/>
      <c r="M188" s="236"/>
      <c r="N188" s="236"/>
    </row>
    <row r="189" spans="1:14" x14ac:dyDescent="0.2">
      <c r="A189" s="244" t="s">
        <v>32</v>
      </c>
      <c r="B189" s="311">
        <f>SUM(B179:B187)</f>
        <v>1.5889999999966937</v>
      </c>
      <c r="C189" s="311">
        <f t="shared" ref="C189:D189" si="79">SUM(C179:C187)</f>
        <v>7.4489999999851921</v>
      </c>
      <c r="D189" s="311">
        <f t="shared" si="79"/>
        <v>9.037999999981885</v>
      </c>
      <c r="E189" s="311"/>
      <c r="F189" s="311">
        <f t="shared" ref="F189:H189" si="80">SUM(F179:F187)</f>
        <v>2.1389999999815212</v>
      </c>
      <c r="G189" s="311">
        <f t="shared" si="80"/>
        <v>6.2759999999876337</v>
      </c>
      <c r="H189" s="311">
        <f t="shared" si="80"/>
        <v>8.4149999999691563</v>
      </c>
      <c r="I189" s="311"/>
      <c r="J189" s="311">
        <f t="shared" ref="J189:L189" si="81">SUM(J179:J187)</f>
        <v>1.4410000000015701</v>
      </c>
      <c r="K189" s="311">
        <f t="shared" si="81"/>
        <v>3.9289999999956522</v>
      </c>
      <c r="L189" s="311">
        <f t="shared" si="81"/>
        <v>5.3699999999972219</v>
      </c>
      <c r="M189" s="236"/>
      <c r="N189" s="236"/>
    </row>
    <row r="190" spans="1:14" x14ac:dyDescent="0.2">
      <c r="A190" s="237"/>
      <c r="B190" s="237"/>
      <c r="C190" s="237"/>
      <c r="D190" s="237"/>
      <c r="E190" s="237"/>
      <c r="F190" s="237"/>
      <c r="G190" s="237"/>
      <c r="H190" s="237"/>
      <c r="I190" s="237"/>
      <c r="J190" s="237"/>
      <c r="K190" s="237"/>
      <c r="L190" s="240"/>
      <c r="M190" s="236"/>
      <c r="N190" s="236"/>
    </row>
    <row r="191" spans="1:14" x14ac:dyDescent="0.2">
      <c r="A191" s="237"/>
      <c r="B191" s="237"/>
      <c r="C191" s="237"/>
      <c r="D191" s="237"/>
      <c r="E191" s="237"/>
      <c r="F191" s="237"/>
      <c r="G191" s="237"/>
      <c r="H191" s="237"/>
      <c r="I191" s="237"/>
      <c r="J191" s="237"/>
      <c r="K191" s="237"/>
      <c r="L191" s="256" t="s">
        <v>35</v>
      </c>
      <c r="M191" s="236"/>
      <c r="N191" s="236"/>
    </row>
    <row r="192" spans="1:14" x14ac:dyDescent="0.2">
      <c r="A192" s="242"/>
      <c r="B192" s="250"/>
      <c r="C192" s="250"/>
      <c r="D192" s="250"/>
      <c r="E192" s="250"/>
      <c r="F192" s="250"/>
      <c r="G192" s="250"/>
      <c r="H192" s="250"/>
      <c r="I192" s="250"/>
      <c r="J192" s="250"/>
      <c r="K192" s="250"/>
      <c r="L192" s="236"/>
      <c r="M192" s="236"/>
      <c r="N192" s="236"/>
    </row>
    <row r="193" spans="1:14" x14ac:dyDescent="0.2">
      <c r="A193" s="241" t="str">
        <f>name!A14</f>
        <v>Pharmaceuticals</v>
      </c>
      <c r="B193" s="372">
        <f>B$6</f>
        <v>2015</v>
      </c>
      <c r="C193" s="372"/>
      <c r="D193" s="372"/>
      <c r="E193" s="253"/>
      <c r="F193" s="372">
        <f>F176</f>
        <v>2020</v>
      </c>
      <c r="G193" s="372"/>
      <c r="H193" s="372"/>
      <c r="I193" s="253"/>
      <c r="J193" s="372">
        <f>J176</f>
        <v>2035</v>
      </c>
      <c r="K193" s="372"/>
      <c r="L193" s="372"/>
      <c r="M193" s="236"/>
      <c r="N193" s="236"/>
    </row>
    <row r="194" spans="1:14" x14ac:dyDescent="0.2">
      <c r="A194" s="254"/>
      <c r="B194" s="255" t="s">
        <v>352</v>
      </c>
      <c r="C194" s="255" t="s">
        <v>353</v>
      </c>
      <c r="D194" s="255" t="s">
        <v>32</v>
      </c>
      <c r="E194" s="255"/>
      <c r="F194" s="255" t="s">
        <v>352</v>
      </c>
      <c r="G194" s="255" t="s">
        <v>353</v>
      </c>
      <c r="H194" s="255" t="s">
        <v>32</v>
      </c>
      <c r="I194" s="255"/>
      <c r="J194" s="255" t="s">
        <v>352</v>
      </c>
      <c r="K194" s="255" t="s">
        <v>353</v>
      </c>
      <c r="L194" s="255" t="s">
        <v>32</v>
      </c>
      <c r="M194" s="236"/>
      <c r="N194" s="236"/>
    </row>
    <row r="195" spans="1:14" x14ac:dyDescent="0.2">
      <c r="A195" s="258"/>
      <c r="B195" s="259"/>
      <c r="C195" s="259"/>
      <c r="D195" s="259"/>
      <c r="E195" s="259"/>
      <c r="F195" s="259"/>
      <c r="G195" s="259"/>
      <c r="H195" s="259"/>
      <c r="I195" s="259"/>
      <c r="J195" s="259"/>
      <c r="K195" s="259"/>
      <c r="L195" s="259"/>
      <c r="M195" s="236"/>
      <c r="N195" s="236"/>
    </row>
    <row r="196" spans="1:14" x14ac:dyDescent="0.2">
      <c r="A196" s="237" t="str">
        <f>name!E$4</f>
        <v>Managers, directors and senior officials</v>
      </c>
      <c r="B196" s="302">
        <v>2.94293584666372E-2</v>
      </c>
      <c r="C196" s="302">
        <v>0.18171894107541425</v>
      </c>
      <c r="D196" s="302">
        <f>SUM(B196:C196)</f>
        <v>0.21114829954205144</v>
      </c>
      <c r="E196" s="303"/>
      <c r="F196" s="302">
        <v>5.294558451955797E-2</v>
      </c>
      <c r="G196" s="302">
        <v>0.23809596296911525</v>
      </c>
      <c r="H196" s="302">
        <f>SUM(F196:G196)</f>
        <v>0.29104154748867322</v>
      </c>
      <c r="I196" s="303"/>
      <c r="J196" s="302">
        <v>6.0626324848497892E-2</v>
      </c>
      <c r="K196" s="302">
        <v>0.25412514821824178</v>
      </c>
      <c r="L196" s="302">
        <f>SUM(J196:K196)</f>
        <v>0.31475147306673967</v>
      </c>
      <c r="M196" s="236"/>
      <c r="N196" s="236"/>
    </row>
    <row r="197" spans="1:14" x14ac:dyDescent="0.2">
      <c r="A197" s="237" t="str">
        <f>name!E$5</f>
        <v>Professional occupations</v>
      </c>
      <c r="B197" s="302">
        <v>0.28917252299618162</v>
      </c>
      <c r="C197" s="302">
        <v>0.69715973101801587</v>
      </c>
      <c r="D197" s="302">
        <f t="shared" ref="D197:D204" si="82">SUM(B197:C197)</f>
        <v>0.98633225401419744</v>
      </c>
      <c r="E197" s="303"/>
      <c r="F197" s="302">
        <v>0.53214765771455586</v>
      </c>
      <c r="G197" s="302">
        <v>1.0645042994942948</v>
      </c>
      <c r="H197" s="302">
        <f t="shared" ref="H197:H204" si="83">SUM(F197:G197)</f>
        <v>1.5966519572088507</v>
      </c>
      <c r="I197" s="303"/>
      <c r="J197" s="302">
        <v>0.64473147375345252</v>
      </c>
      <c r="K197" s="302">
        <v>1.3012715158795649</v>
      </c>
      <c r="L197" s="302">
        <f t="shared" ref="L197:L204" si="84">SUM(J197:K197)</f>
        <v>1.9460029896330173</v>
      </c>
      <c r="M197" s="236"/>
      <c r="N197" s="236"/>
    </row>
    <row r="198" spans="1:14" x14ac:dyDescent="0.2">
      <c r="A198" s="237" t="str">
        <f>name!E$6</f>
        <v>Associate professional occupations</v>
      </c>
      <c r="B198" s="302">
        <v>0.16511389003983862</v>
      </c>
      <c r="C198" s="302">
        <v>0.22763483842395346</v>
      </c>
      <c r="D198" s="302">
        <f t="shared" si="82"/>
        <v>0.39274872846379205</v>
      </c>
      <c r="E198" s="303"/>
      <c r="F198" s="302">
        <v>0.31104258170391541</v>
      </c>
      <c r="G198" s="302">
        <v>0.28843610599138481</v>
      </c>
      <c r="H198" s="302">
        <f t="shared" si="83"/>
        <v>0.59947868769530022</v>
      </c>
      <c r="I198" s="303"/>
      <c r="J198" s="302">
        <v>0.34480100585673146</v>
      </c>
      <c r="K198" s="302">
        <v>0.28076113046570234</v>
      </c>
      <c r="L198" s="302">
        <f t="shared" si="84"/>
        <v>0.62556213632243374</v>
      </c>
      <c r="M198" s="236"/>
      <c r="N198" s="236"/>
    </row>
    <row r="199" spans="1:14" x14ac:dyDescent="0.2">
      <c r="A199" s="237" t="str">
        <f>name!E$7</f>
        <v>Administrative and secretarial occupations</v>
      </c>
      <c r="B199" s="302">
        <v>0.1057681446018941</v>
      </c>
      <c r="C199" s="302">
        <v>4.3741938641260067E-2</v>
      </c>
      <c r="D199" s="302">
        <f t="shared" si="82"/>
        <v>0.14951008324315418</v>
      </c>
      <c r="E199" s="303"/>
      <c r="F199" s="302">
        <v>0.15393588551756854</v>
      </c>
      <c r="G199" s="302">
        <v>2.1262349466421925E-2</v>
      </c>
      <c r="H199" s="302">
        <f t="shared" si="83"/>
        <v>0.17519823498399045</v>
      </c>
      <c r="I199" s="303"/>
      <c r="J199" s="302">
        <v>0.1067119500059638</v>
      </c>
      <c r="K199" s="302">
        <v>2.3875616818240599E-2</v>
      </c>
      <c r="L199" s="302">
        <f t="shared" si="84"/>
        <v>0.13058756682420439</v>
      </c>
      <c r="M199" s="236"/>
      <c r="N199" s="236"/>
    </row>
    <row r="200" spans="1:14" x14ac:dyDescent="0.2">
      <c r="A200" s="237" t="str">
        <f>name!E$8</f>
        <v>Skilled trades occupations</v>
      </c>
      <c r="B200" s="302">
        <v>1.1968067612417419E-2</v>
      </c>
      <c r="C200" s="302">
        <v>0.13655736152846476</v>
      </c>
      <c r="D200" s="302">
        <f t="shared" si="82"/>
        <v>0.14852542914088218</v>
      </c>
      <c r="E200" s="303"/>
      <c r="F200" s="302">
        <v>1.9399805392286539E-2</v>
      </c>
      <c r="G200" s="302">
        <v>0.11667380302516205</v>
      </c>
      <c r="H200" s="302">
        <f t="shared" si="83"/>
        <v>0.13607360841744859</v>
      </c>
      <c r="I200" s="303"/>
      <c r="J200" s="302">
        <v>2.9635122198042818E-2</v>
      </c>
      <c r="K200" s="302">
        <v>8.6055100664940584E-2</v>
      </c>
      <c r="L200" s="302">
        <f t="shared" si="84"/>
        <v>0.1156902228629834</v>
      </c>
      <c r="M200" s="236"/>
      <c r="N200" s="236"/>
    </row>
    <row r="201" spans="1:14" x14ac:dyDescent="0.2">
      <c r="A201" s="237" t="str">
        <f>name!E$9</f>
        <v>Caring, leisure and other service occupations</v>
      </c>
      <c r="B201" s="302">
        <v>6.7803153976407085E-2</v>
      </c>
      <c r="C201" s="302">
        <v>1.2311009983133744E-2</v>
      </c>
      <c r="D201" s="302">
        <f t="shared" si="82"/>
        <v>8.0114163959540824E-2</v>
      </c>
      <c r="E201" s="303"/>
      <c r="F201" s="302">
        <v>8.9399428189851277E-2</v>
      </c>
      <c r="G201" s="302">
        <v>1.0110337791772088E-2</v>
      </c>
      <c r="H201" s="302">
        <f t="shared" si="83"/>
        <v>9.9509765981623366E-2</v>
      </c>
      <c r="I201" s="303"/>
      <c r="J201" s="302">
        <v>7.9407503267656609E-2</v>
      </c>
      <c r="K201" s="302">
        <v>9.9892983909034873E-3</v>
      </c>
      <c r="L201" s="302">
        <f t="shared" si="84"/>
        <v>8.9396801658560093E-2</v>
      </c>
      <c r="M201" s="236"/>
      <c r="N201" s="236"/>
    </row>
    <row r="202" spans="1:14" x14ac:dyDescent="0.2">
      <c r="A202" s="237" t="str">
        <f>name!E$10</f>
        <v>Sales and customer service occupations</v>
      </c>
      <c r="B202" s="302">
        <v>2.8186091432181586E-2</v>
      </c>
      <c r="C202" s="302">
        <v>2.9636166279934605E-2</v>
      </c>
      <c r="D202" s="302">
        <f t="shared" si="82"/>
        <v>5.7822257712116187E-2</v>
      </c>
      <c r="E202" s="303"/>
      <c r="F202" s="302">
        <v>4.2014989866423554E-2</v>
      </c>
      <c r="G202" s="302">
        <v>2.082366821202157E-2</v>
      </c>
      <c r="H202" s="302">
        <f t="shared" si="83"/>
        <v>6.2838658078445131E-2</v>
      </c>
      <c r="I202" s="303"/>
      <c r="J202" s="302">
        <v>4.4486067964051926E-2</v>
      </c>
      <c r="K202" s="302">
        <v>2.716987962410107E-2</v>
      </c>
      <c r="L202" s="302">
        <f t="shared" si="84"/>
        <v>7.1655947588152996E-2</v>
      </c>
      <c r="M202" s="236"/>
      <c r="N202" s="236"/>
    </row>
    <row r="203" spans="1:14" x14ac:dyDescent="0.2">
      <c r="A203" s="237" t="str">
        <f>name!E$11</f>
        <v>Process, plant and machine operatives</v>
      </c>
      <c r="B203" s="302">
        <v>0.12608304855911753</v>
      </c>
      <c r="C203" s="302">
        <v>0.41536354739667997</v>
      </c>
      <c r="D203" s="302">
        <f t="shared" si="82"/>
        <v>0.54144659595579747</v>
      </c>
      <c r="E203" s="303"/>
      <c r="F203" s="302">
        <v>0.14586902740078073</v>
      </c>
      <c r="G203" s="302">
        <v>0.36439148280415568</v>
      </c>
      <c r="H203" s="302">
        <f t="shared" si="83"/>
        <v>0.51026051020493646</v>
      </c>
      <c r="I203" s="303"/>
      <c r="J203" s="302">
        <v>0.17265289939257517</v>
      </c>
      <c r="K203" s="302">
        <v>0.41035921471862397</v>
      </c>
      <c r="L203" s="302">
        <f t="shared" si="84"/>
        <v>0.58301211411119913</v>
      </c>
      <c r="M203" s="236"/>
      <c r="N203" s="236"/>
    </row>
    <row r="204" spans="1:14" x14ac:dyDescent="0.2">
      <c r="A204" s="237" t="str">
        <f>name!E$12</f>
        <v>Elementary occupations</v>
      </c>
      <c r="B204" s="302">
        <v>0.15047572231104767</v>
      </c>
      <c r="C204" s="302">
        <v>8.0876465648069884E-2</v>
      </c>
      <c r="D204" s="302">
        <f t="shared" si="82"/>
        <v>0.23135218795911755</v>
      </c>
      <c r="E204" s="303"/>
      <c r="F204" s="302">
        <v>0.13824503968992713</v>
      </c>
      <c r="G204" s="302">
        <v>4.070199024069187E-2</v>
      </c>
      <c r="H204" s="302">
        <f t="shared" si="83"/>
        <v>0.17894702993061901</v>
      </c>
      <c r="I204" s="303"/>
      <c r="J204" s="302">
        <v>0.10894765271908283</v>
      </c>
      <c r="K204" s="302">
        <v>2.8393095223832571E-2</v>
      </c>
      <c r="L204" s="302">
        <f t="shared" si="84"/>
        <v>0.1373407479429154</v>
      </c>
      <c r="M204" s="236"/>
      <c r="N204" s="236"/>
    </row>
    <row r="205" spans="1:14" x14ac:dyDescent="0.2">
      <c r="A205" s="237"/>
      <c r="B205" s="302"/>
      <c r="C205" s="302"/>
      <c r="D205" s="302"/>
      <c r="E205" s="303"/>
      <c r="F205" s="302"/>
      <c r="G205" s="302"/>
      <c r="H205" s="302"/>
      <c r="I205" s="303"/>
      <c r="J205" s="302"/>
      <c r="K205" s="302"/>
      <c r="L205" s="302"/>
      <c r="M205" s="236"/>
      <c r="N205" s="236"/>
    </row>
    <row r="206" spans="1:14" x14ac:dyDescent="0.2">
      <c r="A206" s="244" t="s">
        <v>32</v>
      </c>
      <c r="B206" s="311">
        <f>SUM(B196:B204)</f>
        <v>0.97399999999572284</v>
      </c>
      <c r="C206" s="311">
        <f t="shared" ref="C206:D206" si="85">SUM(C196:C204)</f>
        <v>1.8249999999949267</v>
      </c>
      <c r="D206" s="311">
        <f t="shared" si="85"/>
        <v>2.7989999999906492</v>
      </c>
      <c r="E206" s="311"/>
      <c r="F206" s="311">
        <f t="shared" ref="F206:H206" si="86">SUM(F196:F204)</f>
        <v>1.4849999999948671</v>
      </c>
      <c r="G206" s="311">
        <f t="shared" si="86"/>
        <v>2.1649999999950205</v>
      </c>
      <c r="H206" s="311">
        <f t="shared" si="86"/>
        <v>3.6499999999898867</v>
      </c>
      <c r="I206" s="311"/>
      <c r="J206" s="311">
        <f t="shared" ref="J206:L206" si="87">SUM(J196:J204)</f>
        <v>1.5920000000060552</v>
      </c>
      <c r="K206" s="311">
        <f t="shared" si="87"/>
        <v>2.4220000000041515</v>
      </c>
      <c r="L206" s="311">
        <f t="shared" si="87"/>
        <v>4.0140000000102063</v>
      </c>
      <c r="M206" s="236"/>
      <c r="N206" s="236"/>
    </row>
    <row r="207" spans="1:14" x14ac:dyDescent="0.2">
      <c r="A207" s="237"/>
      <c r="B207" s="237"/>
      <c r="C207" s="237"/>
      <c r="D207" s="237"/>
      <c r="E207" s="237"/>
      <c r="F207" s="237"/>
      <c r="G207" s="237"/>
      <c r="H207" s="237"/>
      <c r="I207" s="237"/>
      <c r="J207" s="237"/>
      <c r="K207" s="237"/>
      <c r="L207" s="240"/>
      <c r="M207" s="236"/>
      <c r="N207" s="236"/>
    </row>
    <row r="208" spans="1:14" x14ac:dyDescent="0.2">
      <c r="A208" s="237"/>
      <c r="B208" s="237"/>
      <c r="C208" s="237"/>
      <c r="D208" s="237"/>
      <c r="E208" s="237"/>
      <c r="F208" s="237"/>
      <c r="G208" s="237"/>
      <c r="H208" s="237"/>
      <c r="I208" s="237"/>
      <c r="J208" s="237"/>
      <c r="K208" s="237"/>
      <c r="L208" s="256" t="s">
        <v>35</v>
      </c>
      <c r="M208" s="236"/>
      <c r="N208" s="236"/>
    </row>
    <row r="209" spans="1:14" x14ac:dyDescent="0.2">
      <c r="A209" s="242"/>
      <c r="B209" s="250"/>
      <c r="C209" s="250"/>
      <c r="D209" s="250"/>
      <c r="E209" s="250"/>
      <c r="F209" s="250"/>
      <c r="G209" s="250"/>
      <c r="H209" s="250"/>
      <c r="I209" s="250"/>
      <c r="J209" s="250"/>
      <c r="K209" s="250"/>
      <c r="L209" s="236"/>
      <c r="M209" s="236"/>
      <c r="N209" s="236"/>
    </row>
    <row r="210" spans="1:14" x14ac:dyDescent="0.2">
      <c r="A210" s="241" t="str">
        <f>name!A15</f>
        <v>Rubber and plastic</v>
      </c>
      <c r="B210" s="372">
        <f>B$6</f>
        <v>2015</v>
      </c>
      <c r="C210" s="372"/>
      <c r="D210" s="372"/>
      <c r="E210" s="253"/>
      <c r="F210" s="372">
        <f>F193</f>
        <v>2020</v>
      </c>
      <c r="G210" s="372"/>
      <c r="H210" s="372"/>
      <c r="I210" s="253"/>
      <c r="J210" s="372">
        <f>J193</f>
        <v>2035</v>
      </c>
      <c r="K210" s="372"/>
      <c r="L210" s="372"/>
      <c r="M210" s="236"/>
      <c r="N210" s="236"/>
    </row>
    <row r="211" spans="1:14" x14ac:dyDescent="0.2">
      <c r="A211" s="254"/>
      <c r="B211" s="255" t="s">
        <v>352</v>
      </c>
      <c r="C211" s="255" t="s">
        <v>353</v>
      </c>
      <c r="D211" s="255" t="s">
        <v>32</v>
      </c>
      <c r="E211" s="255"/>
      <c r="F211" s="255" t="s">
        <v>352</v>
      </c>
      <c r="G211" s="255" t="s">
        <v>353</v>
      </c>
      <c r="H211" s="255" t="s">
        <v>32</v>
      </c>
      <c r="I211" s="255"/>
      <c r="J211" s="255" t="s">
        <v>352</v>
      </c>
      <c r="K211" s="255" t="s">
        <v>353</v>
      </c>
      <c r="L211" s="255" t="s">
        <v>32</v>
      </c>
      <c r="M211" s="236"/>
      <c r="N211" s="236"/>
    </row>
    <row r="212" spans="1:14" x14ac:dyDescent="0.2">
      <c r="A212" s="258"/>
      <c r="B212" s="259"/>
      <c r="C212" s="259"/>
      <c r="D212" s="259"/>
      <c r="E212" s="259"/>
      <c r="F212" s="259"/>
      <c r="G212" s="259"/>
      <c r="H212" s="259"/>
      <c r="I212" s="259"/>
      <c r="J212" s="259"/>
      <c r="K212" s="259"/>
      <c r="L212" s="259"/>
      <c r="M212" s="236"/>
      <c r="N212" s="236"/>
    </row>
    <row r="213" spans="1:14" x14ac:dyDescent="0.2">
      <c r="A213" s="237" t="str">
        <f>name!E$4</f>
        <v>Managers, directors and senior officials</v>
      </c>
      <c r="B213" s="302">
        <v>2.3395962410300182E-2</v>
      </c>
      <c r="C213" s="302">
        <v>0.58784932841791571</v>
      </c>
      <c r="D213" s="302">
        <f>SUM(B213:C213)</f>
        <v>0.61124529082821588</v>
      </c>
      <c r="E213" s="303"/>
      <c r="F213" s="302">
        <v>3.5559080849072139E-2</v>
      </c>
      <c r="G213" s="302">
        <v>0.64803128122440667</v>
      </c>
      <c r="H213" s="302">
        <f>SUM(F213:G213)</f>
        <v>0.68359036207347879</v>
      </c>
      <c r="I213" s="303"/>
      <c r="J213" s="302">
        <v>3.6433016884802584E-2</v>
      </c>
      <c r="K213" s="302">
        <v>0.63326854683141731</v>
      </c>
      <c r="L213" s="302">
        <f>SUM(J213:K213)</f>
        <v>0.66970156371621992</v>
      </c>
      <c r="M213" s="236"/>
      <c r="N213" s="236"/>
    </row>
    <row r="214" spans="1:14" x14ac:dyDescent="0.2">
      <c r="A214" s="237" t="str">
        <f>name!E$5</f>
        <v>Professional occupations</v>
      </c>
      <c r="B214" s="302">
        <v>3.300712166523817E-2</v>
      </c>
      <c r="C214" s="302">
        <v>0.65444225546135781</v>
      </c>
      <c r="D214" s="302">
        <f t="shared" ref="D214:D221" si="88">SUM(B214:C214)</f>
        <v>0.68744937712659593</v>
      </c>
      <c r="E214" s="303"/>
      <c r="F214" s="302">
        <v>5.2385948142355074E-2</v>
      </c>
      <c r="G214" s="302">
        <v>0.84853161358186568</v>
      </c>
      <c r="H214" s="302">
        <f t="shared" ref="H214:H221" si="89">SUM(F214:G214)</f>
        <v>0.90091756172422077</v>
      </c>
      <c r="I214" s="303"/>
      <c r="J214" s="302">
        <v>5.6895659220616721E-2</v>
      </c>
      <c r="K214" s="302">
        <v>0.98604546625367406</v>
      </c>
      <c r="L214" s="302">
        <f t="shared" ref="L214:L221" si="90">SUM(J214:K214)</f>
        <v>1.0429411254742909</v>
      </c>
      <c r="M214" s="236"/>
      <c r="N214" s="236"/>
    </row>
    <row r="215" spans="1:14" x14ac:dyDescent="0.2">
      <c r="A215" s="237" t="str">
        <f>name!E$6</f>
        <v>Associate professional occupations</v>
      </c>
      <c r="B215" s="302">
        <v>4.0518544860757844E-2</v>
      </c>
      <c r="C215" s="302">
        <v>0.60631958642585138</v>
      </c>
      <c r="D215" s="302">
        <f t="shared" si="88"/>
        <v>0.64683813128660916</v>
      </c>
      <c r="E215" s="303"/>
      <c r="F215" s="302">
        <v>5.7692147194243863E-2</v>
      </c>
      <c r="G215" s="302">
        <v>0.74601673680201797</v>
      </c>
      <c r="H215" s="302">
        <f t="shared" si="89"/>
        <v>0.80370888399626184</v>
      </c>
      <c r="I215" s="303"/>
      <c r="J215" s="302">
        <v>5.2767510400256915E-2</v>
      </c>
      <c r="K215" s="302">
        <v>0.63629308269014473</v>
      </c>
      <c r="L215" s="302">
        <f t="shared" si="90"/>
        <v>0.68906059309040169</v>
      </c>
      <c r="M215" s="236"/>
      <c r="N215" s="236"/>
    </row>
    <row r="216" spans="1:14" x14ac:dyDescent="0.2">
      <c r="A216" s="237" t="str">
        <f>name!E$7</f>
        <v>Administrative and secretarial occupations</v>
      </c>
      <c r="B216" s="302">
        <v>0.14005090593781402</v>
      </c>
      <c r="C216" s="302">
        <v>0.15799907099111407</v>
      </c>
      <c r="D216" s="302">
        <f t="shared" si="88"/>
        <v>0.2980499769289281</v>
      </c>
      <c r="E216" s="303"/>
      <c r="F216" s="302">
        <v>0.16881717778769786</v>
      </c>
      <c r="G216" s="302">
        <v>8.5444842203025256E-2</v>
      </c>
      <c r="H216" s="302">
        <f t="shared" si="89"/>
        <v>0.25426201999072312</v>
      </c>
      <c r="I216" s="303"/>
      <c r="J216" s="302">
        <v>0.11606709499727735</v>
      </c>
      <c r="K216" s="302">
        <v>8.0737211268294889E-2</v>
      </c>
      <c r="L216" s="302">
        <f t="shared" si="90"/>
        <v>0.19680430626557224</v>
      </c>
      <c r="M216" s="236"/>
      <c r="N216" s="236"/>
    </row>
    <row r="217" spans="1:14" x14ac:dyDescent="0.2">
      <c r="A217" s="237" t="str">
        <f>name!E$8</f>
        <v>Skilled trades occupations</v>
      </c>
      <c r="B217" s="302">
        <v>2.4213141034244379E-2</v>
      </c>
      <c r="C217" s="302">
        <v>1.0508635812273577</v>
      </c>
      <c r="D217" s="302">
        <f t="shared" si="88"/>
        <v>1.075076722261602</v>
      </c>
      <c r="E217" s="303"/>
      <c r="F217" s="302">
        <v>2.5249188826022475E-2</v>
      </c>
      <c r="G217" s="302">
        <v>0.88263444718897666</v>
      </c>
      <c r="H217" s="302">
        <f t="shared" si="89"/>
        <v>0.90788363601499911</v>
      </c>
      <c r="I217" s="303"/>
      <c r="J217" s="302">
        <v>2.7013507188975317E-2</v>
      </c>
      <c r="K217" s="302">
        <v>0.63328056797674392</v>
      </c>
      <c r="L217" s="302">
        <f t="shared" si="90"/>
        <v>0.66029407516571925</v>
      </c>
      <c r="M217" s="236"/>
      <c r="N217" s="236"/>
    </row>
    <row r="218" spans="1:14" x14ac:dyDescent="0.2">
      <c r="A218" s="237" t="str">
        <f>name!E$9</f>
        <v>Caring, leisure and other service occupations</v>
      </c>
      <c r="B218" s="302">
        <v>5.183873865359645E-2</v>
      </c>
      <c r="C218" s="302">
        <v>1.7200713052471884E-2</v>
      </c>
      <c r="D218" s="302">
        <f t="shared" si="88"/>
        <v>6.903945170606833E-2</v>
      </c>
      <c r="E218" s="303"/>
      <c r="F218" s="302">
        <v>5.7844478552788951E-2</v>
      </c>
      <c r="G218" s="302">
        <v>1.9214077532820072E-2</v>
      </c>
      <c r="H218" s="302">
        <f t="shared" si="89"/>
        <v>7.705855608560902E-2</v>
      </c>
      <c r="I218" s="303"/>
      <c r="J218" s="302">
        <v>5.2051135313553688E-2</v>
      </c>
      <c r="K218" s="302">
        <v>2.6993585618068697E-2</v>
      </c>
      <c r="L218" s="302">
        <f t="shared" si="90"/>
        <v>7.9044720931622389E-2</v>
      </c>
      <c r="M218" s="236"/>
      <c r="N218" s="236"/>
    </row>
    <row r="219" spans="1:14" x14ac:dyDescent="0.2">
      <c r="A219" s="237" t="str">
        <f>name!E$10</f>
        <v>Sales and customer service occupations</v>
      </c>
      <c r="B219" s="302">
        <v>3.2456849012288701E-2</v>
      </c>
      <c r="C219" s="302">
        <v>0.1533136049809509</v>
      </c>
      <c r="D219" s="302">
        <f t="shared" si="88"/>
        <v>0.1857704539932396</v>
      </c>
      <c r="E219" s="303"/>
      <c r="F219" s="302">
        <v>3.9076232568858303E-2</v>
      </c>
      <c r="G219" s="302">
        <v>0.11968952752192313</v>
      </c>
      <c r="H219" s="302">
        <f t="shared" si="89"/>
        <v>0.15876576009078144</v>
      </c>
      <c r="I219" s="303"/>
      <c r="J219" s="302">
        <v>3.6762447170867449E-2</v>
      </c>
      <c r="K219" s="302">
        <v>0.12214806992705284</v>
      </c>
      <c r="L219" s="302">
        <f t="shared" si="90"/>
        <v>0.15891051709792028</v>
      </c>
      <c r="M219" s="236"/>
      <c r="N219" s="236"/>
    </row>
    <row r="220" spans="1:14" x14ac:dyDescent="0.2">
      <c r="A220" s="237" t="str">
        <f>name!E$11</f>
        <v>Process, plant and machine operatives</v>
      </c>
      <c r="B220" s="302">
        <v>0.1532021419975253</v>
      </c>
      <c r="C220" s="302">
        <v>3.6078057948373861</v>
      </c>
      <c r="D220" s="302">
        <f t="shared" si="88"/>
        <v>3.7610079368349112</v>
      </c>
      <c r="E220" s="303"/>
      <c r="F220" s="302">
        <v>0.14334129998833761</v>
      </c>
      <c r="G220" s="302">
        <v>3.0372843648246279</v>
      </c>
      <c r="H220" s="302">
        <f t="shared" si="89"/>
        <v>3.1806256648129656</v>
      </c>
      <c r="I220" s="303"/>
      <c r="J220" s="302">
        <v>0.18502873431068373</v>
      </c>
      <c r="K220" s="302">
        <v>3.2211777687812995</v>
      </c>
      <c r="L220" s="302">
        <f t="shared" si="90"/>
        <v>3.4062065030919833</v>
      </c>
      <c r="M220" s="236"/>
      <c r="N220" s="236"/>
    </row>
    <row r="221" spans="1:14" x14ac:dyDescent="0.2">
      <c r="A221" s="237" t="str">
        <f>name!E$12</f>
        <v>Elementary occupations</v>
      </c>
      <c r="B221" s="302">
        <v>0.11531659442911631</v>
      </c>
      <c r="C221" s="302">
        <v>0.39620606463392627</v>
      </c>
      <c r="D221" s="302">
        <f t="shared" si="88"/>
        <v>0.51152265906304262</v>
      </c>
      <c r="E221" s="303"/>
      <c r="F221" s="302">
        <v>8.5034446081837411E-2</v>
      </c>
      <c r="G221" s="302">
        <v>0.3181531091206467</v>
      </c>
      <c r="H221" s="302">
        <f t="shared" si="89"/>
        <v>0.40318755520248412</v>
      </c>
      <c r="I221" s="303"/>
      <c r="J221" s="302">
        <v>6.1980894512532754E-2</v>
      </c>
      <c r="K221" s="302">
        <v>0.16905570059565359</v>
      </c>
      <c r="L221" s="302">
        <f t="shared" si="90"/>
        <v>0.23103659510818633</v>
      </c>
      <c r="M221" s="236"/>
      <c r="N221" s="236"/>
    </row>
    <row r="222" spans="1:14" x14ac:dyDescent="0.2">
      <c r="A222" s="237"/>
      <c r="B222" s="302"/>
      <c r="C222" s="302"/>
      <c r="D222" s="302"/>
      <c r="E222" s="303"/>
      <c r="F222" s="302"/>
      <c r="G222" s="302"/>
      <c r="H222" s="302"/>
      <c r="I222" s="303"/>
      <c r="J222" s="302"/>
      <c r="K222" s="302"/>
      <c r="L222" s="302"/>
      <c r="M222" s="236"/>
      <c r="N222" s="236"/>
    </row>
    <row r="223" spans="1:14" x14ac:dyDescent="0.2">
      <c r="A223" s="244" t="s">
        <v>32</v>
      </c>
      <c r="B223" s="311">
        <f>SUM(B213:B221)</f>
        <v>0.6140000000008814</v>
      </c>
      <c r="C223" s="311">
        <f t="shared" ref="C223:D223" si="91">SUM(C213:C221)</f>
        <v>7.2320000000283322</v>
      </c>
      <c r="D223" s="311">
        <f t="shared" si="91"/>
        <v>7.8460000000292132</v>
      </c>
      <c r="E223" s="311"/>
      <c r="F223" s="311">
        <f t="shared" ref="F223:H223" si="92">SUM(F213:F221)</f>
        <v>0.66499999999121362</v>
      </c>
      <c r="G223" s="311">
        <f t="shared" si="92"/>
        <v>6.70500000000031</v>
      </c>
      <c r="H223" s="311">
        <f t="shared" si="92"/>
        <v>7.3699999999915242</v>
      </c>
      <c r="I223" s="311"/>
      <c r="J223" s="311">
        <f t="shared" ref="J223:L223" si="93">SUM(J213:J221)</f>
        <v>0.62499999999956657</v>
      </c>
      <c r="K223" s="311">
        <f t="shared" si="93"/>
        <v>6.5089999999423496</v>
      </c>
      <c r="L223" s="311">
        <f t="shared" si="93"/>
        <v>7.1339999999419161</v>
      </c>
      <c r="M223" s="236"/>
      <c r="N223" s="236"/>
    </row>
    <row r="224" spans="1:14" x14ac:dyDescent="0.2">
      <c r="A224" s="237"/>
      <c r="B224" s="237"/>
      <c r="C224" s="237"/>
      <c r="D224" s="237"/>
      <c r="E224" s="237"/>
      <c r="F224" s="237"/>
      <c r="G224" s="237"/>
      <c r="H224" s="237"/>
      <c r="I224" s="237"/>
      <c r="J224" s="237"/>
      <c r="K224" s="237"/>
      <c r="L224" s="240"/>
      <c r="M224" s="236"/>
      <c r="N224" s="236"/>
    </row>
    <row r="225" spans="1:14" x14ac:dyDescent="0.2">
      <c r="A225" s="237"/>
      <c r="B225" s="237"/>
      <c r="C225" s="237"/>
      <c r="D225" s="237"/>
      <c r="E225" s="237"/>
      <c r="F225" s="237"/>
      <c r="G225" s="237"/>
      <c r="H225" s="237"/>
      <c r="I225" s="237"/>
      <c r="J225" s="237"/>
      <c r="K225" s="237"/>
      <c r="L225" s="256" t="s">
        <v>35</v>
      </c>
      <c r="M225" s="236"/>
      <c r="N225" s="236"/>
    </row>
    <row r="226" spans="1:14" x14ac:dyDescent="0.2">
      <c r="A226" s="242"/>
      <c r="B226" s="250"/>
      <c r="C226" s="250"/>
      <c r="D226" s="250"/>
      <c r="E226" s="250"/>
      <c r="F226" s="250"/>
      <c r="G226" s="250"/>
      <c r="H226" s="250"/>
      <c r="I226" s="250"/>
      <c r="J226" s="250"/>
      <c r="K226" s="250"/>
      <c r="L226" s="236"/>
      <c r="M226" s="236"/>
      <c r="N226" s="236"/>
    </row>
    <row r="227" spans="1:14" x14ac:dyDescent="0.2">
      <c r="A227" s="241" t="str">
        <f>name!A16</f>
        <v>Other non-metallic</v>
      </c>
      <c r="B227" s="372">
        <f>B$6</f>
        <v>2015</v>
      </c>
      <c r="C227" s="372"/>
      <c r="D227" s="372"/>
      <c r="E227" s="253"/>
      <c r="F227" s="372">
        <f>F210</f>
        <v>2020</v>
      </c>
      <c r="G227" s="372"/>
      <c r="H227" s="372"/>
      <c r="I227" s="253"/>
      <c r="J227" s="372">
        <f>J210</f>
        <v>2035</v>
      </c>
      <c r="K227" s="372"/>
      <c r="L227" s="372"/>
      <c r="M227" s="236"/>
      <c r="N227" s="236"/>
    </row>
    <row r="228" spans="1:14" x14ac:dyDescent="0.2">
      <c r="A228" s="254"/>
      <c r="B228" s="255" t="s">
        <v>352</v>
      </c>
      <c r="C228" s="255" t="s">
        <v>353</v>
      </c>
      <c r="D228" s="255" t="s">
        <v>32</v>
      </c>
      <c r="E228" s="255"/>
      <c r="F228" s="255" t="s">
        <v>352</v>
      </c>
      <c r="G228" s="255" t="s">
        <v>353</v>
      </c>
      <c r="H228" s="255" t="s">
        <v>32</v>
      </c>
      <c r="I228" s="255"/>
      <c r="J228" s="255" t="s">
        <v>352</v>
      </c>
      <c r="K228" s="255" t="s">
        <v>353</v>
      </c>
      <c r="L228" s="255" t="s">
        <v>32</v>
      </c>
      <c r="M228" s="236"/>
      <c r="N228" s="236"/>
    </row>
    <row r="229" spans="1:14" x14ac:dyDescent="0.2">
      <c r="A229" s="258"/>
      <c r="B229" s="259"/>
      <c r="C229" s="259"/>
      <c r="D229" s="259"/>
      <c r="E229" s="259"/>
      <c r="F229" s="259"/>
      <c r="G229" s="259"/>
      <c r="H229" s="259"/>
      <c r="I229" s="259"/>
      <c r="J229" s="259"/>
      <c r="K229" s="259"/>
      <c r="L229" s="259"/>
      <c r="M229" s="236"/>
      <c r="N229" s="236"/>
    </row>
    <row r="230" spans="1:14" x14ac:dyDescent="0.2">
      <c r="A230" s="237" t="str">
        <f>name!E$4</f>
        <v>Managers, directors and senior officials</v>
      </c>
      <c r="B230" s="302">
        <v>5.2451386858156264E-2</v>
      </c>
      <c r="C230" s="302">
        <v>0.29785252236974535</v>
      </c>
      <c r="D230" s="302">
        <f>SUM(B230:C230)</f>
        <v>0.35030390922790161</v>
      </c>
      <c r="E230" s="303"/>
      <c r="F230" s="302">
        <v>0.10068888499136486</v>
      </c>
      <c r="G230" s="302">
        <v>0.50399563965141914</v>
      </c>
      <c r="H230" s="302">
        <f>SUM(F230:G230)</f>
        <v>0.60468452464278399</v>
      </c>
      <c r="I230" s="303"/>
      <c r="J230" s="302">
        <v>0.10127487640110712</v>
      </c>
      <c r="K230" s="302">
        <v>0.50207647844534509</v>
      </c>
      <c r="L230" s="302">
        <f>SUM(J230:K230)</f>
        <v>0.60335135484645219</v>
      </c>
      <c r="M230" s="236"/>
      <c r="N230" s="236"/>
    </row>
    <row r="231" spans="1:14" x14ac:dyDescent="0.2">
      <c r="A231" s="237" t="str">
        <f>name!E$5</f>
        <v>Professional occupations</v>
      </c>
      <c r="B231" s="302">
        <v>6.6187245025894931E-2</v>
      </c>
      <c r="C231" s="302">
        <v>0.1343880192210572</v>
      </c>
      <c r="D231" s="302">
        <f t="shared" ref="D231:D238" si="94">SUM(B231:C231)</f>
        <v>0.20057526424695213</v>
      </c>
      <c r="E231" s="303"/>
      <c r="F231" s="302">
        <v>0.146491377066227</v>
      </c>
      <c r="G231" s="302">
        <v>0.27022662801593211</v>
      </c>
      <c r="H231" s="302">
        <f t="shared" ref="H231:H238" si="95">SUM(F231:G231)</f>
        <v>0.41671800508215912</v>
      </c>
      <c r="I231" s="303"/>
      <c r="J231" s="302">
        <v>0.16174361461207298</v>
      </c>
      <c r="K231" s="302">
        <v>0.32476283331327488</v>
      </c>
      <c r="L231" s="302">
        <f t="shared" ref="L231:L238" si="96">SUM(J231:K231)</f>
        <v>0.48650644792534786</v>
      </c>
      <c r="M231" s="236"/>
      <c r="N231" s="236"/>
    </row>
    <row r="232" spans="1:14" x14ac:dyDescent="0.2">
      <c r="A232" s="237" t="str">
        <f>name!E$6</f>
        <v>Associate professional occupations</v>
      </c>
      <c r="B232" s="302">
        <v>6.658789193231783E-2</v>
      </c>
      <c r="C232" s="302">
        <v>0.16828806837510893</v>
      </c>
      <c r="D232" s="302">
        <f t="shared" si="94"/>
        <v>0.23487596030742675</v>
      </c>
      <c r="E232" s="303"/>
      <c r="F232" s="302">
        <v>0.13277827687065288</v>
      </c>
      <c r="G232" s="302">
        <v>0.29946346565777293</v>
      </c>
      <c r="H232" s="302">
        <f t="shared" si="95"/>
        <v>0.43224174252842584</v>
      </c>
      <c r="I232" s="303"/>
      <c r="J232" s="302">
        <v>0.14053797827186054</v>
      </c>
      <c r="K232" s="302">
        <v>0.30664903322471365</v>
      </c>
      <c r="L232" s="302">
        <f t="shared" si="96"/>
        <v>0.44718701149657419</v>
      </c>
      <c r="M232" s="236"/>
      <c r="N232" s="236"/>
    </row>
    <row r="233" spans="1:14" x14ac:dyDescent="0.2">
      <c r="A233" s="237" t="str">
        <f>name!E$7</f>
        <v>Administrative and secretarial occupations</v>
      </c>
      <c r="B233" s="302">
        <v>0.21784967990977078</v>
      </c>
      <c r="C233" s="302">
        <v>4.5785426314227232E-2</v>
      </c>
      <c r="D233" s="302">
        <f t="shared" si="94"/>
        <v>0.26363510622399799</v>
      </c>
      <c r="E233" s="303"/>
      <c r="F233" s="302">
        <v>0.3567483587112763</v>
      </c>
      <c r="G233" s="302">
        <v>8.5154765458948886E-2</v>
      </c>
      <c r="H233" s="302">
        <f t="shared" si="95"/>
        <v>0.4419031241702252</v>
      </c>
      <c r="I233" s="303"/>
      <c r="J233" s="302">
        <v>0.27424388005029937</v>
      </c>
      <c r="K233" s="302">
        <v>8.7998965167490187E-2</v>
      </c>
      <c r="L233" s="302">
        <f t="shared" si="96"/>
        <v>0.36224284521778954</v>
      </c>
      <c r="M233" s="236"/>
      <c r="N233" s="236"/>
    </row>
    <row r="234" spans="1:14" x14ac:dyDescent="0.2">
      <c r="A234" s="237" t="str">
        <f>name!E$8</f>
        <v>Skilled trades occupations</v>
      </c>
      <c r="B234" s="302">
        <v>3.9268767592028901E-2</v>
      </c>
      <c r="C234" s="302">
        <v>0.48272028894070595</v>
      </c>
      <c r="D234" s="302">
        <f t="shared" si="94"/>
        <v>0.52198905653273486</v>
      </c>
      <c r="E234" s="303"/>
      <c r="F234" s="302">
        <v>5.1638369101868899E-2</v>
      </c>
      <c r="G234" s="302">
        <v>0.54946329925095583</v>
      </c>
      <c r="H234" s="302">
        <f t="shared" si="95"/>
        <v>0.60110166835282475</v>
      </c>
      <c r="I234" s="303"/>
      <c r="J234" s="302">
        <v>5.8990632583774766E-2</v>
      </c>
      <c r="K234" s="302">
        <v>0.41248252469862462</v>
      </c>
      <c r="L234" s="302">
        <f t="shared" si="96"/>
        <v>0.47147315728239936</v>
      </c>
      <c r="M234" s="236"/>
      <c r="N234" s="236"/>
    </row>
    <row r="235" spans="1:14" x14ac:dyDescent="0.2">
      <c r="A235" s="237" t="str">
        <f>name!E$9</f>
        <v>Caring, leisure and other service occupations</v>
      </c>
      <c r="B235" s="302">
        <v>3.088510868027845E-2</v>
      </c>
      <c r="C235" s="302">
        <v>3.7895520639953273E-2</v>
      </c>
      <c r="D235" s="302">
        <f t="shared" si="94"/>
        <v>6.8780629320231726E-2</v>
      </c>
      <c r="E235" s="303"/>
      <c r="F235" s="302">
        <v>4.6388188592023413E-2</v>
      </c>
      <c r="G235" s="302">
        <v>6.8549744810902216E-2</v>
      </c>
      <c r="H235" s="302">
        <f t="shared" si="95"/>
        <v>0.11493793340292563</v>
      </c>
      <c r="I235" s="303"/>
      <c r="J235" s="302">
        <v>3.9830613155029726E-2</v>
      </c>
      <c r="K235" s="302">
        <v>0.10769385364565781</v>
      </c>
      <c r="L235" s="302">
        <f t="shared" si="96"/>
        <v>0.14752446680068754</v>
      </c>
      <c r="M235" s="236"/>
      <c r="N235" s="236"/>
    </row>
    <row r="236" spans="1:14" x14ac:dyDescent="0.2">
      <c r="A236" s="237" t="str">
        <f>name!E$10</f>
        <v>Sales and customer service occupations</v>
      </c>
      <c r="B236" s="302">
        <v>4.2440726922583695E-2</v>
      </c>
      <c r="C236" s="302">
        <v>3.1228824797051979E-2</v>
      </c>
      <c r="D236" s="302">
        <f t="shared" si="94"/>
        <v>7.366955171963567E-2</v>
      </c>
      <c r="E236" s="303"/>
      <c r="F236" s="302">
        <v>6.7435995144914482E-2</v>
      </c>
      <c r="G236" s="302">
        <v>4.7164048339850696E-2</v>
      </c>
      <c r="H236" s="302">
        <f t="shared" si="95"/>
        <v>0.11460004348476518</v>
      </c>
      <c r="I236" s="303"/>
      <c r="J236" s="302">
        <v>6.3477357639944706E-2</v>
      </c>
      <c r="K236" s="302">
        <v>5.7423726704323615E-2</v>
      </c>
      <c r="L236" s="302">
        <f t="shared" si="96"/>
        <v>0.12090108434426833</v>
      </c>
      <c r="M236" s="236"/>
      <c r="N236" s="236"/>
    </row>
    <row r="237" spans="1:14" x14ac:dyDescent="0.2">
      <c r="A237" s="237" t="str">
        <f>name!E$11</f>
        <v>Process, plant and machine operatives</v>
      </c>
      <c r="B237" s="302">
        <v>1.3380808193334894E-2</v>
      </c>
      <c r="C237" s="302">
        <v>0.88724378820317451</v>
      </c>
      <c r="D237" s="302">
        <f t="shared" si="94"/>
        <v>0.90062459639650938</v>
      </c>
      <c r="E237" s="303"/>
      <c r="F237" s="302">
        <v>1.9437027676798578E-2</v>
      </c>
      <c r="G237" s="302">
        <v>1.0904590245764583</v>
      </c>
      <c r="H237" s="302">
        <f t="shared" si="95"/>
        <v>1.1098960522532568</v>
      </c>
      <c r="I237" s="303"/>
      <c r="J237" s="302">
        <v>2.5818682950366625E-2</v>
      </c>
      <c r="K237" s="302">
        <v>1.1614972262532379</v>
      </c>
      <c r="L237" s="302">
        <f t="shared" si="96"/>
        <v>1.1873159092036045</v>
      </c>
      <c r="M237" s="236"/>
      <c r="N237" s="236"/>
    </row>
    <row r="238" spans="1:14" x14ac:dyDescent="0.2">
      <c r="A238" s="237" t="str">
        <f>name!E$12</f>
        <v>Elementary occupations</v>
      </c>
      <c r="B238" s="302">
        <v>2.6948384882695874E-2</v>
      </c>
      <c r="C238" s="302">
        <v>0.3365975411466301</v>
      </c>
      <c r="D238" s="302">
        <f t="shared" si="94"/>
        <v>0.36354592602932595</v>
      </c>
      <c r="E238" s="303"/>
      <c r="F238" s="302">
        <v>5.3393521839795871E-2</v>
      </c>
      <c r="G238" s="302">
        <v>0.4195233842390545</v>
      </c>
      <c r="H238" s="302">
        <f t="shared" si="95"/>
        <v>0.4729169060788504</v>
      </c>
      <c r="I238" s="303"/>
      <c r="J238" s="302">
        <v>4.2082364336196186E-2</v>
      </c>
      <c r="K238" s="302">
        <v>0.27641535851940763</v>
      </c>
      <c r="L238" s="302">
        <f t="shared" si="96"/>
        <v>0.31849772285560379</v>
      </c>
      <c r="M238" s="236"/>
      <c r="N238" s="236"/>
    </row>
    <row r="239" spans="1:14" x14ac:dyDescent="0.2">
      <c r="A239" s="237"/>
      <c r="B239" s="302"/>
      <c r="C239" s="302"/>
      <c r="D239" s="302"/>
      <c r="E239" s="303"/>
      <c r="F239" s="302"/>
      <c r="G239" s="302"/>
      <c r="H239" s="302"/>
      <c r="I239" s="303"/>
      <c r="J239" s="302"/>
      <c r="K239" s="302"/>
      <c r="L239" s="302"/>
      <c r="M239" s="236"/>
      <c r="N239" s="236"/>
    </row>
    <row r="240" spans="1:14" x14ac:dyDescent="0.2">
      <c r="A240" s="244" t="s">
        <v>32</v>
      </c>
      <c r="B240" s="311">
        <f>SUM(B230:B238)</f>
        <v>0.55599999999706162</v>
      </c>
      <c r="C240" s="311">
        <f t="shared" ref="C240:D240" si="97">SUM(C230:C238)</f>
        <v>2.4220000000076545</v>
      </c>
      <c r="D240" s="311">
        <f t="shared" si="97"/>
        <v>2.978000000004716</v>
      </c>
      <c r="E240" s="311"/>
      <c r="F240" s="311">
        <f t="shared" ref="F240:H240" si="98">SUM(F230:F238)</f>
        <v>0.97499999999492226</v>
      </c>
      <c r="G240" s="311">
        <f t="shared" si="98"/>
        <v>3.3340000000012946</v>
      </c>
      <c r="H240" s="311">
        <f t="shared" si="98"/>
        <v>4.3089999999962165</v>
      </c>
      <c r="I240" s="311"/>
      <c r="J240" s="311">
        <f t="shared" ref="J240:L240" si="99">SUM(J230:J238)</f>
        <v>0.90800000000065184</v>
      </c>
      <c r="K240" s="311">
        <f t="shared" si="99"/>
        <v>3.2369999999720753</v>
      </c>
      <c r="L240" s="311">
        <f t="shared" si="99"/>
        <v>4.1449999999727272</v>
      </c>
      <c r="M240" s="236"/>
      <c r="N240" s="236"/>
    </row>
    <row r="241" spans="1:14" x14ac:dyDescent="0.2">
      <c r="A241" s="237"/>
      <c r="B241" s="237"/>
      <c r="C241" s="237"/>
      <c r="D241" s="237"/>
      <c r="E241" s="237"/>
      <c r="F241" s="237"/>
      <c r="G241" s="237"/>
      <c r="H241" s="237"/>
      <c r="I241" s="237"/>
      <c r="J241" s="237"/>
      <c r="K241" s="237"/>
      <c r="L241" s="240"/>
      <c r="M241" s="236"/>
      <c r="N241" s="236"/>
    </row>
    <row r="242" spans="1:14" x14ac:dyDescent="0.2">
      <c r="A242" s="237"/>
      <c r="B242" s="237"/>
      <c r="C242" s="237"/>
      <c r="D242" s="237"/>
      <c r="E242" s="237"/>
      <c r="F242" s="237"/>
      <c r="G242" s="237"/>
      <c r="H242" s="237"/>
      <c r="I242" s="237"/>
      <c r="J242" s="237"/>
      <c r="K242" s="237"/>
      <c r="L242" s="256" t="s">
        <v>35</v>
      </c>
      <c r="M242" s="236"/>
      <c r="N242" s="236"/>
    </row>
    <row r="243" spans="1:14" x14ac:dyDescent="0.2">
      <c r="A243" s="242"/>
      <c r="B243" s="250"/>
      <c r="C243" s="250"/>
      <c r="D243" s="250"/>
      <c r="E243" s="250"/>
      <c r="F243" s="250"/>
      <c r="G243" s="250"/>
      <c r="H243" s="250"/>
      <c r="I243" s="250"/>
      <c r="J243" s="250"/>
      <c r="K243" s="250"/>
      <c r="L243" s="236"/>
      <c r="M243" s="236"/>
      <c r="N243" s="236"/>
    </row>
    <row r="244" spans="1:14" x14ac:dyDescent="0.2">
      <c r="A244" s="241" t="str">
        <f>name!A17</f>
        <v>Basic metals</v>
      </c>
      <c r="B244" s="372">
        <f>B$6</f>
        <v>2015</v>
      </c>
      <c r="C244" s="372"/>
      <c r="D244" s="372"/>
      <c r="E244" s="253"/>
      <c r="F244" s="372">
        <f>F227</f>
        <v>2020</v>
      </c>
      <c r="G244" s="372"/>
      <c r="H244" s="372"/>
      <c r="I244" s="253"/>
      <c r="J244" s="372">
        <f>J227</f>
        <v>2035</v>
      </c>
      <c r="K244" s="372"/>
      <c r="L244" s="372"/>
      <c r="M244" s="236"/>
      <c r="N244" s="236"/>
    </row>
    <row r="245" spans="1:14" x14ac:dyDescent="0.2">
      <c r="A245" s="254"/>
      <c r="B245" s="255" t="s">
        <v>352</v>
      </c>
      <c r="C245" s="255" t="s">
        <v>353</v>
      </c>
      <c r="D245" s="255" t="s">
        <v>32</v>
      </c>
      <c r="E245" s="255"/>
      <c r="F245" s="255" t="s">
        <v>352</v>
      </c>
      <c r="G245" s="255" t="s">
        <v>353</v>
      </c>
      <c r="H245" s="255" t="s">
        <v>32</v>
      </c>
      <c r="I245" s="255"/>
      <c r="J245" s="255" t="s">
        <v>352</v>
      </c>
      <c r="K245" s="255" t="s">
        <v>353</v>
      </c>
      <c r="L245" s="255" t="s">
        <v>32</v>
      </c>
      <c r="M245" s="236"/>
      <c r="N245" s="236"/>
    </row>
    <row r="246" spans="1:14" x14ac:dyDescent="0.2">
      <c r="A246" s="258"/>
      <c r="B246" s="259"/>
      <c r="C246" s="259"/>
      <c r="D246" s="259"/>
      <c r="E246" s="259"/>
      <c r="F246" s="259"/>
      <c r="G246" s="259"/>
      <c r="H246" s="259"/>
      <c r="I246" s="259"/>
      <c r="J246" s="259"/>
      <c r="K246" s="259"/>
      <c r="L246" s="259"/>
      <c r="M246" s="236"/>
      <c r="N246" s="236"/>
    </row>
    <row r="247" spans="1:14" x14ac:dyDescent="0.2">
      <c r="A247" s="237" t="str">
        <f>name!E$4</f>
        <v>Managers, directors and senior officials</v>
      </c>
      <c r="B247" s="302">
        <v>1.2194926268429191E-3</v>
      </c>
      <c r="C247" s="302">
        <v>0.13719522156235461</v>
      </c>
      <c r="D247" s="302">
        <f>SUM(B247:C247)</f>
        <v>0.13841471418919754</v>
      </c>
      <c r="E247" s="303"/>
      <c r="F247" s="302">
        <v>4.2045652729037902E-3</v>
      </c>
      <c r="G247" s="302">
        <v>0.19003465506858255</v>
      </c>
      <c r="H247" s="302">
        <f>SUM(F247:G247)</f>
        <v>0.19423922034148633</v>
      </c>
      <c r="I247" s="303"/>
      <c r="J247" s="302">
        <v>5.0976541047953617E-3</v>
      </c>
      <c r="K247" s="302">
        <v>0.16280703036474817</v>
      </c>
      <c r="L247" s="302">
        <f>SUM(J247:K247)</f>
        <v>0.16790468446954354</v>
      </c>
      <c r="M247" s="236"/>
      <c r="N247" s="236"/>
    </row>
    <row r="248" spans="1:14" x14ac:dyDescent="0.2">
      <c r="A248" s="237" t="str">
        <f>name!E$5</f>
        <v>Professional occupations</v>
      </c>
      <c r="B248" s="302">
        <v>1.1749866752022004E-3</v>
      </c>
      <c r="C248" s="302">
        <v>0.33461371406882062</v>
      </c>
      <c r="D248" s="302">
        <f t="shared" ref="D248:D255" si="100">SUM(B248:C248)</f>
        <v>0.33578870074402284</v>
      </c>
      <c r="E248" s="303"/>
      <c r="F248" s="302">
        <v>3.8147274900081083E-3</v>
      </c>
      <c r="G248" s="302">
        <v>0.50991296276996123</v>
      </c>
      <c r="H248" s="302">
        <f t="shared" ref="H248:H255" si="101">SUM(F248:G248)</f>
        <v>0.51372769025996934</v>
      </c>
      <c r="I248" s="303"/>
      <c r="J248" s="302">
        <v>4.4823162295768099E-3</v>
      </c>
      <c r="K248" s="302">
        <v>0.53077380002583074</v>
      </c>
      <c r="L248" s="302">
        <f t="shared" ref="L248:L255" si="102">SUM(J248:K248)</f>
        <v>0.53525611625540759</v>
      </c>
      <c r="M248" s="236"/>
      <c r="N248" s="236"/>
    </row>
    <row r="249" spans="1:14" x14ac:dyDescent="0.2">
      <c r="A249" s="237" t="str">
        <f>name!E$6</f>
        <v>Associate professional occupations</v>
      </c>
      <c r="B249" s="302">
        <v>1.7344049980262525E-3</v>
      </c>
      <c r="C249" s="302">
        <v>0.27860864795759299</v>
      </c>
      <c r="D249" s="302">
        <f t="shared" si="100"/>
        <v>0.28034305295561923</v>
      </c>
      <c r="E249" s="303"/>
      <c r="F249" s="302">
        <v>5.9669418922531844E-3</v>
      </c>
      <c r="G249" s="302">
        <v>0.41707335536039103</v>
      </c>
      <c r="H249" s="302">
        <f t="shared" si="101"/>
        <v>0.42304029725264419</v>
      </c>
      <c r="I249" s="303"/>
      <c r="J249" s="302">
        <v>6.6710231406808158E-3</v>
      </c>
      <c r="K249" s="302">
        <v>0.3312476840571329</v>
      </c>
      <c r="L249" s="302">
        <f t="shared" si="102"/>
        <v>0.33791870719781369</v>
      </c>
      <c r="M249" s="236"/>
      <c r="N249" s="236"/>
    </row>
    <row r="250" spans="1:14" x14ac:dyDescent="0.2">
      <c r="A250" s="237" t="str">
        <f>name!E$7</f>
        <v>Administrative and secretarial occupations</v>
      </c>
      <c r="B250" s="302">
        <v>3.1316115266910314E-3</v>
      </c>
      <c r="C250" s="302">
        <v>0.13310708323156822</v>
      </c>
      <c r="D250" s="302">
        <f t="shared" si="100"/>
        <v>0.13623869475825925</v>
      </c>
      <c r="E250" s="303"/>
      <c r="F250" s="302">
        <v>1.2414378442436142E-2</v>
      </c>
      <c r="G250" s="302">
        <v>0.18786969170234094</v>
      </c>
      <c r="H250" s="302">
        <f t="shared" si="101"/>
        <v>0.20028407014477709</v>
      </c>
      <c r="I250" s="303"/>
      <c r="J250" s="302">
        <v>9.1560672671277248E-3</v>
      </c>
      <c r="K250" s="302">
        <v>0.16966484277478844</v>
      </c>
      <c r="L250" s="302">
        <f t="shared" si="102"/>
        <v>0.17882091004191616</v>
      </c>
      <c r="M250" s="236"/>
      <c r="N250" s="236"/>
    </row>
    <row r="251" spans="1:14" x14ac:dyDescent="0.2">
      <c r="A251" s="237" t="str">
        <f>name!E$8</f>
        <v>Skilled trades occupations</v>
      </c>
      <c r="B251" s="302">
        <v>3.4389751583319595E-4</v>
      </c>
      <c r="C251" s="302">
        <v>0.49941507120171341</v>
      </c>
      <c r="D251" s="302">
        <f t="shared" si="100"/>
        <v>0.4997589687175466</v>
      </c>
      <c r="E251" s="303"/>
      <c r="F251" s="302">
        <v>1.6228685920643934E-3</v>
      </c>
      <c r="G251" s="302">
        <v>0.50806734021656874</v>
      </c>
      <c r="H251" s="302">
        <f t="shared" si="101"/>
        <v>0.50969020880863314</v>
      </c>
      <c r="I251" s="303"/>
      <c r="J251" s="302">
        <v>1.521421089455368E-3</v>
      </c>
      <c r="K251" s="302">
        <v>0.3120060504077391</v>
      </c>
      <c r="L251" s="302">
        <f t="shared" si="102"/>
        <v>0.31352747149719445</v>
      </c>
      <c r="M251" s="236"/>
      <c r="N251" s="236"/>
    </row>
    <row r="252" spans="1:14" x14ac:dyDescent="0.2">
      <c r="A252" s="237" t="str">
        <f>name!E$9</f>
        <v>Caring, leisure and other service occupations</v>
      </c>
      <c r="B252" s="302">
        <v>6.164785988489122E-3</v>
      </c>
      <c r="C252" s="302">
        <v>3.1982811904026354E-2</v>
      </c>
      <c r="D252" s="302">
        <f t="shared" si="100"/>
        <v>3.8147597892515477E-2</v>
      </c>
      <c r="E252" s="303"/>
      <c r="F252" s="302">
        <v>2.1960899795471583E-2</v>
      </c>
      <c r="G252" s="302">
        <v>4.3255014753234629E-2</v>
      </c>
      <c r="H252" s="302">
        <f t="shared" si="101"/>
        <v>6.5215914548706205E-2</v>
      </c>
      <c r="I252" s="303"/>
      <c r="J252" s="302">
        <v>2.1438338998405925E-2</v>
      </c>
      <c r="K252" s="302">
        <v>4.6132390545339394E-2</v>
      </c>
      <c r="L252" s="302">
        <f t="shared" si="102"/>
        <v>6.7570729543745323E-2</v>
      </c>
      <c r="M252" s="236"/>
      <c r="N252" s="236"/>
    </row>
    <row r="253" spans="1:14" x14ac:dyDescent="0.2">
      <c r="A253" s="237" t="str">
        <f>name!E$10</f>
        <v>Sales and customer service occupations</v>
      </c>
      <c r="B253" s="302">
        <v>3.4251779012478794E-4</v>
      </c>
      <c r="C253" s="302">
        <v>2.273648802981754E-2</v>
      </c>
      <c r="D253" s="302">
        <f t="shared" si="100"/>
        <v>2.3079005819942329E-2</v>
      </c>
      <c r="E253" s="303"/>
      <c r="F253" s="302">
        <v>1.6209304290161631E-3</v>
      </c>
      <c r="G253" s="302">
        <v>2.8516483401643974E-2</v>
      </c>
      <c r="H253" s="302">
        <f t="shared" si="101"/>
        <v>3.0137413830660136E-2</v>
      </c>
      <c r="I253" s="303"/>
      <c r="J253" s="302">
        <v>2.0735222786375696E-3</v>
      </c>
      <c r="K253" s="302">
        <v>3.2746825410688393E-2</v>
      </c>
      <c r="L253" s="302">
        <f t="shared" si="102"/>
        <v>3.4820347689325966E-2</v>
      </c>
      <c r="M253" s="236"/>
      <c r="N253" s="236"/>
    </row>
    <row r="254" spans="1:14" x14ac:dyDescent="0.2">
      <c r="A254" s="237" t="str">
        <f>name!E$11</f>
        <v>Process, plant and machine operatives</v>
      </c>
      <c r="B254" s="302">
        <v>9.0559737664832208E-4</v>
      </c>
      <c r="C254" s="302">
        <v>0.59537656391639482</v>
      </c>
      <c r="D254" s="302">
        <f t="shared" si="100"/>
        <v>0.59628216129304312</v>
      </c>
      <c r="E254" s="303"/>
      <c r="F254" s="302">
        <v>2.691486901688603E-3</v>
      </c>
      <c r="G254" s="302">
        <v>0.60056360777749551</v>
      </c>
      <c r="H254" s="302">
        <f t="shared" si="101"/>
        <v>0.60325509467918415</v>
      </c>
      <c r="I254" s="303"/>
      <c r="J254" s="302">
        <v>4.5138924057442388E-3</v>
      </c>
      <c r="K254" s="302">
        <v>0.59131311135753051</v>
      </c>
      <c r="L254" s="302">
        <f t="shared" si="102"/>
        <v>0.5958270037632748</v>
      </c>
      <c r="M254" s="236"/>
      <c r="N254" s="236"/>
    </row>
    <row r="255" spans="1:14" x14ac:dyDescent="0.2">
      <c r="A255" s="237" t="str">
        <f>name!E$12</f>
        <v>Elementary occupations</v>
      </c>
      <c r="B255" s="302">
        <v>2.9827055021796234E-3</v>
      </c>
      <c r="C255" s="302">
        <v>0.12396439812943599</v>
      </c>
      <c r="D255" s="302">
        <f t="shared" si="100"/>
        <v>0.12694710363161563</v>
      </c>
      <c r="E255" s="303"/>
      <c r="F255" s="302">
        <v>1.7703201183817355E-2</v>
      </c>
      <c r="G255" s="302">
        <v>0.13470688894873512</v>
      </c>
      <c r="H255" s="302">
        <f t="shared" si="101"/>
        <v>0.15241009013255247</v>
      </c>
      <c r="I255" s="303"/>
      <c r="J255" s="302">
        <v>1.204576448591531E-2</v>
      </c>
      <c r="K255" s="302">
        <v>9.1308265044315481E-2</v>
      </c>
      <c r="L255" s="302">
        <f t="shared" si="102"/>
        <v>0.10335402953023079</v>
      </c>
      <c r="M255" s="236"/>
      <c r="N255" s="236"/>
    </row>
    <row r="256" spans="1:14" x14ac:dyDescent="0.2">
      <c r="A256" s="237"/>
      <c r="B256" s="302"/>
      <c r="C256" s="302"/>
      <c r="D256" s="302"/>
      <c r="E256" s="303"/>
      <c r="F256" s="302"/>
      <c r="G256" s="302"/>
      <c r="H256" s="302"/>
      <c r="I256" s="303"/>
      <c r="J256" s="302"/>
      <c r="K256" s="302"/>
      <c r="L256" s="302"/>
      <c r="M256" s="236"/>
      <c r="N256" s="236"/>
    </row>
    <row r="257" spans="1:14" x14ac:dyDescent="0.2">
      <c r="A257" s="244" t="s">
        <v>32</v>
      </c>
      <c r="B257" s="311">
        <f>SUM(B247:B255)</f>
        <v>1.8000000000037455E-2</v>
      </c>
      <c r="C257" s="311">
        <f t="shared" ref="C257:D257" si="103">SUM(C247:C255)</f>
        <v>2.1570000000017249</v>
      </c>
      <c r="D257" s="311">
        <f t="shared" si="103"/>
        <v>2.175000000001762</v>
      </c>
      <c r="E257" s="311"/>
      <c r="F257" s="311">
        <f t="shared" ref="F257:H257" si="104">SUM(F247:F255)</f>
        <v>7.1999999999659323E-2</v>
      </c>
      <c r="G257" s="311">
        <f t="shared" si="104"/>
        <v>2.6199999999989538</v>
      </c>
      <c r="H257" s="311">
        <f t="shared" si="104"/>
        <v>2.6919999999986128</v>
      </c>
      <c r="I257" s="311"/>
      <c r="J257" s="311">
        <f t="shared" ref="J257:L257" si="105">SUM(J247:J255)</f>
        <v>6.7000000000339135E-2</v>
      </c>
      <c r="K257" s="311">
        <f t="shared" si="105"/>
        <v>2.2679999999881133</v>
      </c>
      <c r="L257" s="311">
        <f t="shared" si="105"/>
        <v>2.3349999999884523</v>
      </c>
      <c r="M257" s="236"/>
      <c r="N257" s="236"/>
    </row>
    <row r="258" spans="1:14" x14ac:dyDescent="0.2">
      <c r="A258" s="237"/>
      <c r="B258" s="237"/>
      <c r="C258" s="237"/>
      <c r="D258" s="237"/>
      <c r="E258" s="237"/>
      <c r="F258" s="237"/>
      <c r="G258" s="237"/>
      <c r="H258" s="237"/>
      <c r="I258" s="237"/>
      <c r="J258" s="237"/>
      <c r="K258" s="237"/>
      <c r="L258" s="240"/>
      <c r="M258" s="236"/>
      <c r="N258" s="236"/>
    </row>
    <row r="259" spans="1:14" x14ac:dyDescent="0.2">
      <c r="A259" s="237"/>
      <c r="B259" s="237"/>
      <c r="C259" s="237"/>
      <c r="D259" s="237"/>
      <c r="E259" s="237"/>
      <c r="F259" s="237"/>
      <c r="G259" s="237"/>
      <c r="H259" s="237"/>
      <c r="I259" s="237"/>
      <c r="J259" s="237"/>
      <c r="K259" s="237"/>
      <c r="L259" s="256" t="s">
        <v>35</v>
      </c>
      <c r="M259" s="236"/>
      <c r="N259" s="236"/>
    </row>
    <row r="260" spans="1:14" x14ac:dyDescent="0.2">
      <c r="A260" s="242"/>
      <c r="B260" s="250"/>
      <c r="C260" s="250"/>
      <c r="D260" s="250"/>
      <c r="E260" s="250"/>
      <c r="F260" s="250"/>
      <c r="G260" s="250"/>
      <c r="H260" s="250"/>
      <c r="I260" s="250"/>
      <c r="J260" s="250"/>
      <c r="K260" s="250"/>
      <c r="L260" s="236"/>
      <c r="M260" s="236"/>
      <c r="N260" s="236"/>
    </row>
    <row r="261" spans="1:14" x14ac:dyDescent="0.2">
      <c r="A261" s="241" t="str">
        <f>name!A18</f>
        <v>Metal products</v>
      </c>
      <c r="B261" s="372">
        <f>B$6</f>
        <v>2015</v>
      </c>
      <c r="C261" s="372"/>
      <c r="D261" s="372"/>
      <c r="E261" s="253"/>
      <c r="F261" s="372">
        <f>F244</f>
        <v>2020</v>
      </c>
      <c r="G261" s="372"/>
      <c r="H261" s="372"/>
      <c r="I261" s="253"/>
      <c r="J261" s="372">
        <f>J244</f>
        <v>2035</v>
      </c>
      <c r="K261" s="372"/>
      <c r="L261" s="372"/>
      <c r="M261" s="236"/>
      <c r="N261" s="236"/>
    </row>
    <row r="262" spans="1:14" x14ac:dyDescent="0.2">
      <c r="A262" s="254"/>
      <c r="B262" s="255" t="s">
        <v>352</v>
      </c>
      <c r="C262" s="255" t="s">
        <v>353</v>
      </c>
      <c r="D262" s="255" t="s">
        <v>32</v>
      </c>
      <c r="E262" s="255"/>
      <c r="F262" s="255" t="s">
        <v>352</v>
      </c>
      <c r="G262" s="255" t="s">
        <v>353</v>
      </c>
      <c r="H262" s="255" t="s">
        <v>32</v>
      </c>
      <c r="I262" s="255"/>
      <c r="J262" s="255" t="s">
        <v>352</v>
      </c>
      <c r="K262" s="255" t="s">
        <v>353</v>
      </c>
      <c r="L262" s="255" t="s">
        <v>32</v>
      </c>
      <c r="M262" s="236"/>
      <c r="N262" s="236"/>
    </row>
    <row r="263" spans="1:14" x14ac:dyDescent="0.2">
      <c r="A263" s="258"/>
      <c r="B263" s="259"/>
      <c r="C263" s="259"/>
      <c r="D263" s="259"/>
      <c r="E263" s="259"/>
      <c r="F263" s="259"/>
      <c r="G263" s="259"/>
      <c r="H263" s="259"/>
      <c r="I263" s="259"/>
      <c r="J263" s="259"/>
      <c r="K263" s="259"/>
      <c r="L263" s="259"/>
      <c r="M263" s="236"/>
      <c r="N263" s="236"/>
    </row>
    <row r="264" spans="1:14" x14ac:dyDescent="0.2">
      <c r="A264" s="237" t="str">
        <f>name!E$4</f>
        <v>Managers, directors and senior officials</v>
      </c>
      <c r="B264" s="302">
        <v>7.638845923993616E-2</v>
      </c>
      <c r="C264" s="302">
        <v>0.92161653622621931</v>
      </c>
      <c r="D264" s="302">
        <f>SUM(B264:C264)</f>
        <v>0.99800499546615551</v>
      </c>
      <c r="E264" s="303"/>
      <c r="F264" s="302">
        <v>0.11367433995583814</v>
      </c>
      <c r="G264" s="302">
        <v>0.90689134905822211</v>
      </c>
      <c r="H264" s="302">
        <f>SUM(F264:G264)</f>
        <v>1.0205656890140602</v>
      </c>
      <c r="I264" s="303"/>
      <c r="J264" s="302">
        <v>0.11594054197493177</v>
      </c>
      <c r="K264" s="302">
        <v>0.82601227805344224</v>
      </c>
      <c r="L264" s="302">
        <f>SUM(J264:K264)</f>
        <v>0.94195282002837399</v>
      </c>
      <c r="M264" s="236"/>
      <c r="N264" s="236"/>
    </row>
    <row r="265" spans="1:14" x14ac:dyDescent="0.2">
      <c r="A265" s="237" t="str">
        <f>name!E$5</f>
        <v>Professional occupations</v>
      </c>
      <c r="B265" s="302">
        <v>0.10644795575349798</v>
      </c>
      <c r="C265" s="302">
        <v>1.6881665918444315</v>
      </c>
      <c r="D265" s="302">
        <f t="shared" ref="D265:D272" si="106">SUM(B265:C265)</f>
        <v>1.7946145475979296</v>
      </c>
      <c r="E265" s="303"/>
      <c r="F265" s="302">
        <v>0.16525398545188136</v>
      </c>
      <c r="G265" s="302">
        <v>1.8810626777579742</v>
      </c>
      <c r="H265" s="302">
        <f t="shared" ref="H265:H272" si="107">SUM(F265:G265)</f>
        <v>2.0463166632098555</v>
      </c>
      <c r="I265" s="303"/>
      <c r="J265" s="302">
        <v>0.18939116054230831</v>
      </c>
      <c r="K265" s="302">
        <v>2.0175476634199856</v>
      </c>
      <c r="L265" s="302">
        <f t="shared" ref="L265:L272" si="108">SUM(J265:K265)</f>
        <v>2.206938823962294</v>
      </c>
      <c r="M265" s="236"/>
      <c r="N265" s="236"/>
    </row>
    <row r="266" spans="1:14" x14ac:dyDescent="0.2">
      <c r="A266" s="237" t="str">
        <f>name!E$6</f>
        <v>Associate professional occupations</v>
      </c>
      <c r="B266" s="302">
        <v>0.1213164786321887</v>
      </c>
      <c r="C266" s="302">
        <v>1.6674728442576192</v>
      </c>
      <c r="D266" s="302">
        <f t="shared" si="106"/>
        <v>1.788789322889808</v>
      </c>
      <c r="E266" s="303"/>
      <c r="F266" s="302">
        <v>0.15777982558824932</v>
      </c>
      <c r="G266" s="302">
        <v>1.8179421556076796</v>
      </c>
      <c r="H266" s="302">
        <f t="shared" si="107"/>
        <v>1.975721981195929</v>
      </c>
      <c r="I266" s="303"/>
      <c r="J266" s="302">
        <v>0.14087539303291272</v>
      </c>
      <c r="K266" s="302">
        <v>1.5361296957081647</v>
      </c>
      <c r="L266" s="302">
        <f t="shared" si="108"/>
        <v>1.6770050887410775</v>
      </c>
      <c r="M266" s="236"/>
      <c r="N266" s="236"/>
    </row>
    <row r="267" spans="1:14" x14ac:dyDescent="0.2">
      <c r="A267" s="237" t="str">
        <f>name!E$7</f>
        <v>Administrative and secretarial occupations</v>
      </c>
      <c r="B267" s="302">
        <v>0.61483418314076044</v>
      </c>
      <c r="C267" s="302">
        <v>0.21056614422801759</v>
      </c>
      <c r="D267" s="302">
        <f t="shared" si="106"/>
        <v>0.825400327368778</v>
      </c>
      <c r="E267" s="303"/>
      <c r="F267" s="302">
        <v>0.66571694348782429</v>
      </c>
      <c r="G267" s="302">
        <v>0.21638344348308622</v>
      </c>
      <c r="H267" s="302">
        <f t="shared" si="107"/>
        <v>0.88210038697091053</v>
      </c>
      <c r="I267" s="303"/>
      <c r="J267" s="302">
        <v>0.48315713509727692</v>
      </c>
      <c r="K267" s="302">
        <v>0.18899175272307225</v>
      </c>
      <c r="L267" s="302">
        <f t="shared" si="108"/>
        <v>0.67214888782034921</v>
      </c>
      <c r="M267" s="236"/>
      <c r="N267" s="236"/>
    </row>
    <row r="268" spans="1:14" x14ac:dyDescent="0.2">
      <c r="A268" s="237" t="str">
        <f>name!E$8</f>
        <v>Skilled trades occupations</v>
      </c>
      <c r="B268" s="302">
        <v>4.2630268576604416E-2</v>
      </c>
      <c r="C268" s="302">
        <v>7.4330846174722529</v>
      </c>
      <c r="D268" s="302">
        <f t="shared" si="106"/>
        <v>7.4757148860488574</v>
      </c>
      <c r="E268" s="303"/>
      <c r="F268" s="302">
        <v>5.7639293840654117E-2</v>
      </c>
      <c r="G268" s="302">
        <v>5.4915489006412503</v>
      </c>
      <c r="H268" s="302">
        <f t="shared" si="107"/>
        <v>5.5491881944819044</v>
      </c>
      <c r="I268" s="303"/>
      <c r="J268" s="302">
        <v>9.2783946695471714E-2</v>
      </c>
      <c r="K268" s="302">
        <v>4.1933762075402408</v>
      </c>
      <c r="L268" s="302">
        <f t="shared" si="108"/>
        <v>4.2861601542357128</v>
      </c>
      <c r="M268" s="236"/>
      <c r="N268" s="236"/>
    </row>
    <row r="269" spans="1:14" x14ac:dyDescent="0.2">
      <c r="A269" s="237" t="str">
        <f>name!E$9</f>
        <v>Caring, leisure and other service occupations</v>
      </c>
      <c r="B269" s="302">
        <v>1.2790201511476286E-2</v>
      </c>
      <c r="C269" s="302">
        <v>0.12618193330921385</v>
      </c>
      <c r="D269" s="302">
        <f t="shared" si="106"/>
        <v>0.13897213482069012</v>
      </c>
      <c r="E269" s="303"/>
      <c r="F269" s="302">
        <v>1.3289072149930416E-2</v>
      </c>
      <c r="G269" s="302">
        <v>0.12703380343793261</v>
      </c>
      <c r="H269" s="302">
        <f t="shared" si="107"/>
        <v>0.14032287558786302</v>
      </c>
      <c r="I269" s="303"/>
      <c r="J269" s="302">
        <v>1.2633463702041211E-2</v>
      </c>
      <c r="K269" s="302">
        <v>0.16724685619960986</v>
      </c>
      <c r="L269" s="302">
        <f t="shared" si="108"/>
        <v>0.17988031990165107</v>
      </c>
      <c r="M269" s="236"/>
      <c r="N269" s="236"/>
    </row>
    <row r="270" spans="1:14" x14ac:dyDescent="0.2">
      <c r="A270" s="237" t="str">
        <f>name!E$10</f>
        <v>Sales and customer service occupations</v>
      </c>
      <c r="B270" s="302">
        <v>7.4079921416549496E-2</v>
      </c>
      <c r="C270" s="302">
        <v>7.6162859299813979E-2</v>
      </c>
      <c r="D270" s="302">
        <f t="shared" si="106"/>
        <v>0.15024278071636349</v>
      </c>
      <c r="E270" s="303"/>
      <c r="F270" s="302">
        <v>7.8980079056474375E-2</v>
      </c>
      <c r="G270" s="302">
        <v>6.5468774682826469E-2</v>
      </c>
      <c r="H270" s="302">
        <f t="shared" si="107"/>
        <v>0.14444885373930083</v>
      </c>
      <c r="I270" s="303"/>
      <c r="J270" s="302">
        <v>7.3446602070070338E-2</v>
      </c>
      <c r="K270" s="302">
        <v>6.8403684503277107E-2</v>
      </c>
      <c r="L270" s="302">
        <f t="shared" si="108"/>
        <v>0.14185028657334744</v>
      </c>
      <c r="M270" s="236"/>
      <c r="N270" s="236"/>
    </row>
    <row r="271" spans="1:14" x14ac:dyDescent="0.2">
      <c r="A271" s="237" t="str">
        <f>name!E$11</f>
        <v>Process, plant and machine operatives</v>
      </c>
      <c r="B271" s="302">
        <v>0.35562030873298034</v>
      </c>
      <c r="C271" s="302">
        <v>2.0400093165804498</v>
      </c>
      <c r="D271" s="302">
        <f t="shared" si="106"/>
        <v>2.3956296253134299</v>
      </c>
      <c r="E271" s="303"/>
      <c r="F271" s="302">
        <v>0.3078004318008612</v>
      </c>
      <c r="G271" s="302">
        <v>1.4301861027471046</v>
      </c>
      <c r="H271" s="302">
        <f t="shared" si="107"/>
        <v>1.7379865345479657</v>
      </c>
      <c r="I271" s="303"/>
      <c r="J271" s="302">
        <v>0.41450323113428883</v>
      </c>
      <c r="K271" s="302">
        <v>1.432203897407599</v>
      </c>
      <c r="L271" s="302">
        <f t="shared" si="108"/>
        <v>1.8467071285418879</v>
      </c>
      <c r="M271" s="236"/>
      <c r="N271" s="236"/>
    </row>
    <row r="272" spans="1:14" x14ac:dyDescent="0.2">
      <c r="A272" s="237" t="str">
        <f>name!E$12</f>
        <v>Elementary occupations</v>
      </c>
      <c r="B272" s="302">
        <v>8.8892222991337339E-2</v>
      </c>
      <c r="C272" s="302">
        <v>0.29073915679667051</v>
      </c>
      <c r="D272" s="302">
        <f t="shared" si="106"/>
        <v>0.37963137978800787</v>
      </c>
      <c r="E272" s="303"/>
      <c r="F272" s="302">
        <v>7.7866028649843211E-2</v>
      </c>
      <c r="G272" s="302">
        <v>0.20348279257612256</v>
      </c>
      <c r="H272" s="302">
        <f t="shared" si="107"/>
        <v>0.28134882122596577</v>
      </c>
      <c r="I272" s="303"/>
      <c r="J272" s="302">
        <v>4.5268525747602435E-2</v>
      </c>
      <c r="K272" s="302">
        <v>7.908796437484078E-2</v>
      </c>
      <c r="L272" s="302">
        <f t="shared" si="108"/>
        <v>0.12435649012244321</v>
      </c>
      <c r="M272" s="236"/>
      <c r="N272" s="236"/>
    </row>
    <row r="273" spans="1:14" x14ac:dyDescent="0.2">
      <c r="A273" s="237"/>
      <c r="B273" s="302"/>
      <c r="C273" s="302"/>
      <c r="D273" s="302"/>
      <c r="E273" s="303"/>
      <c r="F273" s="302"/>
      <c r="G273" s="302"/>
      <c r="H273" s="302"/>
      <c r="I273" s="303"/>
      <c r="J273" s="302"/>
      <c r="K273" s="302"/>
      <c r="L273" s="302"/>
      <c r="M273" s="236"/>
      <c r="N273" s="236"/>
    </row>
    <row r="274" spans="1:14" x14ac:dyDescent="0.2">
      <c r="A274" s="244" t="s">
        <v>32</v>
      </c>
      <c r="B274" s="311">
        <f>SUM(B264:B272)</f>
        <v>1.4929999999953312</v>
      </c>
      <c r="C274" s="311">
        <f t="shared" ref="C274:D274" si="109">SUM(C264:C272)</f>
        <v>14.454000000014689</v>
      </c>
      <c r="D274" s="311">
        <f t="shared" si="109"/>
        <v>15.94700000001002</v>
      </c>
      <c r="E274" s="311"/>
      <c r="F274" s="311">
        <f t="shared" ref="F274:H274" si="110">SUM(F264:F272)</f>
        <v>1.637999999981556</v>
      </c>
      <c r="G274" s="311">
        <f t="shared" si="110"/>
        <v>12.139999999992201</v>
      </c>
      <c r="H274" s="311">
        <f t="shared" si="110"/>
        <v>13.777999999973755</v>
      </c>
      <c r="I274" s="311"/>
      <c r="J274" s="311">
        <f t="shared" ref="J274:L274" si="111">SUM(J264:J272)</f>
        <v>1.5679999999969041</v>
      </c>
      <c r="K274" s="311">
        <f t="shared" si="111"/>
        <v>10.50899999993023</v>
      </c>
      <c r="L274" s="311">
        <f t="shared" si="111"/>
        <v>12.076999999927137</v>
      </c>
      <c r="M274" s="236"/>
      <c r="N274" s="236"/>
    </row>
    <row r="275" spans="1:14" x14ac:dyDescent="0.2">
      <c r="A275" s="237"/>
      <c r="B275" s="237"/>
      <c r="C275" s="237"/>
      <c r="D275" s="237"/>
      <c r="E275" s="237"/>
      <c r="F275" s="237"/>
      <c r="G275" s="237"/>
      <c r="H275" s="237"/>
      <c r="I275" s="237"/>
      <c r="J275" s="237"/>
      <c r="K275" s="237"/>
      <c r="L275" s="240"/>
      <c r="M275" s="236"/>
      <c r="N275" s="236"/>
    </row>
    <row r="276" spans="1:14" x14ac:dyDescent="0.2">
      <c r="A276" s="237"/>
      <c r="B276" s="237"/>
      <c r="C276" s="237"/>
      <c r="D276" s="237"/>
      <c r="E276" s="237"/>
      <c r="F276" s="237"/>
      <c r="G276" s="237"/>
      <c r="H276" s="237"/>
      <c r="I276" s="237"/>
      <c r="J276" s="237"/>
      <c r="K276" s="237"/>
      <c r="L276" s="256" t="s">
        <v>35</v>
      </c>
      <c r="M276" s="236"/>
      <c r="N276" s="236"/>
    </row>
    <row r="277" spans="1:14" x14ac:dyDescent="0.2">
      <c r="A277" s="242"/>
      <c r="B277" s="250"/>
      <c r="C277" s="250"/>
      <c r="D277" s="250"/>
      <c r="E277" s="250"/>
      <c r="F277" s="250"/>
      <c r="G277" s="250"/>
      <c r="H277" s="250"/>
      <c r="I277" s="250"/>
      <c r="J277" s="250"/>
      <c r="K277" s="250"/>
      <c r="L277" s="236"/>
      <c r="M277" s="236"/>
      <c r="N277" s="236"/>
    </row>
    <row r="278" spans="1:14" x14ac:dyDescent="0.2">
      <c r="A278" s="241" t="str">
        <f>name!A19</f>
        <v>Computer, etc</v>
      </c>
      <c r="B278" s="372">
        <f>B$6</f>
        <v>2015</v>
      </c>
      <c r="C278" s="372"/>
      <c r="D278" s="372"/>
      <c r="E278" s="253"/>
      <c r="F278" s="372">
        <f>F261</f>
        <v>2020</v>
      </c>
      <c r="G278" s="372"/>
      <c r="H278" s="372"/>
      <c r="I278" s="253"/>
      <c r="J278" s="372">
        <f>J261</f>
        <v>2035</v>
      </c>
      <c r="K278" s="372"/>
      <c r="L278" s="372"/>
      <c r="M278" s="236"/>
      <c r="N278" s="236"/>
    </row>
    <row r="279" spans="1:14" x14ac:dyDescent="0.2">
      <c r="A279" s="254"/>
      <c r="B279" s="255" t="s">
        <v>352</v>
      </c>
      <c r="C279" s="255" t="s">
        <v>353</v>
      </c>
      <c r="D279" s="255" t="s">
        <v>32</v>
      </c>
      <c r="E279" s="255"/>
      <c r="F279" s="255" t="s">
        <v>352</v>
      </c>
      <c r="G279" s="255" t="s">
        <v>353</v>
      </c>
      <c r="H279" s="255" t="s">
        <v>32</v>
      </c>
      <c r="I279" s="255"/>
      <c r="J279" s="255" t="s">
        <v>352</v>
      </c>
      <c r="K279" s="255" t="s">
        <v>353</v>
      </c>
      <c r="L279" s="255" t="s">
        <v>32</v>
      </c>
      <c r="M279" s="236"/>
      <c r="N279" s="236"/>
    </row>
    <row r="280" spans="1:14" x14ac:dyDescent="0.2">
      <c r="A280" s="258"/>
      <c r="B280" s="259"/>
      <c r="C280" s="259"/>
      <c r="D280" s="259"/>
      <c r="E280" s="259"/>
      <c r="F280" s="259"/>
      <c r="G280" s="259"/>
      <c r="H280" s="259"/>
      <c r="I280" s="259"/>
      <c r="J280" s="259"/>
      <c r="K280" s="259"/>
      <c r="L280" s="259"/>
      <c r="M280" s="236"/>
      <c r="N280" s="236"/>
    </row>
    <row r="281" spans="1:14" x14ac:dyDescent="0.2">
      <c r="A281" s="237" t="str">
        <f>name!E$4</f>
        <v>Managers, directors and senior officials</v>
      </c>
      <c r="B281" s="302">
        <v>6.6173407333259146E-2</v>
      </c>
      <c r="C281" s="302">
        <v>0.19342553245953087</v>
      </c>
      <c r="D281" s="302">
        <f>SUM(B281:C281)</f>
        <v>0.25959893979279003</v>
      </c>
      <c r="E281" s="303"/>
      <c r="F281" s="302">
        <v>7.5022904951404082E-2</v>
      </c>
      <c r="G281" s="302">
        <v>0.16208768176257171</v>
      </c>
      <c r="H281" s="302">
        <f>SUM(F281:G281)</f>
        <v>0.23711058671397578</v>
      </c>
      <c r="I281" s="303"/>
      <c r="J281" s="302">
        <v>0.11988528230684908</v>
      </c>
      <c r="K281" s="302">
        <v>0.2730242844272005</v>
      </c>
      <c r="L281" s="302">
        <f>SUM(J281:K281)</f>
        <v>0.39290956673404959</v>
      </c>
      <c r="M281" s="236"/>
      <c r="N281" s="236"/>
    </row>
    <row r="282" spans="1:14" x14ac:dyDescent="0.2">
      <c r="A282" s="237" t="str">
        <f>name!E$5</f>
        <v>Professional occupations</v>
      </c>
      <c r="B282" s="302">
        <v>0.14038414999430879</v>
      </c>
      <c r="C282" s="302">
        <v>0.68433344758936909</v>
      </c>
      <c r="D282" s="302">
        <f t="shared" ref="D282:D289" si="112">SUM(B282:C282)</f>
        <v>0.82471759758367791</v>
      </c>
      <c r="E282" s="303"/>
      <c r="F282" s="302">
        <v>0.18234237137100043</v>
      </c>
      <c r="G282" s="302">
        <v>0.63900584629167356</v>
      </c>
      <c r="H282" s="302">
        <f t="shared" ref="H282:H289" si="113">SUM(F282:G282)</f>
        <v>0.82134821766267396</v>
      </c>
      <c r="I282" s="303"/>
      <c r="J282" s="302">
        <v>0.2892511446682634</v>
      </c>
      <c r="K282" s="302">
        <v>1.2131072492130726</v>
      </c>
      <c r="L282" s="302">
        <f t="shared" ref="L282:L289" si="114">SUM(J282:K282)</f>
        <v>1.5023583938813361</v>
      </c>
      <c r="M282" s="236"/>
      <c r="N282" s="236"/>
    </row>
    <row r="283" spans="1:14" x14ac:dyDescent="0.2">
      <c r="A283" s="237" t="str">
        <f>name!E$6</f>
        <v>Associate professional occupations</v>
      </c>
      <c r="B283" s="302">
        <v>0.1375192753917345</v>
      </c>
      <c r="C283" s="302">
        <v>0.32522595081491085</v>
      </c>
      <c r="D283" s="302">
        <f t="shared" si="112"/>
        <v>0.46274522620664538</v>
      </c>
      <c r="E283" s="303"/>
      <c r="F283" s="302">
        <v>0.15459233977301834</v>
      </c>
      <c r="G283" s="302">
        <v>0.29874230334166668</v>
      </c>
      <c r="H283" s="302">
        <f t="shared" si="113"/>
        <v>0.45333464311468502</v>
      </c>
      <c r="I283" s="303"/>
      <c r="J283" s="302">
        <v>0.21136100192392382</v>
      </c>
      <c r="K283" s="302">
        <v>0.44894558501277332</v>
      </c>
      <c r="L283" s="302">
        <f t="shared" si="114"/>
        <v>0.66030658693669708</v>
      </c>
      <c r="M283" s="236"/>
      <c r="N283" s="236"/>
    </row>
    <row r="284" spans="1:14" x14ac:dyDescent="0.2">
      <c r="A284" s="237" t="str">
        <f>name!E$7</f>
        <v>Administrative and secretarial occupations</v>
      </c>
      <c r="B284" s="302">
        <v>0.20912302805049507</v>
      </c>
      <c r="C284" s="302">
        <v>2.9058437051435945E-2</v>
      </c>
      <c r="D284" s="302">
        <f t="shared" si="112"/>
        <v>0.238181465101931</v>
      </c>
      <c r="E284" s="303"/>
      <c r="F284" s="302">
        <v>0.20846187031342434</v>
      </c>
      <c r="G284" s="302">
        <v>2.4760407181678993E-2</v>
      </c>
      <c r="H284" s="302">
        <f t="shared" si="113"/>
        <v>0.23322227749510333</v>
      </c>
      <c r="I284" s="303"/>
      <c r="J284" s="302">
        <v>0.20508352519773512</v>
      </c>
      <c r="K284" s="302">
        <v>3.9649729197654235E-2</v>
      </c>
      <c r="L284" s="302">
        <f t="shared" si="114"/>
        <v>0.24473325439538934</v>
      </c>
      <c r="M284" s="236"/>
      <c r="N284" s="236"/>
    </row>
    <row r="285" spans="1:14" x14ac:dyDescent="0.2">
      <c r="A285" s="237" t="str">
        <f>name!E$8</f>
        <v>Skilled trades occupations</v>
      </c>
      <c r="B285" s="302">
        <v>3.7266279387382951E-2</v>
      </c>
      <c r="C285" s="302">
        <v>0.44585578020240879</v>
      </c>
      <c r="D285" s="302">
        <f t="shared" si="112"/>
        <v>0.48312205958979176</v>
      </c>
      <c r="E285" s="303"/>
      <c r="F285" s="302">
        <v>4.040980896790259E-2</v>
      </c>
      <c r="G285" s="302">
        <v>0.26615550680049849</v>
      </c>
      <c r="H285" s="302">
        <f t="shared" si="113"/>
        <v>0.30656531576840107</v>
      </c>
      <c r="I285" s="303"/>
      <c r="J285" s="302">
        <v>9.4251983604117559E-2</v>
      </c>
      <c r="K285" s="302">
        <v>0.35689480795495748</v>
      </c>
      <c r="L285" s="302">
        <f t="shared" si="114"/>
        <v>0.45114679155907506</v>
      </c>
      <c r="M285" s="236"/>
      <c r="N285" s="236"/>
    </row>
    <row r="286" spans="1:14" x14ac:dyDescent="0.2">
      <c r="A286" s="237" t="str">
        <f>name!E$9</f>
        <v>Caring, leisure and other service occupations</v>
      </c>
      <c r="B286" s="302">
        <v>1.4951834044466731E-2</v>
      </c>
      <c r="C286" s="302">
        <v>7.834254267518161E-3</v>
      </c>
      <c r="D286" s="302">
        <f t="shared" si="112"/>
        <v>2.2786088311984892E-2</v>
      </c>
      <c r="E286" s="303"/>
      <c r="F286" s="302">
        <v>1.47164277942251E-2</v>
      </c>
      <c r="G286" s="302">
        <v>6.3551165599914734E-3</v>
      </c>
      <c r="H286" s="302">
        <f t="shared" si="113"/>
        <v>2.1071544354216574E-2</v>
      </c>
      <c r="I286" s="303"/>
      <c r="J286" s="302">
        <v>1.7167225278092873E-2</v>
      </c>
      <c r="K286" s="302">
        <v>1.4068503793560226E-2</v>
      </c>
      <c r="L286" s="302">
        <f t="shared" si="114"/>
        <v>3.1235729071653097E-2</v>
      </c>
      <c r="M286" s="236"/>
      <c r="N286" s="236"/>
    </row>
    <row r="287" spans="1:14" x14ac:dyDescent="0.2">
      <c r="A287" s="237" t="str">
        <f>name!E$10</f>
        <v>Sales and customer service occupations</v>
      </c>
      <c r="B287" s="302">
        <v>5.7277732639244516E-2</v>
      </c>
      <c r="C287" s="302">
        <v>1.6613405384021489E-2</v>
      </c>
      <c r="D287" s="302">
        <f t="shared" si="112"/>
        <v>7.3891138023266009E-2</v>
      </c>
      <c r="E287" s="303"/>
      <c r="F287" s="302">
        <v>5.8035353758669354E-2</v>
      </c>
      <c r="G287" s="302">
        <v>1.2480926313800067E-2</v>
      </c>
      <c r="H287" s="302">
        <f t="shared" si="113"/>
        <v>7.051628007246942E-2</v>
      </c>
      <c r="I287" s="303"/>
      <c r="J287" s="302">
        <v>7.694656633009743E-2</v>
      </c>
      <c r="K287" s="302">
        <v>2.5979304085157709E-2</v>
      </c>
      <c r="L287" s="302">
        <f t="shared" si="114"/>
        <v>0.10292587041525514</v>
      </c>
      <c r="M287" s="236"/>
      <c r="N287" s="236"/>
    </row>
    <row r="288" spans="1:14" x14ac:dyDescent="0.2">
      <c r="A288" s="237" t="str">
        <f>name!E$11</f>
        <v>Process, plant and machine operatives</v>
      </c>
      <c r="B288" s="302">
        <v>0.27621226298644935</v>
      </c>
      <c r="C288" s="302">
        <v>0.13165840721883734</v>
      </c>
      <c r="D288" s="302">
        <f t="shared" si="112"/>
        <v>0.40787067020528667</v>
      </c>
      <c r="E288" s="303"/>
      <c r="F288" s="302">
        <v>0.2227770869830355</v>
      </c>
      <c r="G288" s="302">
        <v>8.0194920947364107E-2</v>
      </c>
      <c r="H288" s="302">
        <f t="shared" si="113"/>
        <v>0.30297200793039958</v>
      </c>
      <c r="I288" s="303"/>
      <c r="J288" s="302">
        <v>0.31007153371531782</v>
      </c>
      <c r="K288" s="302">
        <v>0.14525768977184131</v>
      </c>
      <c r="L288" s="302">
        <f t="shared" si="114"/>
        <v>0.4553292234871591</v>
      </c>
      <c r="M288" s="236"/>
      <c r="N288" s="236"/>
    </row>
    <row r="289" spans="1:14" x14ac:dyDescent="0.2">
      <c r="A289" s="237" t="str">
        <f>name!E$12</f>
        <v>Elementary occupations</v>
      </c>
      <c r="B289" s="302">
        <v>5.50920301680956E-2</v>
      </c>
      <c r="C289" s="302">
        <v>3.0994785004946315E-2</v>
      </c>
      <c r="D289" s="302">
        <f t="shared" si="112"/>
        <v>8.6086815173041911E-2</v>
      </c>
      <c r="E289" s="303"/>
      <c r="F289" s="302">
        <v>4.8641836079008627E-2</v>
      </c>
      <c r="G289" s="302">
        <v>2.0217290798258632E-2</v>
      </c>
      <c r="H289" s="302">
        <f t="shared" si="113"/>
        <v>6.8859126877267252E-2</v>
      </c>
      <c r="I289" s="303"/>
      <c r="J289" s="302">
        <v>5.8981736974754631E-2</v>
      </c>
      <c r="K289" s="302">
        <v>2.0072846537563357E-2</v>
      </c>
      <c r="L289" s="302">
        <f t="shared" si="114"/>
        <v>7.9054583512317991E-2</v>
      </c>
      <c r="M289" s="236"/>
      <c r="N289" s="236"/>
    </row>
    <row r="290" spans="1:14" x14ac:dyDescent="0.2">
      <c r="A290" s="237"/>
      <c r="B290" s="302"/>
      <c r="C290" s="302"/>
      <c r="D290" s="302"/>
      <c r="E290" s="303"/>
      <c r="F290" s="302"/>
      <c r="G290" s="302"/>
      <c r="H290" s="302"/>
      <c r="I290" s="303"/>
      <c r="J290" s="302"/>
      <c r="K290" s="302"/>
      <c r="L290" s="302"/>
      <c r="M290" s="236"/>
      <c r="N290" s="236"/>
    </row>
    <row r="291" spans="1:14" x14ac:dyDescent="0.2">
      <c r="A291" s="244" t="s">
        <v>32</v>
      </c>
      <c r="B291" s="311">
        <f>SUM(B281:B289)</f>
        <v>0.99399999999543664</v>
      </c>
      <c r="C291" s="311">
        <f t="shared" ref="C291:D291" si="115">SUM(C281:C289)</f>
        <v>1.8649999999929789</v>
      </c>
      <c r="D291" s="311">
        <f t="shared" si="115"/>
        <v>2.8589999999884155</v>
      </c>
      <c r="E291" s="311"/>
      <c r="F291" s="311">
        <f t="shared" ref="F291:H291" si="116">SUM(F281:F289)</f>
        <v>1.0049999999916883</v>
      </c>
      <c r="G291" s="311">
        <f t="shared" si="116"/>
        <v>1.5099999999975038</v>
      </c>
      <c r="H291" s="311">
        <f t="shared" si="116"/>
        <v>2.5149999999891914</v>
      </c>
      <c r="I291" s="311"/>
      <c r="J291" s="311">
        <f t="shared" ref="J291:L291" si="117">SUM(J281:J289)</f>
        <v>1.3829999999991518</v>
      </c>
      <c r="K291" s="311">
        <f t="shared" si="117"/>
        <v>2.5369999999937813</v>
      </c>
      <c r="L291" s="311">
        <f t="shared" si="117"/>
        <v>3.9199999999929331</v>
      </c>
      <c r="M291" s="236"/>
      <c r="N291" s="236"/>
    </row>
    <row r="292" spans="1:14" x14ac:dyDescent="0.2">
      <c r="A292" s="237"/>
      <c r="B292" s="237"/>
      <c r="C292" s="237"/>
      <c r="D292" s="237"/>
      <c r="E292" s="237"/>
      <c r="F292" s="237"/>
      <c r="G292" s="237"/>
      <c r="H292" s="237"/>
      <c r="I292" s="237"/>
      <c r="J292" s="237"/>
      <c r="K292" s="237"/>
      <c r="L292" s="240"/>
      <c r="M292" s="236"/>
      <c r="N292" s="236"/>
    </row>
    <row r="293" spans="1:14" x14ac:dyDescent="0.2">
      <c r="A293" s="237"/>
      <c r="B293" s="237"/>
      <c r="C293" s="237"/>
      <c r="D293" s="237"/>
      <c r="E293" s="237"/>
      <c r="F293" s="237"/>
      <c r="G293" s="237"/>
      <c r="H293" s="237"/>
      <c r="I293" s="237"/>
      <c r="J293" s="237"/>
      <c r="K293" s="237"/>
      <c r="L293" s="256" t="s">
        <v>35</v>
      </c>
      <c r="M293" s="236"/>
      <c r="N293" s="236"/>
    </row>
    <row r="294" spans="1:14" x14ac:dyDescent="0.2">
      <c r="A294" s="242"/>
      <c r="B294" s="250"/>
      <c r="C294" s="250"/>
      <c r="D294" s="250"/>
      <c r="E294" s="250"/>
      <c r="F294" s="250"/>
      <c r="G294" s="250"/>
      <c r="H294" s="250"/>
      <c r="I294" s="250"/>
      <c r="J294" s="250"/>
      <c r="K294" s="250"/>
      <c r="L294" s="236"/>
      <c r="M294" s="236"/>
      <c r="N294" s="236"/>
    </row>
    <row r="295" spans="1:14" x14ac:dyDescent="0.2">
      <c r="A295" s="241" t="str">
        <f>name!A20</f>
        <v>Electrical equipment</v>
      </c>
      <c r="B295" s="372">
        <f>B$6</f>
        <v>2015</v>
      </c>
      <c r="C295" s="372"/>
      <c r="D295" s="372"/>
      <c r="E295" s="253"/>
      <c r="F295" s="372">
        <f>F278</f>
        <v>2020</v>
      </c>
      <c r="G295" s="372"/>
      <c r="H295" s="372"/>
      <c r="I295" s="253"/>
      <c r="J295" s="372">
        <f>J278</f>
        <v>2035</v>
      </c>
      <c r="K295" s="372"/>
      <c r="L295" s="372"/>
      <c r="M295" s="236"/>
      <c r="N295" s="236"/>
    </row>
    <row r="296" spans="1:14" x14ac:dyDescent="0.2">
      <c r="A296" s="254"/>
      <c r="B296" s="255" t="s">
        <v>352</v>
      </c>
      <c r="C296" s="255" t="s">
        <v>353</v>
      </c>
      <c r="D296" s="255" t="s">
        <v>32</v>
      </c>
      <c r="E296" s="255"/>
      <c r="F296" s="255" t="s">
        <v>352</v>
      </c>
      <c r="G296" s="255" t="s">
        <v>353</v>
      </c>
      <c r="H296" s="255" t="s">
        <v>32</v>
      </c>
      <c r="I296" s="255"/>
      <c r="J296" s="255" t="s">
        <v>352</v>
      </c>
      <c r="K296" s="255" t="s">
        <v>353</v>
      </c>
      <c r="L296" s="255" t="s">
        <v>32</v>
      </c>
      <c r="M296" s="236"/>
      <c r="N296" s="236"/>
    </row>
    <row r="297" spans="1:14" x14ac:dyDescent="0.2">
      <c r="A297" s="258"/>
      <c r="B297" s="259"/>
      <c r="C297" s="259"/>
      <c r="D297" s="259"/>
      <c r="E297" s="259"/>
      <c r="F297" s="259"/>
      <c r="G297" s="259"/>
      <c r="H297" s="259"/>
      <c r="I297" s="259"/>
      <c r="J297" s="259"/>
      <c r="K297" s="259"/>
      <c r="L297" s="259"/>
      <c r="M297" s="236"/>
      <c r="N297" s="236"/>
    </row>
    <row r="298" spans="1:14" x14ac:dyDescent="0.2">
      <c r="A298" s="237" t="str">
        <f>name!E$4</f>
        <v>Managers, directors and senior officials</v>
      </c>
      <c r="B298" s="302">
        <v>5.9689877255277225E-2</v>
      </c>
      <c r="C298" s="302">
        <v>0.48902088811304167</v>
      </c>
      <c r="D298" s="302">
        <f>SUM(B298:C298)</f>
        <v>0.54871076536831886</v>
      </c>
      <c r="E298" s="303"/>
      <c r="F298" s="302">
        <v>6.5864512644786433E-2</v>
      </c>
      <c r="G298" s="302">
        <v>0.28792396145360971</v>
      </c>
      <c r="H298" s="302">
        <f>SUM(F298:G298)</f>
        <v>0.35378847409839614</v>
      </c>
      <c r="I298" s="303"/>
      <c r="J298" s="302">
        <v>7.7270155211458247E-2</v>
      </c>
      <c r="K298" s="302">
        <v>0.2439952158412175</v>
      </c>
      <c r="L298" s="302">
        <f>SUM(J298:K298)</f>
        <v>0.32126537105267572</v>
      </c>
      <c r="M298" s="236"/>
      <c r="N298" s="236"/>
    </row>
    <row r="299" spans="1:14" x14ac:dyDescent="0.2">
      <c r="A299" s="237" t="str">
        <f>name!E$5</f>
        <v>Professional occupations</v>
      </c>
      <c r="B299" s="302">
        <v>0.11501503433961838</v>
      </c>
      <c r="C299" s="302">
        <v>0.84862104305135155</v>
      </c>
      <c r="D299" s="302">
        <f t="shared" ref="D299:D306" si="118">SUM(B299:C299)</f>
        <v>0.9636360773909699</v>
      </c>
      <c r="E299" s="303"/>
      <c r="F299" s="302">
        <v>0.10921578372463506</v>
      </c>
      <c r="G299" s="302">
        <v>0.5588474112450178</v>
      </c>
      <c r="H299" s="302">
        <f t="shared" ref="H299:H306" si="119">SUM(F299:G299)</f>
        <v>0.66806319496965283</v>
      </c>
      <c r="I299" s="303"/>
      <c r="J299" s="302">
        <v>0.12063629039313319</v>
      </c>
      <c r="K299" s="302">
        <v>0.55429224750979567</v>
      </c>
      <c r="L299" s="302">
        <f t="shared" ref="L299:L306" si="120">SUM(J299:K299)</f>
        <v>0.67492853790292884</v>
      </c>
      <c r="M299" s="236"/>
      <c r="N299" s="236"/>
    </row>
    <row r="300" spans="1:14" x14ac:dyDescent="0.2">
      <c r="A300" s="237" t="str">
        <f>name!E$6</f>
        <v>Associate professional occupations</v>
      </c>
      <c r="B300" s="302">
        <v>0.13863978395778898</v>
      </c>
      <c r="C300" s="302">
        <v>0.59607944248382949</v>
      </c>
      <c r="D300" s="302">
        <f t="shared" si="118"/>
        <v>0.73471922644161847</v>
      </c>
      <c r="E300" s="303"/>
      <c r="F300" s="302">
        <v>0.11053883965142366</v>
      </c>
      <c r="G300" s="302">
        <v>0.37674442442233863</v>
      </c>
      <c r="H300" s="302">
        <f t="shared" si="119"/>
        <v>0.48728326407376232</v>
      </c>
      <c r="I300" s="303"/>
      <c r="J300" s="302">
        <v>0.10718407250305807</v>
      </c>
      <c r="K300" s="302">
        <v>0.27936867941163518</v>
      </c>
      <c r="L300" s="302">
        <f t="shared" si="120"/>
        <v>0.38655275191469324</v>
      </c>
      <c r="M300" s="236"/>
      <c r="N300" s="236"/>
    </row>
    <row r="301" spans="1:14" x14ac:dyDescent="0.2">
      <c r="A301" s="237" t="str">
        <f>name!E$7</f>
        <v>Administrative and secretarial occupations</v>
      </c>
      <c r="B301" s="302">
        <v>0.44249948627772379</v>
      </c>
      <c r="C301" s="302">
        <v>6.9064508782701595E-2</v>
      </c>
      <c r="D301" s="302">
        <f t="shared" si="118"/>
        <v>0.51156399506042538</v>
      </c>
      <c r="E301" s="303"/>
      <c r="F301" s="302">
        <v>0.29622729754480653</v>
      </c>
      <c r="G301" s="302">
        <v>4.157867534413074E-2</v>
      </c>
      <c r="H301" s="302">
        <f t="shared" si="119"/>
        <v>0.33780597288893727</v>
      </c>
      <c r="I301" s="303"/>
      <c r="J301" s="302">
        <v>0.23479001042659114</v>
      </c>
      <c r="K301" s="302">
        <v>3.8464230196390628E-2</v>
      </c>
      <c r="L301" s="302">
        <f t="shared" si="120"/>
        <v>0.27325424062298176</v>
      </c>
      <c r="M301" s="236"/>
      <c r="N301" s="236"/>
    </row>
    <row r="302" spans="1:14" x14ac:dyDescent="0.2">
      <c r="A302" s="237" t="str">
        <f>name!E$8</f>
        <v>Skilled trades occupations</v>
      </c>
      <c r="B302" s="302">
        <v>4.1466373738965535E-2</v>
      </c>
      <c r="C302" s="302">
        <v>1.5414538144702725</v>
      </c>
      <c r="D302" s="302">
        <f t="shared" si="118"/>
        <v>1.5829201882092381</v>
      </c>
      <c r="E302" s="303"/>
      <c r="F302" s="302">
        <v>3.0791784705897433E-2</v>
      </c>
      <c r="G302" s="302">
        <v>0.64789224215828234</v>
      </c>
      <c r="H302" s="302">
        <f t="shared" si="119"/>
        <v>0.67868402686417972</v>
      </c>
      <c r="I302" s="303"/>
      <c r="J302" s="302">
        <v>5.2130220926388596E-2</v>
      </c>
      <c r="K302" s="302">
        <v>0.45555436873330785</v>
      </c>
      <c r="L302" s="302">
        <f t="shared" si="120"/>
        <v>0.50768458965969643</v>
      </c>
      <c r="M302" s="236"/>
      <c r="N302" s="236"/>
    </row>
    <row r="303" spans="1:14" x14ac:dyDescent="0.2">
      <c r="A303" s="237" t="str">
        <f>name!E$9</f>
        <v>Caring, leisure and other service occupations</v>
      </c>
      <c r="B303" s="302">
        <v>2.7727061700146573E-2</v>
      </c>
      <c r="C303" s="302">
        <v>2.8388326656704845E-2</v>
      </c>
      <c r="D303" s="302">
        <f t="shared" si="118"/>
        <v>5.6115388356851419E-2</v>
      </c>
      <c r="E303" s="303"/>
      <c r="F303" s="302">
        <v>2.3171023147510496E-2</v>
      </c>
      <c r="G303" s="302">
        <v>1.6269419430458822E-2</v>
      </c>
      <c r="H303" s="302">
        <f t="shared" si="119"/>
        <v>3.9440442577969317E-2</v>
      </c>
      <c r="I303" s="303"/>
      <c r="J303" s="302">
        <v>2.4908891264643372E-2</v>
      </c>
      <c r="K303" s="302">
        <v>1.9132093859863773E-2</v>
      </c>
      <c r="L303" s="302">
        <f t="shared" si="120"/>
        <v>4.4040985124507145E-2</v>
      </c>
      <c r="M303" s="236"/>
      <c r="N303" s="236"/>
    </row>
    <row r="304" spans="1:14" x14ac:dyDescent="0.2">
      <c r="A304" s="237" t="str">
        <f>name!E$10</f>
        <v>Sales and customer service occupations</v>
      </c>
      <c r="B304" s="302">
        <v>8.8714119508490313E-2</v>
      </c>
      <c r="C304" s="302">
        <v>5.47667358985756E-2</v>
      </c>
      <c r="D304" s="302">
        <f t="shared" si="118"/>
        <v>0.1434808554070659</v>
      </c>
      <c r="E304" s="303"/>
      <c r="F304" s="302">
        <v>6.2097207321160815E-2</v>
      </c>
      <c r="G304" s="302">
        <v>2.9781311602892054E-2</v>
      </c>
      <c r="H304" s="302">
        <f t="shared" si="119"/>
        <v>9.1878518924052868E-2</v>
      </c>
      <c r="I304" s="303"/>
      <c r="J304" s="302">
        <v>6.6123042008869162E-2</v>
      </c>
      <c r="K304" s="302">
        <v>2.7765303222573159E-2</v>
      </c>
      <c r="L304" s="302">
        <f t="shared" si="120"/>
        <v>9.3888345231442322E-2</v>
      </c>
      <c r="M304" s="236"/>
      <c r="N304" s="236"/>
    </row>
    <row r="305" spans="1:14" x14ac:dyDescent="0.2">
      <c r="A305" s="237" t="str">
        <f>name!E$11</f>
        <v>Process, plant and machine operatives</v>
      </c>
      <c r="B305" s="302">
        <v>0.42236158198864782</v>
      </c>
      <c r="C305" s="302">
        <v>0.74697272018333083</v>
      </c>
      <c r="D305" s="302">
        <f t="shared" si="118"/>
        <v>1.1693343021719786</v>
      </c>
      <c r="E305" s="303"/>
      <c r="F305" s="302">
        <v>0.19647657259416823</v>
      </c>
      <c r="G305" s="302">
        <v>0.3000166119066614</v>
      </c>
      <c r="H305" s="302">
        <f t="shared" si="119"/>
        <v>0.49649318450082963</v>
      </c>
      <c r="I305" s="303"/>
      <c r="J305" s="302">
        <v>0.18653568982346286</v>
      </c>
      <c r="K305" s="302">
        <v>0.27377675423149933</v>
      </c>
      <c r="L305" s="302">
        <f t="shared" si="120"/>
        <v>0.46031244405496219</v>
      </c>
      <c r="M305" s="236"/>
      <c r="N305" s="236"/>
    </row>
    <row r="306" spans="1:14" x14ac:dyDescent="0.2">
      <c r="A306" s="237" t="str">
        <f>name!E$12</f>
        <v>Elementary occupations</v>
      </c>
      <c r="B306" s="302">
        <v>8.2886681227756151E-2</v>
      </c>
      <c r="C306" s="302">
        <v>0.11863252035305591</v>
      </c>
      <c r="D306" s="302">
        <f t="shared" si="118"/>
        <v>0.20151920158081205</v>
      </c>
      <c r="E306" s="303"/>
      <c r="F306" s="302">
        <v>4.9616978653860444E-2</v>
      </c>
      <c r="G306" s="302">
        <v>4.9945942434109179E-2</v>
      </c>
      <c r="H306" s="302">
        <f t="shared" si="119"/>
        <v>9.956292108796963E-2</v>
      </c>
      <c r="I306" s="303"/>
      <c r="J306" s="302">
        <v>3.4421627441605013E-2</v>
      </c>
      <c r="K306" s="302">
        <v>1.9651106983977464E-2</v>
      </c>
      <c r="L306" s="302">
        <f t="shared" si="120"/>
        <v>5.4072734425582476E-2</v>
      </c>
      <c r="M306" s="236"/>
      <c r="N306" s="236"/>
    </row>
    <row r="307" spans="1:14" x14ac:dyDescent="0.2">
      <c r="A307" s="237"/>
      <c r="B307" s="302"/>
      <c r="C307" s="302"/>
      <c r="D307" s="302"/>
      <c r="E307" s="303"/>
      <c r="F307" s="302"/>
      <c r="G307" s="302"/>
      <c r="H307" s="302"/>
      <c r="I307" s="303"/>
      <c r="J307" s="302"/>
      <c r="K307" s="302"/>
      <c r="L307" s="302"/>
      <c r="M307" s="236"/>
      <c r="N307" s="236"/>
    </row>
    <row r="308" spans="1:14" x14ac:dyDescent="0.2">
      <c r="A308" s="244" t="s">
        <v>32</v>
      </c>
      <c r="B308" s="311">
        <f>SUM(B298:B306)</f>
        <v>1.4189999999944147</v>
      </c>
      <c r="C308" s="311">
        <f t="shared" ref="C308:D308" si="121">SUM(C298:C306)</f>
        <v>4.4929999999928647</v>
      </c>
      <c r="D308" s="311">
        <f t="shared" si="121"/>
        <v>5.9119999999872785</v>
      </c>
      <c r="E308" s="311"/>
      <c r="F308" s="311">
        <f t="shared" ref="F308:H308" si="122">SUM(F298:F306)</f>
        <v>0.94399999998824913</v>
      </c>
      <c r="G308" s="311">
        <f t="shared" si="122"/>
        <v>2.3089999999975004</v>
      </c>
      <c r="H308" s="311">
        <f t="shared" si="122"/>
        <v>3.2529999999857502</v>
      </c>
      <c r="I308" s="311"/>
      <c r="J308" s="311">
        <f t="shared" ref="J308:L308" si="123">SUM(J298:J306)</f>
        <v>0.90399999999920977</v>
      </c>
      <c r="K308" s="311">
        <f t="shared" si="123"/>
        <v>1.9119999999902606</v>
      </c>
      <c r="L308" s="311">
        <f t="shared" si="123"/>
        <v>2.8159999999894705</v>
      </c>
      <c r="M308" s="236"/>
      <c r="N308" s="236"/>
    </row>
    <row r="309" spans="1:14" x14ac:dyDescent="0.2">
      <c r="A309" s="237"/>
      <c r="B309" s="237"/>
      <c r="C309" s="237"/>
      <c r="D309" s="237"/>
      <c r="E309" s="237"/>
      <c r="F309" s="237"/>
      <c r="G309" s="237"/>
      <c r="H309" s="237"/>
      <c r="I309" s="237"/>
      <c r="J309" s="237"/>
      <c r="K309" s="237"/>
      <c r="L309" s="240"/>
      <c r="M309" s="236"/>
      <c r="N309" s="236"/>
    </row>
    <row r="310" spans="1:14" x14ac:dyDescent="0.2">
      <c r="A310" s="237"/>
      <c r="B310" s="237"/>
      <c r="C310" s="237"/>
      <c r="D310" s="237"/>
      <c r="E310" s="237"/>
      <c r="F310" s="237"/>
      <c r="G310" s="237"/>
      <c r="H310" s="237"/>
      <c r="I310" s="237"/>
      <c r="J310" s="237"/>
      <c r="K310" s="237"/>
      <c r="L310" s="256" t="s">
        <v>35</v>
      </c>
      <c r="M310" s="236"/>
      <c r="N310" s="236"/>
    </row>
    <row r="311" spans="1:14" x14ac:dyDescent="0.2">
      <c r="A311" s="242"/>
      <c r="B311" s="250"/>
      <c r="C311" s="250"/>
      <c r="D311" s="250"/>
      <c r="E311" s="250"/>
      <c r="F311" s="250"/>
      <c r="G311" s="250"/>
      <c r="H311" s="250"/>
      <c r="I311" s="250"/>
      <c r="J311" s="250"/>
      <c r="K311" s="250"/>
      <c r="L311" s="236"/>
      <c r="M311" s="236"/>
      <c r="N311" s="236"/>
    </row>
    <row r="312" spans="1:14" x14ac:dyDescent="0.2">
      <c r="A312" s="241" t="str">
        <f>name!A21</f>
        <v>Machinery n.e.c.</v>
      </c>
      <c r="B312" s="372">
        <f>B$6</f>
        <v>2015</v>
      </c>
      <c r="C312" s="372"/>
      <c r="D312" s="372"/>
      <c r="E312" s="253"/>
      <c r="F312" s="372">
        <f>F295</f>
        <v>2020</v>
      </c>
      <c r="G312" s="372"/>
      <c r="H312" s="372"/>
      <c r="I312" s="253"/>
      <c r="J312" s="372">
        <f>J295</f>
        <v>2035</v>
      </c>
      <c r="K312" s="372"/>
      <c r="L312" s="372"/>
      <c r="M312" s="236"/>
      <c r="N312" s="236"/>
    </row>
    <row r="313" spans="1:14" x14ac:dyDescent="0.2">
      <c r="A313" s="254"/>
      <c r="B313" s="255" t="s">
        <v>352</v>
      </c>
      <c r="C313" s="255" t="s">
        <v>353</v>
      </c>
      <c r="D313" s="255" t="s">
        <v>32</v>
      </c>
      <c r="E313" s="255"/>
      <c r="F313" s="255" t="s">
        <v>352</v>
      </c>
      <c r="G313" s="255" t="s">
        <v>353</v>
      </c>
      <c r="H313" s="255" t="s">
        <v>32</v>
      </c>
      <c r="I313" s="255"/>
      <c r="J313" s="255" t="s">
        <v>352</v>
      </c>
      <c r="K313" s="255" t="s">
        <v>353</v>
      </c>
      <c r="L313" s="255" t="s">
        <v>32</v>
      </c>
      <c r="M313" s="236"/>
      <c r="N313" s="236"/>
    </row>
    <row r="314" spans="1:14" x14ac:dyDescent="0.2">
      <c r="A314" s="258"/>
      <c r="B314" s="259"/>
      <c r="C314" s="259"/>
      <c r="D314" s="259"/>
      <c r="E314" s="259"/>
      <c r="F314" s="259"/>
      <c r="G314" s="259"/>
      <c r="H314" s="259"/>
      <c r="I314" s="259"/>
      <c r="J314" s="259"/>
      <c r="K314" s="259"/>
      <c r="L314" s="259"/>
      <c r="M314" s="236"/>
      <c r="N314" s="236"/>
    </row>
    <row r="315" spans="1:14" x14ac:dyDescent="0.2">
      <c r="A315" s="237" t="str">
        <f>name!E$4</f>
        <v>Managers, directors and senior officials</v>
      </c>
      <c r="B315" s="302">
        <v>8.1998144188233812E-2</v>
      </c>
      <c r="C315" s="302">
        <v>0.94794297864898436</v>
      </c>
      <c r="D315" s="302">
        <f>SUM(B315:C315)</f>
        <v>1.0299411228372182</v>
      </c>
      <c r="E315" s="303"/>
      <c r="F315" s="302">
        <v>0.14198922162814478</v>
      </c>
      <c r="G315" s="302">
        <v>0.96702930380216956</v>
      </c>
      <c r="H315" s="302">
        <f>SUM(F315:G315)</f>
        <v>1.1090185254303144</v>
      </c>
      <c r="I315" s="303"/>
      <c r="J315" s="302">
        <v>0.13513139147038836</v>
      </c>
      <c r="K315" s="302">
        <v>0.83936007916173672</v>
      </c>
      <c r="L315" s="302">
        <f>SUM(J315:K315)</f>
        <v>0.97449147063212505</v>
      </c>
      <c r="M315" s="236"/>
      <c r="N315" s="236"/>
    </row>
    <row r="316" spans="1:14" x14ac:dyDescent="0.2">
      <c r="A316" s="237" t="str">
        <f>name!E$5</f>
        <v>Professional occupations</v>
      </c>
      <c r="B316" s="302">
        <v>0.13308475307057832</v>
      </c>
      <c r="C316" s="302">
        <v>1.9951428128410766</v>
      </c>
      <c r="D316" s="302">
        <f t="shared" ref="D316:D323" si="124">SUM(B316:C316)</f>
        <v>2.1282275659116552</v>
      </c>
      <c r="E316" s="303"/>
      <c r="F316" s="302">
        <v>0.24912937895113432</v>
      </c>
      <c r="G316" s="302">
        <v>2.292509942306423</v>
      </c>
      <c r="H316" s="302">
        <f t="shared" ref="H316:H323" si="125">SUM(F316:G316)</f>
        <v>2.5416393212575574</v>
      </c>
      <c r="I316" s="303"/>
      <c r="J316" s="302">
        <v>0.23583947980750541</v>
      </c>
      <c r="K316" s="302">
        <v>2.3133366971744835</v>
      </c>
      <c r="L316" s="302">
        <f t="shared" ref="L316:L323" si="126">SUM(J316:K316)</f>
        <v>2.5491761769819892</v>
      </c>
      <c r="M316" s="236"/>
      <c r="N316" s="236"/>
    </row>
    <row r="317" spans="1:14" x14ac:dyDescent="0.2">
      <c r="A317" s="237" t="str">
        <f>name!E$6</f>
        <v>Associate professional occupations</v>
      </c>
      <c r="B317" s="302">
        <v>0.16153535012298431</v>
      </c>
      <c r="C317" s="302">
        <v>1.1903906913946085</v>
      </c>
      <c r="D317" s="302">
        <f t="shared" si="124"/>
        <v>1.3519260415175929</v>
      </c>
      <c r="E317" s="303"/>
      <c r="F317" s="302">
        <v>0.25934705040805767</v>
      </c>
      <c r="G317" s="302">
        <v>1.3348761322729805</v>
      </c>
      <c r="H317" s="302">
        <f t="shared" si="125"/>
        <v>1.5942231826810382</v>
      </c>
      <c r="I317" s="303"/>
      <c r="J317" s="302">
        <v>0.21376753016070407</v>
      </c>
      <c r="K317" s="302">
        <v>1.018071807714525</v>
      </c>
      <c r="L317" s="302">
        <f t="shared" si="126"/>
        <v>1.231839337875229</v>
      </c>
      <c r="M317" s="236"/>
      <c r="N317" s="236"/>
    </row>
    <row r="318" spans="1:14" x14ac:dyDescent="0.2">
      <c r="A318" s="237" t="str">
        <f>name!E$7</f>
        <v>Administrative and secretarial occupations</v>
      </c>
      <c r="B318" s="302">
        <v>0.53703560572350773</v>
      </c>
      <c r="C318" s="302">
        <v>0.1801506121712603</v>
      </c>
      <c r="D318" s="302">
        <f t="shared" si="124"/>
        <v>0.717186217894768</v>
      </c>
      <c r="E318" s="303"/>
      <c r="F318" s="302">
        <v>0.71800188507886231</v>
      </c>
      <c r="G318" s="302">
        <v>0.1858205869001095</v>
      </c>
      <c r="H318" s="302">
        <f t="shared" si="125"/>
        <v>0.90382247197897181</v>
      </c>
      <c r="I318" s="303"/>
      <c r="J318" s="302">
        <v>0.43351783924779741</v>
      </c>
      <c r="K318" s="302">
        <v>0.17027626901496135</v>
      </c>
      <c r="L318" s="302">
        <f t="shared" si="126"/>
        <v>0.6037941082627587</v>
      </c>
      <c r="M318" s="236"/>
      <c r="N318" s="236"/>
    </row>
    <row r="319" spans="1:14" x14ac:dyDescent="0.2">
      <c r="A319" s="237" t="str">
        <f>name!E$8</f>
        <v>Skilled trades occupations</v>
      </c>
      <c r="B319" s="302">
        <v>4.2792485596481383E-2</v>
      </c>
      <c r="C319" s="302">
        <v>3.7228732739855168</v>
      </c>
      <c r="D319" s="302">
        <f t="shared" si="124"/>
        <v>3.765665759581998</v>
      </c>
      <c r="E319" s="303"/>
      <c r="F319" s="302">
        <v>6.4259044630189888E-2</v>
      </c>
      <c r="G319" s="302">
        <v>2.716114528564693</v>
      </c>
      <c r="H319" s="302">
        <f t="shared" si="125"/>
        <v>2.7803735731948831</v>
      </c>
      <c r="I319" s="303"/>
      <c r="J319" s="302">
        <v>9.9452946301825343E-2</v>
      </c>
      <c r="K319" s="302">
        <v>1.9111634303278049</v>
      </c>
      <c r="L319" s="302">
        <f t="shared" si="126"/>
        <v>2.0106163766296303</v>
      </c>
      <c r="M319" s="236"/>
      <c r="N319" s="236"/>
    </row>
    <row r="320" spans="1:14" x14ac:dyDescent="0.2">
      <c r="A320" s="237" t="str">
        <f>name!E$9</f>
        <v>Caring, leisure and other service occupations</v>
      </c>
      <c r="B320" s="302">
        <v>3.3961944904543878E-2</v>
      </c>
      <c r="C320" s="302">
        <v>1.8284451362831394E-2</v>
      </c>
      <c r="D320" s="302">
        <f t="shared" si="124"/>
        <v>5.2246396267375275E-2</v>
      </c>
      <c r="E320" s="303"/>
      <c r="F320" s="302">
        <v>4.257277338784074E-2</v>
      </c>
      <c r="G320" s="302">
        <v>1.7890397368973427E-2</v>
      </c>
      <c r="H320" s="302">
        <f t="shared" si="125"/>
        <v>6.0463170756814164E-2</v>
      </c>
      <c r="I320" s="303"/>
      <c r="J320" s="302">
        <v>3.3871246097598305E-2</v>
      </c>
      <c r="K320" s="302">
        <v>2.0054631994919001E-2</v>
      </c>
      <c r="L320" s="302">
        <f t="shared" si="126"/>
        <v>5.392587809251731E-2</v>
      </c>
      <c r="M320" s="236"/>
      <c r="N320" s="236"/>
    </row>
    <row r="321" spans="1:14" x14ac:dyDescent="0.2">
      <c r="A321" s="237" t="str">
        <f>name!E$10</f>
        <v>Sales and customer service occupations</v>
      </c>
      <c r="B321" s="302">
        <v>0.12419923725283019</v>
      </c>
      <c r="C321" s="302">
        <v>0.12901565374334212</v>
      </c>
      <c r="D321" s="302">
        <f t="shared" si="124"/>
        <v>0.25321489099617234</v>
      </c>
      <c r="E321" s="303"/>
      <c r="F321" s="302">
        <v>0.16199066656921973</v>
      </c>
      <c r="G321" s="302">
        <v>0.11742371024325907</v>
      </c>
      <c r="H321" s="302">
        <f t="shared" si="125"/>
        <v>0.27941437681247883</v>
      </c>
      <c r="I321" s="303"/>
      <c r="J321" s="302">
        <v>0.12658271789053765</v>
      </c>
      <c r="K321" s="302">
        <v>0.10313843844189993</v>
      </c>
      <c r="L321" s="302">
        <f t="shared" si="126"/>
        <v>0.22972115633243759</v>
      </c>
      <c r="M321" s="236"/>
      <c r="N321" s="236"/>
    </row>
    <row r="322" spans="1:14" x14ac:dyDescent="0.2">
      <c r="A322" s="237" t="str">
        <f>name!E$11</f>
        <v>Process, plant and machine operatives</v>
      </c>
      <c r="B322" s="302">
        <v>0.37997497480907261</v>
      </c>
      <c r="C322" s="302">
        <v>1.4253309942820762</v>
      </c>
      <c r="D322" s="302">
        <f t="shared" si="124"/>
        <v>1.8053059690911488</v>
      </c>
      <c r="E322" s="303"/>
      <c r="F322" s="302">
        <v>0.38423363657435095</v>
      </c>
      <c r="G322" s="302">
        <v>1.0010182643136947</v>
      </c>
      <c r="H322" s="302">
        <f t="shared" si="125"/>
        <v>1.3852519008880457</v>
      </c>
      <c r="I322" s="303"/>
      <c r="J322" s="302">
        <v>0.37113881271982163</v>
      </c>
      <c r="K322" s="302">
        <v>0.94997820674371025</v>
      </c>
      <c r="L322" s="302">
        <f t="shared" si="126"/>
        <v>1.3211170194635318</v>
      </c>
      <c r="M322" s="236"/>
      <c r="N322" s="236"/>
    </row>
    <row r="323" spans="1:14" x14ac:dyDescent="0.2">
      <c r="A323" s="237" t="str">
        <f>name!E$12</f>
        <v>Elementary occupations</v>
      </c>
      <c r="B323" s="302">
        <v>0.10641750432591447</v>
      </c>
      <c r="C323" s="302">
        <v>0.22186853155158195</v>
      </c>
      <c r="D323" s="302">
        <f t="shared" si="124"/>
        <v>0.32828603587749644</v>
      </c>
      <c r="E323" s="303"/>
      <c r="F323" s="302">
        <v>0.10347634274789877</v>
      </c>
      <c r="G323" s="302">
        <v>0.1543171342162421</v>
      </c>
      <c r="H323" s="302">
        <f t="shared" si="125"/>
        <v>0.2577934769641409</v>
      </c>
      <c r="I323" s="303"/>
      <c r="J323" s="302">
        <v>7.7698036302464454E-2</v>
      </c>
      <c r="K323" s="302">
        <v>5.76204393869197E-2</v>
      </c>
      <c r="L323" s="302">
        <f t="shared" si="126"/>
        <v>0.13531847568938415</v>
      </c>
      <c r="M323" s="236"/>
      <c r="N323" s="236"/>
    </row>
    <row r="324" spans="1:14" x14ac:dyDescent="0.2">
      <c r="A324" s="237"/>
      <c r="B324" s="302"/>
      <c r="C324" s="302"/>
      <c r="D324" s="302"/>
      <c r="E324" s="303"/>
      <c r="F324" s="302"/>
      <c r="G324" s="302"/>
      <c r="H324" s="302"/>
      <c r="I324" s="303"/>
      <c r="J324" s="302"/>
      <c r="K324" s="302"/>
      <c r="L324" s="302"/>
      <c r="M324" s="236"/>
      <c r="N324" s="236"/>
    </row>
    <row r="325" spans="1:14" x14ac:dyDescent="0.2">
      <c r="A325" s="244" t="s">
        <v>32</v>
      </c>
      <c r="B325" s="311">
        <f>SUM(B315:B323)</f>
        <v>1.6009999999941469</v>
      </c>
      <c r="C325" s="311">
        <f t="shared" ref="C325:D325" si="127">SUM(C315:C323)</f>
        <v>9.8309999999812785</v>
      </c>
      <c r="D325" s="311">
        <f t="shared" si="127"/>
        <v>11.431999999975426</v>
      </c>
      <c r="E325" s="311"/>
      <c r="F325" s="311">
        <f t="shared" ref="F325:H325" si="128">SUM(F315:F323)</f>
        <v>2.124999999975699</v>
      </c>
      <c r="G325" s="311">
        <f t="shared" si="128"/>
        <v>8.7869999999885451</v>
      </c>
      <c r="H325" s="311">
        <f t="shared" si="128"/>
        <v>10.911999999964243</v>
      </c>
      <c r="I325" s="311"/>
      <c r="J325" s="311">
        <f t="shared" ref="J325:L325" si="129">SUM(J315:J323)</f>
        <v>1.7269999999986427</v>
      </c>
      <c r="K325" s="311">
        <f t="shared" si="129"/>
        <v>7.3829999999609601</v>
      </c>
      <c r="L325" s="311">
        <f t="shared" si="129"/>
        <v>9.1099999999596033</v>
      </c>
      <c r="M325" s="236"/>
      <c r="N325" s="236"/>
    </row>
    <row r="326" spans="1:14" x14ac:dyDescent="0.2">
      <c r="A326" s="237"/>
      <c r="B326" s="237"/>
      <c r="C326" s="237"/>
      <c r="D326" s="237"/>
      <c r="E326" s="237"/>
      <c r="F326" s="237"/>
      <c r="G326" s="237"/>
      <c r="H326" s="237"/>
      <c r="I326" s="237"/>
      <c r="J326" s="237"/>
      <c r="K326" s="237"/>
      <c r="L326" s="240"/>
      <c r="M326" s="236"/>
      <c r="N326" s="236"/>
    </row>
    <row r="327" spans="1:14" x14ac:dyDescent="0.2">
      <c r="A327" s="237"/>
      <c r="B327" s="237"/>
      <c r="C327" s="237"/>
      <c r="D327" s="237"/>
      <c r="E327" s="237"/>
      <c r="F327" s="237"/>
      <c r="G327" s="237"/>
      <c r="H327" s="237"/>
      <c r="I327" s="237"/>
      <c r="J327" s="237"/>
      <c r="K327" s="237"/>
      <c r="L327" s="256" t="s">
        <v>35</v>
      </c>
      <c r="M327" s="236"/>
      <c r="N327" s="236"/>
    </row>
    <row r="328" spans="1:14" x14ac:dyDescent="0.2">
      <c r="A328" s="242"/>
      <c r="B328" s="250"/>
      <c r="C328" s="250"/>
      <c r="D328" s="250"/>
      <c r="E328" s="250"/>
      <c r="F328" s="250"/>
      <c r="G328" s="250"/>
      <c r="H328" s="250"/>
      <c r="I328" s="250"/>
      <c r="J328" s="250"/>
      <c r="K328" s="250"/>
      <c r="L328" s="236"/>
      <c r="M328" s="236"/>
      <c r="N328" s="236"/>
    </row>
    <row r="329" spans="1:14" x14ac:dyDescent="0.2">
      <c r="A329" s="241" t="str">
        <f>name!A22</f>
        <v>Motor vehicles, etc</v>
      </c>
      <c r="B329" s="372">
        <f>B$6</f>
        <v>2015</v>
      </c>
      <c r="C329" s="372"/>
      <c r="D329" s="372"/>
      <c r="E329" s="253"/>
      <c r="F329" s="372">
        <f>F312</f>
        <v>2020</v>
      </c>
      <c r="G329" s="372"/>
      <c r="H329" s="372"/>
      <c r="I329" s="253"/>
      <c r="J329" s="372">
        <f>J312</f>
        <v>2035</v>
      </c>
      <c r="K329" s="372"/>
      <c r="L329" s="372"/>
      <c r="M329" s="236"/>
      <c r="N329" s="236"/>
    </row>
    <row r="330" spans="1:14" x14ac:dyDescent="0.2">
      <c r="A330" s="254"/>
      <c r="B330" s="255" t="s">
        <v>352</v>
      </c>
      <c r="C330" s="255" t="s">
        <v>353</v>
      </c>
      <c r="D330" s="255" t="s">
        <v>32</v>
      </c>
      <c r="E330" s="255"/>
      <c r="F330" s="255" t="s">
        <v>352</v>
      </c>
      <c r="G330" s="255" t="s">
        <v>353</v>
      </c>
      <c r="H330" s="255" t="s">
        <v>32</v>
      </c>
      <c r="I330" s="255"/>
      <c r="J330" s="255" t="s">
        <v>352</v>
      </c>
      <c r="K330" s="255" t="s">
        <v>353</v>
      </c>
      <c r="L330" s="255" t="s">
        <v>32</v>
      </c>
      <c r="M330" s="236"/>
      <c r="N330" s="236"/>
    </row>
    <row r="331" spans="1:14" x14ac:dyDescent="0.2">
      <c r="A331" s="258"/>
      <c r="B331" s="259"/>
      <c r="C331" s="259"/>
      <c r="D331" s="259"/>
      <c r="E331" s="259"/>
      <c r="F331" s="259"/>
      <c r="G331" s="259"/>
      <c r="H331" s="259"/>
      <c r="I331" s="259"/>
      <c r="J331" s="259"/>
      <c r="K331" s="259"/>
      <c r="L331" s="259"/>
      <c r="M331" s="236"/>
      <c r="N331" s="236"/>
    </row>
    <row r="332" spans="1:14" x14ac:dyDescent="0.2">
      <c r="A332" s="237" t="str">
        <f>name!E$4</f>
        <v>Managers, directors and senior officials</v>
      </c>
      <c r="B332" s="302">
        <v>2.4587669956086251E-2</v>
      </c>
      <c r="C332" s="302">
        <v>0.58975961023389134</v>
      </c>
      <c r="D332" s="302">
        <f>SUM(B332:C332)</f>
        <v>0.61434728018997764</v>
      </c>
      <c r="E332" s="303"/>
      <c r="F332" s="302">
        <v>4.1714912684273693E-2</v>
      </c>
      <c r="G332" s="302">
        <v>0.66642231923822304</v>
      </c>
      <c r="H332" s="302">
        <f>SUM(F332:G332)</f>
        <v>0.70813723192249678</v>
      </c>
      <c r="I332" s="303"/>
      <c r="J332" s="302">
        <v>3.7790485600980715E-2</v>
      </c>
      <c r="K332" s="302">
        <v>0.56869214135610957</v>
      </c>
      <c r="L332" s="302">
        <f>SUM(J332:K332)</f>
        <v>0.60648262695709032</v>
      </c>
      <c r="M332" s="236"/>
      <c r="N332" s="236"/>
    </row>
    <row r="333" spans="1:14" x14ac:dyDescent="0.2">
      <c r="A333" s="237" t="str">
        <f>name!E$5</f>
        <v>Professional occupations</v>
      </c>
      <c r="B333" s="302">
        <v>6.1208428716901866E-2</v>
      </c>
      <c r="C333" s="302">
        <v>2.0967130244158496</v>
      </c>
      <c r="D333" s="302">
        <f t="shared" ref="D333:D340" si="130">SUM(B333:C333)</f>
        <v>2.1579214531327513</v>
      </c>
      <c r="E333" s="303"/>
      <c r="F333" s="302">
        <v>0.1203002920763289</v>
      </c>
      <c r="G333" s="302">
        <v>2.6620444252897366</v>
      </c>
      <c r="H333" s="302">
        <f t="shared" ref="H333:H340" si="131">SUM(F333:G333)</f>
        <v>2.7823447173660654</v>
      </c>
      <c r="I333" s="303"/>
      <c r="J333" s="302">
        <v>0.11986885050598044</v>
      </c>
      <c r="K333" s="302">
        <v>2.6838857713942605</v>
      </c>
      <c r="L333" s="302">
        <f t="shared" ref="L333:L340" si="132">SUM(J333:K333)</f>
        <v>2.8037546219002412</v>
      </c>
      <c r="M333" s="236"/>
      <c r="N333" s="236"/>
    </row>
    <row r="334" spans="1:14" x14ac:dyDescent="0.2">
      <c r="A334" s="237" t="str">
        <f>name!E$6</f>
        <v>Associate professional occupations</v>
      </c>
      <c r="B334" s="302">
        <v>8.2343922645166254E-2</v>
      </c>
      <c r="C334" s="302">
        <v>0.90987015192642606</v>
      </c>
      <c r="D334" s="302">
        <f t="shared" si="130"/>
        <v>0.99221407457159227</v>
      </c>
      <c r="E334" s="303"/>
      <c r="F334" s="302">
        <v>0.13633532751842359</v>
      </c>
      <c r="G334" s="302">
        <v>1.1688764031147745</v>
      </c>
      <c r="H334" s="302">
        <f t="shared" si="131"/>
        <v>1.3052117306331981</v>
      </c>
      <c r="I334" s="303"/>
      <c r="J334" s="302">
        <v>0.10958374253823222</v>
      </c>
      <c r="K334" s="302">
        <v>0.89018061202230359</v>
      </c>
      <c r="L334" s="302">
        <f t="shared" si="132"/>
        <v>0.99976435456053581</v>
      </c>
      <c r="M334" s="236"/>
      <c r="N334" s="236"/>
    </row>
    <row r="335" spans="1:14" x14ac:dyDescent="0.2">
      <c r="A335" s="237" t="str">
        <f>name!E$7</f>
        <v>Administrative and secretarial occupations</v>
      </c>
      <c r="B335" s="302">
        <v>0.41531182044873927</v>
      </c>
      <c r="C335" s="302">
        <v>0.35763538716349597</v>
      </c>
      <c r="D335" s="302">
        <f t="shared" si="130"/>
        <v>0.77294720761223523</v>
      </c>
      <c r="E335" s="303"/>
      <c r="F335" s="302">
        <v>0.57692616294039789</v>
      </c>
      <c r="G335" s="302">
        <v>0.41988611077023241</v>
      </c>
      <c r="H335" s="302">
        <f t="shared" si="131"/>
        <v>0.9968122737106303</v>
      </c>
      <c r="I335" s="303"/>
      <c r="J335" s="302">
        <v>0.45379851270014154</v>
      </c>
      <c r="K335" s="302">
        <v>0.33753790991366234</v>
      </c>
      <c r="L335" s="302">
        <f t="shared" si="132"/>
        <v>0.79133642261380388</v>
      </c>
      <c r="M335" s="236"/>
      <c r="N335" s="236"/>
    </row>
    <row r="336" spans="1:14" x14ac:dyDescent="0.2">
      <c r="A336" s="237" t="str">
        <f>name!E$8</f>
        <v>Skilled trades occupations</v>
      </c>
      <c r="B336" s="302">
        <v>3.6357374610692675E-2</v>
      </c>
      <c r="C336" s="302">
        <v>3.9812248517543352</v>
      </c>
      <c r="D336" s="302">
        <f t="shared" si="130"/>
        <v>4.017582226365028</v>
      </c>
      <c r="E336" s="303"/>
      <c r="F336" s="302">
        <v>5.939127814006441E-2</v>
      </c>
      <c r="G336" s="302">
        <v>3.382717814433962</v>
      </c>
      <c r="H336" s="302">
        <f t="shared" si="131"/>
        <v>3.4421090925740265</v>
      </c>
      <c r="I336" s="303"/>
      <c r="J336" s="302">
        <v>9.0492315793178998E-2</v>
      </c>
      <c r="K336" s="302">
        <v>2.3922348091217578</v>
      </c>
      <c r="L336" s="302">
        <f t="shared" si="132"/>
        <v>2.4827271249149367</v>
      </c>
      <c r="M336" s="236"/>
      <c r="N336" s="236"/>
    </row>
    <row r="337" spans="1:14" x14ac:dyDescent="0.2">
      <c r="A337" s="237" t="str">
        <f>name!E$9</f>
        <v>Caring, leisure and other service occupations</v>
      </c>
      <c r="B337" s="302">
        <v>1.5040000543550001E-2</v>
      </c>
      <c r="C337" s="302">
        <v>0.14863778433646979</v>
      </c>
      <c r="D337" s="302">
        <f t="shared" si="130"/>
        <v>0.1636777848800198</v>
      </c>
      <c r="E337" s="303"/>
      <c r="F337" s="302">
        <v>1.5605086618576999E-2</v>
      </c>
      <c r="G337" s="302">
        <v>0.17510705031592752</v>
      </c>
      <c r="H337" s="302">
        <f t="shared" si="131"/>
        <v>0.19071213693450451</v>
      </c>
      <c r="I337" s="303"/>
      <c r="J337" s="302">
        <v>1.2878750037720193E-2</v>
      </c>
      <c r="K337" s="302">
        <v>0.23431499710799186</v>
      </c>
      <c r="L337" s="302">
        <f t="shared" si="132"/>
        <v>0.24719374714571204</v>
      </c>
      <c r="M337" s="236"/>
      <c r="N337" s="236"/>
    </row>
    <row r="338" spans="1:14" x14ac:dyDescent="0.2">
      <c r="A338" s="237" t="str">
        <f>name!E$10</f>
        <v>Sales and customer service occupations</v>
      </c>
      <c r="B338" s="302">
        <v>5.2815599481273477E-2</v>
      </c>
      <c r="C338" s="302">
        <v>0.17459959413470824</v>
      </c>
      <c r="D338" s="302">
        <f t="shared" si="130"/>
        <v>0.22741519361598173</v>
      </c>
      <c r="E338" s="303"/>
      <c r="F338" s="302">
        <v>7.2986900906450963E-2</v>
      </c>
      <c r="G338" s="302">
        <v>0.17018425569097292</v>
      </c>
      <c r="H338" s="302">
        <f t="shared" si="131"/>
        <v>0.24317115659742389</v>
      </c>
      <c r="I338" s="303"/>
      <c r="J338" s="302">
        <v>6.9008254706496311E-2</v>
      </c>
      <c r="K338" s="302">
        <v>0.15708323026679</v>
      </c>
      <c r="L338" s="302">
        <f t="shared" si="132"/>
        <v>0.22609148497328629</v>
      </c>
      <c r="M338" s="236"/>
      <c r="N338" s="236"/>
    </row>
    <row r="339" spans="1:14" x14ac:dyDescent="0.2">
      <c r="A339" s="237" t="str">
        <f>name!E$11</f>
        <v>Process, plant and machine operatives</v>
      </c>
      <c r="B339" s="302">
        <v>0.3012146893098856</v>
      </c>
      <c r="C339" s="302">
        <v>2.9283288919574844</v>
      </c>
      <c r="D339" s="302">
        <f t="shared" si="130"/>
        <v>3.2295435812673698</v>
      </c>
      <c r="E339" s="303"/>
      <c r="F339" s="302">
        <v>0.32119328597313873</v>
      </c>
      <c r="G339" s="302">
        <v>2.3757298740399748</v>
      </c>
      <c r="H339" s="302">
        <f t="shared" si="131"/>
        <v>2.6969231600131134</v>
      </c>
      <c r="I339" s="303"/>
      <c r="J339" s="302">
        <v>0.39003874560209284</v>
      </c>
      <c r="K339" s="302">
        <v>2.2702463410917044</v>
      </c>
      <c r="L339" s="302">
        <f t="shared" si="132"/>
        <v>2.660285086693797</v>
      </c>
      <c r="M339" s="236"/>
      <c r="N339" s="236"/>
    </row>
    <row r="340" spans="1:14" x14ac:dyDescent="0.2">
      <c r="A340" s="237" t="str">
        <f>name!E$12</f>
        <v>Elementary occupations</v>
      </c>
      <c r="B340" s="302">
        <v>4.9120494285073417E-2</v>
      </c>
      <c r="C340" s="302">
        <v>0.40123070408746342</v>
      </c>
      <c r="D340" s="302">
        <f t="shared" si="130"/>
        <v>0.45035119837253684</v>
      </c>
      <c r="E340" s="303"/>
      <c r="F340" s="302">
        <v>4.254675312321983E-2</v>
      </c>
      <c r="G340" s="302">
        <v>0.33203174709771199</v>
      </c>
      <c r="H340" s="302">
        <f t="shared" si="131"/>
        <v>0.37457850022093181</v>
      </c>
      <c r="I340" s="303"/>
      <c r="J340" s="302">
        <v>1.8540342510626844E-2</v>
      </c>
      <c r="K340" s="302">
        <v>0.1588241876730932</v>
      </c>
      <c r="L340" s="302">
        <f t="shared" si="132"/>
        <v>0.17736453018372003</v>
      </c>
      <c r="M340" s="236"/>
      <c r="N340" s="236"/>
    </row>
    <row r="341" spans="1:14" x14ac:dyDescent="0.2">
      <c r="A341" s="237"/>
      <c r="B341" s="302"/>
      <c r="C341" s="302"/>
      <c r="D341" s="302"/>
      <c r="E341" s="303"/>
      <c r="F341" s="302"/>
      <c r="G341" s="302"/>
      <c r="H341" s="302"/>
      <c r="I341" s="303"/>
      <c r="J341" s="302"/>
      <c r="K341" s="302"/>
      <c r="L341" s="302"/>
      <c r="M341" s="236"/>
      <c r="N341" s="236"/>
    </row>
    <row r="342" spans="1:14" x14ac:dyDescent="0.2">
      <c r="A342" s="244" t="s">
        <v>32</v>
      </c>
      <c r="B342" s="311">
        <f>SUM(B332:B340)</f>
        <v>1.0379999999973688</v>
      </c>
      <c r="C342" s="311">
        <f t="shared" ref="C342:D342" si="133">SUM(C332:C340)</f>
        <v>11.588000000010124</v>
      </c>
      <c r="D342" s="311">
        <f t="shared" si="133"/>
        <v>12.626000000007494</v>
      </c>
      <c r="E342" s="311"/>
      <c r="F342" s="311">
        <f t="shared" ref="F342:H342" si="134">SUM(F332:F340)</f>
        <v>1.3869999999808749</v>
      </c>
      <c r="G342" s="311">
        <f t="shared" si="134"/>
        <v>11.352999999991516</v>
      </c>
      <c r="H342" s="311">
        <f t="shared" si="134"/>
        <v>12.73999999997239</v>
      </c>
      <c r="I342" s="311"/>
      <c r="J342" s="311">
        <f t="shared" ref="J342:L342" si="135">SUM(J332:J340)</f>
        <v>1.3019999999954499</v>
      </c>
      <c r="K342" s="311">
        <f t="shared" si="135"/>
        <v>9.6929999999476735</v>
      </c>
      <c r="L342" s="311">
        <f t="shared" si="135"/>
        <v>10.994999999943122</v>
      </c>
      <c r="M342" s="236"/>
      <c r="N342" s="236"/>
    </row>
    <row r="343" spans="1:14" x14ac:dyDescent="0.2">
      <c r="A343" s="237"/>
      <c r="B343" s="237"/>
      <c r="C343" s="237"/>
      <c r="D343" s="237"/>
      <c r="E343" s="237"/>
      <c r="F343" s="237"/>
      <c r="G343" s="237"/>
      <c r="H343" s="237"/>
      <c r="I343" s="237"/>
      <c r="J343" s="237"/>
      <c r="K343" s="237"/>
      <c r="L343" s="240"/>
      <c r="M343" s="236"/>
      <c r="N343" s="236"/>
    </row>
    <row r="344" spans="1:14" x14ac:dyDescent="0.2">
      <c r="A344" s="237"/>
      <c r="B344" s="237"/>
      <c r="C344" s="237"/>
      <c r="D344" s="237"/>
      <c r="E344" s="237"/>
      <c r="F344" s="237"/>
      <c r="G344" s="237"/>
      <c r="H344" s="237"/>
      <c r="I344" s="237"/>
      <c r="J344" s="237"/>
      <c r="K344" s="237"/>
      <c r="L344" s="256" t="s">
        <v>35</v>
      </c>
      <c r="M344" s="236"/>
      <c r="N344" s="236"/>
    </row>
    <row r="345" spans="1:14" x14ac:dyDescent="0.2">
      <c r="A345" s="242"/>
      <c r="B345" s="250"/>
      <c r="C345" s="250"/>
      <c r="D345" s="250"/>
      <c r="E345" s="250"/>
      <c r="F345" s="250"/>
      <c r="G345" s="250"/>
      <c r="H345" s="250"/>
      <c r="I345" s="250"/>
      <c r="J345" s="250"/>
      <c r="K345" s="250"/>
      <c r="L345" s="236"/>
      <c r="M345" s="236"/>
      <c r="N345" s="236"/>
    </row>
    <row r="346" spans="1:14" x14ac:dyDescent="0.2">
      <c r="A346" s="241" t="str">
        <f>name!A23</f>
        <v>Other transport equipment</v>
      </c>
      <c r="B346" s="372">
        <f>B$6</f>
        <v>2015</v>
      </c>
      <c r="C346" s="372"/>
      <c r="D346" s="372"/>
      <c r="E346" s="253"/>
      <c r="F346" s="372">
        <f>F329</f>
        <v>2020</v>
      </c>
      <c r="G346" s="372"/>
      <c r="H346" s="372"/>
      <c r="I346" s="253"/>
      <c r="J346" s="372">
        <f>J329</f>
        <v>2035</v>
      </c>
      <c r="K346" s="372"/>
      <c r="L346" s="372"/>
      <c r="M346" s="236"/>
      <c r="N346" s="236"/>
    </row>
    <row r="347" spans="1:14" x14ac:dyDescent="0.2">
      <c r="A347" s="254"/>
      <c r="B347" s="255" t="s">
        <v>352</v>
      </c>
      <c r="C347" s="255" t="s">
        <v>353</v>
      </c>
      <c r="D347" s="255" t="s">
        <v>32</v>
      </c>
      <c r="E347" s="255"/>
      <c r="F347" s="255" t="s">
        <v>352</v>
      </c>
      <c r="G347" s="255" t="s">
        <v>353</v>
      </c>
      <c r="H347" s="255" t="s">
        <v>32</v>
      </c>
      <c r="I347" s="255"/>
      <c r="J347" s="255" t="s">
        <v>352</v>
      </c>
      <c r="K347" s="255" t="s">
        <v>353</v>
      </c>
      <c r="L347" s="255" t="s">
        <v>32</v>
      </c>
      <c r="M347" s="236"/>
      <c r="N347" s="236"/>
    </row>
    <row r="348" spans="1:14" x14ac:dyDescent="0.2">
      <c r="A348" s="258"/>
      <c r="B348" s="259"/>
      <c r="C348" s="259"/>
      <c r="D348" s="259"/>
      <c r="E348" s="259"/>
      <c r="F348" s="259"/>
      <c r="G348" s="259"/>
      <c r="H348" s="259"/>
      <c r="I348" s="259"/>
      <c r="J348" s="259"/>
      <c r="K348" s="259"/>
      <c r="L348" s="259"/>
      <c r="M348" s="236"/>
      <c r="N348" s="236"/>
    </row>
    <row r="349" spans="1:14" x14ac:dyDescent="0.2">
      <c r="A349" s="237" t="str">
        <f>name!E$4</f>
        <v>Managers, directors and senior officials</v>
      </c>
      <c r="B349" s="302">
        <v>6.1762821240517784E-3</v>
      </c>
      <c r="C349" s="302">
        <v>0.10937696199336946</v>
      </c>
      <c r="D349" s="302">
        <f>SUM(B349:C349)</f>
        <v>0.11555324411742124</v>
      </c>
      <c r="E349" s="303"/>
      <c r="F349" s="302">
        <v>1.497020662936065E-2</v>
      </c>
      <c r="G349" s="302">
        <v>0.16559320834758981</v>
      </c>
      <c r="H349" s="302">
        <f>SUM(F349:G349)</f>
        <v>0.18056341497695047</v>
      </c>
      <c r="I349" s="303"/>
      <c r="J349" s="302">
        <v>1.1709370655091774E-2</v>
      </c>
      <c r="K349" s="302">
        <v>9.5664843902694266E-2</v>
      </c>
      <c r="L349" s="302">
        <f>SUM(J349:K349)</f>
        <v>0.10737421455778604</v>
      </c>
      <c r="M349" s="236"/>
      <c r="N349" s="236"/>
    </row>
    <row r="350" spans="1:14" x14ac:dyDescent="0.2">
      <c r="A350" s="237" t="str">
        <f>name!E$5</f>
        <v>Professional occupations</v>
      </c>
      <c r="B350" s="302">
        <v>1.2230435076557739E-2</v>
      </c>
      <c r="C350" s="302">
        <v>0.40465780848901356</v>
      </c>
      <c r="D350" s="302">
        <f t="shared" ref="D350:D357" si="136">SUM(B350:C350)</f>
        <v>0.4168882435655713</v>
      </c>
      <c r="E350" s="303"/>
      <c r="F350" s="302">
        <v>3.4387559396468786E-2</v>
      </c>
      <c r="G350" s="302">
        <v>0.7085919782050244</v>
      </c>
      <c r="H350" s="302">
        <f t="shared" ref="H350:H357" si="137">SUM(F350:G350)</f>
        <v>0.74297953760149316</v>
      </c>
      <c r="I350" s="303"/>
      <c r="J350" s="302">
        <v>2.8483237912780613E-2</v>
      </c>
      <c r="K350" s="302">
        <v>0.52845150932432716</v>
      </c>
      <c r="L350" s="302">
        <f t="shared" ref="L350:L357" si="138">SUM(J350:K350)</f>
        <v>0.55693474723710779</v>
      </c>
      <c r="M350" s="236"/>
      <c r="N350" s="236"/>
    </row>
    <row r="351" spans="1:14" x14ac:dyDescent="0.2">
      <c r="A351" s="237" t="str">
        <f>name!E$6</f>
        <v>Associate professional occupations</v>
      </c>
      <c r="B351" s="302">
        <v>1.2928567609953119E-2</v>
      </c>
      <c r="C351" s="302">
        <v>0.17044041159454026</v>
      </c>
      <c r="D351" s="302">
        <f t="shared" si="136"/>
        <v>0.18336897920449338</v>
      </c>
      <c r="E351" s="303"/>
      <c r="F351" s="302">
        <v>3.1408045045562522E-2</v>
      </c>
      <c r="G351" s="302">
        <v>0.29639590758306522</v>
      </c>
      <c r="H351" s="302">
        <f t="shared" si="137"/>
        <v>0.32780395262862771</v>
      </c>
      <c r="I351" s="303"/>
      <c r="J351" s="302">
        <v>2.323925327186015E-2</v>
      </c>
      <c r="K351" s="302">
        <v>0.17039835738986209</v>
      </c>
      <c r="L351" s="302">
        <f t="shared" si="138"/>
        <v>0.19363761066172225</v>
      </c>
      <c r="M351" s="236"/>
      <c r="N351" s="236"/>
    </row>
    <row r="352" spans="1:14" x14ac:dyDescent="0.2">
      <c r="A352" s="237" t="str">
        <f>name!E$7</f>
        <v>Administrative and secretarial occupations</v>
      </c>
      <c r="B352" s="302">
        <v>7.2562874612590172E-2</v>
      </c>
      <c r="C352" s="302">
        <v>3.2028970120963944E-2</v>
      </c>
      <c r="D352" s="302">
        <f t="shared" si="136"/>
        <v>0.10459184473355412</v>
      </c>
      <c r="E352" s="303"/>
      <c r="F352" s="302">
        <v>0.13983982097218051</v>
      </c>
      <c r="G352" s="302">
        <v>4.8284451133273627E-2</v>
      </c>
      <c r="H352" s="302">
        <f t="shared" si="137"/>
        <v>0.18812427210545413</v>
      </c>
      <c r="I352" s="303"/>
      <c r="J352" s="302">
        <v>9.1706223859241334E-2</v>
      </c>
      <c r="K352" s="302">
        <v>2.0302050580676245E-2</v>
      </c>
      <c r="L352" s="302">
        <f t="shared" si="138"/>
        <v>0.11200827443991758</v>
      </c>
      <c r="M352" s="236"/>
      <c r="N352" s="236"/>
    </row>
    <row r="353" spans="1:14" x14ac:dyDescent="0.2">
      <c r="A353" s="237" t="str">
        <f>name!E$8</f>
        <v>Skilled trades occupations</v>
      </c>
      <c r="B353" s="302">
        <v>7.5674544638031577E-3</v>
      </c>
      <c r="C353" s="302">
        <v>0.80926852382681524</v>
      </c>
      <c r="D353" s="302">
        <f t="shared" si="136"/>
        <v>0.81683597829061838</v>
      </c>
      <c r="E353" s="303"/>
      <c r="F353" s="302">
        <v>1.4581309695410237E-2</v>
      </c>
      <c r="G353" s="302">
        <v>0.90296041578439123</v>
      </c>
      <c r="H353" s="302">
        <f t="shared" si="137"/>
        <v>0.91754172547980151</v>
      </c>
      <c r="I353" s="303"/>
      <c r="J353" s="302">
        <v>1.295014869959123E-2</v>
      </c>
      <c r="K353" s="302">
        <v>0.44038332706212546</v>
      </c>
      <c r="L353" s="302">
        <f t="shared" si="138"/>
        <v>0.45333347576171668</v>
      </c>
      <c r="M353" s="236"/>
      <c r="N353" s="236"/>
    </row>
    <row r="354" spans="1:14" x14ac:dyDescent="0.2">
      <c r="A354" s="237" t="str">
        <f>name!E$9</f>
        <v>Caring, leisure and other service occupations</v>
      </c>
      <c r="B354" s="302">
        <v>1.9484753326674121E-3</v>
      </c>
      <c r="C354" s="302">
        <v>3.5201772123424689E-3</v>
      </c>
      <c r="D354" s="302">
        <f t="shared" si="136"/>
        <v>5.468652545009881E-3</v>
      </c>
      <c r="E354" s="303"/>
      <c r="F354" s="302">
        <v>3.3977727731030714E-3</v>
      </c>
      <c r="G354" s="302">
        <v>6.2700842785596489E-3</v>
      </c>
      <c r="H354" s="302">
        <f t="shared" si="137"/>
        <v>9.6678570516627212E-3</v>
      </c>
      <c r="I354" s="303"/>
      <c r="J354" s="302">
        <v>2.3962228119562014E-3</v>
      </c>
      <c r="K354" s="302">
        <v>4.5825071371902622E-3</v>
      </c>
      <c r="L354" s="302">
        <f t="shared" si="138"/>
        <v>6.978729949146464E-3</v>
      </c>
      <c r="M354" s="236"/>
      <c r="N354" s="236"/>
    </row>
    <row r="355" spans="1:14" x14ac:dyDescent="0.2">
      <c r="A355" s="237" t="str">
        <f>name!E$10</f>
        <v>Sales and customer service occupations</v>
      </c>
      <c r="B355" s="302">
        <v>4.4647277084518926E-3</v>
      </c>
      <c r="C355" s="302">
        <v>1.0783680485200165E-2</v>
      </c>
      <c r="D355" s="302">
        <f t="shared" si="136"/>
        <v>1.5248408193652058E-2</v>
      </c>
      <c r="E355" s="303"/>
      <c r="F355" s="302">
        <v>8.8396144789609152E-3</v>
      </c>
      <c r="G355" s="302">
        <v>1.6753941370204702E-2</v>
      </c>
      <c r="H355" s="302">
        <f t="shared" si="137"/>
        <v>2.5593555849165617E-2</v>
      </c>
      <c r="I355" s="303"/>
      <c r="J355" s="302">
        <v>7.4333339029028769E-3</v>
      </c>
      <c r="K355" s="302">
        <v>1.1685057019600055E-2</v>
      </c>
      <c r="L355" s="302">
        <f t="shared" si="138"/>
        <v>1.9118390922502931E-2</v>
      </c>
      <c r="M355" s="236"/>
      <c r="N355" s="236"/>
    </row>
    <row r="356" spans="1:14" x14ac:dyDescent="0.2">
      <c r="A356" s="237" t="str">
        <f>name!E$11</f>
        <v>Process, plant and machine operatives</v>
      </c>
      <c r="B356" s="302">
        <v>2.9611131258026092E-3</v>
      </c>
      <c r="C356" s="302">
        <v>0.21187243036810069</v>
      </c>
      <c r="D356" s="302">
        <f t="shared" si="136"/>
        <v>0.2148335434939033</v>
      </c>
      <c r="E356" s="303"/>
      <c r="F356" s="302">
        <v>4.6561211670813549E-3</v>
      </c>
      <c r="G356" s="302">
        <v>0.22729280442720742</v>
      </c>
      <c r="H356" s="302">
        <f t="shared" si="137"/>
        <v>0.23194892559428879</v>
      </c>
      <c r="I356" s="303"/>
      <c r="J356" s="302">
        <v>4.0803185418300213E-3</v>
      </c>
      <c r="K356" s="302">
        <v>0.16303168891469069</v>
      </c>
      <c r="L356" s="302">
        <f t="shared" si="138"/>
        <v>0.16711200745652072</v>
      </c>
      <c r="M356" s="236"/>
      <c r="N356" s="236"/>
    </row>
    <row r="357" spans="1:14" x14ac:dyDescent="0.2">
      <c r="A357" s="237" t="str">
        <f>name!E$12</f>
        <v>Elementary occupations</v>
      </c>
      <c r="B357" s="302">
        <v>3.160069945465215E-3</v>
      </c>
      <c r="C357" s="302">
        <v>2.9051035907770043E-2</v>
      </c>
      <c r="D357" s="302">
        <f t="shared" si="136"/>
        <v>3.2211105853235257E-2</v>
      </c>
      <c r="E357" s="303"/>
      <c r="F357" s="302">
        <v>4.9195498398231629E-3</v>
      </c>
      <c r="G357" s="302">
        <v>3.4857208866998134E-2</v>
      </c>
      <c r="H357" s="302">
        <f t="shared" si="137"/>
        <v>3.9776758706821298E-2</v>
      </c>
      <c r="I357" s="303"/>
      <c r="J357" s="302">
        <v>3.001890344456512E-3</v>
      </c>
      <c r="K357" s="302">
        <v>1.1500658664968157E-2</v>
      </c>
      <c r="L357" s="302">
        <f t="shared" si="138"/>
        <v>1.4502549009424669E-2</v>
      </c>
      <c r="M357" s="236"/>
      <c r="N357" s="236"/>
    </row>
    <row r="358" spans="1:14" x14ac:dyDescent="0.2">
      <c r="A358" s="237"/>
      <c r="B358" s="302"/>
      <c r="C358" s="302"/>
      <c r="D358" s="302"/>
      <c r="E358" s="303"/>
      <c r="F358" s="302"/>
      <c r="G358" s="302"/>
      <c r="H358" s="302"/>
      <c r="I358" s="303"/>
      <c r="J358" s="302"/>
      <c r="K358" s="302"/>
      <c r="L358" s="302"/>
      <c r="M358" s="236"/>
      <c r="N358" s="236"/>
    </row>
    <row r="359" spans="1:14" x14ac:dyDescent="0.2">
      <c r="A359" s="244" t="s">
        <v>32</v>
      </c>
      <c r="B359" s="311">
        <f>SUM(B349:B357)</f>
        <v>0.12399999999934311</v>
      </c>
      <c r="C359" s="311">
        <f t="shared" ref="C359:D359" si="139">SUM(C349:C357)</f>
        <v>1.7809999999981159</v>
      </c>
      <c r="D359" s="311">
        <f t="shared" si="139"/>
        <v>1.9049999999974589</v>
      </c>
      <c r="E359" s="311"/>
      <c r="F359" s="311">
        <f t="shared" ref="F359:H359" si="140">SUM(F349:F357)</f>
        <v>0.25699999999795126</v>
      </c>
      <c r="G359" s="311">
        <f t="shared" si="140"/>
        <v>2.4069999999963141</v>
      </c>
      <c r="H359" s="311">
        <f t="shared" si="140"/>
        <v>2.6639999999942656</v>
      </c>
      <c r="I359" s="311"/>
      <c r="J359" s="311">
        <f t="shared" ref="J359:L359" si="141">SUM(J349:J357)</f>
        <v>0.18499999999971073</v>
      </c>
      <c r="K359" s="311">
        <f t="shared" si="141"/>
        <v>1.4459999999961346</v>
      </c>
      <c r="L359" s="311">
        <f t="shared" si="141"/>
        <v>1.6309999999958449</v>
      </c>
      <c r="M359" s="236"/>
      <c r="N359" s="236"/>
    </row>
    <row r="360" spans="1:14" x14ac:dyDescent="0.2">
      <c r="A360" s="237"/>
      <c r="B360" s="237"/>
      <c r="C360" s="237"/>
      <c r="D360" s="237"/>
      <c r="E360" s="237"/>
      <c r="F360" s="237"/>
      <c r="G360" s="237"/>
      <c r="H360" s="237"/>
      <c r="I360" s="237"/>
      <c r="J360" s="237"/>
      <c r="K360" s="237"/>
      <c r="L360" s="240"/>
      <c r="M360" s="236"/>
      <c r="N360" s="236"/>
    </row>
    <row r="361" spans="1:14" x14ac:dyDescent="0.2">
      <c r="A361" s="237"/>
      <c r="B361" s="237"/>
      <c r="C361" s="237"/>
      <c r="D361" s="237"/>
      <c r="E361" s="237"/>
      <c r="F361" s="237"/>
      <c r="G361" s="237"/>
      <c r="H361" s="237"/>
      <c r="I361" s="237"/>
      <c r="J361" s="237"/>
      <c r="K361" s="237"/>
      <c r="L361" s="256" t="s">
        <v>35</v>
      </c>
      <c r="M361" s="236"/>
      <c r="N361" s="236"/>
    </row>
    <row r="362" spans="1:14" x14ac:dyDescent="0.2">
      <c r="A362" s="242"/>
      <c r="B362" s="250"/>
      <c r="C362" s="250"/>
      <c r="D362" s="250"/>
      <c r="E362" s="250"/>
      <c r="F362" s="250"/>
      <c r="G362" s="250"/>
      <c r="H362" s="250"/>
      <c r="I362" s="250"/>
      <c r="J362" s="250"/>
      <c r="K362" s="250"/>
      <c r="L362" s="236"/>
      <c r="M362" s="236"/>
      <c r="N362" s="236"/>
    </row>
    <row r="363" spans="1:14" x14ac:dyDescent="0.2">
      <c r="A363" s="241" t="str">
        <f>name!A24</f>
        <v>Furniture</v>
      </c>
      <c r="B363" s="372">
        <f>B$6</f>
        <v>2015</v>
      </c>
      <c r="C363" s="372"/>
      <c r="D363" s="372"/>
      <c r="E363" s="253"/>
      <c r="F363" s="372">
        <f>F346</f>
        <v>2020</v>
      </c>
      <c r="G363" s="372"/>
      <c r="H363" s="372"/>
      <c r="I363" s="253"/>
      <c r="J363" s="372">
        <f>J346</f>
        <v>2035</v>
      </c>
      <c r="K363" s="372"/>
      <c r="L363" s="372"/>
      <c r="M363" s="236"/>
      <c r="N363" s="236"/>
    </row>
    <row r="364" spans="1:14" x14ac:dyDescent="0.2">
      <c r="A364" s="254"/>
      <c r="B364" s="255" t="s">
        <v>352</v>
      </c>
      <c r="C364" s="255" t="s">
        <v>353</v>
      </c>
      <c r="D364" s="255" t="s">
        <v>32</v>
      </c>
      <c r="E364" s="255"/>
      <c r="F364" s="255" t="s">
        <v>352</v>
      </c>
      <c r="G364" s="255" t="s">
        <v>353</v>
      </c>
      <c r="H364" s="255" t="s">
        <v>32</v>
      </c>
      <c r="I364" s="255"/>
      <c r="J364" s="255" t="s">
        <v>352</v>
      </c>
      <c r="K364" s="255" t="s">
        <v>353</v>
      </c>
      <c r="L364" s="255" t="s">
        <v>32</v>
      </c>
      <c r="M364" s="236"/>
      <c r="N364" s="236"/>
    </row>
    <row r="365" spans="1:14" x14ac:dyDescent="0.2">
      <c r="A365" s="258"/>
      <c r="B365" s="259"/>
      <c r="C365" s="259"/>
      <c r="D365" s="259"/>
      <c r="E365" s="259"/>
      <c r="F365" s="259"/>
      <c r="G365" s="259"/>
      <c r="H365" s="259"/>
      <c r="I365" s="259"/>
      <c r="J365" s="259"/>
      <c r="K365" s="259"/>
      <c r="L365" s="259"/>
      <c r="M365" s="236"/>
      <c r="N365" s="236"/>
    </row>
    <row r="366" spans="1:14" x14ac:dyDescent="0.2">
      <c r="A366" s="237" t="str">
        <f>name!E$4</f>
        <v>Managers, directors and senior officials</v>
      </c>
      <c r="B366" s="302">
        <v>2.7409517889624001E-2</v>
      </c>
      <c r="C366" s="302">
        <v>0.38301690445913517</v>
      </c>
      <c r="D366" s="302">
        <f>SUM(B366:C366)</f>
        <v>0.41042642234875915</v>
      </c>
      <c r="E366" s="303"/>
      <c r="F366" s="302">
        <v>2.2368713790304702E-2</v>
      </c>
      <c r="G366" s="302">
        <v>0.22570535742765138</v>
      </c>
      <c r="H366" s="302">
        <f>SUM(F366:G366)</f>
        <v>0.24807407121795608</v>
      </c>
      <c r="I366" s="303"/>
      <c r="J366" s="302">
        <v>2.2015218820153785E-2</v>
      </c>
      <c r="K366" s="302">
        <v>0.21606412782425344</v>
      </c>
      <c r="L366" s="302">
        <f>SUM(J366:K366)</f>
        <v>0.23807934664440722</v>
      </c>
      <c r="M366" s="236"/>
      <c r="N366" s="236"/>
    </row>
    <row r="367" spans="1:14" x14ac:dyDescent="0.2">
      <c r="A367" s="237" t="str">
        <f>name!E$5</f>
        <v>Professional occupations</v>
      </c>
      <c r="B367" s="302">
        <v>2.5732650232727451E-2</v>
      </c>
      <c r="C367" s="302">
        <v>0.39291816690917092</v>
      </c>
      <c r="D367" s="302">
        <f t="shared" ref="D367:D374" si="142">SUM(B367:C367)</f>
        <v>0.41865081714189839</v>
      </c>
      <c r="E367" s="303"/>
      <c r="F367" s="302">
        <v>2.2003458426577218E-2</v>
      </c>
      <c r="G367" s="302">
        <v>0.28302022779048019</v>
      </c>
      <c r="H367" s="302">
        <f t="shared" ref="H367:H374" si="143">SUM(F367:G367)</f>
        <v>0.30502368621705739</v>
      </c>
      <c r="I367" s="303"/>
      <c r="J367" s="302">
        <v>2.3444698621776339E-2</v>
      </c>
      <c r="K367" s="302">
        <v>0.3200934163505133</v>
      </c>
      <c r="L367" s="302">
        <f t="shared" ref="L367:L374" si="144">SUM(J367:K367)</f>
        <v>0.34353811497228964</v>
      </c>
      <c r="M367" s="236"/>
      <c r="N367" s="236"/>
    </row>
    <row r="368" spans="1:14" x14ac:dyDescent="0.2">
      <c r="A368" s="237" t="str">
        <f>name!E$6</f>
        <v>Associate professional occupations</v>
      </c>
      <c r="B368" s="302">
        <v>3.5685362987144288E-2</v>
      </c>
      <c r="C368" s="302">
        <v>0.2722886534250179</v>
      </c>
      <c r="D368" s="302">
        <f t="shared" si="142"/>
        <v>0.30797401641216221</v>
      </c>
      <c r="E368" s="303"/>
      <c r="F368" s="302">
        <v>2.6074281160113601E-2</v>
      </c>
      <c r="G368" s="302">
        <v>0.18572644663584234</v>
      </c>
      <c r="H368" s="302">
        <f t="shared" si="143"/>
        <v>0.21180072779595593</v>
      </c>
      <c r="I368" s="303"/>
      <c r="J368" s="302">
        <v>2.3512821538266827E-2</v>
      </c>
      <c r="K368" s="302">
        <v>0.16551039759124836</v>
      </c>
      <c r="L368" s="302">
        <f t="shared" si="144"/>
        <v>0.1890232191295152</v>
      </c>
      <c r="M368" s="236"/>
      <c r="N368" s="236"/>
    </row>
    <row r="369" spans="1:14" x14ac:dyDescent="0.2">
      <c r="A369" s="237" t="str">
        <f>name!E$7</f>
        <v>Administrative and secretarial occupations</v>
      </c>
      <c r="B369" s="302">
        <v>0.16232962382622043</v>
      </c>
      <c r="C369" s="302">
        <v>0.1833971827573605</v>
      </c>
      <c r="D369" s="302">
        <f t="shared" si="142"/>
        <v>0.3457268065835809</v>
      </c>
      <c r="E369" s="303"/>
      <c r="F369" s="302">
        <v>0.10073032738350099</v>
      </c>
      <c r="G369" s="302">
        <v>0.12541259421369794</v>
      </c>
      <c r="H369" s="302">
        <f t="shared" si="143"/>
        <v>0.22614292159719893</v>
      </c>
      <c r="I369" s="303"/>
      <c r="J369" s="302">
        <v>7.3305509830081467E-2</v>
      </c>
      <c r="K369" s="302">
        <v>0.11336247059371042</v>
      </c>
      <c r="L369" s="302">
        <f t="shared" si="144"/>
        <v>0.1866679804237919</v>
      </c>
      <c r="M369" s="236"/>
      <c r="N369" s="236"/>
    </row>
    <row r="370" spans="1:14" x14ac:dyDescent="0.2">
      <c r="A370" s="237" t="str">
        <f>name!E$8</f>
        <v>Skilled trades occupations</v>
      </c>
      <c r="B370" s="302">
        <v>2.5243673475532625E-2</v>
      </c>
      <c r="C370" s="302">
        <v>2.4843100134159868</v>
      </c>
      <c r="D370" s="302">
        <f t="shared" si="142"/>
        <v>2.5095536868915196</v>
      </c>
      <c r="E370" s="303"/>
      <c r="F370" s="302">
        <v>1.9213938571408466E-2</v>
      </c>
      <c r="G370" s="302">
        <v>0.9257827133228933</v>
      </c>
      <c r="H370" s="302">
        <f t="shared" si="143"/>
        <v>0.94499665189430182</v>
      </c>
      <c r="I370" s="303"/>
      <c r="J370" s="302">
        <v>2.0042495117426E-2</v>
      </c>
      <c r="K370" s="302">
        <v>0.71941835918896613</v>
      </c>
      <c r="L370" s="302">
        <f t="shared" si="144"/>
        <v>0.73946085430639208</v>
      </c>
      <c r="M370" s="236"/>
      <c r="N370" s="236"/>
    </row>
    <row r="371" spans="1:14" x14ac:dyDescent="0.2">
      <c r="A371" s="237" t="str">
        <f>name!E$9</f>
        <v>Caring, leisure and other service occupations</v>
      </c>
      <c r="B371" s="302">
        <v>6.314740689258652E-3</v>
      </c>
      <c r="C371" s="302">
        <v>7.0463494409940125E-3</v>
      </c>
      <c r="D371" s="302">
        <f t="shared" si="142"/>
        <v>1.3361090130252665E-2</v>
      </c>
      <c r="E371" s="303"/>
      <c r="F371" s="302">
        <v>3.1938385936731003E-3</v>
      </c>
      <c r="G371" s="302">
        <v>3.479422243918119E-3</v>
      </c>
      <c r="H371" s="302">
        <f t="shared" si="143"/>
        <v>6.6732608375912189E-3</v>
      </c>
      <c r="I371" s="303"/>
      <c r="J371" s="302">
        <v>2.1516116582470622E-3</v>
      </c>
      <c r="K371" s="302">
        <v>3.1786582988492366E-3</v>
      </c>
      <c r="L371" s="302">
        <f t="shared" si="144"/>
        <v>5.3302699570962984E-3</v>
      </c>
      <c r="M371" s="236"/>
      <c r="N371" s="236"/>
    </row>
    <row r="372" spans="1:14" x14ac:dyDescent="0.2">
      <c r="A372" s="237" t="str">
        <f>name!E$10</f>
        <v>Sales and customer service occupations</v>
      </c>
      <c r="B372" s="302">
        <v>4.1667747839260576E-2</v>
      </c>
      <c r="C372" s="302">
        <v>0.11888329570171842</v>
      </c>
      <c r="D372" s="302">
        <f t="shared" si="142"/>
        <v>0.16055104354097899</v>
      </c>
      <c r="E372" s="303"/>
      <c r="F372" s="302">
        <v>2.4915195550627225E-2</v>
      </c>
      <c r="G372" s="302">
        <v>6.5369081097369733E-2</v>
      </c>
      <c r="H372" s="302">
        <f t="shared" si="143"/>
        <v>9.0284276647996958E-2</v>
      </c>
      <c r="I372" s="303"/>
      <c r="J372" s="302">
        <v>2.1636566837287704E-2</v>
      </c>
      <c r="K372" s="302">
        <v>6.63868917848182E-2</v>
      </c>
      <c r="L372" s="302">
        <f t="shared" si="144"/>
        <v>8.8023458622105907E-2</v>
      </c>
      <c r="M372" s="236"/>
      <c r="N372" s="236"/>
    </row>
    <row r="373" spans="1:14" x14ac:dyDescent="0.2">
      <c r="A373" s="237" t="str">
        <f>name!E$11</f>
        <v>Process, plant and machine operatives</v>
      </c>
      <c r="B373" s="302">
        <v>9.9210443805061152E-2</v>
      </c>
      <c r="C373" s="302">
        <v>1.241954930191782</v>
      </c>
      <c r="D373" s="302">
        <f t="shared" si="142"/>
        <v>1.3411653739968432</v>
      </c>
      <c r="E373" s="303"/>
      <c r="F373" s="302">
        <v>4.8811378154337302E-2</v>
      </c>
      <c r="G373" s="302">
        <v>0.56996908189250284</v>
      </c>
      <c r="H373" s="302">
        <f t="shared" si="143"/>
        <v>0.61878046004684018</v>
      </c>
      <c r="I373" s="303"/>
      <c r="J373" s="302">
        <v>6.4506450717863317E-2</v>
      </c>
      <c r="K373" s="302">
        <v>0.61948353804362943</v>
      </c>
      <c r="L373" s="302">
        <f t="shared" si="144"/>
        <v>0.68398998876149275</v>
      </c>
      <c r="M373" s="236"/>
      <c r="N373" s="236"/>
    </row>
    <row r="374" spans="1:14" x14ac:dyDescent="0.2">
      <c r="A374" s="237" t="str">
        <f>name!E$12</f>
        <v>Elementary occupations</v>
      </c>
      <c r="B374" s="302">
        <v>0.16240623926241554</v>
      </c>
      <c r="C374" s="302">
        <v>0.33618450371231201</v>
      </c>
      <c r="D374" s="302">
        <f t="shared" si="142"/>
        <v>0.49859074297472755</v>
      </c>
      <c r="E374" s="303"/>
      <c r="F374" s="302">
        <v>4.0688868366222153E-2</v>
      </c>
      <c r="G374" s="302">
        <v>0.16253507537612943</v>
      </c>
      <c r="H374" s="302">
        <f t="shared" si="143"/>
        <v>0.20322394374235159</v>
      </c>
      <c r="I374" s="303"/>
      <c r="J374" s="302">
        <v>2.938462685857374E-2</v>
      </c>
      <c r="K374" s="302">
        <v>9.2502140302095567E-2</v>
      </c>
      <c r="L374" s="302">
        <f t="shared" si="144"/>
        <v>0.1218867671606693</v>
      </c>
      <c r="M374" s="236"/>
      <c r="N374" s="236"/>
    </row>
    <row r="375" spans="1:14" x14ac:dyDescent="0.2">
      <c r="A375" s="237"/>
      <c r="B375" s="302"/>
      <c r="C375" s="302"/>
      <c r="D375" s="302"/>
      <c r="E375" s="303"/>
      <c r="F375" s="302"/>
      <c r="G375" s="302"/>
      <c r="H375" s="302"/>
      <c r="I375" s="303"/>
      <c r="J375" s="302"/>
      <c r="K375" s="302"/>
      <c r="L375" s="302"/>
      <c r="M375" s="236"/>
      <c r="N375" s="236"/>
    </row>
    <row r="376" spans="1:14" x14ac:dyDescent="0.2">
      <c r="A376" s="244" t="s">
        <v>32</v>
      </c>
      <c r="B376" s="311">
        <f>SUM(B366:B374)</f>
        <v>0.58600000000724473</v>
      </c>
      <c r="C376" s="311">
        <f t="shared" ref="C376:D376" si="145">SUM(C366:C374)</f>
        <v>5.4200000000134771</v>
      </c>
      <c r="D376" s="311">
        <f t="shared" si="145"/>
        <v>6.0060000000207223</v>
      </c>
      <c r="E376" s="311"/>
      <c r="F376" s="311">
        <f t="shared" ref="F376:H376" si="146">SUM(F366:F374)</f>
        <v>0.3079999999967647</v>
      </c>
      <c r="G376" s="311">
        <f t="shared" si="146"/>
        <v>2.5470000000004851</v>
      </c>
      <c r="H376" s="311">
        <f t="shared" si="146"/>
        <v>2.8549999999972502</v>
      </c>
      <c r="I376" s="311"/>
      <c r="J376" s="311">
        <f t="shared" ref="J376:L376" si="147">SUM(J366:J374)</f>
        <v>0.27999999999967623</v>
      </c>
      <c r="K376" s="311">
        <f t="shared" si="147"/>
        <v>2.3159999999780845</v>
      </c>
      <c r="L376" s="311">
        <f t="shared" si="147"/>
        <v>2.5959999999777601</v>
      </c>
      <c r="M376" s="236"/>
      <c r="N376" s="236"/>
    </row>
    <row r="377" spans="1:14" x14ac:dyDescent="0.2">
      <c r="A377" s="237"/>
      <c r="B377" s="237"/>
      <c r="C377" s="237"/>
      <c r="D377" s="237"/>
      <c r="E377" s="237"/>
      <c r="F377" s="237"/>
      <c r="G377" s="237"/>
      <c r="H377" s="237"/>
      <c r="I377" s="237"/>
      <c r="J377" s="237"/>
      <c r="K377" s="237"/>
      <c r="L377" s="240"/>
      <c r="M377" s="236"/>
      <c r="N377" s="236"/>
    </row>
    <row r="378" spans="1:14" x14ac:dyDescent="0.2">
      <c r="A378" s="237"/>
      <c r="B378" s="237"/>
      <c r="C378" s="237"/>
      <c r="D378" s="237"/>
      <c r="E378" s="237"/>
      <c r="F378" s="237"/>
      <c r="G378" s="237"/>
      <c r="H378" s="237"/>
      <c r="I378" s="237"/>
      <c r="J378" s="237"/>
      <c r="K378" s="237"/>
      <c r="L378" s="256" t="s">
        <v>35</v>
      </c>
      <c r="M378" s="236"/>
      <c r="N378" s="236"/>
    </row>
    <row r="379" spans="1:14" x14ac:dyDescent="0.2">
      <c r="A379" s="242"/>
      <c r="B379" s="250"/>
      <c r="C379" s="250"/>
      <c r="D379" s="250"/>
      <c r="E379" s="250"/>
      <c r="F379" s="250"/>
      <c r="G379" s="250"/>
      <c r="H379" s="250"/>
      <c r="I379" s="250"/>
      <c r="J379" s="250"/>
      <c r="K379" s="250"/>
      <c r="L379" s="236"/>
      <c r="M379" s="236"/>
      <c r="N379" s="236"/>
    </row>
    <row r="380" spans="1:14" x14ac:dyDescent="0.2">
      <c r="A380" s="241" t="str">
        <f>name!A25</f>
        <v>Other manufacturing</v>
      </c>
      <c r="B380" s="372">
        <f>B$6</f>
        <v>2015</v>
      </c>
      <c r="C380" s="372"/>
      <c r="D380" s="372"/>
      <c r="E380" s="253"/>
      <c r="F380" s="372">
        <f>F363</f>
        <v>2020</v>
      </c>
      <c r="G380" s="372"/>
      <c r="H380" s="372"/>
      <c r="I380" s="253"/>
      <c r="J380" s="372">
        <f>J363</f>
        <v>2035</v>
      </c>
      <c r="K380" s="372"/>
      <c r="L380" s="372"/>
      <c r="M380" s="236"/>
      <c r="N380" s="236"/>
    </row>
    <row r="381" spans="1:14" x14ac:dyDescent="0.2">
      <c r="A381" s="254"/>
      <c r="B381" s="255" t="s">
        <v>352</v>
      </c>
      <c r="C381" s="255" t="s">
        <v>353</v>
      </c>
      <c r="D381" s="255" t="s">
        <v>32</v>
      </c>
      <c r="E381" s="255"/>
      <c r="F381" s="255" t="s">
        <v>352</v>
      </c>
      <c r="G381" s="255" t="s">
        <v>353</v>
      </c>
      <c r="H381" s="255" t="s">
        <v>32</v>
      </c>
      <c r="I381" s="255"/>
      <c r="J381" s="255" t="s">
        <v>352</v>
      </c>
      <c r="K381" s="255" t="s">
        <v>353</v>
      </c>
      <c r="L381" s="255" t="s">
        <v>32</v>
      </c>
      <c r="M381" s="236"/>
      <c r="N381" s="236"/>
    </row>
    <row r="382" spans="1:14" x14ac:dyDescent="0.2">
      <c r="A382" s="258"/>
      <c r="B382" s="259"/>
      <c r="C382" s="259"/>
      <c r="D382" s="259"/>
      <c r="E382" s="259"/>
      <c r="F382" s="259"/>
      <c r="G382" s="259"/>
      <c r="H382" s="259"/>
      <c r="I382" s="259"/>
      <c r="J382" s="259"/>
      <c r="K382" s="259"/>
      <c r="L382" s="259"/>
      <c r="M382" s="236"/>
      <c r="N382" s="236"/>
    </row>
    <row r="383" spans="1:14" x14ac:dyDescent="0.2">
      <c r="A383" s="237" t="str">
        <f>name!E$4</f>
        <v>Managers, directors and senior officials</v>
      </c>
      <c r="B383" s="302">
        <v>0.13319050606250779</v>
      </c>
      <c r="C383" s="302">
        <v>0.24309666192225365</v>
      </c>
      <c r="D383" s="302">
        <f>SUM(B383:C383)</f>
        <v>0.37628716798476147</v>
      </c>
      <c r="E383" s="303"/>
      <c r="F383" s="302">
        <v>0.11654524395019827</v>
      </c>
      <c r="G383" s="302">
        <v>0.16702142590059099</v>
      </c>
      <c r="H383" s="302">
        <f>SUM(F383:G383)</f>
        <v>0.28356666985078927</v>
      </c>
      <c r="I383" s="303"/>
      <c r="J383" s="302">
        <v>0.11625368372149035</v>
      </c>
      <c r="K383" s="302">
        <v>0.15869162740207118</v>
      </c>
      <c r="L383" s="302">
        <f>SUM(J383:K383)</f>
        <v>0.27494531112356152</v>
      </c>
      <c r="M383" s="236"/>
      <c r="N383" s="236"/>
    </row>
    <row r="384" spans="1:14" x14ac:dyDescent="0.2">
      <c r="A384" s="237" t="str">
        <f>name!E$5</f>
        <v>Professional occupations</v>
      </c>
      <c r="B384" s="302">
        <v>0.14706776075592279</v>
      </c>
      <c r="C384" s="302">
        <v>0.29555299721273459</v>
      </c>
      <c r="D384" s="302">
        <f t="shared" ref="D384:D391" si="148">SUM(B384:C384)</f>
        <v>0.44262075796865741</v>
      </c>
      <c r="E384" s="303"/>
      <c r="F384" s="302">
        <v>0.14743399232234394</v>
      </c>
      <c r="G384" s="302">
        <v>0.2525090973526033</v>
      </c>
      <c r="H384" s="302">
        <f t="shared" ref="H384:H391" si="149">SUM(F384:G384)</f>
        <v>0.39994308967494724</v>
      </c>
      <c r="I384" s="303"/>
      <c r="J384" s="302">
        <v>0.16967058158694598</v>
      </c>
      <c r="K384" s="302">
        <v>0.2811990961822538</v>
      </c>
      <c r="L384" s="302">
        <f t="shared" ref="L384:L391" si="150">SUM(J384:K384)</f>
        <v>0.45086967776919978</v>
      </c>
      <c r="M384" s="236"/>
      <c r="N384" s="236"/>
    </row>
    <row r="385" spans="1:14" x14ac:dyDescent="0.2">
      <c r="A385" s="237" t="str">
        <f>name!E$6</f>
        <v>Associate professional occupations</v>
      </c>
      <c r="B385" s="302">
        <v>0.18246241088307585</v>
      </c>
      <c r="C385" s="302">
        <v>0.19932192061023676</v>
      </c>
      <c r="D385" s="302">
        <f t="shared" si="148"/>
        <v>0.38178433149331259</v>
      </c>
      <c r="E385" s="303"/>
      <c r="F385" s="302">
        <v>0.15830001365700996</v>
      </c>
      <c r="G385" s="302">
        <v>0.1593618477667732</v>
      </c>
      <c r="H385" s="302">
        <f t="shared" si="149"/>
        <v>0.31766186142378317</v>
      </c>
      <c r="I385" s="303"/>
      <c r="J385" s="302">
        <v>0.14861993170915397</v>
      </c>
      <c r="K385" s="302">
        <v>0.14100790833389232</v>
      </c>
      <c r="L385" s="302">
        <f t="shared" si="150"/>
        <v>0.28962784004304631</v>
      </c>
      <c r="M385" s="236"/>
      <c r="N385" s="236"/>
    </row>
    <row r="386" spans="1:14" x14ac:dyDescent="0.2">
      <c r="A386" s="237" t="str">
        <f>name!E$7</f>
        <v>Administrative and secretarial occupations</v>
      </c>
      <c r="B386" s="302">
        <v>0.60440309409662663</v>
      </c>
      <c r="C386" s="302">
        <v>0.10589720023686258</v>
      </c>
      <c r="D386" s="302">
        <f t="shared" si="148"/>
        <v>0.71030029433348918</v>
      </c>
      <c r="E386" s="303"/>
      <c r="F386" s="302">
        <v>0.37873434551450463</v>
      </c>
      <c r="G386" s="302">
        <v>8.3746966675232765E-2</v>
      </c>
      <c r="H386" s="302">
        <f t="shared" si="149"/>
        <v>0.46248131218973743</v>
      </c>
      <c r="I386" s="303"/>
      <c r="J386" s="302">
        <v>0.2685623471439687</v>
      </c>
      <c r="K386" s="302">
        <v>7.6601804158888981E-2</v>
      </c>
      <c r="L386" s="302">
        <f t="shared" si="150"/>
        <v>0.34516415130285771</v>
      </c>
      <c r="M386" s="236"/>
      <c r="N386" s="236"/>
    </row>
    <row r="387" spans="1:14" x14ac:dyDescent="0.2">
      <c r="A387" s="237" t="str">
        <f>name!E$8</f>
        <v>Skilled trades occupations</v>
      </c>
      <c r="B387" s="302">
        <v>9.7999960947924736E-2</v>
      </c>
      <c r="C387" s="302">
        <v>1.4419964085208701</v>
      </c>
      <c r="D387" s="302">
        <f t="shared" si="148"/>
        <v>1.5399963694687948</v>
      </c>
      <c r="E387" s="303"/>
      <c r="F387" s="302">
        <v>6.4681927234237366E-2</v>
      </c>
      <c r="G387" s="302">
        <v>0.64948235919386843</v>
      </c>
      <c r="H387" s="302">
        <f t="shared" si="149"/>
        <v>0.71416428642810581</v>
      </c>
      <c r="I387" s="303"/>
      <c r="J387" s="302">
        <v>6.305733564688655E-2</v>
      </c>
      <c r="K387" s="302">
        <v>0.50125650211959594</v>
      </c>
      <c r="L387" s="302">
        <f t="shared" si="150"/>
        <v>0.56431383776648247</v>
      </c>
      <c r="M387" s="236"/>
      <c r="N387" s="236"/>
    </row>
    <row r="388" spans="1:14" x14ac:dyDescent="0.2">
      <c r="A388" s="237" t="str">
        <f>name!E$9</f>
        <v>Caring, leisure and other service occupations</v>
      </c>
      <c r="B388" s="302">
        <v>1.6345390808052813E-2</v>
      </c>
      <c r="C388" s="302">
        <v>5.7717249859390932E-3</v>
      </c>
      <c r="D388" s="302">
        <f t="shared" si="148"/>
        <v>2.2117115793991907E-2</v>
      </c>
      <c r="E388" s="303"/>
      <c r="F388" s="302">
        <v>8.5283680907089557E-3</v>
      </c>
      <c r="G388" s="302">
        <v>3.0988588686569687E-3</v>
      </c>
      <c r="H388" s="302">
        <f t="shared" si="149"/>
        <v>1.1627226959365924E-2</v>
      </c>
      <c r="I388" s="303"/>
      <c r="J388" s="302">
        <v>6.191340260221485E-3</v>
      </c>
      <c r="K388" s="302">
        <v>3.397355023452639E-3</v>
      </c>
      <c r="L388" s="302">
        <f t="shared" si="150"/>
        <v>9.5886952836741236E-3</v>
      </c>
      <c r="M388" s="236"/>
      <c r="N388" s="236"/>
    </row>
    <row r="389" spans="1:14" x14ac:dyDescent="0.2">
      <c r="A389" s="237" t="str">
        <f>name!E$10</f>
        <v>Sales and customer service occupations</v>
      </c>
      <c r="B389" s="302">
        <v>0.12744625745652993</v>
      </c>
      <c r="C389" s="302">
        <v>7.2869165532354549E-2</v>
      </c>
      <c r="D389" s="302">
        <f t="shared" si="148"/>
        <v>0.2003154229888845</v>
      </c>
      <c r="E389" s="303"/>
      <c r="F389" s="302">
        <v>7.3727795470915611E-2</v>
      </c>
      <c r="G389" s="302">
        <v>4.2657650644594633E-2</v>
      </c>
      <c r="H389" s="302">
        <f t="shared" si="149"/>
        <v>0.11638544611551024</v>
      </c>
      <c r="I389" s="303"/>
      <c r="J389" s="302">
        <v>6.5702660999013132E-2</v>
      </c>
      <c r="K389" s="302">
        <v>4.3364321028491186E-2</v>
      </c>
      <c r="L389" s="302">
        <f t="shared" si="150"/>
        <v>0.10906698202750431</v>
      </c>
      <c r="M389" s="236"/>
      <c r="N389" s="236"/>
    </row>
    <row r="390" spans="1:14" x14ac:dyDescent="0.2">
      <c r="A390" s="237" t="str">
        <f>name!E$11</f>
        <v>Process, plant and machine operatives</v>
      </c>
      <c r="B390" s="302">
        <v>0.44059097503019928</v>
      </c>
      <c r="C390" s="302">
        <v>0.71380393536265185</v>
      </c>
      <c r="D390" s="302">
        <f t="shared" si="148"/>
        <v>1.1543949103928512</v>
      </c>
      <c r="E390" s="303"/>
      <c r="F390" s="302">
        <v>0.23565705298503908</v>
      </c>
      <c r="G390" s="302">
        <v>0.37912687414292229</v>
      </c>
      <c r="H390" s="302">
        <f t="shared" si="149"/>
        <v>0.61478392712796137</v>
      </c>
      <c r="I390" s="303"/>
      <c r="J390" s="302">
        <v>0.26991306245865765</v>
      </c>
      <c r="K390" s="302">
        <v>0.41240277345197796</v>
      </c>
      <c r="L390" s="302">
        <f t="shared" si="150"/>
        <v>0.6823158359106356</v>
      </c>
      <c r="M390" s="236"/>
      <c r="N390" s="236"/>
    </row>
    <row r="391" spans="1:14" x14ac:dyDescent="0.2">
      <c r="A391" s="237" t="str">
        <f>name!E$12</f>
        <v>Elementary occupations</v>
      </c>
      <c r="B391" s="302">
        <v>0.29749364395925249</v>
      </c>
      <c r="C391" s="302">
        <v>0.19868998562390436</v>
      </c>
      <c r="D391" s="302">
        <f t="shared" si="148"/>
        <v>0.49618362958315687</v>
      </c>
      <c r="E391" s="303"/>
      <c r="F391" s="302">
        <v>8.9391260757983704E-2</v>
      </c>
      <c r="G391" s="302">
        <v>0.10599491945471783</v>
      </c>
      <c r="H391" s="302">
        <f t="shared" si="149"/>
        <v>0.19538618021270154</v>
      </c>
      <c r="I391" s="303"/>
      <c r="J391" s="302">
        <v>6.0029056472241847E-2</v>
      </c>
      <c r="K391" s="302">
        <v>6.0078612284856774E-2</v>
      </c>
      <c r="L391" s="302">
        <f t="shared" si="150"/>
        <v>0.12010766875709862</v>
      </c>
      <c r="M391" s="236"/>
      <c r="N391" s="236"/>
    </row>
    <row r="392" spans="1:14" x14ac:dyDescent="0.2">
      <c r="A392" s="237"/>
      <c r="B392" s="302"/>
      <c r="C392" s="302"/>
      <c r="D392" s="302"/>
      <c r="E392" s="303"/>
      <c r="F392" s="302"/>
      <c r="G392" s="302"/>
      <c r="H392" s="302"/>
      <c r="I392" s="303"/>
      <c r="J392" s="302"/>
      <c r="K392" s="302"/>
      <c r="L392" s="302"/>
      <c r="M392" s="236"/>
      <c r="N392" s="236"/>
    </row>
    <row r="393" spans="1:14" x14ac:dyDescent="0.2">
      <c r="A393" s="244" t="s">
        <v>32</v>
      </c>
      <c r="B393" s="311">
        <f>SUM(B383:B391)</f>
        <v>2.0470000000000925</v>
      </c>
      <c r="C393" s="311">
        <f t="shared" ref="C393:D393" si="151">SUM(C383:C391)</f>
        <v>3.2770000000078068</v>
      </c>
      <c r="D393" s="311">
        <f t="shared" si="151"/>
        <v>5.3240000000079002</v>
      </c>
      <c r="E393" s="311"/>
      <c r="F393" s="311">
        <f t="shared" ref="F393:H393" si="152">SUM(F383:F391)</f>
        <v>1.2729999999829416</v>
      </c>
      <c r="G393" s="311">
        <f t="shared" si="152"/>
        <v>1.8429999999999602</v>
      </c>
      <c r="H393" s="311">
        <f t="shared" si="152"/>
        <v>3.1159999999829022</v>
      </c>
      <c r="I393" s="311"/>
      <c r="J393" s="311">
        <f t="shared" ref="J393:L393" si="153">SUM(J383:J391)</f>
        <v>1.1679999999985797</v>
      </c>
      <c r="K393" s="311">
        <f t="shared" si="153"/>
        <v>1.6779999999854807</v>
      </c>
      <c r="L393" s="311">
        <f t="shared" si="153"/>
        <v>2.8459999999840608</v>
      </c>
      <c r="M393" s="236"/>
      <c r="N393" s="236"/>
    </row>
    <row r="394" spans="1:14" x14ac:dyDescent="0.2">
      <c r="A394" s="237"/>
      <c r="B394" s="237"/>
      <c r="C394" s="237"/>
      <c r="D394" s="237"/>
      <c r="E394" s="237"/>
      <c r="F394" s="237"/>
      <c r="G394" s="237"/>
      <c r="H394" s="237"/>
      <c r="I394" s="237"/>
      <c r="J394" s="237"/>
      <c r="K394" s="237"/>
      <c r="L394" s="240"/>
      <c r="M394" s="236"/>
      <c r="N394" s="236"/>
    </row>
    <row r="395" spans="1:14" x14ac:dyDescent="0.2">
      <c r="A395" s="237"/>
      <c r="B395" s="237"/>
      <c r="C395" s="237"/>
      <c r="D395" s="237"/>
      <c r="E395" s="237"/>
      <c r="F395" s="237"/>
      <c r="G395" s="237"/>
      <c r="H395" s="237"/>
      <c r="I395" s="237"/>
      <c r="J395" s="237"/>
      <c r="K395" s="237"/>
      <c r="L395" s="256" t="s">
        <v>35</v>
      </c>
      <c r="M395" s="236"/>
      <c r="N395" s="236"/>
    </row>
    <row r="396" spans="1:14" x14ac:dyDescent="0.2">
      <c r="A396" s="242"/>
      <c r="B396" s="250"/>
      <c r="C396" s="250"/>
      <c r="D396" s="250"/>
      <c r="E396" s="250"/>
      <c r="F396" s="250"/>
      <c r="G396" s="250"/>
      <c r="H396" s="250"/>
      <c r="I396" s="250"/>
      <c r="J396" s="250"/>
      <c r="K396" s="250"/>
      <c r="L396" s="236"/>
      <c r="M396" s="236"/>
      <c r="N396" s="236"/>
    </row>
    <row r="397" spans="1:14" x14ac:dyDescent="0.2">
      <c r="A397" s="241" t="str">
        <f>name!A26</f>
        <v>Repair and installation</v>
      </c>
      <c r="B397" s="372">
        <f>B$6</f>
        <v>2015</v>
      </c>
      <c r="C397" s="372"/>
      <c r="D397" s="372"/>
      <c r="E397" s="253"/>
      <c r="F397" s="372">
        <f>F380</f>
        <v>2020</v>
      </c>
      <c r="G397" s="372"/>
      <c r="H397" s="372"/>
      <c r="I397" s="253"/>
      <c r="J397" s="372">
        <f>J380</f>
        <v>2035</v>
      </c>
      <c r="K397" s="372"/>
      <c r="L397" s="372"/>
      <c r="M397" s="236"/>
      <c r="N397" s="236"/>
    </row>
    <row r="398" spans="1:14" x14ac:dyDescent="0.2">
      <c r="A398" s="254"/>
      <c r="B398" s="255" t="s">
        <v>352</v>
      </c>
      <c r="C398" s="255" t="s">
        <v>353</v>
      </c>
      <c r="D398" s="255" t="s">
        <v>32</v>
      </c>
      <c r="E398" s="255"/>
      <c r="F398" s="255" t="s">
        <v>352</v>
      </c>
      <c r="G398" s="255" t="s">
        <v>353</v>
      </c>
      <c r="H398" s="255" t="s">
        <v>32</v>
      </c>
      <c r="I398" s="255"/>
      <c r="J398" s="255" t="s">
        <v>352</v>
      </c>
      <c r="K398" s="255" t="s">
        <v>353</v>
      </c>
      <c r="L398" s="255" t="s">
        <v>32</v>
      </c>
      <c r="M398" s="236"/>
      <c r="N398" s="236"/>
    </row>
    <row r="399" spans="1:14" x14ac:dyDescent="0.2">
      <c r="A399" s="258"/>
      <c r="B399" s="259"/>
      <c r="C399" s="259"/>
      <c r="D399" s="259"/>
      <c r="E399" s="259"/>
      <c r="F399" s="259"/>
      <c r="G399" s="259"/>
      <c r="H399" s="259"/>
      <c r="I399" s="259"/>
      <c r="J399" s="259"/>
      <c r="K399" s="259"/>
      <c r="L399" s="259"/>
      <c r="M399" s="236"/>
      <c r="N399" s="236"/>
    </row>
    <row r="400" spans="1:14" x14ac:dyDescent="0.2">
      <c r="A400" s="237" t="str">
        <f>name!E$4</f>
        <v>Managers, directors and senior officials</v>
      </c>
      <c r="B400" s="302">
        <v>3.507860441311169E-2</v>
      </c>
      <c r="C400" s="302">
        <v>0.34644859624436969</v>
      </c>
      <c r="D400" s="302">
        <f>SUM(B400:C400)</f>
        <v>0.38152720065748136</v>
      </c>
      <c r="E400" s="303"/>
      <c r="F400" s="302">
        <v>9.1836737896202059E-3</v>
      </c>
      <c r="G400" s="302">
        <v>0.13787664361082005</v>
      </c>
      <c r="H400" s="302">
        <f>SUM(F400:G400)</f>
        <v>0.14706031740044026</v>
      </c>
      <c r="I400" s="303"/>
      <c r="J400" s="302">
        <v>8.9724021733464093E-3</v>
      </c>
      <c r="K400" s="302">
        <v>0.12591419803974066</v>
      </c>
      <c r="L400" s="302">
        <f>SUM(J400:K400)</f>
        <v>0.13488660021308707</v>
      </c>
      <c r="M400" s="236"/>
      <c r="N400" s="236"/>
    </row>
    <row r="401" spans="1:14" x14ac:dyDescent="0.2">
      <c r="A401" s="237" t="str">
        <f>name!E$5</f>
        <v>Professional occupations</v>
      </c>
      <c r="B401" s="302">
        <v>3.6185665477102572E-2</v>
      </c>
      <c r="C401" s="302">
        <v>0.78723278466849789</v>
      </c>
      <c r="D401" s="302">
        <f t="shared" ref="D401:D408" si="154">SUM(B401:C401)</f>
        <v>0.82341845014560044</v>
      </c>
      <c r="E401" s="303"/>
      <c r="F401" s="302">
        <v>1.1258822667812226E-2</v>
      </c>
      <c r="G401" s="302">
        <v>0.46163731427362892</v>
      </c>
      <c r="H401" s="302">
        <f t="shared" ref="H401:H408" si="155">SUM(F401:G401)</f>
        <v>0.47289613694144117</v>
      </c>
      <c r="I401" s="303"/>
      <c r="J401" s="302">
        <v>1.1303143571853901E-2</v>
      </c>
      <c r="K401" s="302">
        <v>0.50823018707574075</v>
      </c>
      <c r="L401" s="302">
        <f t="shared" ref="L401:L408" si="156">SUM(J401:K401)</f>
        <v>0.51953333064759466</v>
      </c>
      <c r="M401" s="236"/>
      <c r="N401" s="236"/>
    </row>
    <row r="402" spans="1:14" x14ac:dyDescent="0.2">
      <c r="A402" s="237" t="str">
        <f>name!E$6</f>
        <v>Associate professional occupations</v>
      </c>
      <c r="B402" s="302">
        <v>3.6797691673961692E-2</v>
      </c>
      <c r="C402" s="302">
        <v>0.39767161691579583</v>
      </c>
      <c r="D402" s="302">
        <f t="shared" si="154"/>
        <v>0.43446930858975752</v>
      </c>
      <c r="E402" s="303"/>
      <c r="F402" s="302">
        <v>1.033177234507277E-2</v>
      </c>
      <c r="G402" s="302">
        <v>0.22876168482734571</v>
      </c>
      <c r="H402" s="302">
        <f t="shared" si="155"/>
        <v>0.23909345717241848</v>
      </c>
      <c r="I402" s="303"/>
      <c r="J402" s="302">
        <v>9.0734789253266585E-3</v>
      </c>
      <c r="K402" s="302">
        <v>0.19023594584501896</v>
      </c>
      <c r="L402" s="302">
        <f t="shared" si="156"/>
        <v>0.19930942477034563</v>
      </c>
      <c r="M402" s="236"/>
      <c r="N402" s="236"/>
    </row>
    <row r="403" spans="1:14" x14ac:dyDescent="0.2">
      <c r="A403" s="237" t="str">
        <f>name!E$7</f>
        <v>Administrative and secretarial occupations</v>
      </c>
      <c r="B403" s="302">
        <v>0.16754439573798446</v>
      </c>
      <c r="C403" s="302">
        <v>8.6758310263511246E-2</v>
      </c>
      <c r="D403" s="302">
        <f t="shared" si="154"/>
        <v>0.25430270600149574</v>
      </c>
      <c r="E403" s="303"/>
      <c r="F403" s="302">
        <v>3.3004639977801419E-2</v>
      </c>
      <c r="G403" s="302">
        <v>4.2669182151145783E-2</v>
      </c>
      <c r="H403" s="302">
        <f t="shared" si="155"/>
        <v>7.5673822128947202E-2</v>
      </c>
      <c r="I403" s="303"/>
      <c r="J403" s="302">
        <v>2.6883232169626216E-2</v>
      </c>
      <c r="K403" s="302">
        <v>3.497910227452785E-2</v>
      </c>
      <c r="L403" s="302">
        <f t="shared" si="156"/>
        <v>6.1862334444154066E-2</v>
      </c>
      <c r="M403" s="236"/>
      <c r="N403" s="236"/>
    </row>
    <row r="404" spans="1:14" x14ac:dyDescent="0.2">
      <c r="A404" s="237" t="str">
        <f>name!E$8</f>
        <v>Skilled trades occupations</v>
      </c>
      <c r="B404" s="302">
        <v>1.2202796314414894E-2</v>
      </c>
      <c r="C404" s="302">
        <v>1.4908751874215624</v>
      </c>
      <c r="D404" s="302">
        <f t="shared" si="154"/>
        <v>1.5030779837359773</v>
      </c>
      <c r="E404" s="303"/>
      <c r="F404" s="302">
        <v>3.2270778177950596E-3</v>
      </c>
      <c r="G404" s="302">
        <v>0.4982407058949706</v>
      </c>
      <c r="H404" s="302">
        <f t="shared" si="155"/>
        <v>0.50146778371276568</v>
      </c>
      <c r="I404" s="303"/>
      <c r="J404" s="302">
        <v>4.335254895176434E-3</v>
      </c>
      <c r="K404" s="302">
        <v>0.37953406869673628</v>
      </c>
      <c r="L404" s="302">
        <f t="shared" si="156"/>
        <v>0.38386932359191273</v>
      </c>
      <c r="M404" s="236"/>
      <c r="N404" s="236"/>
    </row>
    <row r="405" spans="1:14" x14ac:dyDescent="0.2">
      <c r="A405" s="237" t="str">
        <f>name!E$9</f>
        <v>Caring, leisure and other service occupations</v>
      </c>
      <c r="B405" s="302">
        <v>1.5016614801106817E-2</v>
      </c>
      <c r="C405" s="302">
        <v>2.6342032182014828E-2</v>
      </c>
      <c r="D405" s="302">
        <f t="shared" si="154"/>
        <v>4.1358646983121646E-2</v>
      </c>
      <c r="E405" s="303"/>
      <c r="F405" s="302">
        <v>2.8141657029293371E-3</v>
      </c>
      <c r="G405" s="302">
        <v>1.3405199146999473E-2</v>
      </c>
      <c r="H405" s="302">
        <f t="shared" si="155"/>
        <v>1.6219364849928811E-2</v>
      </c>
      <c r="I405" s="303"/>
      <c r="J405" s="302">
        <v>3.3579121862074208E-3</v>
      </c>
      <c r="K405" s="302">
        <v>1.8008029659069721E-2</v>
      </c>
      <c r="L405" s="302">
        <f t="shared" si="156"/>
        <v>2.1365941845277143E-2</v>
      </c>
      <c r="M405" s="236"/>
      <c r="N405" s="236"/>
    </row>
    <row r="406" spans="1:14" x14ac:dyDescent="0.2">
      <c r="A406" s="237" t="str">
        <f>name!E$10</f>
        <v>Sales and customer service occupations</v>
      </c>
      <c r="B406" s="302">
        <v>3.0763503557378107E-2</v>
      </c>
      <c r="C406" s="302">
        <v>5.4873524602649298E-2</v>
      </c>
      <c r="D406" s="302">
        <f t="shared" si="154"/>
        <v>8.5637028160027412E-2</v>
      </c>
      <c r="E406" s="303"/>
      <c r="F406" s="302">
        <v>6.4461957532822769E-3</v>
      </c>
      <c r="G406" s="302">
        <v>2.0454576289983619E-2</v>
      </c>
      <c r="H406" s="302">
        <f t="shared" si="155"/>
        <v>2.6900772043265894E-2</v>
      </c>
      <c r="I406" s="303"/>
      <c r="J406" s="302">
        <v>6.4843873214943098E-3</v>
      </c>
      <c r="K406" s="302">
        <v>1.974944745000283E-2</v>
      </c>
      <c r="L406" s="302">
        <f t="shared" si="156"/>
        <v>2.6233834771497141E-2</v>
      </c>
      <c r="M406" s="236"/>
      <c r="N406" s="236"/>
    </row>
    <row r="407" spans="1:14" x14ac:dyDescent="0.2">
      <c r="A407" s="237" t="str">
        <f>name!E$11</f>
        <v>Process, plant and machine operatives</v>
      </c>
      <c r="B407" s="302">
        <v>7.599372687007841E-2</v>
      </c>
      <c r="C407" s="302">
        <v>0.67529961333873723</v>
      </c>
      <c r="D407" s="302">
        <f t="shared" si="154"/>
        <v>0.75129334020881566</v>
      </c>
      <c r="E407" s="303"/>
      <c r="F407" s="302">
        <v>1.6687501243806319E-2</v>
      </c>
      <c r="G407" s="302">
        <v>0.24863410288576981</v>
      </c>
      <c r="H407" s="302">
        <f t="shared" si="155"/>
        <v>0.26532160412957612</v>
      </c>
      <c r="I407" s="303"/>
      <c r="J407" s="302">
        <v>1.6273087662687667E-2</v>
      </c>
      <c r="K407" s="302">
        <v>0.24338216646438118</v>
      </c>
      <c r="L407" s="302">
        <f t="shared" si="156"/>
        <v>0.25965525412706886</v>
      </c>
      <c r="M407" s="236"/>
      <c r="N407" s="236"/>
    </row>
    <row r="408" spans="1:14" x14ac:dyDescent="0.2">
      <c r="A408" s="237" t="str">
        <f>name!E$12</f>
        <v>Elementary occupations</v>
      </c>
      <c r="B408" s="302">
        <v>5.0417001158956323E-2</v>
      </c>
      <c r="C408" s="302">
        <v>0.11949833436021187</v>
      </c>
      <c r="D408" s="302">
        <f t="shared" si="154"/>
        <v>0.16991533551916821</v>
      </c>
      <c r="E408" s="303"/>
      <c r="F408" s="302">
        <v>6.0461507009222492E-3</v>
      </c>
      <c r="G408" s="302">
        <v>3.5320590916772289E-2</v>
      </c>
      <c r="H408" s="302">
        <f t="shared" si="155"/>
        <v>4.136674161769454E-2</v>
      </c>
      <c r="I408" s="303"/>
      <c r="J408" s="302">
        <v>3.3171010946292682E-3</v>
      </c>
      <c r="K408" s="302">
        <v>1.4966854490370458E-2</v>
      </c>
      <c r="L408" s="302">
        <f t="shared" si="156"/>
        <v>1.8283955584999727E-2</v>
      </c>
      <c r="M408" s="236"/>
      <c r="N408" s="236"/>
    </row>
    <row r="409" spans="1:14" x14ac:dyDescent="0.2">
      <c r="A409" s="237"/>
      <c r="B409" s="302"/>
      <c r="C409" s="302"/>
      <c r="D409" s="302"/>
      <c r="E409" s="303"/>
      <c r="F409" s="302"/>
      <c r="G409" s="302"/>
      <c r="H409" s="302"/>
      <c r="I409" s="303"/>
      <c r="J409" s="302"/>
      <c r="K409" s="302"/>
      <c r="L409" s="302"/>
      <c r="M409" s="236"/>
      <c r="N409" s="236"/>
    </row>
    <row r="410" spans="1:14" x14ac:dyDescent="0.2">
      <c r="A410" s="244" t="s">
        <v>32</v>
      </c>
      <c r="B410" s="311">
        <f>SUM(B400:B408)</f>
        <v>0.46000000000409502</v>
      </c>
      <c r="C410" s="311">
        <f t="shared" ref="C410:D410" si="157">SUM(C400:C408)</f>
        <v>3.9849999999973513</v>
      </c>
      <c r="D410" s="311">
        <f t="shared" si="157"/>
        <v>4.4450000000014454</v>
      </c>
      <c r="E410" s="311"/>
      <c r="F410" s="311">
        <f t="shared" ref="F410:H410" si="158">SUM(F400:F408)</f>
        <v>9.8999999999041854E-2</v>
      </c>
      <c r="G410" s="311">
        <f t="shared" si="158"/>
        <v>1.6869999999974363</v>
      </c>
      <c r="H410" s="311">
        <f t="shared" si="158"/>
        <v>1.7859999999964782</v>
      </c>
      <c r="I410" s="311"/>
      <c r="J410" s="311">
        <f t="shared" ref="J410:L410" si="159">SUM(J400:J408)</f>
        <v>9.0000000000348274E-2</v>
      </c>
      <c r="K410" s="311">
        <f t="shared" si="159"/>
        <v>1.5349999999955888</v>
      </c>
      <c r="L410" s="311">
        <f t="shared" si="159"/>
        <v>1.624999999995937</v>
      </c>
      <c r="M410" s="236"/>
      <c r="N410" s="236"/>
    </row>
    <row r="411" spans="1:14" x14ac:dyDescent="0.2">
      <c r="A411" s="237"/>
      <c r="B411" s="237"/>
      <c r="C411" s="237"/>
      <c r="D411" s="237"/>
      <c r="E411" s="237"/>
      <c r="F411" s="237"/>
      <c r="G411" s="237"/>
      <c r="H411" s="237"/>
      <c r="I411" s="237"/>
      <c r="J411" s="237"/>
      <c r="K411" s="237"/>
      <c r="L411" s="240"/>
      <c r="M411" s="236"/>
      <c r="N411" s="236"/>
    </row>
    <row r="412" spans="1:14" x14ac:dyDescent="0.2">
      <c r="A412" s="237"/>
      <c r="B412" s="237"/>
      <c r="C412" s="237"/>
      <c r="D412" s="237"/>
      <c r="E412" s="237"/>
      <c r="F412" s="237"/>
      <c r="G412" s="237"/>
      <c r="H412" s="237"/>
      <c r="I412" s="237"/>
      <c r="J412" s="237"/>
      <c r="K412" s="237"/>
      <c r="L412" s="256" t="s">
        <v>35</v>
      </c>
      <c r="M412" s="236"/>
      <c r="N412" s="236"/>
    </row>
    <row r="413" spans="1:14" x14ac:dyDescent="0.2">
      <c r="A413" s="242"/>
      <c r="B413" s="250"/>
      <c r="C413" s="250"/>
      <c r="D413" s="250"/>
      <c r="E413" s="250"/>
      <c r="F413" s="250"/>
      <c r="G413" s="250"/>
      <c r="H413" s="250"/>
      <c r="I413" s="250"/>
      <c r="J413" s="250"/>
      <c r="K413" s="250"/>
      <c r="L413" s="236"/>
      <c r="M413" s="236"/>
      <c r="N413" s="236"/>
    </row>
    <row r="414" spans="1:14" x14ac:dyDescent="0.2">
      <c r="A414" s="241" t="str">
        <f>name!A27</f>
        <v>Electricity, gas, etc</v>
      </c>
      <c r="B414" s="372">
        <f>B$6</f>
        <v>2015</v>
      </c>
      <c r="C414" s="372"/>
      <c r="D414" s="372"/>
      <c r="E414" s="253"/>
      <c r="F414" s="372">
        <f>F397</f>
        <v>2020</v>
      </c>
      <c r="G414" s="372"/>
      <c r="H414" s="372"/>
      <c r="I414" s="253"/>
      <c r="J414" s="372">
        <f>J397</f>
        <v>2035</v>
      </c>
      <c r="K414" s="372"/>
      <c r="L414" s="372"/>
      <c r="M414" s="236"/>
      <c r="N414" s="236"/>
    </row>
    <row r="415" spans="1:14" x14ac:dyDescent="0.2">
      <c r="A415" s="254"/>
      <c r="B415" s="255" t="s">
        <v>352</v>
      </c>
      <c r="C415" s="255" t="s">
        <v>353</v>
      </c>
      <c r="D415" s="255" t="s">
        <v>32</v>
      </c>
      <c r="E415" s="255"/>
      <c r="F415" s="255" t="s">
        <v>352</v>
      </c>
      <c r="G415" s="255" t="s">
        <v>353</v>
      </c>
      <c r="H415" s="255" t="s">
        <v>32</v>
      </c>
      <c r="I415" s="255"/>
      <c r="J415" s="255" t="s">
        <v>352</v>
      </c>
      <c r="K415" s="255" t="s">
        <v>353</v>
      </c>
      <c r="L415" s="255" t="s">
        <v>32</v>
      </c>
      <c r="M415" s="236"/>
      <c r="N415" s="236"/>
    </row>
    <row r="416" spans="1:14" x14ac:dyDescent="0.2">
      <c r="A416" s="258"/>
      <c r="B416" s="259"/>
      <c r="C416" s="259"/>
      <c r="D416" s="259"/>
      <c r="E416" s="259"/>
      <c r="F416" s="259"/>
      <c r="G416" s="259"/>
      <c r="H416" s="259"/>
      <c r="I416" s="259"/>
      <c r="J416" s="259"/>
      <c r="K416" s="259"/>
      <c r="L416" s="259"/>
      <c r="M416" s="236"/>
      <c r="N416" s="236"/>
    </row>
    <row r="417" spans="1:14" x14ac:dyDescent="0.2">
      <c r="A417" s="237" t="str">
        <f>name!E$4</f>
        <v>Managers, directors and senior officials</v>
      </c>
      <c r="B417" s="302">
        <v>0.16848288267195868</v>
      </c>
      <c r="C417" s="302">
        <v>0.40855008227115663</v>
      </c>
      <c r="D417" s="302">
        <f>SUM(B417:C417)</f>
        <v>0.57703296494311529</v>
      </c>
      <c r="E417" s="303"/>
      <c r="F417" s="302">
        <v>0.41110393369550535</v>
      </c>
      <c r="G417" s="302">
        <v>1.1247468927878606</v>
      </c>
      <c r="H417" s="302">
        <f>SUM(F417:G417)</f>
        <v>1.5358508264833659</v>
      </c>
      <c r="I417" s="303"/>
      <c r="J417" s="302">
        <v>0.45772784953106738</v>
      </c>
      <c r="K417" s="302">
        <v>1.2692618470850074</v>
      </c>
      <c r="L417" s="302">
        <f>SUM(J417:K417)</f>
        <v>1.7269896966160747</v>
      </c>
      <c r="M417" s="236"/>
      <c r="N417" s="236"/>
    </row>
    <row r="418" spans="1:14" x14ac:dyDescent="0.2">
      <c r="A418" s="237" t="str">
        <f>name!E$5</f>
        <v>Professional occupations</v>
      </c>
      <c r="B418" s="302">
        <v>0.21795989240127375</v>
      </c>
      <c r="C418" s="302">
        <v>0.84385256556620181</v>
      </c>
      <c r="D418" s="302">
        <f t="shared" ref="D418:D425" si="160">SUM(B418:C418)</f>
        <v>1.0618124579674755</v>
      </c>
      <c r="E418" s="303"/>
      <c r="F418" s="302">
        <v>0.59631947379580985</v>
      </c>
      <c r="G418" s="302">
        <v>2.4647182725289665</v>
      </c>
      <c r="H418" s="302">
        <f t="shared" ref="H418:H425" si="161">SUM(F418:G418)</f>
        <v>3.0610377463247764</v>
      </c>
      <c r="I418" s="303"/>
      <c r="J418" s="302">
        <v>0.7486903713977181</v>
      </c>
      <c r="K418" s="302">
        <v>2.7303372284550886</v>
      </c>
      <c r="L418" s="302">
        <f t="shared" ref="L418:L425" si="162">SUM(J418:K418)</f>
        <v>3.4790275998528069</v>
      </c>
      <c r="M418" s="236"/>
      <c r="N418" s="236"/>
    </row>
    <row r="419" spans="1:14" x14ac:dyDescent="0.2">
      <c r="A419" s="237" t="str">
        <f>name!E$6</f>
        <v>Associate professional occupations</v>
      </c>
      <c r="B419" s="302">
        <v>0.22878680563675061</v>
      </c>
      <c r="C419" s="302">
        <v>0.5335255947490144</v>
      </c>
      <c r="D419" s="302">
        <f t="shared" si="160"/>
        <v>0.76231240038576498</v>
      </c>
      <c r="E419" s="303"/>
      <c r="F419" s="302">
        <v>0.55580625505149384</v>
      </c>
      <c r="G419" s="302">
        <v>1.4915381699902532</v>
      </c>
      <c r="H419" s="302">
        <f t="shared" si="161"/>
        <v>2.047344425041747</v>
      </c>
      <c r="I419" s="303"/>
      <c r="J419" s="302">
        <v>0.58625065490440886</v>
      </c>
      <c r="K419" s="302">
        <v>1.2872036684502099</v>
      </c>
      <c r="L419" s="302">
        <f t="shared" si="162"/>
        <v>1.8734543233546188</v>
      </c>
      <c r="M419" s="236"/>
      <c r="N419" s="236"/>
    </row>
    <row r="420" spans="1:14" x14ac:dyDescent="0.2">
      <c r="A420" s="237" t="str">
        <f>name!E$7</f>
        <v>Administrative and secretarial occupations</v>
      </c>
      <c r="B420" s="302">
        <v>0.15154388418484654</v>
      </c>
      <c r="C420" s="302">
        <v>4.2250393897744883E-2</v>
      </c>
      <c r="D420" s="302">
        <f t="shared" si="160"/>
        <v>0.19379427808259142</v>
      </c>
      <c r="E420" s="303"/>
      <c r="F420" s="302">
        <v>0.30273456920202468</v>
      </c>
      <c r="G420" s="302">
        <v>0.14191285946538548</v>
      </c>
      <c r="H420" s="302">
        <f t="shared" si="161"/>
        <v>0.44464742866741014</v>
      </c>
      <c r="I420" s="303"/>
      <c r="J420" s="302">
        <v>0.21077861139146203</v>
      </c>
      <c r="K420" s="302">
        <v>0.13127349976477568</v>
      </c>
      <c r="L420" s="302">
        <f t="shared" si="162"/>
        <v>0.34205211115623768</v>
      </c>
      <c r="M420" s="236"/>
      <c r="N420" s="236"/>
    </row>
    <row r="421" spans="1:14" x14ac:dyDescent="0.2">
      <c r="A421" s="237" t="str">
        <f>name!E$8</f>
        <v>Skilled trades occupations</v>
      </c>
      <c r="B421" s="302">
        <v>2.9795888828346096E-2</v>
      </c>
      <c r="C421" s="302">
        <v>0.4708228112045153</v>
      </c>
      <c r="D421" s="302">
        <f t="shared" si="160"/>
        <v>0.50061870003286135</v>
      </c>
      <c r="E421" s="303"/>
      <c r="F421" s="302">
        <v>5.0131405336756196E-2</v>
      </c>
      <c r="G421" s="302">
        <v>0.9668553753993403</v>
      </c>
      <c r="H421" s="302">
        <f t="shared" si="161"/>
        <v>1.0169867807360964</v>
      </c>
      <c r="I421" s="303"/>
      <c r="J421" s="302">
        <v>4.0136408095777384E-2</v>
      </c>
      <c r="K421" s="302">
        <v>0.64775286843574575</v>
      </c>
      <c r="L421" s="302">
        <f t="shared" si="162"/>
        <v>0.6878892765315231</v>
      </c>
      <c r="M421" s="236"/>
      <c r="N421" s="236"/>
    </row>
    <row r="422" spans="1:14" x14ac:dyDescent="0.2">
      <c r="A422" s="237" t="str">
        <f>name!E$9</f>
        <v>Caring, leisure and other service occupations</v>
      </c>
      <c r="B422" s="302">
        <v>0.28704472225026095</v>
      </c>
      <c r="C422" s="302">
        <v>6.5977814947285288E-2</v>
      </c>
      <c r="D422" s="302">
        <f t="shared" si="160"/>
        <v>0.35302253719754623</v>
      </c>
      <c r="E422" s="303"/>
      <c r="F422" s="302">
        <v>0.52675572392116321</v>
      </c>
      <c r="G422" s="302">
        <v>0.15778548618196434</v>
      </c>
      <c r="H422" s="302">
        <f t="shared" si="161"/>
        <v>0.68454121010312752</v>
      </c>
      <c r="I422" s="303"/>
      <c r="J422" s="302">
        <v>0.52261152485095907</v>
      </c>
      <c r="K422" s="302">
        <v>0.19749935863691973</v>
      </c>
      <c r="L422" s="302">
        <f t="shared" si="162"/>
        <v>0.72011088348787877</v>
      </c>
      <c r="M422" s="236"/>
      <c r="N422" s="236"/>
    </row>
    <row r="423" spans="1:14" x14ac:dyDescent="0.2">
      <c r="A423" s="237" t="str">
        <f>name!E$10</f>
        <v>Sales and customer service occupations</v>
      </c>
      <c r="B423" s="302">
        <v>0.22504746127541608</v>
      </c>
      <c r="C423" s="302">
        <v>4.8758889253084248E-2</v>
      </c>
      <c r="D423" s="302">
        <f t="shared" si="160"/>
        <v>0.27380635052850033</v>
      </c>
      <c r="E423" s="303"/>
      <c r="F423" s="302">
        <v>0.4306502514535101</v>
      </c>
      <c r="G423" s="302">
        <v>0.16738207578449513</v>
      </c>
      <c r="H423" s="302">
        <f t="shared" si="161"/>
        <v>0.59803232723800526</v>
      </c>
      <c r="I423" s="303"/>
      <c r="J423" s="302">
        <v>0.43589579033799697</v>
      </c>
      <c r="K423" s="302">
        <v>0.18016457634852742</v>
      </c>
      <c r="L423" s="302">
        <f t="shared" si="162"/>
        <v>0.61606036668652442</v>
      </c>
      <c r="M423" s="236"/>
      <c r="N423" s="236"/>
    </row>
    <row r="424" spans="1:14" x14ac:dyDescent="0.2">
      <c r="A424" s="237" t="str">
        <f>name!E$11</f>
        <v>Process, plant and machine operatives</v>
      </c>
      <c r="B424" s="302">
        <v>1.4747172968347325E-2</v>
      </c>
      <c r="C424" s="302">
        <v>0.27534432672787928</v>
      </c>
      <c r="D424" s="302">
        <f t="shared" si="160"/>
        <v>0.29009149969622661</v>
      </c>
      <c r="E424" s="303"/>
      <c r="F424" s="302">
        <v>2.3255710423009324E-2</v>
      </c>
      <c r="G424" s="302">
        <v>0.57901302616734929</v>
      </c>
      <c r="H424" s="302">
        <f t="shared" si="161"/>
        <v>0.60226873659035862</v>
      </c>
      <c r="I424" s="303"/>
      <c r="J424" s="302">
        <v>3.3074434852339879E-2</v>
      </c>
      <c r="K424" s="302">
        <v>0.63117993828338448</v>
      </c>
      <c r="L424" s="302">
        <f t="shared" si="162"/>
        <v>0.66425437313572433</v>
      </c>
      <c r="M424" s="236"/>
      <c r="N424" s="236"/>
    </row>
    <row r="425" spans="1:14" x14ac:dyDescent="0.2">
      <c r="A425" s="237" t="str">
        <f>name!E$12</f>
        <v>Elementary occupations</v>
      </c>
      <c r="B425" s="302">
        <v>8.2591289784088945E-2</v>
      </c>
      <c r="C425" s="302">
        <v>5.2917521355626877E-2</v>
      </c>
      <c r="D425" s="302">
        <f t="shared" si="160"/>
        <v>0.13550881113971583</v>
      </c>
      <c r="E425" s="303"/>
      <c r="F425" s="302">
        <v>0.11724267710207242</v>
      </c>
      <c r="G425" s="302">
        <v>0.12704784164249039</v>
      </c>
      <c r="H425" s="302">
        <f t="shared" si="161"/>
        <v>0.24429051874456281</v>
      </c>
      <c r="I425" s="303"/>
      <c r="J425" s="302">
        <v>6.4834354636653005E-2</v>
      </c>
      <c r="K425" s="302">
        <v>8.2327014629199544E-2</v>
      </c>
      <c r="L425" s="302">
        <f t="shared" si="162"/>
        <v>0.14716136926585255</v>
      </c>
      <c r="M425" s="236"/>
      <c r="N425" s="236"/>
    </row>
    <row r="426" spans="1:14" x14ac:dyDescent="0.2">
      <c r="A426" s="237"/>
      <c r="B426" s="302"/>
      <c r="C426" s="302"/>
      <c r="D426" s="302"/>
      <c r="E426" s="303"/>
      <c r="F426" s="302"/>
      <c r="G426" s="302"/>
      <c r="H426" s="302"/>
      <c r="I426" s="303"/>
      <c r="J426" s="302"/>
      <c r="K426" s="302"/>
      <c r="L426" s="302"/>
      <c r="M426" s="236"/>
      <c r="N426" s="236"/>
    </row>
    <row r="427" spans="1:14" x14ac:dyDescent="0.2">
      <c r="A427" s="244" t="s">
        <v>32</v>
      </c>
      <c r="B427" s="311">
        <f>SUM(B417:B425)</f>
        <v>1.4060000000012889</v>
      </c>
      <c r="C427" s="311">
        <f t="shared" ref="C427:D427" si="163">SUM(C417:C425)</f>
        <v>2.7419999999725095</v>
      </c>
      <c r="D427" s="311">
        <f t="shared" si="163"/>
        <v>4.1479999999737975</v>
      </c>
      <c r="E427" s="311"/>
      <c r="F427" s="311">
        <f t="shared" ref="F427:H427" si="164">SUM(F417:F425)</f>
        <v>3.013999999981344</v>
      </c>
      <c r="G427" s="311">
        <f t="shared" si="164"/>
        <v>7.2209999999481056</v>
      </c>
      <c r="H427" s="311">
        <f t="shared" si="164"/>
        <v>10.23499999992945</v>
      </c>
      <c r="I427" s="311"/>
      <c r="J427" s="311">
        <f t="shared" ref="J427:L427" si="165">SUM(J417:J425)</f>
        <v>3.0999999999983836</v>
      </c>
      <c r="K427" s="311">
        <f t="shared" si="165"/>
        <v>7.1570000000888587</v>
      </c>
      <c r="L427" s="311">
        <f t="shared" si="165"/>
        <v>10.25700000008724</v>
      </c>
      <c r="M427" s="236"/>
      <c r="N427" s="236"/>
    </row>
    <row r="428" spans="1:14" x14ac:dyDescent="0.2">
      <c r="A428" s="237"/>
      <c r="B428" s="237"/>
      <c r="C428" s="237"/>
      <c r="D428" s="237"/>
      <c r="E428" s="237"/>
      <c r="F428" s="237"/>
      <c r="G428" s="237"/>
      <c r="H428" s="237"/>
      <c r="I428" s="237"/>
      <c r="J428" s="237"/>
      <c r="K428" s="237"/>
      <c r="L428" s="240"/>
      <c r="M428" s="236"/>
      <c r="N428" s="236"/>
    </row>
    <row r="429" spans="1:14" x14ac:dyDescent="0.2">
      <c r="A429" s="237"/>
      <c r="B429" s="237"/>
      <c r="C429" s="237"/>
      <c r="D429" s="237"/>
      <c r="E429" s="237"/>
      <c r="F429" s="237"/>
      <c r="G429" s="237"/>
      <c r="H429" s="237"/>
      <c r="I429" s="237"/>
      <c r="J429" s="237"/>
      <c r="K429" s="237"/>
      <c r="L429" s="256" t="s">
        <v>35</v>
      </c>
      <c r="M429" s="236"/>
      <c r="N429" s="236"/>
    </row>
    <row r="430" spans="1:14" x14ac:dyDescent="0.2">
      <c r="A430" s="242"/>
      <c r="B430" s="250"/>
      <c r="C430" s="250"/>
      <c r="D430" s="250"/>
      <c r="E430" s="250"/>
      <c r="F430" s="250"/>
      <c r="G430" s="250"/>
      <c r="H430" s="250"/>
      <c r="I430" s="250"/>
      <c r="J430" s="250"/>
      <c r="K430" s="250"/>
      <c r="L430" s="236"/>
      <c r="M430" s="236"/>
      <c r="N430" s="236"/>
    </row>
    <row r="431" spans="1:14" x14ac:dyDescent="0.2">
      <c r="A431" s="241" t="str">
        <f>name!A28</f>
        <v>Water</v>
      </c>
      <c r="B431" s="372">
        <f>B$6</f>
        <v>2015</v>
      </c>
      <c r="C431" s="372"/>
      <c r="D431" s="372"/>
      <c r="E431" s="253"/>
      <c r="F431" s="372">
        <f>F414</f>
        <v>2020</v>
      </c>
      <c r="G431" s="372"/>
      <c r="H431" s="372"/>
      <c r="I431" s="253"/>
      <c r="J431" s="372">
        <f>J414</f>
        <v>2035</v>
      </c>
      <c r="K431" s="372"/>
      <c r="L431" s="372"/>
      <c r="M431" s="236"/>
      <c r="N431" s="236"/>
    </row>
    <row r="432" spans="1:14" x14ac:dyDescent="0.2">
      <c r="A432" s="254"/>
      <c r="B432" s="255" t="s">
        <v>352</v>
      </c>
      <c r="C432" s="255" t="s">
        <v>353</v>
      </c>
      <c r="D432" s="255" t="s">
        <v>32</v>
      </c>
      <c r="E432" s="255"/>
      <c r="F432" s="255" t="s">
        <v>352</v>
      </c>
      <c r="G432" s="255" t="s">
        <v>353</v>
      </c>
      <c r="H432" s="255" t="s">
        <v>32</v>
      </c>
      <c r="I432" s="255"/>
      <c r="J432" s="255" t="s">
        <v>352</v>
      </c>
      <c r="K432" s="255" t="s">
        <v>353</v>
      </c>
      <c r="L432" s="255" t="s">
        <v>32</v>
      </c>
      <c r="M432" s="236"/>
      <c r="N432" s="236"/>
    </row>
    <row r="433" spans="1:14" x14ac:dyDescent="0.2">
      <c r="A433" s="258"/>
      <c r="B433" s="259"/>
      <c r="C433" s="259"/>
      <c r="D433" s="259"/>
      <c r="E433" s="259"/>
      <c r="F433" s="259"/>
      <c r="G433" s="259"/>
      <c r="H433" s="259"/>
      <c r="I433" s="259"/>
      <c r="J433" s="259"/>
      <c r="K433" s="259"/>
      <c r="L433" s="259"/>
      <c r="M433" s="236"/>
      <c r="N433" s="236"/>
    </row>
    <row r="434" spans="1:14" x14ac:dyDescent="0.2">
      <c r="A434" s="237" t="str">
        <f>name!E$4</f>
        <v>Managers, directors and senior officials</v>
      </c>
      <c r="B434" s="302">
        <v>9.7647578890663764E-2</v>
      </c>
      <c r="C434" s="302">
        <v>0.30606447079484289</v>
      </c>
      <c r="D434" s="302">
        <f>SUM(B434:C434)</f>
        <v>0.40371204968550667</v>
      </c>
      <c r="E434" s="303"/>
      <c r="F434" s="302">
        <v>0.11232887576141531</v>
      </c>
      <c r="G434" s="302">
        <v>0.37656759549063212</v>
      </c>
      <c r="H434" s="302">
        <f>SUM(F434:G434)</f>
        <v>0.48889647125204744</v>
      </c>
      <c r="I434" s="303"/>
      <c r="J434" s="302">
        <v>0.12823037475665752</v>
      </c>
      <c r="K434" s="302">
        <v>0.39110577036625582</v>
      </c>
      <c r="L434" s="302">
        <f>SUM(J434:K434)</f>
        <v>0.51933614512291337</v>
      </c>
      <c r="M434" s="236"/>
      <c r="N434" s="236"/>
    </row>
    <row r="435" spans="1:14" x14ac:dyDescent="0.2">
      <c r="A435" s="237" t="str">
        <f>name!E$5</f>
        <v>Professional occupations</v>
      </c>
      <c r="B435" s="302">
        <v>0.15051280279600557</v>
      </c>
      <c r="C435" s="302">
        <v>0.3390605413816607</v>
      </c>
      <c r="D435" s="302">
        <f t="shared" ref="D435:D442" si="166">SUM(B435:C435)</f>
        <v>0.48957334417766629</v>
      </c>
      <c r="E435" s="303"/>
      <c r="F435" s="302">
        <v>0.16851821955106316</v>
      </c>
      <c r="G435" s="302">
        <v>0.50828210837355758</v>
      </c>
      <c r="H435" s="302">
        <f t="shared" ref="H435:H442" si="167">SUM(F435:G435)</f>
        <v>0.67680032792462075</v>
      </c>
      <c r="I435" s="303"/>
      <c r="J435" s="302">
        <v>0.2177510070542025</v>
      </c>
      <c r="K435" s="302">
        <v>0.6010431426576045</v>
      </c>
      <c r="L435" s="302">
        <f t="shared" ref="L435:L442" si="168">SUM(J435:K435)</f>
        <v>0.81879414971180697</v>
      </c>
      <c r="M435" s="236"/>
      <c r="N435" s="236"/>
    </row>
    <row r="436" spans="1:14" x14ac:dyDescent="0.2">
      <c r="A436" s="237" t="str">
        <f>name!E$6</f>
        <v>Associate professional occupations</v>
      </c>
      <c r="B436" s="302">
        <v>0.26726989524838107</v>
      </c>
      <c r="C436" s="302">
        <v>0.29381715649941281</v>
      </c>
      <c r="D436" s="302">
        <f t="shared" si="166"/>
        <v>0.56108705174779394</v>
      </c>
      <c r="E436" s="303"/>
      <c r="F436" s="302">
        <v>0.25979146428686034</v>
      </c>
      <c r="G436" s="302">
        <v>0.35505108644418565</v>
      </c>
      <c r="H436" s="302">
        <f t="shared" si="167"/>
        <v>0.61484255073104599</v>
      </c>
      <c r="I436" s="303"/>
      <c r="J436" s="302">
        <v>0.28642513147534249</v>
      </c>
      <c r="K436" s="302">
        <v>0.35051115970278507</v>
      </c>
      <c r="L436" s="302">
        <f t="shared" si="168"/>
        <v>0.63693629117812756</v>
      </c>
      <c r="M436" s="236"/>
      <c r="N436" s="236"/>
    </row>
    <row r="437" spans="1:14" x14ac:dyDescent="0.2">
      <c r="A437" s="237" t="str">
        <f>name!E$7</f>
        <v>Administrative and secretarial occupations</v>
      </c>
      <c r="B437" s="302">
        <v>7.8526439092332173E-2</v>
      </c>
      <c r="C437" s="302">
        <v>2.7347518738557307E-2</v>
      </c>
      <c r="D437" s="302">
        <f t="shared" si="166"/>
        <v>0.10587395783088949</v>
      </c>
      <c r="E437" s="303"/>
      <c r="F437" s="302">
        <v>6.3732255701515431E-2</v>
      </c>
      <c r="G437" s="302">
        <v>3.7240486567855162E-2</v>
      </c>
      <c r="H437" s="302">
        <f t="shared" si="167"/>
        <v>0.10097274226937059</v>
      </c>
      <c r="I437" s="303"/>
      <c r="J437" s="302">
        <v>6.3721309882877233E-2</v>
      </c>
      <c r="K437" s="302">
        <v>4.9459474931220722E-2</v>
      </c>
      <c r="L437" s="302">
        <f t="shared" si="168"/>
        <v>0.11318078481409796</v>
      </c>
      <c r="M437" s="236"/>
      <c r="N437" s="236"/>
    </row>
    <row r="438" spans="1:14" x14ac:dyDescent="0.2">
      <c r="A438" s="237" t="str">
        <f>name!E$8</f>
        <v>Skilled trades occupations</v>
      </c>
      <c r="B438" s="302">
        <v>1.3825580670097797E-2</v>
      </c>
      <c r="C438" s="302">
        <v>0.24502011214621894</v>
      </c>
      <c r="D438" s="302">
        <f t="shared" si="166"/>
        <v>0.25884569281631675</v>
      </c>
      <c r="E438" s="303"/>
      <c r="F438" s="302">
        <v>2.0857219408700403E-2</v>
      </c>
      <c r="G438" s="302">
        <v>0.24390040782753275</v>
      </c>
      <c r="H438" s="302">
        <f t="shared" si="167"/>
        <v>0.26475762723623314</v>
      </c>
      <c r="I438" s="303"/>
      <c r="J438" s="302">
        <v>3.3169764068144883E-2</v>
      </c>
      <c r="K438" s="302">
        <v>0.20004399976202791</v>
      </c>
      <c r="L438" s="302">
        <f t="shared" si="168"/>
        <v>0.23321376383017278</v>
      </c>
      <c r="M438" s="236"/>
      <c r="N438" s="236"/>
    </row>
    <row r="439" spans="1:14" x14ac:dyDescent="0.2">
      <c r="A439" s="237" t="str">
        <f>name!E$9</f>
        <v>Caring, leisure and other service occupations</v>
      </c>
      <c r="B439" s="302">
        <v>0.14779163053603403</v>
      </c>
      <c r="C439" s="302">
        <v>6.7388803637185475E-3</v>
      </c>
      <c r="D439" s="302">
        <f t="shared" si="166"/>
        <v>0.15453051089975259</v>
      </c>
      <c r="E439" s="303"/>
      <c r="F439" s="302">
        <v>0.13999650052363158</v>
      </c>
      <c r="G439" s="302">
        <v>8.4048293902526054E-3</v>
      </c>
      <c r="H439" s="302">
        <f t="shared" si="167"/>
        <v>0.14840132991388419</v>
      </c>
      <c r="I439" s="303"/>
      <c r="J439" s="302">
        <v>0.14735868792771969</v>
      </c>
      <c r="K439" s="302">
        <v>1.1082465158435658E-2</v>
      </c>
      <c r="L439" s="302">
        <f t="shared" si="168"/>
        <v>0.15844115308615536</v>
      </c>
      <c r="M439" s="236"/>
      <c r="N439" s="236"/>
    </row>
    <row r="440" spans="1:14" x14ac:dyDescent="0.2">
      <c r="A440" s="237" t="str">
        <f>name!E$10</f>
        <v>Sales and customer service occupations</v>
      </c>
      <c r="B440" s="302">
        <v>4.407477095478067E-2</v>
      </c>
      <c r="C440" s="302">
        <v>2.971556404998894E-2</v>
      </c>
      <c r="D440" s="302">
        <f t="shared" si="166"/>
        <v>7.3790335004769614E-2</v>
      </c>
      <c r="E440" s="303"/>
      <c r="F440" s="302">
        <v>4.065518238361019E-2</v>
      </c>
      <c r="G440" s="302">
        <v>4.1198710131063847E-2</v>
      </c>
      <c r="H440" s="302">
        <f t="shared" si="167"/>
        <v>8.1853892514674037E-2</v>
      </c>
      <c r="I440" s="303"/>
      <c r="J440" s="302">
        <v>3.8011273058662969E-2</v>
      </c>
      <c r="K440" s="302">
        <v>4.5559623426228837E-2</v>
      </c>
      <c r="L440" s="302">
        <f t="shared" si="168"/>
        <v>8.3570896484891799E-2</v>
      </c>
      <c r="M440" s="236"/>
      <c r="N440" s="236"/>
    </row>
    <row r="441" spans="1:14" x14ac:dyDescent="0.2">
      <c r="A441" s="237" t="str">
        <f>name!E$11</f>
        <v>Process, plant and machine operatives</v>
      </c>
      <c r="B441" s="302">
        <v>1.919542257704851E-2</v>
      </c>
      <c r="C441" s="302">
        <v>0.43645695711765303</v>
      </c>
      <c r="D441" s="302">
        <f t="shared" si="166"/>
        <v>0.45565237969470151</v>
      </c>
      <c r="E441" s="303"/>
      <c r="F441" s="302">
        <v>1.3848924943795509E-2</v>
      </c>
      <c r="G441" s="302">
        <v>0.39141333476033879</v>
      </c>
      <c r="H441" s="302">
        <f t="shared" si="167"/>
        <v>0.40526225970413432</v>
      </c>
      <c r="I441" s="303"/>
      <c r="J441" s="302">
        <v>2.2367678210870188E-2</v>
      </c>
      <c r="K441" s="302">
        <v>0.3907635986631432</v>
      </c>
      <c r="L441" s="302">
        <f t="shared" si="168"/>
        <v>0.41313127687401341</v>
      </c>
      <c r="M441" s="236"/>
      <c r="N441" s="236"/>
    </row>
    <row r="442" spans="1:14" x14ac:dyDescent="0.2">
      <c r="A442" s="237" t="str">
        <f>name!E$12</f>
        <v>Elementary occupations</v>
      </c>
      <c r="B442" s="302">
        <v>0.12115587923063034</v>
      </c>
      <c r="C442" s="302">
        <v>5.4778798895709788E-2</v>
      </c>
      <c r="D442" s="302">
        <f t="shared" si="166"/>
        <v>0.17593467812634012</v>
      </c>
      <c r="E442" s="303"/>
      <c r="F442" s="302">
        <v>0.12127135743823608</v>
      </c>
      <c r="G442" s="302">
        <v>9.0941441003745405E-2</v>
      </c>
      <c r="H442" s="302">
        <f t="shared" si="167"/>
        <v>0.21221279844198149</v>
      </c>
      <c r="I442" s="303"/>
      <c r="J442" s="302">
        <v>0.12096477357251043</v>
      </c>
      <c r="K442" s="302">
        <v>7.4430765345588637E-2</v>
      </c>
      <c r="L442" s="302">
        <f t="shared" si="168"/>
        <v>0.19539553891809908</v>
      </c>
      <c r="M442" s="236"/>
      <c r="N442" s="236"/>
    </row>
    <row r="443" spans="1:14" x14ac:dyDescent="0.2">
      <c r="A443" s="237"/>
      <c r="B443" s="302"/>
      <c r="C443" s="302"/>
      <c r="D443" s="302"/>
      <c r="E443" s="303"/>
      <c r="F443" s="302"/>
      <c r="G443" s="302"/>
      <c r="H443" s="302"/>
      <c r="I443" s="303"/>
      <c r="J443" s="302"/>
      <c r="K443" s="302"/>
      <c r="L443" s="302"/>
      <c r="M443" s="236"/>
      <c r="N443" s="236"/>
    </row>
    <row r="444" spans="1:14" x14ac:dyDescent="0.2">
      <c r="A444" s="244" t="s">
        <v>32</v>
      </c>
      <c r="B444" s="311">
        <f>SUM(B434:B442)</f>
        <v>0.93999999999597383</v>
      </c>
      <c r="C444" s="311">
        <f t="shared" ref="C444:D444" si="169">SUM(C434:C442)</f>
        <v>1.7389999999877628</v>
      </c>
      <c r="D444" s="311">
        <f t="shared" si="169"/>
        <v>2.6789999999837373</v>
      </c>
      <c r="E444" s="311"/>
      <c r="F444" s="311">
        <f t="shared" ref="F444:H444" si="170">SUM(F434:F442)</f>
        <v>0.94099999999882811</v>
      </c>
      <c r="G444" s="311">
        <f t="shared" si="170"/>
        <v>2.0529999999891637</v>
      </c>
      <c r="H444" s="311">
        <f t="shared" si="170"/>
        <v>2.9939999999879916</v>
      </c>
      <c r="I444" s="311"/>
      <c r="J444" s="311">
        <f t="shared" ref="J444:L444" si="171">SUM(J434:J442)</f>
        <v>1.0580000000069878</v>
      </c>
      <c r="K444" s="311">
        <f t="shared" si="171"/>
        <v>2.1140000000132901</v>
      </c>
      <c r="L444" s="311">
        <f t="shared" si="171"/>
        <v>3.1720000000202777</v>
      </c>
      <c r="M444" s="236"/>
      <c r="N444" s="236"/>
    </row>
    <row r="445" spans="1:14" x14ac:dyDescent="0.2">
      <c r="A445" s="237"/>
      <c r="B445" s="237"/>
      <c r="C445" s="237"/>
      <c r="D445" s="237"/>
      <c r="E445" s="237"/>
      <c r="F445" s="237"/>
      <c r="G445" s="237"/>
      <c r="H445" s="237"/>
      <c r="I445" s="237"/>
      <c r="J445" s="237"/>
      <c r="K445" s="237"/>
      <c r="L445" s="240"/>
      <c r="M445" s="236"/>
      <c r="N445" s="236"/>
    </row>
    <row r="446" spans="1:14" x14ac:dyDescent="0.2">
      <c r="A446" s="237"/>
      <c r="B446" s="237"/>
      <c r="C446" s="237"/>
      <c r="D446" s="237"/>
      <c r="E446" s="237"/>
      <c r="F446" s="237"/>
      <c r="G446" s="237"/>
      <c r="H446" s="237"/>
      <c r="I446" s="237"/>
      <c r="J446" s="237"/>
      <c r="K446" s="237"/>
      <c r="L446" s="256" t="s">
        <v>35</v>
      </c>
      <c r="M446" s="236"/>
      <c r="N446" s="236"/>
    </row>
    <row r="447" spans="1:14" x14ac:dyDescent="0.2">
      <c r="A447" s="242"/>
      <c r="B447" s="250"/>
      <c r="C447" s="250"/>
      <c r="D447" s="250"/>
      <c r="E447" s="250"/>
      <c r="F447" s="250"/>
      <c r="G447" s="250"/>
      <c r="H447" s="250"/>
      <c r="I447" s="250"/>
      <c r="J447" s="250"/>
      <c r="K447" s="250"/>
      <c r="L447" s="236"/>
      <c r="M447" s="236"/>
      <c r="N447" s="236"/>
    </row>
    <row r="448" spans="1:14" x14ac:dyDescent="0.2">
      <c r="A448" s="241" t="str">
        <f>name!A29</f>
        <v>Sewerage</v>
      </c>
      <c r="B448" s="372">
        <f>B$6</f>
        <v>2015</v>
      </c>
      <c r="C448" s="372"/>
      <c r="D448" s="372"/>
      <c r="E448" s="253"/>
      <c r="F448" s="372">
        <f>F431</f>
        <v>2020</v>
      </c>
      <c r="G448" s="372"/>
      <c r="H448" s="372"/>
      <c r="I448" s="253"/>
      <c r="J448" s="372">
        <f>J431</f>
        <v>2035</v>
      </c>
      <c r="K448" s="372"/>
      <c r="L448" s="372"/>
      <c r="M448" s="236"/>
      <c r="N448" s="236"/>
    </row>
    <row r="449" spans="1:14" x14ac:dyDescent="0.2">
      <c r="A449" s="254"/>
      <c r="B449" s="255" t="s">
        <v>352</v>
      </c>
      <c r="C449" s="255" t="s">
        <v>353</v>
      </c>
      <c r="D449" s="255" t="s">
        <v>32</v>
      </c>
      <c r="E449" s="255"/>
      <c r="F449" s="255" t="s">
        <v>352</v>
      </c>
      <c r="G449" s="255" t="s">
        <v>353</v>
      </c>
      <c r="H449" s="255" t="s">
        <v>32</v>
      </c>
      <c r="I449" s="255"/>
      <c r="J449" s="255" t="s">
        <v>352</v>
      </c>
      <c r="K449" s="255" t="s">
        <v>353</v>
      </c>
      <c r="L449" s="255" t="s">
        <v>32</v>
      </c>
      <c r="M449" s="236"/>
      <c r="N449" s="236"/>
    </row>
    <row r="450" spans="1:14" x14ac:dyDescent="0.2">
      <c r="A450" s="258"/>
      <c r="B450" s="259"/>
      <c r="C450" s="259"/>
      <c r="D450" s="259"/>
      <c r="E450" s="259"/>
      <c r="F450" s="259"/>
      <c r="G450" s="259"/>
      <c r="H450" s="259"/>
      <c r="I450" s="259"/>
      <c r="J450" s="259"/>
      <c r="K450" s="259"/>
      <c r="L450" s="259"/>
      <c r="M450" s="236"/>
      <c r="N450" s="236"/>
    </row>
    <row r="451" spans="1:14" x14ac:dyDescent="0.2">
      <c r="A451" s="237" t="str">
        <f>name!E$4</f>
        <v>Managers, directors and senior officials</v>
      </c>
      <c r="B451" s="302">
        <v>1.5241805759336479E-4</v>
      </c>
      <c r="C451" s="302">
        <v>8.5713155902954561E-3</v>
      </c>
      <c r="D451" s="302">
        <f>SUM(B451:C451)</f>
        <v>8.7237336478888216E-3</v>
      </c>
      <c r="E451" s="303"/>
      <c r="F451" s="302">
        <v>6.9896326738807526E-4</v>
      </c>
      <c r="G451" s="302">
        <v>8.3529361551223577E-3</v>
      </c>
      <c r="H451" s="302">
        <f>SUM(F451:G451)</f>
        <v>9.0518994225104333E-3</v>
      </c>
      <c r="I451" s="303"/>
      <c r="J451" s="302">
        <v>7.4249970548198043E-4</v>
      </c>
      <c r="K451" s="302">
        <v>8.6162152823184741E-3</v>
      </c>
      <c r="L451" s="302">
        <f>SUM(J451:K451)</f>
        <v>9.3587149878004549E-3</v>
      </c>
      <c r="M451" s="236"/>
      <c r="N451" s="236"/>
    </row>
    <row r="452" spans="1:14" x14ac:dyDescent="0.2">
      <c r="A452" s="237" t="str">
        <f>name!E$5</f>
        <v>Professional occupations</v>
      </c>
      <c r="B452" s="302">
        <v>3.9941986193519962E-4</v>
      </c>
      <c r="C452" s="302">
        <v>7.5571308791089328E-3</v>
      </c>
      <c r="D452" s="302">
        <f t="shared" ref="D452:D459" si="172">SUM(B452:C452)</f>
        <v>7.956550741044132E-3</v>
      </c>
      <c r="E452" s="303"/>
      <c r="F452" s="302">
        <v>1.4219880787638992E-3</v>
      </c>
      <c r="G452" s="302">
        <v>8.5034721959251266E-3</v>
      </c>
      <c r="H452" s="302">
        <f t="shared" ref="H452:H459" si="173">SUM(F452:G452)</f>
        <v>9.9254602746890255E-3</v>
      </c>
      <c r="I452" s="303"/>
      <c r="J452" s="302">
        <v>1.4102962411132553E-3</v>
      </c>
      <c r="K452" s="302">
        <v>8.8468928497941052E-3</v>
      </c>
      <c r="L452" s="302">
        <f t="shared" ref="L452:L459" si="174">SUM(J452:K452)</f>
        <v>1.0257189090907361E-2</v>
      </c>
      <c r="M452" s="236"/>
      <c r="N452" s="236"/>
    </row>
    <row r="453" spans="1:14" x14ac:dyDescent="0.2">
      <c r="A453" s="237" t="str">
        <f>name!E$6</f>
        <v>Associate professional occupations</v>
      </c>
      <c r="B453" s="302">
        <v>1.2629737417577678E-3</v>
      </c>
      <c r="C453" s="302">
        <v>7.2604538967570402E-3</v>
      </c>
      <c r="D453" s="302">
        <f t="shared" si="172"/>
        <v>8.5234276385148071E-3</v>
      </c>
      <c r="E453" s="303"/>
      <c r="F453" s="302">
        <v>3.3732129319951161E-3</v>
      </c>
      <c r="G453" s="302">
        <v>6.9600005670343466E-3</v>
      </c>
      <c r="H453" s="302">
        <f t="shared" si="173"/>
        <v>1.0333213499029463E-2</v>
      </c>
      <c r="I453" s="303"/>
      <c r="J453" s="302">
        <v>4.0503819218690347E-3</v>
      </c>
      <c r="K453" s="302">
        <v>6.3101027372615874E-3</v>
      </c>
      <c r="L453" s="302">
        <f t="shared" si="174"/>
        <v>1.0360484659130621E-2</v>
      </c>
      <c r="M453" s="236"/>
      <c r="N453" s="236"/>
    </row>
    <row r="454" spans="1:14" x14ac:dyDescent="0.2">
      <c r="A454" s="237" t="str">
        <f>name!E$7</f>
        <v>Administrative and secretarial occupations</v>
      </c>
      <c r="B454" s="302">
        <v>2.3863445969057252E-3</v>
      </c>
      <c r="C454" s="302">
        <v>4.3253740155515478E-3</v>
      </c>
      <c r="D454" s="302">
        <f t="shared" si="172"/>
        <v>6.7117186124572726E-3</v>
      </c>
      <c r="E454" s="303"/>
      <c r="F454" s="302">
        <v>5.3331819227444826E-3</v>
      </c>
      <c r="G454" s="302">
        <v>3.7935394126788393E-3</v>
      </c>
      <c r="H454" s="302">
        <f t="shared" si="173"/>
        <v>9.1267213354233219E-3</v>
      </c>
      <c r="I454" s="303"/>
      <c r="J454" s="302">
        <v>5.3854649853561226E-3</v>
      </c>
      <c r="K454" s="302">
        <v>4.0243376609804303E-3</v>
      </c>
      <c r="L454" s="302">
        <f t="shared" si="174"/>
        <v>9.4098026463365521E-3</v>
      </c>
      <c r="M454" s="236"/>
      <c r="N454" s="236"/>
    </row>
    <row r="455" spans="1:14" x14ac:dyDescent="0.2">
      <c r="A455" s="237" t="str">
        <f>name!E$8</f>
        <v>Skilled trades occupations</v>
      </c>
      <c r="B455" s="302">
        <v>4.5079025535040872E-5</v>
      </c>
      <c r="C455" s="302">
        <v>1.0661305866641053E-2</v>
      </c>
      <c r="D455" s="302">
        <f t="shared" si="172"/>
        <v>1.0706384892176095E-2</v>
      </c>
      <c r="E455" s="303"/>
      <c r="F455" s="302">
        <v>3.1216111547567203E-4</v>
      </c>
      <c r="G455" s="302">
        <v>8.4087469909797739E-3</v>
      </c>
      <c r="H455" s="302">
        <f t="shared" si="173"/>
        <v>8.7209081064554463E-3</v>
      </c>
      <c r="I455" s="303"/>
      <c r="J455" s="302">
        <v>5.186399928896404E-4</v>
      </c>
      <c r="K455" s="302">
        <v>7.2746442944964683E-3</v>
      </c>
      <c r="L455" s="302">
        <f t="shared" si="174"/>
        <v>7.793284287386109E-3</v>
      </c>
      <c r="M455" s="236"/>
      <c r="N455" s="236"/>
    </row>
    <row r="456" spans="1:14" x14ac:dyDescent="0.2">
      <c r="A456" s="237" t="str">
        <f>name!E$9</f>
        <v>Caring, leisure and other service occupations</v>
      </c>
      <c r="B456" s="302">
        <v>1.6417362127401047E-4</v>
      </c>
      <c r="C456" s="302">
        <v>2.9800696211049341E-3</v>
      </c>
      <c r="D456" s="302">
        <f t="shared" si="172"/>
        <v>3.1442432423789447E-3</v>
      </c>
      <c r="E456" s="303"/>
      <c r="F456" s="302">
        <v>5.7827684374956996E-4</v>
      </c>
      <c r="G456" s="302">
        <v>2.9768497870154482E-3</v>
      </c>
      <c r="H456" s="302">
        <f t="shared" si="173"/>
        <v>3.5551266307650179E-3</v>
      </c>
      <c r="I456" s="303"/>
      <c r="J456" s="302">
        <v>5.5506059404182454E-4</v>
      </c>
      <c r="K456" s="302">
        <v>3.6009294702918533E-3</v>
      </c>
      <c r="L456" s="302">
        <f t="shared" si="174"/>
        <v>4.1559900643336782E-3</v>
      </c>
      <c r="M456" s="236"/>
      <c r="N456" s="236"/>
    </row>
    <row r="457" spans="1:14" x14ac:dyDescent="0.2">
      <c r="A457" s="237" t="str">
        <f>name!E$10</f>
        <v>Sales and customer service occupations</v>
      </c>
      <c r="B457" s="302">
        <v>3.4507625535742204E-4</v>
      </c>
      <c r="C457" s="302">
        <v>2.1979550657355526E-3</v>
      </c>
      <c r="D457" s="302">
        <f t="shared" si="172"/>
        <v>2.5430313210929745E-3</v>
      </c>
      <c r="E457" s="303"/>
      <c r="F457" s="302">
        <v>8.642858887934077E-4</v>
      </c>
      <c r="G457" s="302">
        <v>2.1780534496993516E-3</v>
      </c>
      <c r="H457" s="302">
        <f t="shared" si="173"/>
        <v>3.0423393384927592E-3</v>
      </c>
      <c r="I457" s="303"/>
      <c r="J457" s="302">
        <v>8.1824711010277664E-4</v>
      </c>
      <c r="K457" s="302">
        <v>2.4976351752310985E-3</v>
      </c>
      <c r="L457" s="302">
        <f t="shared" si="174"/>
        <v>3.315882285333875E-3</v>
      </c>
      <c r="M457" s="236"/>
      <c r="N457" s="236"/>
    </row>
    <row r="458" spans="1:14" x14ac:dyDescent="0.2">
      <c r="A458" s="237" t="str">
        <f>name!E$11</f>
        <v>Process, plant and machine operatives</v>
      </c>
      <c r="B458" s="302">
        <v>5.840800830926378E-5</v>
      </c>
      <c r="C458" s="302">
        <v>6.6982775318583904E-2</v>
      </c>
      <c r="D458" s="302">
        <f t="shared" si="172"/>
        <v>6.704118332689317E-2</v>
      </c>
      <c r="E458" s="303"/>
      <c r="F458" s="302">
        <v>1.5271127826485678E-4</v>
      </c>
      <c r="G458" s="302">
        <v>4.7136718139396572E-2</v>
      </c>
      <c r="H458" s="302">
        <f t="shared" si="173"/>
        <v>4.7289429417661427E-2</v>
      </c>
      <c r="I458" s="303"/>
      <c r="J458" s="302">
        <v>2.811793693895161E-4</v>
      </c>
      <c r="K458" s="302">
        <v>5.1253752554425928E-2</v>
      </c>
      <c r="L458" s="302">
        <f t="shared" si="174"/>
        <v>5.1534931923815447E-2</v>
      </c>
      <c r="M458" s="236"/>
      <c r="N458" s="236"/>
    </row>
    <row r="459" spans="1:14" x14ac:dyDescent="0.2">
      <c r="A459" s="237" t="str">
        <f>name!E$12</f>
        <v>Elementary occupations</v>
      </c>
      <c r="B459" s="302">
        <v>1.1861068313645438E-3</v>
      </c>
      <c r="C459" s="302">
        <v>6.9463619747672026E-2</v>
      </c>
      <c r="D459" s="302">
        <f t="shared" si="172"/>
        <v>7.0649726579036565E-2</v>
      </c>
      <c r="E459" s="303"/>
      <c r="F459" s="302">
        <v>2.265218672878321E-3</v>
      </c>
      <c r="G459" s="302">
        <v>5.2689683302423219E-2</v>
      </c>
      <c r="H459" s="302">
        <f t="shared" si="173"/>
        <v>5.4954901975301541E-2</v>
      </c>
      <c r="I459" s="303"/>
      <c r="J459" s="302">
        <v>2.238230079835046E-3</v>
      </c>
      <c r="K459" s="302">
        <v>5.4575489973389076E-2</v>
      </c>
      <c r="L459" s="302">
        <f t="shared" si="174"/>
        <v>5.6813720053224125E-2</v>
      </c>
      <c r="M459" s="236"/>
      <c r="N459" s="236"/>
    </row>
    <row r="460" spans="1:14" x14ac:dyDescent="0.2">
      <c r="A460" s="237"/>
      <c r="B460" s="302"/>
      <c r="C460" s="302"/>
      <c r="D460" s="302"/>
      <c r="E460" s="303"/>
      <c r="F460" s="302"/>
      <c r="G460" s="302"/>
      <c r="H460" s="302"/>
      <c r="I460" s="303"/>
      <c r="J460" s="302"/>
      <c r="K460" s="302"/>
      <c r="L460" s="302"/>
      <c r="M460" s="236"/>
      <c r="N460" s="236"/>
    </row>
    <row r="461" spans="1:14" x14ac:dyDescent="0.2">
      <c r="A461" s="244" t="s">
        <v>32</v>
      </c>
      <c r="B461" s="311">
        <f>SUM(B451:B459)</f>
        <v>6.0000000000323388E-3</v>
      </c>
      <c r="C461" s="311">
        <f t="shared" ref="C461:D461" si="175">SUM(C451:C459)</f>
        <v>0.18000000000145044</v>
      </c>
      <c r="D461" s="311">
        <f t="shared" si="175"/>
        <v>0.18600000000148278</v>
      </c>
      <c r="E461" s="311"/>
      <c r="F461" s="311">
        <f t="shared" ref="F461:H461" si="176">SUM(F451:F459)</f>
        <v>1.5000000000053401E-2</v>
      </c>
      <c r="G461" s="311">
        <f t="shared" si="176"/>
        <v>0.14100000000027504</v>
      </c>
      <c r="H461" s="311">
        <f t="shared" si="176"/>
        <v>0.15600000000032843</v>
      </c>
      <c r="I461" s="311"/>
      <c r="J461" s="311">
        <f t="shared" ref="J461:L461" si="177">SUM(J451:J459)</f>
        <v>1.6000000000079197E-2</v>
      </c>
      <c r="K461" s="311">
        <f t="shared" si="177"/>
        <v>0.14699999999818902</v>
      </c>
      <c r="L461" s="311">
        <f t="shared" si="177"/>
        <v>0.16299999999826822</v>
      </c>
      <c r="M461" s="236"/>
      <c r="N461" s="236"/>
    </row>
    <row r="462" spans="1:14" x14ac:dyDescent="0.2">
      <c r="A462" s="237"/>
      <c r="B462" s="237"/>
      <c r="C462" s="237"/>
      <c r="D462" s="237"/>
      <c r="E462" s="237"/>
      <c r="F462" s="237"/>
      <c r="G462" s="237"/>
      <c r="H462" s="237"/>
      <c r="I462" s="237"/>
      <c r="J462" s="237"/>
      <c r="K462" s="237"/>
      <c r="L462" s="240"/>
      <c r="M462" s="236"/>
      <c r="N462" s="236"/>
    </row>
    <row r="463" spans="1:14" x14ac:dyDescent="0.2">
      <c r="A463" s="237"/>
      <c r="B463" s="237"/>
      <c r="C463" s="237"/>
      <c r="D463" s="237"/>
      <c r="E463" s="237"/>
      <c r="F463" s="237"/>
      <c r="G463" s="237"/>
      <c r="H463" s="237"/>
      <c r="I463" s="237"/>
      <c r="J463" s="237"/>
      <c r="K463" s="237"/>
      <c r="L463" s="256" t="s">
        <v>35</v>
      </c>
      <c r="M463" s="236"/>
      <c r="N463" s="236"/>
    </row>
    <row r="464" spans="1:14" x14ac:dyDescent="0.2">
      <c r="A464" s="242"/>
      <c r="B464" s="250"/>
      <c r="C464" s="250"/>
      <c r="D464" s="250"/>
      <c r="E464" s="250"/>
      <c r="F464" s="250"/>
      <c r="G464" s="250"/>
      <c r="H464" s="250"/>
      <c r="I464" s="250"/>
      <c r="J464" s="250"/>
      <c r="K464" s="250"/>
      <c r="L464" s="236"/>
      <c r="M464" s="236"/>
      <c r="N464" s="236"/>
    </row>
    <row r="465" spans="1:14" x14ac:dyDescent="0.2">
      <c r="A465" s="241" t="str">
        <f>name!A30</f>
        <v>Waste management</v>
      </c>
      <c r="B465" s="372">
        <f>B$6</f>
        <v>2015</v>
      </c>
      <c r="C465" s="372"/>
      <c r="D465" s="372"/>
      <c r="E465" s="253"/>
      <c r="F465" s="372">
        <f>F448</f>
        <v>2020</v>
      </c>
      <c r="G465" s="372"/>
      <c r="H465" s="372"/>
      <c r="I465" s="253"/>
      <c r="J465" s="372">
        <f>J448</f>
        <v>2035</v>
      </c>
      <c r="K465" s="372"/>
      <c r="L465" s="372"/>
      <c r="M465" s="236"/>
      <c r="N465" s="236"/>
    </row>
    <row r="466" spans="1:14" x14ac:dyDescent="0.2">
      <c r="A466" s="254"/>
      <c r="B466" s="255" t="s">
        <v>352</v>
      </c>
      <c r="C466" s="255" t="s">
        <v>353</v>
      </c>
      <c r="D466" s="255" t="s">
        <v>32</v>
      </c>
      <c r="E466" s="255"/>
      <c r="F466" s="255" t="s">
        <v>352</v>
      </c>
      <c r="G466" s="255" t="s">
        <v>353</v>
      </c>
      <c r="H466" s="255" t="s">
        <v>32</v>
      </c>
      <c r="I466" s="255"/>
      <c r="J466" s="255" t="s">
        <v>352</v>
      </c>
      <c r="K466" s="255" t="s">
        <v>353</v>
      </c>
      <c r="L466" s="255" t="s">
        <v>32</v>
      </c>
      <c r="M466" s="236"/>
      <c r="N466" s="236"/>
    </row>
    <row r="467" spans="1:14" x14ac:dyDescent="0.2">
      <c r="A467" s="258"/>
      <c r="B467" s="259"/>
      <c r="C467" s="259"/>
      <c r="D467" s="259"/>
      <c r="E467" s="259"/>
      <c r="F467" s="259"/>
      <c r="G467" s="259"/>
      <c r="H467" s="259"/>
      <c r="I467" s="259"/>
      <c r="J467" s="259"/>
      <c r="K467" s="259"/>
      <c r="L467" s="259"/>
      <c r="M467" s="236"/>
      <c r="N467" s="236"/>
    </row>
    <row r="468" spans="1:14" x14ac:dyDescent="0.2">
      <c r="A468" s="237" t="str">
        <f>name!E$4</f>
        <v>Managers, directors and senior officials</v>
      </c>
      <c r="B468" s="302">
        <v>5.7342409291602517E-2</v>
      </c>
      <c r="C468" s="302">
        <v>0.13245831486444637</v>
      </c>
      <c r="D468" s="302">
        <f>SUM(B468:C468)</f>
        <v>0.18980072415604887</v>
      </c>
      <c r="E468" s="303"/>
      <c r="F468" s="302">
        <v>6.3892831721462554E-2</v>
      </c>
      <c r="G468" s="302">
        <v>0.30656838748780263</v>
      </c>
      <c r="H468" s="302">
        <f>SUM(F468:G468)</f>
        <v>0.37046121920926517</v>
      </c>
      <c r="I468" s="303"/>
      <c r="J468" s="302">
        <v>6.0722585866845702E-2</v>
      </c>
      <c r="K468" s="302">
        <v>0.30041927459741002</v>
      </c>
      <c r="L468" s="302">
        <f>SUM(J468:K468)</f>
        <v>0.36114186046425573</v>
      </c>
      <c r="M468" s="236"/>
      <c r="N468" s="236"/>
    </row>
    <row r="469" spans="1:14" x14ac:dyDescent="0.2">
      <c r="A469" s="237" t="str">
        <f>name!E$5</f>
        <v>Professional occupations</v>
      </c>
      <c r="B469" s="302">
        <v>9.2506792708202903E-2</v>
      </c>
      <c r="C469" s="302">
        <v>0.10936552128053162</v>
      </c>
      <c r="D469" s="302">
        <f t="shared" ref="D469:D476" si="178">SUM(B469:C469)</f>
        <v>0.20187231398873451</v>
      </c>
      <c r="E469" s="303"/>
      <c r="F469" s="302">
        <v>0.12121657941782721</v>
      </c>
      <c r="G469" s="302">
        <v>0.18901550472516515</v>
      </c>
      <c r="H469" s="302">
        <f t="shared" ref="H469:H476" si="179">SUM(F469:G469)</f>
        <v>0.31023208414299236</v>
      </c>
      <c r="I469" s="303"/>
      <c r="J469" s="302">
        <v>0.13298842722146864</v>
      </c>
      <c r="K469" s="302">
        <v>0.18674632028812288</v>
      </c>
      <c r="L469" s="302">
        <f t="shared" ref="L469:L476" si="180">SUM(J469:K469)</f>
        <v>0.31973474750959152</v>
      </c>
      <c r="M469" s="236"/>
      <c r="N469" s="236"/>
    </row>
    <row r="470" spans="1:14" x14ac:dyDescent="0.2">
      <c r="A470" s="237" t="str">
        <f>name!E$6</f>
        <v>Associate professional occupations</v>
      </c>
      <c r="B470" s="302">
        <v>0.1895499497132592</v>
      </c>
      <c r="C470" s="302">
        <v>0.10435554057811461</v>
      </c>
      <c r="D470" s="302">
        <f t="shared" si="178"/>
        <v>0.29390549029137381</v>
      </c>
      <c r="E470" s="303"/>
      <c r="F470" s="302">
        <v>0.29633118003198256</v>
      </c>
      <c r="G470" s="302">
        <v>0.15285307470049112</v>
      </c>
      <c r="H470" s="302">
        <f t="shared" si="179"/>
        <v>0.4491842547324737</v>
      </c>
      <c r="I470" s="303"/>
      <c r="J470" s="302">
        <v>0.48381980004264286</v>
      </c>
      <c r="K470" s="302">
        <v>0.13454053690453918</v>
      </c>
      <c r="L470" s="302">
        <f t="shared" si="180"/>
        <v>0.61836033694718207</v>
      </c>
      <c r="M470" s="236"/>
      <c r="N470" s="236"/>
    </row>
    <row r="471" spans="1:14" x14ac:dyDescent="0.2">
      <c r="A471" s="237" t="str">
        <f>name!E$7</f>
        <v>Administrative and secretarial occupations</v>
      </c>
      <c r="B471" s="302">
        <v>0.38600853099567733</v>
      </c>
      <c r="C471" s="302">
        <v>6.5609607731098377E-2</v>
      </c>
      <c r="D471" s="302">
        <f t="shared" si="178"/>
        <v>0.4516181387267757</v>
      </c>
      <c r="E471" s="303"/>
      <c r="F471" s="302">
        <v>0.37393558861008763</v>
      </c>
      <c r="G471" s="302">
        <v>8.2186655571397371E-2</v>
      </c>
      <c r="H471" s="302">
        <f t="shared" si="179"/>
        <v>0.456122244181485</v>
      </c>
      <c r="I471" s="303"/>
      <c r="J471" s="302">
        <v>0.36986432177923734</v>
      </c>
      <c r="K471" s="302">
        <v>8.3132715079958133E-2</v>
      </c>
      <c r="L471" s="302">
        <f t="shared" si="180"/>
        <v>0.45299703685919546</v>
      </c>
      <c r="M471" s="236"/>
      <c r="N471" s="236"/>
    </row>
    <row r="472" spans="1:14" x14ac:dyDescent="0.2">
      <c r="A472" s="237" t="str">
        <f>name!E$8</f>
        <v>Skilled trades occupations</v>
      </c>
      <c r="B472" s="302">
        <v>2.4196710592990639E-2</v>
      </c>
      <c r="C472" s="302">
        <v>0.17812146195168169</v>
      </c>
      <c r="D472" s="302">
        <f t="shared" si="178"/>
        <v>0.20231817254467233</v>
      </c>
      <c r="E472" s="303"/>
      <c r="F472" s="302">
        <v>1.9702089799864382E-2</v>
      </c>
      <c r="G472" s="302">
        <v>0.37460777488170732</v>
      </c>
      <c r="H472" s="302">
        <f t="shared" si="179"/>
        <v>0.3943098646815717</v>
      </c>
      <c r="I472" s="303"/>
      <c r="J472" s="302">
        <v>9.8544531496329076E-3</v>
      </c>
      <c r="K472" s="302">
        <v>0.28207762571606226</v>
      </c>
      <c r="L472" s="302">
        <f t="shared" si="180"/>
        <v>0.29193207886569517</v>
      </c>
      <c r="M472" s="236"/>
      <c r="N472" s="236"/>
    </row>
    <row r="473" spans="1:14" x14ac:dyDescent="0.2">
      <c r="A473" s="237" t="str">
        <f>name!E$9</f>
        <v>Caring, leisure and other service occupations</v>
      </c>
      <c r="B473" s="302">
        <v>4.6292250371109164E-2</v>
      </c>
      <c r="C473" s="302">
        <v>4.0286575565396117E-2</v>
      </c>
      <c r="D473" s="302">
        <f t="shared" si="178"/>
        <v>8.6578825936505288E-2</v>
      </c>
      <c r="E473" s="303"/>
      <c r="F473" s="302">
        <v>4.6928709145758821E-2</v>
      </c>
      <c r="G473" s="302">
        <v>5.7307594994440096E-2</v>
      </c>
      <c r="H473" s="302">
        <f t="shared" si="179"/>
        <v>0.10423630414019891</v>
      </c>
      <c r="I473" s="303"/>
      <c r="J473" s="302">
        <v>6.0538697831969114E-2</v>
      </c>
      <c r="K473" s="302">
        <v>7.3682248848747051E-2</v>
      </c>
      <c r="L473" s="302">
        <f t="shared" si="180"/>
        <v>0.13422094668071616</v>
      </c>
      <c r="M473" s="236"/>
      <c r="N473" s="236"/>
    </row>
    <row r="474" spans="1:14" x14ac:dyDescent="0.2">
      <c r="A474" s="237" t="str">
        <f>name!E$10</f>
        <v>Sales and customer service occupations</v>
      </c>
      <c r="B474" s="302">
        <v>7.0389663827858814E-2</v>
      </c>
      <c r="C474" s="302">
        <v>3.4062409419346087E-2</v>
      </c>
      <c r="D474" s="302">
        <f t="shared" si="178"/>
        <v>0.1044520732472049</v>
      </c>
      <c r="E474" s="303"/>
      <c r="F474" s="302">
        <v>6.0100283537772387E-2</v>
      </c>
      <c r="G474" s="302">
        <v>5.7464343004276185E-2</v>
      </c>
      <c r="H474" s="302">
        <f t="shared" si="179"/>
        <v>0.11756462654204858</v>
      </c>
      <c r="I474" s="303"/>
      <c r="J474" s="302">
        <v>5.8242939755569142E-2</v>
      </c>
      <c r="K474" s="302">
        <v>6.3434332441742181E-2</v>
      </c>
      <c r="L474" s="302">
        <f t="shared" si="180"/>
        <v>0.12167727219731132</v>
      </c>
      <c r="M474" s="236"/>
      <c r="N474" s="236"/>
    </row>
    <row r="475" spans="1:14" x14ac:dyDescent="0.2">
      <c r="A475" s="237" t="str">
        <f>name!E$11</f>
        <v>Process, plant and machine operatives</v>
      </c>
      <c r="B475" s="302">
        <v>7.4834136851281222E-2</v>
      </c>
      <c r="C475" s="302">
        <v>0.99431991260056196</v>
      </c>
      <c r="D475" s="302">
        <f t="shared" si="178"/>
        <v>1.0691540494518432</v>
      </c>
      <c r="E475" s="303"/>
      <c r="F475" s="302">
        <v>2.6436510038102184E-2</v>
      </c>
      <c r="G475" s="302">
        <v>1.0454899777039899</v>
      </c>
      <c r="H475" s="302">
        <f t="shared" si="179"/>
        <v>1.071926487742092</v>
      </c>
      <c r="I475" s="303"/>
      <c r="J475" s="302">
        <v>2.8297911618911563E-2</v>
      </c>
      <c r="K475" s="302">
        <v>1.0799419430728479</v>
      </c>
      <c r="L475" s="302">
        <f t="shared" si="180"/>
        <v>1.1082398546917593</v>
      </c>
      <c r="M475" s="236"/>
      <c r="N475" s="236"/>
    </row>
    <row r="476" spans="1:14" x14ac:dyDescent="0.2">
      <c r="A476" s="237" t="str">
        <f>name!E$12</f>
        <v>Elementary occupations</v>
      </c>
      <c r="B476" s="302">
        <v>9.1879555644567248E-2</v>
      </c>
      <c r="C476" s="302">
        <v>0.94642065602917014</v>
      </c>
      <c r="D476" s="302">
        <f t="shared" si="178"/>
        <v>1.0383002116737374</v>
      </c>
      <c r="E476" s="303"/>
      <c r="F476" s="302">
        <v>8.4456227692877639E-2</v>
      </c>
      <c r="G476" s="302">
        <v>1.0755066869282153</v>
      </c>
      <c r="H476" s="302">
        <f t="shared" si="179"/>
        <v>1.1599629146210928</v>
      </c>
      <c r="I476" s="303"/>
      <c r="J476" s="302">
        <v>5.4670862741386522E-2</v>
      </c>
      <c r="K476" s="302">
        <v>1.1670250030080436</v>
      </c>
      <c r="L476" s="302">
        <f t="shared" si="180"/>
        <v>1.2216958657494301</v>
      </c>
      <c r="M476" s="236"/>
      <c r="N476" s="236"/>
    </row>
    <row r="477" spans="1:14" x14ac:dyDescent="0.2">
      <c r="A477" s="237"/>
      <c r="B477" s="302"/>
      <c r="C477" s="302"/>
      <c r="D477" s="302"/>
      <c r="E477" s="303"/>
      <c r="F477" s="302"/>
      <c r="G477" s="302"/>
      <c r="H477" s="302"/>
      <c r="I477" s="303"/>
      <c r="J477" s="302"/>
      <c r="K477" s="302"/>
      <c r="L477" s="302"/>
      <c r="M477" s="236"/>
      <c r="N477" s="236"/>
    </row>
    <row r="478" spans="1:14" x14ac:dyDescent="0.2">
      <c r="A478" s="244" t="s">
        <v>32</v>
      </c>
      <c r="B478" s="311">
        <f>SUM(B468:B476)</f>
        <v>1.0329999999965491</v>
      </c>
      <c r="C478" s="311">
        <f t="shared" ref="C478:D478" si="181">SUM(C468:C476)</f>
        <v>2.6050000000203468</v>
      </c>
      <c r="D478" s="311">
        <f t="shared" si="181"/>
        <v>3.6380000000168957</v>
      </c>
      <c r="E478" s="311"/>
      <c r="F478" s="311">
        <f t="shared" ref="F478:H478" si="182">SUM(F468:F476)</f>
        <v>1.0929999999957354</v>
      </c>
      <c r="G478" s="311">
        <f t="shared" si="182"/>
        <v>3.3409999999974849</v>
      </c>
      <c r="H478" s="311">
        <f t="shared" si="182"/>
        <v>4.4339999999932207</v>
      </c>
      <c r="I478" s="311"/>
      <c r="J478" s="311">
        <f t="shared" ref="J478:L478" si="183">SUM(J468:J476)</f>
        <v>1.2590000000076635</v>
      </c>
      <c r="K478" s="311">
        <f t="shared" si="183"/>
        <v>3.3709999999574727</v>
      </c>
      <c r="L478" s="311">
        <f t="shared" si="183"/>
        <v>4.6299999999651371</v>
      </c>
      <c r="M478" s="236"/>
      <c r="N478" s="236"/>
    </row>
    <row r="479" spans="1:14" x14ac:dyDescent="0.2">
      <c r="A479" s="237"/>
      <c r="B479" s="237"/>
      <c r="C479" s="237"/>
      <c r="D479" s="237"/>
      <c r="E479" s="237"/>
      <c r="F479" s="237"/>
      <c r="G479" s="237"/>
      <c r="H479" s="237"/>
      <c r="I479" s="237"/>
      <c r="J479" s="237"/>
      <c r="K479" s="237"/>
      <c r="L479" s="240"/>
      <c r="M479" s="236"/>
      <c r="N479" s="236"/>
    </row>
    <row r="480" spans="1:14" x14ac:dyDescent="0.2">
      <c r="A480" s="237"/>
      <c r="B480" s="237"/>
      <c r="C480" s="237"/>
      <c r="D480" s="237"/>
      <c r="E480" s="237"/>
      <c r="F480" s="237"/>
      <c r="G480" s="237"/>
      <c r="H480" s="237"/>
      <c r="I480" s="237"/>
      <c r="J480" s="237"/>
      <c r="K480" s="237"/>
      <c r="L480" s="256" t="s">
        <v>35</v>
      </c>
      <c r="M480" s="236"/>
      <c r="N480" s="236"/>
    </row>
    <row r="481" spans="1:14" x14ac:dyDescent="0.2">
      <c r="A481" s="242"/>
      <c r="B481" s="250"/>
      <c r="C481" s="250"/>
      <c r="D481" s="250"/>
      <c r="E481" s="250"/>
      <c r="F481" s="250"/>
      <c r="G481" s="250"/>
      <c r="H481" s="250"/>
      <c r="I481" s="250"/>
      <c r="J481" s="250"/>
      <c r="K481" s="250"/>
      <c r="L481" s="236"/>
      <c r="M481" s="236"/>
      <c r="N481" s="236"/>
    </row>
    <row r="482" spans="1:14" x14ac:dyDescent="0.2">
      <c r="A482" s="241" t="str">
        <f>name!A31</f>
        <v>Construction</v>
      </c>
      <c r="B482" s="372">
        <f>B$6</f>
        <v>2015</v>
      </c>
      <c r="C482" s="372"/>
      <c r="D482" s="372"/>
      <c r="E482" s="253"/>
      <c r="F482" s="372">
        <f>F465</f>
        <v>2020</v>
      </c>
      <c r="G482" s="372"/>
      <c r="H482" s="372"/>
      <c r="I482" s="253"/>
      <c r="J482" s="372">
        <f>J465</f>
        <v>2035</v>
      </c>
      <c r="K482" s="372"/>
      <c r="L482" s="372"/>
      <c r="M482" s="236"/>
      <c r="N482" s="236"/>
    </row>
    <row r="483" spans="1:14" x14ac:dyDescent="0.2">
      <c r="A483" s="254"/>
      <c r="B483" s="255" t="s">
        <v>352</v>
      </c>
      <c r="C483" s="255" t="s">
        <v>353</v>
      </c>
      <c r="D483" s="255" t="s">
        <v>32</v>
      </c>
      <c r="E483" s="255"/>
      <c r="F483" s="255" t="s">
        <v>352</v>
      </c>
      <c r="G483" s="255" t="s">
        <v>353</v>
      </c>
      <c r="H483" s="255" t="s">
        <v>32</v>
      </c>
      <c r="I483" s="255"/>
      <c r="J483" s="255" t="s">
        <v>352</v>
      </c>
      <c r="K483" s="255" t="s">
        <v>353</v>
      </c>
      <c r="L483" s="255" t="s">
        <v>32</v>
      </c>
      <c r="M483" s="236"/>
      <c r="N483" s="236"/>
    </row>
    <row r="484" spans="1:14" x14ac:dyDescent="0.2">
      <c r="A484" s="258"/>
      <c r="B484" s="259"/>
      <c r="C484" s="259"/>
      <c r="D484" s="259"/>
      <c r="E484" s="259"/>
      <c r="F484" s="259"/>
      <c r="G484" s="259"/>
      <c r="H484" s="259"/>
      <c r="I484" s="259"/>
      <c r="J484" s="259"/>
      <c r="K484" s="259"/>
      <c r="L484" s="259"/>
      <c r="M484" s="236"/>
      <c r="N484" s="236"/>
    </row>
    <row r="485" spans="1:14" x14ac:dyDescent="0.2">
      <c r="A485" s="237" t="str">
        <f>name!E$4</f>
        <v>Managers, directors and senior officials</v>
      </c>
      <c r="B485" s="302">
        <v>0.43102589298762872</v>
      </c>
      <c r="C485" s="302">
        <v>1.0187376783714006</v>
      </c>
      <c r="D485" s="302">
        <f>SUM(B485:C485)</f>
        <v>1.4497635713590293</v>
      </c>
      <c r="E485" s="303"/>
      <c r="F485" s="302">
        <v>0.43648627045110044</v>
      </c>
      <c r="G485" s="302">
        <v>1.3390410737786449</v>
      </c>
      <c r="H485" s="302">
        <f>SUM(F485:G485)</f>
        <v>1.7755273442297455</v>
      </c>
      <c r="I485" s="303"/>
      <c r="J485" s="302">
        <v>0.50991221707389078</v>
      </c>
      <c r="K485" s="302">
        <v>1.3315112655488084</v>
      </c>
      <c r="L485" s="302">
        <f>SUM(J485:K485)</f>
        <v>1.8414234826226992</v>
      </c>
      <c r="M485" s="236"/>
      <c r="N485" s="236"/>
    </row>
    <row r="486" spans="1:14" x14ac:dyDescent="0.2">
      <c r="A486" s="237" t="str">
        <f>name!E$5</f>
        <v>Professional occupations</v>
      </c>
      <c r="B486" s="302">
        <v>0.28150914195735866</v>
      </c>
      <c r="C486" s="302">
        <v>1.0566450658157105</v>
      </c>
      <c r="D486" s="302">
        <f t="shared" ref="D486:D493" si="184">SUM(B486:C486)</f>
        <v>1.3381542077730693</v>
      </c>
      <c r="E486" s="303"/>
      <c r="F486" s="302">
        <v>0.32145854016731013</v>
      </c>
      <c r="G486" s="302">
        <v>1.3794214366385729</v>
      </c>
      <c r="H486" s="302">
        <f t="shared" ref="H486:H493" si="185">SUM(F486:G486)</f>
        <v>1.7008799768058829</v>
      </c>
      <c r="I486" s="303"/>
      <c r="J486" s="302">
        <v>0.39512874225045619</v>
      </c>
      <c r="K486" s="302">
        <v>1.5551804220079397</v>
      </c>
      <c r="L486" s="302">
        <f t="shared" ref="L486:L493" si="186">SUM(J486:K486)</f>
        <v>1.9503091642583958</v>
      </c>
      <c r="M486" s="236"/>
      <c r="N486" s="236"/>
    </row>
    <row r="487" spans="1:14" x14ac:dyDescent="0.2">
      <c r="A487" s="237" t="str">
        <f>name!E$6</f>
        <v>Associate professional occupations</v>
      </c>
      <c r="B487" s="302">
        <v>0.32420012192227821</v>
      </c>
      <c r="C487" s="302">
        <v>0.69009749079241867</v>
      </c>
      <c r="D487" s="302">
        <f t="shared" si="184"/>
        <v>1.0142976127146968</v>
      </c>
      <c r="E487" s="303"/>
      <c r="F487" s="302">
        <v>0.32900062228642835</v>
      </c>
      <c r="G487" s="302">
        <v>0.87179040784232442</v>
      </c>
      <c r="H487" s="302">
        <f t="shared" si="185"/>
        <v>1.2007910301287528</v>
      </c>
      <c r="I487" s="303"/>
      <c r="J487" s="302">
        <v>0.36119600830331372</v>
      </c>
      <c r="K487" s="302">
        <v>0.78742534065364889</v>
      </c>
      <c r="L487" s="302">
        <f t="shared" si="186"/>
        <v>1.1486213489569626</v>
      </c>
      <c r="M487" s="236"/>
      <c r="N487" s="236"/>
    </row>
    <row r="488" spans="1:14" x14ac:dyDescent="0.2">
      <c r="A488" s="237" t="str">
        <f>name!E$7</f>
        <v>Administrative and secretarial occupations</v>
      </c>
      <c r="B488" s="302">
        <v>1.4122807058786409</v>
      </c>
      <c r="C488" s="302">
        <v>0.2456349161151796</v>
      </c>
      <c r="D488" s="302">
        <f t="shared" si="184"/>
        <v>1.6579156219938205</v>
      </c>
      <c r="E488" s="303"/>
      <c r="F488" s="302">
        <v>1.1562396815623381</v>
      </c>
      <c r="G488" s="302">
        <v>0.29687495420516358</v>
      </c>
      <c r="H488" s="302">
        <f t="shared" si="185"/>
        <v>1.4531146357675018</v>
      </c>
      <c r="I488" s="303"/>
      <c r="J488" s="302">
        <v>0.806221135072409</v>
      </c>
      <c r="K488" s="302">
        <v>0.30520845310483707</v>
      </c>
      <c r="L488" s="302">
        <f t="shared" si="186"/>
        <v>1.111429588177246</v>
      </c>
      <c r="M488" s="236"/>
      <c r="N488" s="236"/>
    </row>
    <row r="489" spans="1:14" x14ac:dyDescent="0.2">
      <c r="A489" s="237" t="str">
        <f>name!E$8</f>
        <v>Skilled trades occupations</v>
      </c>
      <c r="B489" s="302">
        <v>0.7876426302423396</v>
      </c>
      <c r="C489" s="302">
        <v>12.170799925868875</v>
      </c>
      <c r="D489" s="302">
        <f t="shared" si="184"/>
        <v>12.958442556111216</v>
      </c>
      <c r="E489" s="303"/>
      <c r="F489" s="302">
        <v>0.52160226958915734</v>
      </c>
      <c r="G489" s="302">
        <v>10.763873018094442</v>
      </c>
      <c r="H489" s="302">
        <f t="shared" si="185"/>
        <v>11.2854752876836</v>
      </c>
      <c r="I489" s="303"/>
      <c r="J489" s="302">
        <v>0.67500873955854301</v>
      </c>
      <c r="K489" s="302">
        <v>9.8269867815671521</v>
      </c>
      <c r="L489" s="302">
        <f t="shared" si="186"/>
        <v>10.501995521125695</v>
      </c>
      <c r="M489" s="236"/>
      <c r="N489" s="236"/>
    </row>
    <row r="490" spans="1:14" x14ac:dyDescent="0.2">
      <c r="A490" s="237" t="str">
        <f>name!E$9</f>
        <v>Caring, leisure and other service occupations</v>
      </c>
      <c r="B490" s="302">
        <v>1.9992110951741089E-2</v>
      </c>
      <c r="C490" s="302">
        <v>2.6829516011062062E-2</v>
      </c>
      <c r="D490" s="302">
        <f t="shared" si="184"/>
        <v>4.6821626962803148E-2</v>
      </c>
      <c r="E490" s="303"/>
      <c r="F490" s="302">
        <v>1.5723492358451188E-2</v>
      </c>
      <c r="G490" s="302">
        <v>3.311210982573716E-2</v>
      </c>
      <c r="H490" s="302">
        <f t="shared" si="185"/>
        <v>4.8835602184188351E-2</v>
      </c>
      <c r="I490" s="303"/>
      <c r="J490" s="302">
        <v>1.6522253353610156E-2</v>
      </c>
      <c r="K490" s="302">
        <v>3.0815867320723687E-2</v>
      </c>
      <c r="L490" s="302">
        <f t="shared" si="186"/>
        <v>4.7338120674333843E-2</v>
      </c>
      <c r="M490" s="236"/>
      <c r="N490" s="236"/>
    </row>
    <row r="491" spans="1:14" x14ac:dyDescent="0.2">
      <c r="A491" s="237" t="str">
        <f>name!E$10</f>
        <v>Sales and customer service occupations</v>
      </c>
      <c r="B491" s="302">
        <v>0.28329480559882214</v>
      </c>
      <c r="C491" s="302">
        <v>0.11221638414279042</v>
      </c>
      <c r="D491" s="302">
        <f t="shared" si="184"/>
        <v>0.39551118974161259</v>
      </c>
      <c r="E491" s="303"/>
      <c r="F491" s="302">
        <v>0.25878067429566259</v>
      </c>
      <c r="G491" s="302">
        <v>0.12835195390605372</v>
      </c>
      <c r="H491" s="302">
        <f t="shared" si="185"/>
        <v>0.38713262820171634</v>
      </c>
      <c r="I491" s="303"/>
      <c r="J491" s="302">
        <v>0.25258537294236227</v>
      </c>
      <c r="K491" s="302">
        <v>0.14597848958895043</v>
      </c>
      <c r="L491" s="302">
        <f t="shared" si="186"/>
        <v>0.39856386253131271</v>
      </c>
      <c r="M491" s="236"/>
      <c r="N491" s="236"/>
    </row>
    <row r="492" spans="1:14" x14ac:dyDescent="0.2">
      <c r="A492" s="237" t="str">
        <f>name!E$11</f>
        <v>Process, plant and machine operatives</v>
      </c>
      <c r="B492" s="302">
        <v>2.5639859158059938E-2</v>
      </c>
      <c r="C492" s="302">
        <v>1.5722648817695304</v>
      </c>
      <c r="D492" s="302">
        <f t="shared" si="184"/>
        <v>1.5979047409275904</v>
      </c>
      <c r="E492" s="303"/>
      <c r="F492" s="302">
        <v>1.7081757402956033E-2</v>
      </c>
      <c r="G492" s="302">
        <v>1.4221502595917419</v>
      </c>
      <c r="H492" s="302">
        <f t="shared" si="185"/>
        <v>1.4392320169946979</v>
      </c>
      <c r="I492" s="303"/>
      <c r="J492" s="302">
        <v>2.7872688825242527E-2</v>
      </c>
      <c r="K492" s="302">
        <v>1.5852556065063261</v>
      </c>
      <c r="L492" s="302">
        <f t="shared" si="186"/>
        <v>1.6131282953315687</v>
      </c>
      <c r="M492" s="236"/>
      <c r="N492" s="236"/>
    </row>
    <row r="493" spans="1:14" x14ac:dyDescent="0.2">
      <c r="A493" s="237" t="str">
        <f>name!E$12</f>
        <v>Elementary occupations</v>
      </c>
      <c r="B493" s="302">
        <v>0.10741473132053844</v>
      </c>
      <c r="C493" s="302">
        <v>0.89777414102763875</v>
      </c>
      <c r="D493" s="302">
        <f t="shared" si="184"/>
        <v>1.0051888723481772</v>
      </c>
      <c r="E493" s="303"/>
      <c r="F493" s="302">
        <v>7.5626691861929482E-2</v>
      </c>
      <c r="G493" s="302">
        <v>0.85638478593635359</v>
      </c>
      <c r="H493" s="302">
        <f t="shared" si="185"/>
        <v>0.93201147779828308</v>
      </c>
      <c r="I493" s="303"/>
      <c r="J493" s="302">
        <v>5.755284262160619E-2</v>
      </c>
      <c r="K493" s="302">
        <v>0.73663777306193723</v>
      </c>
      <c r="L493" s="302">
        <f t="shared" si="186"/>
        <v>0.79419061568354343</v>
      </c>
      <c r="M493" s="236"/>
      <c r="N493" s="236"/>
    </row>
    <row r="494" spans="1:14" x14ac:dyDescent="0.2">
      <c r="A494" s="237"/>
      <c r="B494" s="302"/>
      <c r="C494" s="302"/>
      <c r="D494" s="302"/>
      <c r="E494" s="303"/>
      <c r="F494" s="302"/>
      <c r="G494" s="302"/>
      <c r="H494" s="302"/>
      <c r="I494" s="303"/>
      <c r="J494" s="302"/>
      <c r="K494" s="302"/>
      <c r="L494" s="302"/>
      <c r="M494" s="236"/>
      <c r="N494" s="236"/>
    </row>
    <row r="495" spans="1:14" x14ac:dyDescent="0.2">
      <c r="A495" s="244" t="s">
        <v>32</v>
      </c>
      <c r="B495" s="311">
        <f>SUM(B485:B493)</f>
        <v>3.673000000017407</v>
      </c>
      <c r="C495" s="311">
        <f t="shared" ref="C495:D495" si="187">SUM(C485:C493)</f>
        <v>17.790999999914607</v>
      </c>
      <c r="D495" s="311">
        <f t="shared" si="187"/>
        <v>21.463999999932014</v>
      </c>
      <c r="E495" s="311"/>
      <c r="F495" s="311">
        <f t="shared" ref="F495:H495" si="188">SUM(F485:F493)</f>
        <v>3.1319999999753336</v>
      </c>
      <c r="G495" s="311">
        <f t="shared" si="188"/>
        <v>17.090999999819029</v>
      </c>
      <c r="H495" s="311">
        <f t="shared" si="188"/>
        <v>20.222999999794368</v>
      </c>
      <c r="I495" s="311"/>
      <c r="J495" s="311">
        <f t="shared" ref="J495:L495" si="189">SUM(J485:J493)</f>
        <v>3.1020000000014334</v>
      </c>
      <c r="K495" s="311">
        <f t="shared" si="189"/>
        <v>16.304999999360323</v>
      </c>
      <c r="L495" s="311">
        <f t="shared" si="189"/>
        <v>19.406999999361755</v>
      </c>
      <c r="M495" s="236"/>
      <c r="N495" s="236"/>
    </row>
    <row r="496" spans="1:14" x14ac:dyDescent="0.2">
      <c r="A496" s="237"/>
      <c r="B496" s="237"/>
      <c r="C496" s="237"/>
      <c r="D496" s="237"/>
      <c r="E496" s="237"/>
      <c r="F496" s="237"/>
      <c r="G496" s="237"/>
      <c r="H496" s="237"/>
      <c r="I496" s="237"/>
      <c r="J496" s="237"/>
      <c r="K496" s="237"/>
      <c r="L496" s="240"/>
      <c r="M496" s="236"/>
      <c r="N496" s="236"/>
    </row>
    <row r="497" spans="1:14" x14ac:dyDescent="0.2">
      <c r="A497" s="237"/>
      <c r="B497" s="237"/>
      <c r="C497" s="237"/>
      <c r="D497" s="237"/>
      <c r="E497" s="237"/>
      <c r="F497" s="237"/>
      <c r="G497" s="237"/>
      <c r="H497" s="237"/>
      <c r="I497" s="237"/>
      <c r="J497" s="237"/>
      <c r="K497" s="237"/>
      <c r="L497" s="256" t="s">
        <v>35</v>
      </c>
      <c r="M497" s="236"/>
      <c r="N497" s="236"/>
    </row>
    <row r="498" spans="1:14" x14ac:dyDescent="0.2">
      <c r="A498" s="242"/>
      <c r="B498" s="250"/>
      <c r="C498" s="250"/>
      <c r="D498" s="250"/>
      <c r="E498" s="250"/>
      <c r="F498" s="250"/>
      <c r="G498" s="250"/>
      <c r="H498" s="250"/>
      <c r="I498" s="250"/>
      <c r="J498" s="250"/>
      <c r="K498" s="250"/>
      <c r="L498" s="236"/>
      <c r="M498" s="236"/>
      <c r="N498" s="236"/>
    </row>
    <row r="499" spans="1:14" x14ac:dyDescent="0.2">
      <c r="A499" s="241" t="str">
        <f>name!A32</f>
        <v>Civil engineering</v>
      </c>
      <c r="B499" s="372">
        <f>B$6</f>
        <v>2015</v>
      </c>
      <c r="C499" s="372"/>
      <c r="D499" s="372"/>
      <c r="E499" s="253"/>
      <c r="F499" s="372">
        <f>F482</f>
        <v>2020</v>
      </c>
      <c r="G499" s="372"/>
      <c r="H499" s="372"/>
      <c r="I499" s="253"/>
      <c r="J499" s="372">
        <f>J482</f>
        <v>2035</v>
      </c>
      <c r="K499" s="372"/>
      <c r="L499" s="372"/>
      <c r="M499" s="236"/>
      <c r="N499" s="236"/>
    </row>
    <row r="500" spans="1:14" x14ac:dyDescent="0.2">
      <c r="A500" s="254"/>
      <c r="B500" s="255" t="s">
        <v>352</v>
      </c>
      <c r="C500" s="255" t="s">
        <v>353</v>
      </c>
      <c r="D500" s="255" t="s">
        <v>32</v>
      </c>
      <c r="E500" s="255"/>
      <c r="F500" s="255" t="s">
        <v>352</v>
      </c>
      <c r="G500" s="255" t="s">
        <v>353</v>
      </c>
      <c r="H500" s="255" t="s">
        <v>32</v>
      </c>
      <c r="I500" s="255"/>
      <c r="J500" s="255" t="s">
        <v>352</v>
      </c>
      <c r="K500" s="255" t="s">
        <v>353</v>
      </c>
      <c r="L500" s="255" t="s">
        <v>32</v>
      </c>
      <c r="M500" s="236"/>
      <c r="N500" s="236"/>
    </row>
    <row r="501" spans="1:14" x14ac:dyDescent="0.2">
      <c r="A501" s="258"/>
      <c r="B501" s="259"/>
      <c r="C501" s="259"/>
      <c r="D501" s="259"/>
      <c r="E501" s="259"/>
      <c r="F501" s="259"/>
      <c r="G501" s="259"/>
      <c r="H501" s="259"/>
      <c r="I501" s="259"/>
      <c r="J501" s="259"/>
      <c r="K501" s="259"/>
      <c r="L501" s="259"/>
      <c r="M501" s="236"/>
      <c r="N501" s="236"/>
    </row>
    <row r="502" spans="1:14" x14ac:dyDescent="0.2">
      <c r="A502" s="237" t="str">
        <f>name!E$4</f>
        <v>Managers, directors and senior officials</v>
      </c>
      <c r="B502" s="302">
        <v>0.18977252721570076</v>
      </c>
      <c r="C502" s="302">
        <v>0.42056698339786841</v>
      </c>
      <c r="D502" s="302">
        <f>SUM(B502:C502)</f>
        <v>0.61033951061356917</v>
      </c>
      <c r="E502" s="303"/>
      <c r="F502" s="302">
        <v>0.18315729749668036</v>
      </c>
      <c r="G502" s="302">
        <v>0.58487270308651862</v>
      </c>
      <c r="H502" s="302">
        <f>SUM(F502:G502)</f>
        <v>0.76803000058319904</v>
      </c>
      <c r="I502" s="303"/>
      <c r="J502" s="302">
        <v>0.22606873264699867</v>
      </c>
      <c r="K502" s="302">
        <v>0.58117879772695691</v>
      </c>
      <c r="L502" s="302">
        <f>SUM(J502:K502)</f>
        <v>0.80724753037395558</v>
      </c>
      <c r="M502" s="236"/>
      <c r="N502" s="236"/>
    </row>
    <row r="503" spans="1:14" x14ac:dyDescent="0.2">
      <c r="A503" s="237" t="str">
        <f>name!E$5</f>
        <v>Professional occupations</v>
      </c>
      <c r="B503" s="302">
        <v>0.1375394393171086</v>
      </c>
      <c r="C503" s="302">
        <v>0.42796112298982858</v>
      </c>
      <c r="D503" s="302">
        <f t="shared" ref="D503:D510" si="190">SUM(B503:C503)</f>
        <v>0.56550056230693713</v>
      </c>
      <c r="E503" s="303"/>
      <c r="F503" s="302">
        <v>0.16110234859890932</v>
      </c>
      <c r="G503" s="302">
        <v>0.59850007494086399</v>
      </c>
      <c r="H503" s="302">
        <f t="shared" ref="H503:H510" si="191">SUM(F503:G503)</f>
        <v>0.75960242353977336</v>
      </c>
      <c r="I503" s="303"/>
      <c r="J503" s="302">
        <v>0.20279164436830405</v>
      </c>
      <c r="K503" s="302">
        <v>0.67298164654492987</v>
      </c>
      <c r="L503" s="302">
        <f t="shared" ref="L503:L510" si="192">SUM(J503:K503)</f>
        <v>0.87577329091323386</v>
      </c>
      <c r="M503" s="236"/>
      <c r="N503" s="236"/>
    </row>
    <row r="504" spans="1:14" x14ac:dyDescent="0.2">
      <c r="A504" s="237" t="str">
        <f>name!E$6</f>
        <v>Associate professional occupations</v>
      </c>
      <c r="B504" s="302">
        <v>0.16261684339333518</v>
      </c>
      <c r="C504" s="302">
        <v>0.2796963839924258</v>
      </c>
      <c r="D504" s="302">
        <f t="shared" si="190"/>
        <v>0.44231322738576095</v>
      </c>
      <c r="E504" s="303"/>
      <c r="F504" s="302">
        <v>0.16455478727100742</v>
      </c>
      <c r="G504" s="302">
        <v>0.37263379107712252</v>
      </c>
      <c r="H504" s="302">
        <f t="shared" si="191"/>
        <v>0.53718857834812994</v>
      </c>
      <c r="I504" s="303"/>
      <c r="J504" s="302">
        <v>0.18054649309224871</v>
      </c>
      <c r="K504" s="302">
        <v>0.33868365487084201</v>
      </c>
      <c r="L504" s="302">
        <f t="shared" si="192"/>
        <v>0.51923014796309075</v>
      </c>
      <c r="M504" s="236"/>
      <c r="N504" s="236"/>
    </row>
    <row r="505" spans="1:14" x14ac:dyDescent="0.2">
      <c r="A505" s="237" t="str">
        <f>name!E$7</f>
        <v>Administrative and secretarial occupations</v>
      </c>
      <c r="B505" s="302">
        <v>0.68989046713250679</v>
      </c>
      <c r="C505" s="302">
        <v>0.10281977296939243</v>
      </c>
      <c r="D505" s="302">
        <f t="shared" si="190"/>
        <v>0.79271024010189928</v>
      </c>
      <c r="E505" s="303"/>
      <c r="F505" s="302">
        <v>0.51950021781034816</v>
      </c>
      <c r="G505" s="302">
        <v>0.12016813683160939</v>
      </c>
      <c r="H505" s="302">
        <f t="shared" si="191"/>
        <v>0.63966835464195759</v>
      </c>
      <c r="I505" s="303"/>
      <c r="J505" s="302">
        <v>0.36160813925602148</v>
      </c>
      <c r="K505" s="302">
        <v>0.12446413215600484</v>
      </c>
      <c r="L505" s="302">
        <f t="shared" si="192"/>
        <v>0.4860722714120263</v>
      </c>
      <c r="M505" s="236"/>
      <c r="N505" s="236"/>
    </row>
    <row r="506" spans="1:14" x14ac:dyDescent="0.2">
      <c r="A506" s="237" t="str">
        <f>name!E$8</f>
        <v>Skilled trades occupations</v>
      </c>
      <c r="B506" s="302">
        <v>0.2239891288366801</v>
      </c>
      <c r="C506" s="302">
        <v>5.1497183994601432</v>
      </c>
      <c r="D506" s="302">
        <f t="shared" si="190"/>
        <v>5.3737075282968236</v>
      </c>
      <c r="E506" s="303"/>
      <c r="F506" s="302">
        <v>0.11209828884504024</v>
      </c>
      <c r="G506" s="302">
        <v>4.851932616363082</v>
      </c>
      <c r="H506" s="302">
        <f t="shared" si="191"/>
        <v>4.964030905208122</v>
      </c>
      <c r="I506" s="303"/>
      <c r="J506" s="302">
        <v>0.19291226073445764</v>
      </c>
      <c r="K506" s="302">
        <v>4.4227867463084412</v>
      </c>
      <c r="L506" s="302">
        <f t="shared" si="192"/>
        <v>4.6156990070428989</v>
      </c>
      <c r="M506" s="236"/>
      <c r="N506" s="236"/>
    </row>
    <row r="507" spans="1:14" x14ac:dyDescent="0.2">
      <c r="A507" s="237" t="str">
        <f>name!E$9</f>
        <v>Caring, leisure and other service occupations</v>
      </c>
      <c r="B507" s="302">
        <v>9.1232493562604881E-3</v>
      </c>
      <c r="C507" s="302">
        <v>1.1337716039301261E-2</v>
      </c>
      <c r="D507" s="302">
        <f t="shared" si="190"/>
        <v>2.0460965395561748E-2</v>
      </c>
      <c r="E507" s="303"/>
      <c r="F507" s="302">
        <v>6.3155374449460726E-3</v>
      </c>
      <c r="G507" s="302">
        <v>1.3160446307761628E-2</v>
      </c>
      <c r="H507" s="302">
        <f t="shared" si="191"/>
        <v>1.9475983752707701E-2</v>
      </c>
      <c r="I507" s="303"/>
      <c r="J507" s="302">
        <v>6.0212335852085717E-3</v>
      </c>
      <c r="K507" s="302">
        <v>1.260453179527397E-2</v>
      </c>
      <c r="L507" s="302">
        <f t="shared" si="192"/>
        <v>1.8625765380482544E-2</v>
      </c>
      <c r="M507" s="236"/>
      <c r="N507" s="236"/>
    </row>
    <row r="508" spans="1:14" x14ac:dyDescent="0.2">
      <c r="A508" s="237" t="str">
        <f>name!E$10</f>
        <v>Sales and customer service occupations</v>
      </c>
      <c r="B508" s="302">
        <v>0.15192692866573537</v>
      </c>
      <c r="C508" s="302">
        <v>4.7256339766849675E-2</v>
      </c>
      <c r="D508" s="302">
        <f t="shared" si="190"/>
        <v>0.19918326843258505</v>
      </c>
      <c r="E508" s="303"/>
      <c r="F508" s="302">
        <v>0.12007452421434771</v>
      </c>
      <c r="G508" s="302">
        <v>5.2681139665272492E-2</v>
      </c>
      <c r="H508" s="302">
        <f t="shared" si="191"/>
        <v>0.17275566387962021</v>
      </c>
      <c r="I508" s="303"/>
      <c r="J508" s="302">
        <v>0.11583342505701039</v>
      </c>
      <c r="K508" s="302">
        <v>5.9868263723306329E-2</v>
      </c>
      <c r="L508" s="302">
        <f t="shared" si="192"/>
        <v>0.17570168878031672</v>
      </c>
      <c r="M508" s="236"/>
      <c r="N508" s="236"/>
    </row>
    <row r="509" spans="1:14" x14ac:dyDescent="0.2">
      <c r="A509" s="237" t="str">
        <f>name!E$11</f>
        <v>Process, plant and machine operatives</v>
      </c>
      <c r="B509" s="302">
        <v>1.1078757469665218E-2</v>
      </c>
      <c r="C509" s="302">
        <v>0.64573253685273857</v>
      </c>
      <c r="D509" s="302">
        <f t="shared" si="190"/>
        <v>0.65681129432240382</v>
      </c>
      <c r="E509" s="303"/>
      <c r="F509" s="302">
        <v>6.2584139574290041E-3</v>
      </c>
      <c r="G509" s="302">
        <v>0.62262075737022093</v>
      </c>
      <c r="H509" s="302">
        <f t="shared" si="191"/>
        <v>0.62887917132764992</v>
      </c>
      <c r="I509" s="303"/>
      <c r="J509" s="302">
        <v>6.1217332069503673E-3</v>
      </c>
      <c r="K509" s="302">
        <v>0.69774236017169633</v>
      </c>
      <c r="L509" s="302">
        <f t="shared" si="192"/>
        <v>0.70386409337864675</v>
      </c>
      <c r="M509" s="236"/>
      <c r="N509" s="236"/>
    </row>
    <row r="510" spans="1:14" x14ac:dyDescent="0.2">
      <c r="A510" s="237" t="str">
        <f>name!E$12</f>
        <v>Elementary occupations</v>
      </c>
      <c r="B510" s="302">
        <v>5.206265861547716E-2</v>
      </c>
      <c r="C510" s="302">
        <v>0.3859107444858817</v>
      </c>
      <c r="D510" s="302">
        <f t="shared" si="190"/>
        <v>0.43797340310135885</v>
      </c>
      <c r="E510" s="303"/>
      <c r="F510" s="302">
        <v>2.5938584355402625E-2</v>
      </c>
      <c r="G510" s="302">
        <v>0.36543033426979948</v>
      </c>
      <c r="H510" s="302">
        <f t="shared" si="191"/>
        <v>0.39136891862520212</v>
      </c>
      <c r="I510" s="303"/>
      <c r="J510" s="302">
        <v>1.9096338055133191E-2</v>
      </c>
      <c r="K510" s="302">
        <v>0.32568986640142294</v>
      </c>
      <c r="L510" s="302">
        <f t="shared" si="192"/>
        <v>0.34478620445655611</v>
      </c>
      <c r="M510" s="236"/>
      <c r="N510" s="236"/>
    </row>
    <row r="511" spans="1:14" x14ac:dyDescent="0.2">
      <c r="A511" s="237"/>
      <c r="B511" s="302"/>
      <c r="C511" s="302"/>
      <c r="D511" s="302"/>
      <c r="E511" s="303"/>
      <c r="F511" s="302"/>
      <c r="G511" s="302"/>
      <c r="H511" s="302"/>
      <c r="I511" s="303"/>
      <c r="J511" s="302"/>
      <c r="K511" s="302"/>
      <c r="L511" s="302"/>
      <c r="M511" s="236"/>
      <c r="N511" s="236"/>
    </row>
    <row r="512" spans="1:14" x14ac:dyDescent="0.2">
      <c r="A512" s="244" t="s">
        <v>32</v>
      </c>
      <c r="B512" s="311">
        <f>SUM(B502:B510)</f>
        <v>1.6280000000024695</v>
      </c>
      <c r="C512" s="311">
        <f t="shared" ref="C512:D512" si="193">SUM(C502:C510)</f>
        <v>7.4709999999544294</v>
      </c>
      <c r="D512" s="311">
        <f t="shared" si="193"/>
        <v>9.0989999999568987</v>
      </c>
      <c r="E512" s="311"/>
      <c r="F512" s="311">
        <f t="shared" ref="F512:H512" si="194">SUM(F502:F510)</f>
        <v>1.2989999999941109</v>
      </c>
      <c r="G512" s="311">
        <f t="shared" si="194"/>
        <v>7.5819999999122514</v>
      </c>
      <c r="H512" s="311">
        <f t="shared" si="194"/>
        <v>8.8809999999063614</v>
      </c>
      <c r="I512" s="311"/>
      <c r="J512" s="311">
        <f t="shared" ref="J512:L512" si="195">SUM(J502:J510)</f>
        <v>1.311000000002333</v>
      </c>
      <c r="K512" s="311">
        <f t="shared" si="195"/>
        <v>7.2359999996988753</v>
      </c>
      <c r="L512" s="311">
        <f t="shared" si="195"/>
        <v>8.5469999997012067</v>
      </c>
      <c r="M512" s="236"/>
      <c r="N512" s="236"/>
    </row>
    <row r="513" spans="1:14" x14ac:dyDescent="0.2">
      <c r="A513" s="237"/>
      <c r="B513" s="237"/>
      <c r="C513" s="237"/>
      <c r="D513" s="237"/>
      <c r="E513" s="237"/>
      <c r="F513" s="237"/>
      <c r="G513" s="237"/>
      <c r="H513" s="237"/>
      <c r="I513" s="237"/>
      <c r="J513" s="237"/>
      <c r="K513" s="237"/>
      <c r="L513" s="240"/>
      <c r="M513" s="236"/>
      <c r="N513" s="236"/>
    </row>
    <row r="514" spans="1:14" x14ac:dyDescent="0.2">
      <c r="A514" s="237"/>
      <c r="B514" s="237"/>
      <c r="C514" s="237"/>
      <c r="D514" s="237"/>
      <c r="E514" s="237"/>
      <c r="F514" s="237"/>
      <c r="G514" s="237"/>
      <c r="H514" s="237"/>
      <c r="I514" s="237"/>
      <c r="J514" s="237"/>
      <c r="K514" s="237"/>
      <c r="L514" s="256" t="s">
        <v>35</v>
      </c>
      <c r="M514" s="236"/>
      <c r="N514" s="236"/>
    </row>
    <row r="515" spans="1:14" x14ac:dyDescent="0.2">
      <c r="A515" s="242"/>
      <c r="B515" s="250"/>
      <c r="C515" s="250"/>
      <c r="D515" s="250"/>
      <c r="E515" s="250"/>
      <c r="F515" s="250"/>
      <c r="G515" s="250"/>
      <c r="H515" s="250"/>
      <c r="I515" s="250"/>
      <c r="J515" s="250"/>
      <c r="K515" s="250"/>
      <c r="L515" s="236"/>
      <c r="M515" s="236"/>
      <c r="N515" s="236"/>
    </row>
    <row r="516" spans="1:14" x14ac:dyDescent="0.2">
      <c r="A516" s="241" t="str">
        <f>name!A33</f>
        <v>Specialised construction</v>
      </c>
      <c r="B516" s="372">
        <f>B$6</f>
        <v>2015</v>
      </c>
      <c r="C516" s="372"/>
      <c r="D516" s="372"/>
      <c r="E516" s="253"/>
      <c r="F516" s="372">
        <f>F499</f>
        <v>2020</v>
      </c>
      <c r="G516" s="372"/>
      <c r="H516" s="372"/>
      <c r="I516" s="253"/>
      <c r="J516" s="372">
        <f>J499</f>
        <v>2035</v>
      </c>
      <c r="K516" s="372"/>
      <c r="L516" s="372"/>
      <c r="M516" s="236"/>
      <c r="N516" s="236"/>
    </row>
    <row r="517" spans="1:14" x14ac:dyDescent="0.2">
      <c r="A517" s="254"/>
      <c r="B517" s="255" t="s">
        <v>352</v>
      </c>
      <c r="C517" s="255" t="s">
        <v>353</v>
      </c>
      <c r="D517" s="255" t="s">
        <v>32</v>
      </c>
      <c r="E517" s="255"/>
      <c r="F517" s="255" t="s">
        <v>352</v>
      </c>
      <c r="G517" s="255" t="s">
        <v>353</v>
      </c>
      <c r="H517" s="255" t="s">
        <v>32</v>
      </c>
      <c r="I517" s="255"/>
      <c r="J517" s="255" t="s">
        <v>352</v>
      </c>
      <c r="K517" s="255" t="s">
        <v>353</v>
      </c>
      <c r="L517" s="255" t="s">
        <v>32</v>
      </c>
      <c r="M517" s="236"/>
      <c r="N517" s="236"/>
    </row>
    <row r="518" spans="1:14" x14ac:dyDescent="0.2">
      <c r="A518" s="258"/>
      <c r="B518" s="259"/>
      <c r="C518" s="259"/>
      <c r="D518" s="259"/>
      <c r="E518" s="259"/>
      <c r="F518" s="259"/>
      <c r="G518" s="259"/>
      <c r="H518" s="259"/>
      <c r="I518" s="259"/>
      <c r="J518" s="259"/>
      <c r="K518" s="259"/>
      <c r="L518" s="259"/>
      <c r="M518" s="236"/>
      <c r="N518" s="236"/>
    </row>
    <row r="519" spans="1:14" x14ac:dyDescent="0.2">
      <c r="A519" s="237" t="str">
        <f>name!E$4</f>
        <v>Managers, directors and senior officials</v>
      </c>
      <c r="B519" s="302">
        <v>0.541595771188352</v>
      </c>
      <c r="C519" s="302">
        <v>1.7877899259109904</v>
      </c>
      <c r="D519" s="302">
        <f>SUM(B519:C519)</f>
        <v>2.3293856970993425</v>
      </c>
      <c r="E519" s="303"/>
      <c r="F519" s="302">
        <v>0.62489782595144117</v>
      </c>
      <c r="G519" s="302">
        <v>2.7243954633659957</v>
      </c>
      <c r="H519" s="302">
        <f>SUM(F519:G519)</f>
        <v>3.349293289317437</v>
      </c>
      <c r="I519" s="303"/>
      <c r="J519" s="302">
        <v>0.73958333510866525</v>
      </c>
      <c r="K519" s="302">
        <v>2.7064657180583018</v>
      </c>
      <c r="L519" s="302">
        <f>SUM(J519:K519)</f>
        <v>3.4460490531669672</v>
      </c>
      <c r="M519" s="236"/>
      <c r="N519" s="236"/>
    </row>
    <row r="520" spans="1:14" x14ac:dyDescent="0.2">
      <c r="A520" s="237" t="str">
        <f>name!E$5</f>
        <v>Professional occupations</v>
      </c>
      <c r="B520" s="302">
        <v>0.36260592853736495</v>
      </c>
      <c r="C520" s="302">
        <v>1.844290022896244</v>
      </c>
      <c r="D520" s="302">
        <f t="shared" ref="D520:D527" si="196">SUM(B520:C520)</f>
        <v>2.2068959514336091</v>
      </c>
      <c r="E520" s="303"/>
      <c r="F520" s="302">
        <v>0.47971388567160939</v>
      </c>
      <c r="G520" s="302">
        <v>2.8011011171933125</v>
      </c>
      <c r="H520" s="302">
        <f t="shared" ref="H520:H527" si="197">SUM(F520:G520)</f>
        <v>3.2808150028649217</v>
      </c>
      <c r="I520" s="303"/>
      <c r="J520" s="302">
        <v>0.59036860259874491</v>
      </c>
      <c r="K520" s="302">
        <v>3.150927359826631</v>
      </c>
      <c r="L520" s="302">
        <f t="shared" ref="L520:L527" si="198">SUM(J520:K520)</f>
        <v>3.7412959624253759</v>
      </c>
      <c r="M520" s="236"/>
      <c r="N520" s="236"/>
    </row>
    <row r="521" spans="1:14" x14ac:dyDescent="0.2">
      <c r="A521" s="237" t="str">
        <f>name!E$6</f>
        <v>Associate professional occupations</v>
      </c>
      <c r="B521" s="302">
        <v>0.44356305020243531</v>
      </c>
      <c r="C521" s="302">
        <v>1.1964296389291071</v>
      </c>
      <c r="D521" s="302">
        <f t="shared" si="196"/>
        <v>1.6399926891315424</v>
      </c>
      <c r="E521" s="303"/>
      <c r="F521" s="302">
        <v>0.52334730321688228</v>
      </c>
      <c r="G521" s="302">
        <v>1.734799077293149</v>
      </c>
      <c r="H521" s="302">
        <f t="shared" si="197"/>
        <v>2.2581463805100315</v>
      </c>
      <c r="I521" s="303"/>
      <c r="J521" s="302">
        <v>0.57189307473832907</v>
      </c>
      <c r="K521" s="302">
        <v>1.5812503605628685</v>
      </c>
      <c r="L521" s="302">
        <f t="shared" si="198"/>
        <v>2.1531434353011978</v>
      </c>
      <c r="M521" s="236"/>
      <c r="N521" s="236"/>
    </row>
    <row r="522" spans="1:14" x14ac:dyDescent="0.2">
      <c r="A522" s="237" t="str">
        <f>name!E$7</f>
        <v>Administrative and secretarial occupations</v>
      </c>
      <c r="B522" s="302">
        <v>2.0110116673864944</v>
      </c>
      <c r="C522" s="302">
        <v>0.4076211210078044</v>
      </c>
      <c r="D522" s="302">
        <f t="shared" si="196"/>
        <v>2.4186327883942988</v>
      </c>
      <c r="E522" s="303"/>
      <c r="F522" s="302">
        <v>1.9021809828299543</v>
      </c>
      <c r="G522" s="302">
        <v>0.54615157042623974</v>
      </c>
      <c r="H522" s="302">
        <f t="shared" si="197"/>
        <v>2.4483325532561939</v>
      </c>
      <c r="I522" s="303"/>
      <c r="J522" s="302">
        <v>1.4534598282396052</v>
      </c>
      <c r="K522" s="302">
        <v>0.5668812259178565</v>
      </c>
      <c r="L522" s="302">
        <f t="shared" si="198"/>
        <v>2.0203410541574618</v>
      </c>
      <c r="M522" s="236"/>
      <c r="N522" s="236"/>
    </row>
    <row r="523" spans="1:14" x14ac:dyDescent="0.2">
      <c r="A523" s="237" t="str">
        <f>name!E$8</f>
        <v>Skilled trades occupations</v>
      </c>
      <c r="B523" s="302">
        <v>0.78446173806055963</v>
      </c>
      <c r="C523" s="302">
        <v>21.817855328586393</v>
      </c>
      <c r="D523" s="302">
        <f t="shared" si="196"/>
        <v>22.602317066646954</v>
      </c>
      <c r="E523" s="303"/>
      <c r="F523" s="302">
        <v>0.42246661535021457</v>
      </c>
      <c r="G523" s="302">
        <v>22.742147876472593</v>
      </c>
      <c r="H523" s="302">
        <f t="shared" si="197"/>
        <v>23.164614491822807</v>
      </c>
      <c r="I523" s="303"/>
      <c r="J523" s="302">
        <v>0.63346418751022271</v>
      </c>
      <c r="K523" s="302">
        <v>20.695027291759551</v>
      </c>
      <c r="L523" s="302">
        <f t="shared" si="198"/>
        <v>21.328491479269776</v>
      </c>
      <c r="M523" s="236"/>
      <c r="N523" s="236"/>
    </row>
    <row r="524" spans="1:14" x14ac:dyDescent="0.2">
      <c r="A524" s="237" t="str">
        <f>name!E$9</f>
        <v>Caring, leisure and other service occupations</v>
      </c>
      <c r="B524" s="302">
        <v>2.7119792479189435E-2</v>
      </c>
      <c r="C524" s="302">
        <v>4.3897668390447404E-2</v>
      </c>
      <c r="D524" s="302">
        <f t="shared" si="196"/>
        <v>7.1017460869636839E-2</v>
      </c>
      <c r="E524" s="303"/>
      <c r="F524" s="302">
        <v>2.2917319093721376E-2</v>
      </c>
      <c r="G524" s="302">
        <v>5.9295146790262182E-2</v>
      </c>
      <c r="H524" s="302">
        <f t="shared" si="197"/>
        <v>8.2212465883983565E-2</v>
      </c>
      <c r="I524" s="303"/>
      <c r="J524" s="302">
        <v>2.1328740847821492E-2</v>
      </c>
      <c r="K524" s="302">
        <v>5.7463890765023701E-2</v>
      </c>
      <c r="L524" s="302">
        <f t="shared" si="198"/>
        <v>7.8792631612845193E-2</v>
      </c>
      <c r="M524" s="236"/>
      <c r="N524" s="236"/>
    </row>
    <row r="525" spans="1:14" x14ac:dyDescent="0.2">
      <c r="A525" s="237" t="str">
        <f>name!E$10</f>
        <v>Sales and customer service occupations</v>
      </c>
      <c r="B525" s="302">
        <v>0.44926842199265216</v>
      </c>
      <c r="C525" s="302">
        <v>0.18843432182010278</v>
      </c>
      <c r="D525" s="302">
        <f t="shared" si="196"/>
        <v>0.63770274381275494</v>
      </c>
      <c r="E525" s="303"/>
      <c r="F525" s="302">
        <v>0.47541610705985099</v>
      </c>
      <c r="G525" s="302">
        <v>0.24003720778601514</v>
      </c>
      <c r="H525" s="302">
        <f t="shared" si="197"/>
        <v>0.71545331484586616</v>
      </c>
      <c r="I525" s="303"/>
      <c r="J525" s="302">
        <v>0.45755221320490941</v>
      </c>
      <c r="K525" s="302">
        <v>0.27296297456220098</v>
      </c>
      <c r="L525" s="302">
        <f t="shared" si="198"/>
        <v>0.73051518776711033</v>
      </c>
      <c r="M525" s="236"/>
      <c r="N525" s="236"/>
    </row>
    <row r="526" spans="1:14" x14ac:dyDescent="0.2">
      <c r="A526" s="237" t="str">
        <f>name!E$11</f>
        <v>Process, plant and machine operatives</v>
      </c>
      <c r="B526" s="302">
        <v>3.2595523442071624E-2</v>
      </c>
      <c r="C526" s="302">
        <v>2.7577042743769509</v>
      </c>
      <c r="D526" s="302">
        <f t="shared" si="196"/>
        <v>2.7902997978190225</v>
      </c>
      <c r="E526" s="303"/>
      <c r="F526" s="302">
        <v>2.2853069252855102E-2</v>
      </c>
      <c r="G526" s="302">
        <v>2.9059805329850135</v>
      </c>
      <c r="H526" s="302">
        <f t="shared" si="197"/>
        <v>2.9288336022378685</v>
      </c>
      <c r="I526" s="303"/>
      <c r="J526" s="302">
        <v>2.7618143628558439E-2</v>
      </c>
      <c r="K526" s="302">
        <v>3.2572772025945671</v>
      </c>
      <c r="L526" s="302">
        <f t="shared" si="198"/>
        <v>3.2848953462231254</v>
      </c>
      <c r="M526" s="236"/>
      <c r="N526" s="236"/>
    </row>
    <row r="527" spans="1:14" x14ac:dyDescent="0.2">
      <c r="A527" s="237" t="str">
        <f>name!E$12</f>
        <v>Elementary occupations</v>
      </c>
      <c r="B527" s="302">
        <v>0.19077810673335432</v>
      </c>
      <c r="C527" s="302">
        <v>1.540977697899319</v>
      </c>
      <c r="D527" s="302">
        <f t="shared" si="196"/>
        <v>1.7317558046326733</v>
      </c>
      <c r="E527" s="303"/>
      <c r="F527" s="302">
        <v>0.15520689155714451</v>
      </c>
      <c r="G527" s="302">
        <v>1.6770920072764597</v>
      </c>
      <c r="H527" s="302">
        <f t="shared" si="197"/>
        <v>1.8322988988336042</v>
      </c>
      <c r="I527" s="303"/>
      <c r="J527" s="302">
        <v>0.11073187412781976</v>
      </c>
      <c r="K527" s="302">
        <v>1.50674397454139</v>
      </c>
      <c r="L527" s="302">
        <f t="shared" si="198"/>
        <v>1.6174758486692098</v>
      </c>
      <c r="M527" s="236"/>
      <c r="N527" s="236"/>
    </row>
    <row r="528" spans="1:14" x14ac:dyDescent="0.2">
      <c r="A528" s="237"/>
      <c r="B528" s="302"/>
      <c r="C528" s="302"/>
      <c r="D528" s="302"/>
      <c r="E528" s="303"/>
      <c r="F528" s="302"/>
      <c r="G528" s="302"/>
      <c r="H528" s="302"/>
      <c r="I528" s="303"/>
      <c r="J528" s="302"/>
      <c r="K528" s="302"/>
      <c r="L528" s="302"/>
      <c r="M528" s="236"/>
      <c r="N528" s="236"/>
    </row>
    <row r="529" spans="1:14" x14ac:dyDescent="0.2">
      <c r="A529" s="244" t="s">
        <v>32</v>
      </c>
      <c r="B529" s="311">
        <f>SUM(B519:B527)</f>
        <v>4.8430000000224744</v>
      </c>
      <c r="C529" s="311">
        <f t="shared" ref="C529:D529" si="199">SUM(C519:C527)</f>
        <v>31.584999999817359</v>
      </c>
      <c r="D529" s="311">
        <f t="shared" si="199"/>
        <v>36.427999999839841</v>
      </c>
      <c r="E529" s="311"/>
      <c r="F529" s="311">
        <f t="shared" ref="F529:H529" si="200">SUM(F519:F527)</f>
        <v>4.628999999983674</v>
      </c>
      <c r="G529" s="311">
        <f t="shared" si="200"/>
        <v>35.430999999589041</v>
      </c>
      <c r="H529" s="311">
        <f t="shared" si="200"/>
        <v>40.059999999572717</v>
      </c>
      <c r="I529" s="311"/>
      <c r="J529" s="311">
        <f t="shared" ref="J529:L529" si="201">SUM(J519:J527)</f>
        <v>4.6060000000046761</v>
      </c>
      <c r="K529" s="311">
        <f t="shared" si="201"/>
        <v>33.794999998588395</v>
      </c>
      <c r="L529" s="311">
        <f t="shared" si="201"/>
        <v>38.400999998593065</v>
      </c>
      <c r="M529" s="236"/>
      <c r="N529" s="236"/>
    </row>
    <row r="530" spans="1:14" x14ac:dyDescent="0.2">
      <c r="A530" s="237"/>
      <c r="B530" s="237"/>
      <c r="C530" s="237"/>
      <c r="D530" s="237"/>
      <c r="E530" s="237"/>
      <c r="F530" s="237"/>
      <c r="G530" s="237"/>
      <c r="H530" s="237"/>
      <c r="I530" s="237"/>
      <c r="J530" s="237"/>
      <c r="K530" s="237"/>
      <c r="L530" s="240"/>
      <c r="M530" s="236"/>
      <c r="N530" s="236"/>
    </row>
    <row r="531" spans="1:14" x14ac:dyDescent="0.2">
      <c r="A531" s="237"/>
      <c r="B531" s="237"/>
      <c r="C531" s="237"/>
      <c r="D531" s="237"/>
      <c r="E531" s="237"/>
      <c r="F531" s="237"/>
      <c r="G531" s="237"/>
      <c r="H531" s="237"/>
      <c r="I531" s="237"/>
      <c r="J531" s="237"/>
      <c r="K531" s="237"/>
      <c r="L531" s="256" t="s">
        <v>35</v>
      </c>
      <c r="M531" s="236"/>
      <c r="N531" s="236"/>
    </row>
    <row r="532" spans="1:14" x14ac:dyDescent="0.2">
      <c r="A532" s="242"/>
      <c r="B532" s="250"/>
      <c r="C532" s="250"/>
      <c r="D532" s="250"/>
      <c r="E532" s="250"/>
      <c r="F532" s="250"/>
      <c r="G532" s="250"/>
      <c r="H532" s="250"/>
      <c r="I532" s="250"/>
      <c r="J532" s="250"/>
      <c r="K532" s="250"/>
      <c r="L532" s="236"/>
      <c r="M532" s="236"/>
      <c r="N532" s="236"/>
    </row>
    <row r="533" spans="1:14" x14ac:dyDescent="0.2">
      <c r="A533" s="241" t="str">
        <f>name!A34</f>
        <v>Motor vehicle trade</v>
      </c>
      <c r="B533" s="372">
        <f>B$6</f>
        <v>2015</v>
      </c>
      <c r="C533" s="372"/>
      <c r="D533" s="372"/>
      <c r="E533" s="253"/>
      <c r="F533" s="372">
        <f>F516</f>
        <v>2020</v>
      </c>
      <c r="G533" s="372"/>
      <c r="H533" s="372"/>
      <c r="I533" s="253"/>
      <c r="J533" s="372">
        <f>J516</f>
        <v>2035</v>
      </c>
      <c r="K533" s="372"/>
      <c r="L533" s="372"/>
      <c r="M533" s="236"/>
      <c r="N533" s="236"/>
    </row>
    <row r="534" spans="1:14" x14ac:dyDescent="0.2">
      <c r="A534" s="254"/>
      <c r="B534" s="255" t="s">
        <v>352</v>
      </c>
      <c r="C534" s="255" t="s">
        <v>353</v>
      </c>
      <c r="D534" s="255" t="s">
        <v>32</v>
      </c>
      <c r="E534" s="255"/>
      <c r="F534" s="255" t="s">
        <v>352</v>
      </c>
      <c r="G534" s="255" t="s">
        <v>353</v>
      </c>
      <c r="H534" s="255" t="s">
        <v>32</v>
      </c>
      <c r="I534" s="255"/>
      <c r="J534" s="255" t="s">
        <v>352</v>
      </c>
      <c r="K534" s="255" t="s">
        <v>353</v>
      </c>
      <c r="L534" s="255" t="s">
        <v>32</v>
      </c>
      <c r="M534" s="236"/>
      <c r="N534" s="236"/>
    </row>
    <row r="535" spans="1:14" x14ac:dyDescent="0.2">
      <c r="A535" s="258"/>
      <c r="B535" s="259"/>
      <c r="C535" s="259"/>
      <c r="D535" s="259"/>
      <c r="E535" s="259"/>
      <c r="F535" s="259"/>
      <c r="G535" s="259"/>
      <c r="H535" s="259"/>
      <c r="I535" s="259"/>
      <c r="J535" s="259"/>
      <c r="K535" s="259"/>
      <c r="L535" s="259"/>
      <c r="M535" s="236"/>
      <c r="N535" s="236"/>
    </row>
    <row r="536" spans="1:14" x14ac:dyDescent="0.2">
      <c r="A536" s="237" t="str">
        <f>name!E$4</f>
        <v>Managers, directors and senior officials</v>
      </c>
      <c r="B536" s="302">
        <v>0.21048777661249557</v>
      </c>
      <c r="C536" s="302">
        <v>2.2446438168210912</v>
      </c>
      <c r="D536" s="302">
        <f>SUM(B536:C536)</f>
        <v>2.4551315934335869</v>
      </c>
      <c r="E536" s="303"/>
      <c r="F536" s="302">
        <v>0.19113103574412305</v>
      </c>
      <c r="G536" s="302">
        <v>2.0960193263916009</v>
      </c>
      <c r="H536" s="302">
        <f>SUM(F536:G536)</f>
        <v>2.2871503621357241</v>
      </c>
      <c r="I536" s="303"/>
      <c r="J536" s="302">
        <v>0.28557164483832503</v>
      </c>
      <c r="K536" s="302">
        <v>2.8469850254355533</v>
      </c>
      <c r="L536" s="302">
        <f>SUM(J536:K536)</f>
        <v>3.1325566702738783</v>
      </c>
      <c r="M536" s="236"/>
      <c r="N536" s="236"/>
    </row>
    <row r="537" spans="1:14" x14ac:dyDescent="0.2">
      <c r="A537" s="237" t="str">
        <f>name!E$5</f>
        <v>Professional occupations</v>
      </c>
      <c r="B537" s="302">
        <v>0.15409688805649047</v>
      </c>
      <c r="C537" s="302">
        <v>0.69650041158155318</v>
      </c>
      <c r="D537" s="302">
        <f t="shared" ref="D537:D544" si="202">SUM(B537:C537)</f>
        <v>0.85059729963804365</v>
      </c>
      <c r="E537" s="303"/>
      <c r="F537" s="302">
        <v>0.15153607444971778</v>
      </c>
      <c r="G537" s="302">
        <v>0.87287765807521511</v>
      </c>
      <c r="H537" s="302">
        <f t="shared" ref="H537:H544" si="203">SUM(F537:G537)</f>
        <v>1.024413732524933</v>
      </c>
      <c r="I537" s="303"/>
      <c r="J537" s="302">
        <v>0.2226442638661108</v>
      </c>
      <c r="K537" s="302">
        <v>1.2163080264303945</v>
      </c>
      <c r="L537" s="302">
        <f t="shared" ref="L537:L544" si="204">SUM(J537:K537)</f>
        <v>1.4389522902965053</v>
      </c>
      <c r="M537" s="236"/>
      <c r="N537" s="236"/>
    </row>
    <row r="538" spans="1:14" x14ac:dyDescent="0.2">
      <c r="A538" s="237" t="str">
        <f>name!E$6</f>
        <v>Associate professional occupations</v>
      </c>
      <c r="B538" s="302">
        <v>0.25974441500217144</v>
      </c>
      <c r="C538" s="302">
        <v>0.798788832367338</v>
      </c>
      <c r="D538" s="302">
        <f t="shared" si="202"/>
        <v>1.0585332473695095</v>
      </c>
      <c r="E538" s="303"/>
      <c r="F538" s="302">
        <v>0.21353065908457408</v>
      </c>
      <c r="G538" s="302">
        <v>0.91609224348805607</v>
      </c>
      <c r="H538" s="302">
        <f t="shared" si="203"/>
        <v>1.1296229025726301</v>
      </c>
      <c r="I538" s="303"/>
      <c r="J538" s="302">
        <v>0.28634066235294697</v>
      </c>
      <c r="K538" s="302">
        <v>1.0527252709833246</v>
      </c>
      <c r="L538" s="302">
        <f t="shared" si="204"/>
        <v>1.3390659333362716</v>
      </c>
      <c r="M538" s="236"/>
      <c r="N538" s="236"/>
    </row>
    <row r="539" spans="1:14" x14ac:dyDescent="0.2">
      <c r="A539" s="237" t="str">
        <f>name!E$7</f>
        <v>Administrative and secretarial occupations</v>
      </c>
      <c r="B539" s="302">
        <v>0.7381850834329613</v>
      </c>
      <c r="C539" s="302">
        <v>0.8514909962613918</v>
      </c>
      <c r="D539" s="302">
        <f t="shared" si="202"/>
        <v>1.5896760796943532</v>
      </c>
      <c r="E539" s="303"/>
      <c r="F539" s="302">
        <v>0.49743049296592146</v>
      </c>
      <c r="G539" s="302">
        <v>0.92362622864933774</v>
      </c>
      <c r="H539" s="302">
        <f t="shared" si="203"/>
        <v>1.4210567216152592</v>
      </c>
      <c r="I539" s="303"/>
      <c r="J539" s="302">
        <v>0.3741477958174888</v>
      </c>
      <c r="K539" s="302">
        <v>1.1966526618679845</v>
      </c>
      <c r="L539" s="302">
        <f t="shared" si="204"/>
        <v>1.5708004576854733</v>
      </c>
      <c r="M539" s="236"/>
      <c r="N539" s="236"/>
    </row>
    <row r="540" spans="1:14" x14ac:dyDescent="0.2">
      <c r="A540" s="237" t="str">
        <f>name!E$8</f>
        <v>Skilled trades occupations</v>
      </c>
      <c r="B540" s="302">
        <v>9.0862564054974101E-2</v>
      </c>
      <c r="C540" s="302">
        <v>7.615046709025993</v>
      </c>
      <c r="D540" s="302">
        <f t="shared" si="202"/>
        <v>7.7059092730809668</v>
      </c>
      <c r="E540" s="303"/>
      <c r="F540" s="302">
        <v>7.3208744137548201E-2</v>
      </c>
      <c r="G540" s="302">
        <v>5.8735848611862131</v>
      </c>
      <c r="H540" s="302">
        <f t="shared" si="203"/>
        <v>5.9467936053237613</v>
      </c>
      <c r="I540" s="303"/>
      <c r="J540" s="302">
        <v>8.3600391801774462E-2</v>
      </c>
      <c r="K540" s="302">
        <v>5.6516207576451158</v>
      </c>
      <c r="L540" s="302">
        <f t="shared" si="204"/>
        <v>5.7352211494468905</v>
      </c>
      <c r="M540" s="236"/>
      <c r="N540" s="236"/>
    </row>
    <row r="541" spans="1:14" x14ac:dyDescent="0.2">
      <c r="A541" s="237" t="str">
        <f>name!E$9</f>
        <v>Caring, leisure and other service occupations</v>
      </c>
      <c r="B541" s="302">
        <v>0.90545424773359573</v>
      </c>
      <c r="C541" s="302">
        <v>7.9554260723516165E-2</v>
      </c>
      <c r="D541" s="302">
        <f t="shared" si="202"/>
        <v>0.98500850845711185</v>
      </c>
      <c r="E541" s="303"/>
      <c r="F541" s="302">
        <v>0.62838257406050912</v>
      </c>
      <c r="G541" s="302">
        <v>7.8543823918974173E-2</v>
      </c>
      <c r="H541" s="302">
        <f t="shared" si="203"/>
        <v>0.70692639797948331</v>
      </c>
      <c r="I541" s="303"/>
      <c r="J541" s="302">
        <v>1.0095473384240059</v>
      </c>
      <c r="K541" s="302">
        <v>0.12115217829632342</v>
      </c>
      <c r="L541" s="302">
        <f t="shared" si="204"/>
        <v>1.1306995167203293</v>
      </c>
      <c r="M541" s="236"/>
      <c r="N541" s="236"/>
    </row>
    <row r="542" spans="1:14" x14ac:dyDescent="0.2">
      <c r="A542" s="237" t="str">
        <f>name!E$10</f>
        <v>Sales and customer service occupations</v>
      </c>
      <c r="B542" s="302">
        <v>1.5126914064434513</v>
      </c>
      <c r="C542" s="302">
        <v>2.7861425942242612</v>
      </c>
      <c r="D542" s="302">
        <f t="shared" si="202"/>
        <v>4.2988340006677124</v>
      </c>
      <c r="E542" s="303"/>
      <c r="F542" s="302">
        <v>0.9030742010838072</v>
      </c>
      <c r="G542" s="302">
        <v>2.2333110454533101</v>
      </c>
      <c r="H542" s="302">
        <f t="shared" si="203"/>
        <v>3.1363852465371171</v>
      </c>
      <c r="I542" s="303"/>
      <c r="J542" s="302">
        <v>0.83593549010821455</v>
      </c>
      <c r="K542" s="302">
        <v>2.4289574479599572</v>
      </c>
      <c r="L542" s="302">
        <f t="shared" si="204"/>
        <v>3.2648929380681717</v>
      </c>
      <c r="M542" s="236"/>
      <c r="N542" s="236"/>
    </row>
    <row r="543" spans="1:14" x14ac:dyDescent="0.2">
      <c r="A543" s="237" t="str">
        <f>name!E$11</f>
        <v>Process, plant and machine operatives</v>
      </c>
      <c r="B543" s="302">
        <v>2.2716302990385785E-2</v>
      </c>
      <c r="C543" s="302">
        <v>1.676052678324611</v>
      </c>
      <c r="D543" s="302">
        <f t="shared" si="202"/>
        <v>1.6987689813149969</v>
      </c>
      <c r="E543" s="303"/>
      <c r="F543" s="302">
        <v>1.2732889475241333E-2</v>
      </c>
      <c r="G543" s="302">
        <v>1.3785699936572251</v>
      </c>
      <c r="H543" s="302">
        <f t="shared" si="203"/>
        <v>1.3913028831324665</v>
      </c>
      <c r="I543" s="303"/>
      <c r="J543" s="302">
        <v>1.6564749580093886E-2</v>
      </c>
      <c r="K543" s="302">
        <v>1.7281560521625898</v>
      </c>
      <c r="L543" s="302">
        <f t="shared" si="204"/>
        <v>1.7447208017426836</v>
      </c>
      <c r="M543" s="236"/>
      <c r="N543" s="236"/>
    </row>
    <row r="544" spans="1:14" x14ac:dyDescent="0.2">
      <c r="A544" s="237" t="str">
        <f>name!E$12</f>
        <v>Elementary occupations</v>
      </c>
      <c r="B544" s="302">
        <v>0.13376131570729249</v>
      </c>
      <c r="C544" s="302">
        <v>1.0517797008011571</v>
      </c>
      <c r="D544" s="302">
        <f t="shared" si="202"/>
        <v>1.1855410165084497</v>
      </c>
      <c r="E544" s="303"/>
      <c r="F544" s="302">
        <v>8.0973328984444884E-2</v>
      </c>
      <c r="G544" s="302">
        <v>0.78537481919386776</v>
      </c>
      <c r="H544" s="302">
        <f t="shared" si="203"/>
        <v>0.86634814817831263</v>
      </c>
      <c r="I544" s="303"/>
      <c r="J544" s="302">
        <v>7.2647663195986853E-2</v>
      </c>
      <c r="K544" s="302">
        <v>0.77644257903563674</v>
      </c>
      <c r="L544" s="302">
        <f t="shared" si="204"/>
        <v>0.84909024223162355</v>
      </c>
      <c r="M544" s="236"/>
      <c r="N544" s="236"/>
    </row>
    <row r="545" spans="1:14" x14ac:dyDescent="0.2">
      <c r="A545" s="237"/>
      <c r="B545" s="302"/>
      <c r="C545" s="302"/>
      <c r="D545" s="302"/>
      <c r="E545" s="303"/>
      <c r="F545" s="302"/>
      <c r="G545" s="302"/>
      <c r="H545" s="302"/>
      <c r="I545" s="303"/>
      <c r="J545" s="302"/>
      <c r="K545" s="302"/>
      <c r="L545" s="302"/>
      <c r="M545" s="236"/>
      <c r="N545" s="236"/>
    </row>
    <row r="546" spans="1:14" x14ac:dyDescent="0.2">
      <c r="A546" s="244" t="s">
        <v>32</v>
      </c>
      <c r="B546" s="311">
        <f>SUM(B536:B544)</f>
        <v>4.0280000000338179</v>
      </c>
      <c r="C546" s="311">
        <f t="shared" ref="C546:D546" si="205">SUM(C536:C544)</f>
        <v>17.800000000130911</v>
      </c>
      <c r="D546" s="311">
        <f t="shared" si="205"/>
        <v>21.828000000164732</v>
      </c>
      <c r="E546" s="311"/>
      <c r="F546" s="311">
        <f t="shared" ref="F546:H546" si="206">SUM(F536:F544)</f>
        <v>2.7519999999858866</v>
      </c>
      <c r="G546" s="311">
        <f t="shared" si="206"/>
        <v>15.1580000000138</v>
      </c>
      <c r="H546" s="311">
        <f t="shared" si="206"/>
        <v>17.909999999999691</v>
      </c>
      <c r="I546" s="311"/>
      <c r="J546" s="311">
        <f t="shared" ref="J546:L546" si="207">SUM(J536:J544)</f>
        <v>3.1869999999849474</v>
      </c>
      <c r="K546" s="311">
        <f t="shared" si="207"/>
        <v>17.018999999816884</v>
      </c>
      <c r="L546" s="311">
        <f t="shared" si="207"/>
        <v>20.205999999801826</v>
      </c>
      <c r="M546" s="236"/>
      <c r="N546" s="236"/>
    </row>
    <row r="547" spans="1:14" x14ac:dyDescent="0.2">
      <c r="A547" s="237"/>
      <c r="B547" s="237"/>
      <c r="C547" s="237"/>
      <c r="D547" s="237"/>
      <c r="E547" s="237"/>
      <c r="F547" s="237"/>
      <c r="G547" s="237"/>
      <c r="H547" s="237"/>
      <c r="I547" s="237"/>
      <c r="J547" s="237"/>
      <c r="K547" s="237"/>
      <c r="L547" s="240"/>
      <c r="M547" s="236"/>
      <c r="N547" s="236"/>
    </row>
    <row r="548" spans="1:14" x14ac:dyDescent="0.2">
      <c r="A548" s="237"/>
      <c r="B548" s="237"/>
      <c r="C548" s="237"/>
      <c r="D548" s="237"/>
      <c r="E548" s="237"/>
      <c r="F548" s="237"/>
      <c r="G548" s="237"/>
      <c r="H548" s="237"/>
      <c r="I548" s="237"/>
      <c r="J548" s="237"/>
      <c r="K548" s="237"/>
      <c r="L548" s="256" t="s">
        <v>35</v>
      </c>
      <c r="M548" s="236"/>
      <c r="N548" s="236"/>
    </row>
    <row r="549" spans="1:14" x14ac:dyDescent="0.2">
      <c r="A549" s="242"/>
      <c r="B549" s="250"/>
      <c r="C549" s="250"/>
      <c r="D549" s="250"/>
      <c r="E549" s="250"/>
      <c r="F549" s="250"/>
      <c r="G549" s="250"/>
      <c r="H549" s="250"/>
      <c r="I549" s="250"/>
      <c r="J549" s="250"/>
      <c r="K549" s="250"/>
      <c r="L549" s="236"/>
      <c r="M549" s="236"/>
      <c r="N549" s="236"/>
    </row>
    <row r="550" spans="1:14" x14ac:dyDescent="0.2">
      <c r="A550" s="241" t="str">
        <f>name!A35</f>
        <v>Wholesale trade</v>
      </c>
      <c r="B550" s="372">
        <f>B$6</f>
        <v>2015</v>
      </c>
      <c r="C550" s="372"/>
      <c r="D550" s="372"/>
      <c r="E550" s="253"/>
      <c r="F550" s="372">
        <f>F533</f>
        <v>2020</v>
      </c>
      <c r="G550" s="372"/>
      <c r="H550" s="372"/>
      <c r="I550" s="253"/>
      <c r="J550" s="372">
        <f>J533</f>
        <v>2035</v>
      </c>
      <c r="K550" s="372"/>
      <c r="L550" s="372"/>
      <c r="M550" s="236"/>
      <c r="N550" s="236"/>
    </row>
    <row r="551" spans="1:14" x14ac:dyDescent="0.2">
      <c r="A551" s="254"/>
      <c r="B551" s="255" t="s">
        <v>352</v>
      </c>
      <c r="C551" s="255" t="s">
        <v>353</v>
      </c>
      <c r="D551" s="255" t="s">
        <v>32</v>
      </c>
      <c r="E551" s="255"/>
      <c r="F551" s="255" t="s">
        <v>352</v>
      </c>
      <c r="G551" s="255" t="s">
        <v>353</v>
      </c>
      <c r="H551" s="255" t="s">
        <v>32</v>
      </c>
      <c r="I551" s="255"/>
      <c r="J551" s="255" t="s">
        <v>352</v>
      </c>
      <c r="K551" s="255" t="s">
        <v>353</v>
      </c>
      <c r="L551" s="255" t="s">
        <v>32</v>
      </c>
      <c r="M551" s="236"/>
      <c r="N551" s="236"/>
    </row>
    <row r="552" spans="1:14" x14ac:dyDescent="0.2">
      <c r="A552" s="258"/>
      <c r="B552" s="259"/>
      <c r="C552" s="259"/>
      <c r="D552" s="259"/>
      <c r="E552" s="259"/>
      <c r="F552" s="259"/>
      <c r="G552" s="259"/>
      <c r="H552" s="259"/>
      <c r="I552" s="259"/>
      <c r="J552" s="259"/>
      <c r="K552" s="259"/>
      <c r="L552" s="259"/>
      <c r="M552" s="236"/>
      <c r="N552" s="236"/>
    </row>
    <row r="553" spans="1:14" x14ac:dyDescent="0.2">
      <c r="A553" s="237" t="str">
        <f>name!E$4</f>
        <v>Managers, directors and senior officials</v>
      </c>
      <c r="B553" s="302">
        <v>1.0669044448342389</v>
      </c>
      <c r="C553" s="302">
        <v>3.2879326886666487</v>
      </c>
      <c r="D553" s="302">
        <f>SUM(B553:C553)</f>
        <v>4.3548371335008875</v>
      </c>
      <c r="E553" s="303"/>
      <c r="F553" s="302">
        <v>1.1202915331741992</v>
      </c>
      <c r="G553" s="302">
        <v>4.0828634380401905</v>
      </c>
      <c r="H553" s="302">
        <f>SUM(F553:G553)</f>
        <v>5.2031549712143894</v>
      </c>
      <c r="I553" s="303"/>
      <c r="J553" s="302">
        <v>1.5612061784662876</v>
      </c>
      <c r="K553" s="302">
        <v>4.0302021778697696</v>
      </c>
      <c r="L553" s="302">
        <f>SUM(J553:K553)</f>
        <v>5.591408356336057</v>
      </c>
      <c r="M553" s="236"/>
      <c r="N553" s="236"/>
    </row>
    <row r="554" spans="1:14" x14ac:dyDescent="0.2">
      <c r="A554" s="237" t="str">
        <f>name!E$5</f>
        <v>Professional occupations</v>
      </c>
      <c r="B554" s="302">
        <v>0.72626854671278673</v>
      </c>
      <c r="C554" s="302">
        <v>1.5713152833746782</v>
      </c>
      <c r="D554" s="302">
        <f t="shared" ref="D554:D561" si="208">SUM(B554:C554)</f>
        <v>2.2975838300874649</v>
      </c>
      <c r="E554" s="303"/>
      <c r="F554" s="302">
        <v>0.93400503391680501</v>
      </c>
      <c r="G554" s="302">
        <v>2.2538670333695947</v>
      </c>
      <c r="H554" s="302">
        <f t="shared" ref="H554:H561" si="209">SUM(F554:G554)</f>
        <v>3.1878720672863996</v>
      </c>
      <c r="I554" s="303"/>
      <c r="J554" s="302">
        <v>1.3711566226887422</v>
      </c>
      <c r="K554" s="302">
        <v>2.5685077870966548</v>
      </c>
      <c r="L554" s="302">
        <f t="shared" ref="L554:L561" si="210">SUM(J554:K554)</f>
        <v>3.9396644097853972</v>
      </c>
      <c r="M554" s="236"/>
      <c r="N554" s="236"/>
    </row>
    <row r="555" spans="1:14" x14ac:dyDescent="0.2">
      <c r="A555" s="237" t="str">
        <f>name!E$6</f>
        <v>Associate professional occupations</v>
      </c>
      <c r="B555" s="302">
        <v>1.138385657055822</v>
      </c>
      <c r="C555" s="302">
        <v>1.7448724219968006</v>
      </c>
      <c r="D555" s="302">
        <f t="shared" si="208"/>
        <v>2.8832580790526228</v>
      </c>
      <c r="E555" s="303"/>
      <c r="F555" s="302">
        <v>1.2088913233375558</v>
      </c>
      <c r="G555" s="302">
        <v>2.2305087368563004</v>
      </c>
      <c r="H555" s="302">
        <f t="shared" si="209"/>
        <v>3.4394000601938561</v>
      </c>
      <c r="I555" s="303"/>
      <c r="J555" s="302">
        <v>1.4239288860167467</v>
      </c>
      <c r="K555" s="302">
        <v>2.074514290733648</v>
      </c>
      <c r="L555" s="302">
        <f t="shared" si="210"/>
        <v>3.4984431767503947</v>
      </c>
      <c r="M555" s="236"/>
      <c r="N555" s="236"/>
    </row>
    <row r="556" spans="1:14" x14ac:dyDescent="0.2">
      <c r="A556" s="237" t="str">
        <f>name!E$7</f>
        <v>Administrative and secretarial occupations</v>
      </c>
      <c r="B556" s="302">
        <v>2.3178539060914027</v>
      </c>
      <c r="C556" s="302">
        <v>1.1139403342997782</v>
      </c>
      <c r="D556" s="302">
        <f t="shared" si="208"/>
        <v>3.4317942403911808</v>
      </c>
      <c r="E556" s="303"/>
      <c r="F556" s="302">
        <v>2.0138175114852124</v>
      </c>
      <c r="G556" s="302">
        <v>1.4020442784529743</v>
      </c>
      <c r="H556" s="302">
        <f t="shared" si="209"/>
        <v>3.4158617899381865</v>
      </c>
      <c r="I556" s="303"/>
      <c r="J556" s="302">
        <v>1.6724684516881083</v>
      </c>
      <c r="K556" s="302">
        <v>1.412195514187246</v>
      </c>
      <c r="L556" s="302">
        <f t="shared" si="210"/>
        <v>3.0846639658753543</v>
      </c>
      <c r="M556" s="236"/>
      <c r="N556" s="236"/>
    </row>
    <row r="557" spans="1:14" x14ac:dyDescent="0.2">
      <c r="A557" s="237" t="str">
        <f>name!E$8</f>
        <v>Skilled trades occupations</v>
      </c>
      <c r="B557" s="302">
        <v>0.19302410694165856</v>
      </c>
      <c r="C557" s="302">
        <v>1.7727316981345906</v>
      </c>
      <c r="D557" s="302">
        <f t="shared" si="208"/>
        <v>1.9657558050762491</v>
      </c>
      <c r="E557" s="303"/>
      <c r="F557" s="302">
        <v>0.13891461402703983</v>
      </c>
      <c r="G557" s="302">
        <v>1.5514187426139474</v>
      </c>
      <c r="H557" s="302">
        <f t="shared" si="209"/>
        <v>1.6903333566409873</v>
      </c>
      <c r="I557" s="303"/>
      <c r="J557" s="302">
        <v>0.18049828748900787</v>
      </c>
      <c r="K557" s="302">
        <v>1.4057662491390148</v>
      </c>
      <c r="L557" s="302">
        <f t="shared" si="210"/>
        <v>1.5862645366280228</v>
      </c>
      <c r="M557" s="236"/>
      <c r="N557" s="236"/>
    </row>
    <row r="558" spans="1:14" x14ac:dyDescent="0.2">
      <c r="A558" s="237" t="str">
        <f>name!E$9</f>
        <v>Caring, leisure and other service occupations</v>
      </c>
      <c r="B558" s="302">
        <v>0.12530103397426845</v>
      </c>
      <c r="C558" s="302">
        <v>5.8550496074068259E-2</v>
      </c>
      <c r="D558" s="302">
        <f t="shared" si="208"/>
        <v>0.18385153004833671</v>
      </c>
      <c r="E558" s="303"/>
      <c r="F558" s="302">
        <v>9.7300422535544925E-2</v>
      </c>
      <c r="G558" s="302">
        <v>6.7575547104240546E-2</v>
      </c>
      <c r="H558" s="302">
        <f t="shared" si="209"/>
        <v>0.16487596963978546</v>
      </c>
      <c r="I558" s="303"/>
      <c r="J558" s="302">
        <v>0.13292122690500507</v>
      </c>
      <c r="K558" s="302">
        <v>6.9724118439947427E-2</v>
      </c>
      <c r="L558" s="302">
        <f t="shared" si="210"/>
        <v>0.20264534534495249</v>
      </c>
      <c r="M558" s="236"/>
      <c r="N558" s="236"/>
    </row>
    <row r="559" spans="1:14" x14ac:dyDescent="0.2">
      <c r="A559" s="237" t="str">
        <f>name!E$10</f>
        <v>Sales and customer service occupations</v>
      </c>
      <c r="B559" s="302">
        <v>2.8378363793556489</v>
      </c>
      <c r="C559" s="302">
        <v>1.6992900161590083</v>
      </c>
      <c r="D559" s="302">
        <f t="shared" si="208"/>
        <v>4.5371263955146572</v>
      </c>
      <c r="E559" s="303"/>
      <c r="F559" s="302">
        <v>2.2751903312087722</v>
      </c>
      <c r="G559" s="302">
        <v>1.6871312752202956</v>
      </c>
      <c r="H559" s="302">
        <f t="shared" si="209"/>
        <v>3.9623216064290681</v>
      </c>
      <c r="I559" s="303"/>
      <c r="J559" s="302">
        <v>2.241437313305271</v>
      </c>
      <c r="K559" s="302">
        <v>1.5790226774603973</v>
      </c>
      <c r="L559" s="302">
        <f t="shared" si="210"/>
        <v>3.8204599907656682</v>
      </c>
      <c r="M559" s="236"/>
      <c r="N559" s="236"/>
    </row>
    <row r="560" spans="1:14" x14ac:dyDescent="0.2">
      <c r="A560" s="237" t="str">
        <f>name!E$11</f>
        <v>Process, plant and machine operatives</v>
      </c>
      <c r="B560" s="302">
        <v>0.40267135507821711</v>
      </c>
      <c r="C560" s="302">
        <v>4.6422252799680397</v>
      </c>
      <c r="D560" s="302">
        <f t="shared" si="208"/>
        <v>5.044896635046257</v>
      </c>
      <c r="E560" s="303"/>
      <c r="F560" s="302">
        <v>0.28511849668844114</v>
      </c>
      <c r="G560" s="302">
        <v>4.4437238591670827</v>
      </c>
      <c r="H560" s="302">
        <f t="shared" si="209"/>
        <v>4.7288423558555239</v>
      </c>
      <c r="I560" s="303"/>
      <c r="J560" s="302">
        <v>0.18630163886413073</v>
      </c>
      <c r="K560" s="302">
        <v>4.5120314107378423</v>
      </c>
      <c r="L560" s="302">
        <f t="shared" si="210"/>
        <v>4.6983330496019731</v>
      </c>
      <c r="M560" s="236"/>
      <c r="N560" s="236"/>
    </row>
    <row r="561" spans="1:14" x14ac:dyDescent="0.2">
      <c r="A561" s="237" t="str">
        <f>name!E$12</f>
        <v>Elementary occupations</v>
      </c>
      <c r="B561" s="302">
        <v>0.90875457001485593</v>
      </c>
      <c r="C561" s="302">
        <v>3.0851417814827746</v>
      </c>
      <c r="D561" s="302">
        <f t="shared" si="208"/>
        <v>3.9938963514976304</v>
      </c>
      <c r="E561" s="303"/>
      <c r="F561" s="302">
        <v>0.65147073353773843</v>
      </c>
      <c r="G561" s="302">
        <v>2.7058670892222199</v>
      </c>
      <c r="H561" s="302">
        <f t="shared" si="209"/>
        <v>3.3573378227599582</v>
      </c>
      <c r="I561" s="303"/>
      <c r="J561" s="302">
        <v>0.56708139450920636</v>
      </c>
      <c r="K561" s="302">
        <v>1.7620357741884232</v>
      </c>
      <c r="L561" s="302">
        <f t="shared" si="210"/>
        <v>2.3291171686976293</v>
      </c>
      <c r="M561" s="236"/>
      <c r="N561" s="236"/>
    </row>
    <row r="562" spans="1:14" x14ac:dyDescent="0.2">
      <c r="A562" s="237"/>
      <c r="B562" s="302"/>
      <c r="C562" s="302"/>
      <c r="D562" s="302"/>
      <c r="E562" s="303"/>
      <c r="F562" s="302"/>
      <c r="G562" s="302"/>
      <c r="H562" s="302"/>
      <c r="I562" s="303"/>
      <c r="J562" s="302"/>
      <c r="K562" s="302"/>
      <c r="L562" s="302"/>
      <c r="M562" s="236"/>
      <c r="N562" s="236"/>
    </row>
    <row r="563" spans="1:14" x14ac:dyDescent="0.2">
      <c r="A563" s="244" t="s">
        <v>32</v>
      </c>
      <c r="B563" s="311">
        <f>SUM(B553:B561)</f>
        <v>9.717000000058901</v>
      </c>
      <c r="C563" s="311">
        <f t="shared" ref="C563:D563" si="211">SUM(C553:C561)</f>
        <v>18.976000000156386</v>
      </c>
      <c r="D563" s="311">
        <f t="shared" si="211"/>
        <v>28.693000000215285</v>
      </c>
      <c r="E563" s="311"/>
      <c r="F563" s="311">
        <f t="shared" ref="F563:H563" si="212">SUM(F553:F561)</f>
        <v>8.7249999999113079</v>
      </c>
      <c r="G563" s="311">
        <f t="shared" si="212"/>
        <v>20.425000000046847</v>
      </c>
      <c r="H563" s="311">
        <f t="shared" si="212"/>
        <v>29.149999999958155</v>
      </c>
      <c r="I563" s="311"/>
      <c r="J563" s="311">
        <f t="shared" ref="J563:L563" si="213">SUM(J553:J561)</f>
        <v>9.3369999999325035</v>
      </c>
      <c r="K563" s="311">
        <f t="shared" si="213"/>
        <v>19.413999999852944</v>
      </c>
      <c r="L563" s="311">
        <f t="shared" si="213"/>
        <v>28.750999999785446</v>
      </c>
      <c r="M563" s="236"/>
      <c r="N563" s="236"/>
    </row>
    <row r="564" spans="1:14" x14ac:dyDescent="0.2">
      <c r="A564" s="237"/>
      <c r="B564" s="237"/>
      <c r="C564" s="237"/>
      <c r="D564" s="237"/>
      <c r="E564" s="237"/>
      <c r="F564" s="237"/>
      <c r="G564" s="237"/>
      <c r="H564" s="237"/>
      <c r="I564" s="237"/>
      <c r="J564" s="237"/>
      <c r="K564" s="237"/>
      <c r="L564" s="240"/>
      <c r="M564" s="236"/>
      <c r="N564" s="236"/>
    </row>
    <row r="565" spans="1:14" x14ac:dyDescent="0.2">
      <c r="A565" s="237"/>
      <c r="B565" s="237"/>
      <c r="C565" s="237"/>
      <c r="D565" s="237"/>
      <c r="E565" s="237"/>
      <c r="F565" s="237"/>
      <c r="G565" s="237"/>
      <c r="H565" s="237"/>
      <c r="I565" s="237"/>
      <c r="J565" s="237"/>
      <c r="K565" s="237"/>
      <c r="L565" s="256" t="s">
        <v>35</v>
      </c>
      <c r="M565" s="236"/>
      <c r="N565" s="236"/>
    </row>
    <row r="566" spans="1:14" x14ac:dyDescent="0.2">
      <c r="A566" s="242"/>
      <c r="B566" s="250"/>
      <c r="C566" s="250"/>
      <c r="D566" s="250"/>
      <c r="E566" s="250"/>
      <c r="F566" s="250"/>
      <c r="G566" s="250"/>
      <c r="H566" s="250"/>
      <c r="I566" s="250"/>
      <c r="J566" s="250"/>
      <c r="K566" s="250"/>
      <c r="L566" s="236"/>
      <c r="M566" s="236"/>
      <c r="N566" s="236"/>
    </row>
    <row r="567" spans="1:14" x14ac:dyDescent="0.2">
      <c r="A567" s="241" t="str">
        <f>name!A36</f>
        <v>Retail trade</v>
      </c>
      <c r="B567" s="372">
        <f>B$6</f>
        <v>2015</v>
      </c>
      <c r="C567" s="372"/>
      <c r="D567" s="372"/>
      <c r="E567" s="253"/>
      <c r="F567" s="372">
        <f>F550</f>
        <v>2020</v>
      </c>
      <c r="G567" s="372"/>
      <c r="H567" s="372"/>
      <c r="I567" s="253"/>
      <c r="J567" s="372">
        <f>J550</f>
        <v>2035</v>
      </c>
      <c r="K567" s="372"/>
      <c r="L567" s="372"/>
      <c r="M567" s="236"/>
      <c r="N567" s="236"/>
    </row>
    <row r="568" spans="1:14" x14ac:dyDescent="0.2">
      <c r="A568" s="254"/>
      <c r="B568" s="255" t="s">
        <v>352</v>
      </c>
      <c r="C568" s="255" t="s">
        <v>353</v>
      </c>
      <c r="D568" s="255" t="s">
        <v>32</v>
      </c>
      <c r="E568" s="255"/>
      <c r="F568" s="255" t="s">
        <v>352</v>
      </c>
      <c r="G568" s="255" t="s">
        <v>353</v>
      </c>
      <c r="H568" s="255" t="s">
        <v>32</v>
      </c>
      <c r="I568" s="255"/>
      <c r="J568" s="255" t="s">
        <v>352</v>
      </c>
      <c r="K568" s="255" t="s">
        <v>353</v>
      </c>
      <c r="L568" s="255" t="s">
        <v>32</v>
      </c>
      <c r="M568" s="236"/>
      <c r="N568" s="236"/>
    </row>
    <row r="569" spans="1:14" x14ac:dyDescent="0.2">
      <c r="A569" s="258"/>
      <c r="B569" s="259"/>
      <c r="C569" s="259"/>
      <c r="D569" s="259"/>
      <c r="E569" s="259"/>
      <c r="F569" s="259"/>
      <c r="G569" s="259"/>
      <c r="H569" s="259"/>
      <c r="I569" s="259"/>
      <c r="J569" s="259"/>
      <c r="K569" s="259"/>
      <c r="L569" s="259"/>
      <c r="M569" s="236"/>
      <c r="N569" s="236"/>
    </row>
    <row r="570" spans="1:14" x14ac:dyDescent="0.2">
      <c r="A570" s="237" t="str">
        <f>name!E$4</f>
        <v>Managers, directors and senior officials</v>
      </c>
      <c r="B570" s="302">
        <v>3.4609989329556838</v>
      </c>
      <c r="C570" s="302">
        <v>6.2282496737450712</v>
      </c>
      <c r="D570" s="302">
        <f>SUM(B570:C570)</f>
        <v>9.6892486067007546</v>
      </c>
      <c r="E570" s="303"/>
      <c r="F570" s="302">
        <v>4.054376282718521</v>
      </c>
      <c r="G570" s="302">
        <v>7.2314254101105329</v>
      </c>
      <c r="H570" s="302">
        <f>SUM(F570:G570)</f>
        <v>11.285801692829054</v>
      </c>
      <c r="I570" s="303"/>
      <c r="J570" s="302">
        <v>4.9033290693058511</v>
      </c>
      <c r="K570" s="302">
        <v>8.479745503944681</v>
      </c>
      <c r="L570" s="302">
        <f>SUM(J570:K570)</f>
        <v>13.383074573250532</v>
      </c>
      <c r="M570" s="236"/>
      <c r="N570" s="236"/>
    </row>
    <row r="571" spans="1:14" x14ac:dyDescent="0.2">
      <c r="A571" s="237" t="str">
        <f>name!E$5</f>
        <v>Professional occupations</v>
      </c>
      <c r="B571" s="302">
        <v>2.6569792482789478</v>
      </c>
      <c r="C571" s="302">
        <v>3.0782493787513459</v>
      </c>
      <c r="D571" s="302">
        <f t="shared" ref="D571:D578" si="214">SUM(B571:C571)</f>
        <v>5.7352286270302937</v>
      </c>
      <c r="E571" s="303"/>
      <c r="F571" s="302">
        <v>3.5948774603411291</v>
      </c>
      <c r="G571" s="302">
        <v>4.8599342054827304</v>
      </c>
      <c r="H571" s="302">
        <f t="shared" ref="H571:H578" si="215">SUM(F571:G571)</f>
        <v>8.4548116658238595</v>
      </c>
      <c r="I571" s="303"/>
      <c r="J571" s="302">
        <v>4.5262493459585986</v>
      </c>
      <c r="K571" s="302">
        <v>6.0763379875194499</v>
      </c>
      <c r="L571" s="302">
        <f t="shared" ref="L571:L578" si="216">SUM(J571:K571)</f>
        <v>10.602587333478048</v>
      </c>
      <c r="M571" s="236"/>
      <c r="N571" s="236"/>
    </row>
    <row r="572" spans="1:14" x14ac:dyDescent="0.2">
      <c r="A572" s="237" t="str">
        <f>name!E$6</f>
        <v>Associate professional occupations</v>
      </c>
      <c r="B572" s="302">
        <v>2.4057005551400863</v>
      </c>
      <c r="C572" s="302">
        <v>2.2176985088162029</v>
      </c>
      <c r="D572" s="302">
        <f t="shared" si="214"/>
        <v>4.6233990639562892</v>
      </c>
      <c r="E572" s="303"/>
      <c r="F572" s="302">
        <v>2.7809210308547225</v>
      </c>
      <c r="G572" s="302">
        <v>3.2243468324875715</v>
      </c>
      <c r="H572" s="302">
        <f t="shared" si="215"/>
        <v>6.0052678633422936</v>
      </c>
      <c r="I572" s="303"/>
      <c r="J572" s="302">
        <v>3.1098642842664828</v>
      </c>
      <c r="K572" s="302">
        <v>3.2671936105759634</v>
      </c>
      <c r="L572" s="302">
        <f t="shared" si="216"/>
        <v>6.3770578948424461</v>
      </c>
      <c r="M572" s="236"/>
      <c r="N572" s="236"/>
    </row>
    <row r="573" spans="1:14" x14ac:dyDescent="0.2">
      <c r="A573" s="237" t="str">
        <f>name!E$7</f>
        <v>Administrative and secretarial occupations</v>
      </c>
      <c r="B573" s="302">
        <v>2.1703811472815944</v>
      </c>
      <c r="C573" s="302">
        <v>1.3896094986304057</v>
      </c>
      <c r="D573" s="302">
        <f t="shared" si="214"/>
        <v>3.5599906459120003</v>
      </c>
      <c r="E573" s="303"/>
      <c r="F573" s="302">
        <v>2.3468745034581286</v>
      </c>
      <c r="G573" s="302">
        <v>1.9430866549995784</v>
      </c>
      <c r="H573" s="302">
        <f t="shared" si="215"/>
        <v>4.2899611584577073</v>
      </c>
      <c r="I573" s="303"/>
      <c r="J573" s="302">
        <v>3.9264273293289844</v>
      </c>
      <c r="K573" s="302">
        <v>2.2910184372947615</v>
      </c>
      <c r="L573" s="302">
        <f t="shared" si="216"/>
        <v>6.2174457666237455</v>
      </c>
      <c r="M573" s="236"/>
      <c r="N573" s="236"/>
    </row>
    <row r="574" spans="1:14" x14ac:dyDescent="0.2">
      <c r="A574" s="237" t="str">
        <f>name!E$8</f>
        <v>Skilled trades occupations</v>
      </c>
      <c r="B574" s="302">
        <v>1.6066496457846715</v>
      </c>
      <c r="C574" s="302">
        <v>3.7885937405133601</v>
      </c>
      <c r="D574" s="302">
        <f t="shared" si="214"/>
        <v>5.3952433862980316</v>
      </c>
      <c r="E574" s="303"/>
      <c r="F574" s="302">
        <v>1.3932522889938264</v>
      </c>
      <c r="G574" s="302">
        <v>3.4600533868058863</v>
      </c>
      <c r="H574" s="302">
        <f t="shared" si="215"/>
        <v>4.8533056757997128</v>
      </c>
      <c r="I574" s="303"/>
      <c r="J574" s="302">
        <v>1.269719142788396</v>
      </c>
      <c r="K574" s="302">
        <v>3.4095043701668231</v>
      </c>
      <c r="L574" s="302">
        <f t="shared" si="216"/>
        <v>4.6792235129552191</v>
      </c>
      <c r="M574" s="236"/>
      <c r="N574" s="236"/>
    </row>
    <row r="575" spans="1:14" x14ac:dyDescent="0.2">
      <c r="A575" s="237" t="str">
        <f>name!E$9</f>
        <v>Caring, leisure and other service occupations</v>
      </c>
      <c r="B575" s="302">
        <v>0.48697759487278203</v>
      </c>
      <c r="C575" s="302">
        <v>0.29391398156652004</v>
      </c>
      <c r="D575" s="302">
        <f t="shared" si="214"/>
        <v>0.78089157643930207</v>
      </c>
      <c r="E575" s="303"/>
      <c r="F575" s="302">
        <v>0.44978654459818146</v>
      </c>
      <c r="G575" s="302">
        <v>0.34888643887593823</v>
      </c>
      <c r="H575" s="302">
        <f t="shared" si="215"/>
        <v>0.79867298347411975</v>
      </c>
      <c r="I575" s="303"/>
      <c r="J575" s="302">
        <v>0.51129202268539786</v>
      </c>
      <c r="K575" s="302">
        <v>0.45548622241561904</v>
      </c>
      <c r="L575" s="302">
        <f t="shared" si="216"/>
        <v>0.96677824510101695</v>
      </c>
      <c r="M575" s="236"/>
      <c r="N575" s="236"/>
    </row>
    <row r="576" spans="1:14" x14ac:dyDescent="0.2">
      <c r="A576" s="237" t="str">
        <f>name!E$10</f>
        <v>Sales and customer service occupations</v>
      </c>
      <c r="B576" s="302">
        <v>58.360566990412217</v>
      </c>
      <c r="C576" s="302">
        <v>20.114855113914373</v>
      </c>
      <c r="D576" s="302">
        <f t="shared" si="214"/>
        <v>78.475422104326583</v>
      </c>
      <c r="E576" s="303"/>
      <c r="F576" s="302">
        <v>53.270868968835117</v>
      </c>
      <c r="G576" s="302">
        <v>19.105206316275151</v>
      </c>
      <c r="H576" s="302">
        <f t="shared" si="215"/>
        <v>72.376075285110261</v>
      </c>
      <c r="I576" s="303"/>
      <c r="J576" s="302">
        <v>46.813070048444921</v>
      </c>
      <c r="K576" s="302">
        <v>18.664034345451476</v>
      </c>
      <c r="L576" s="302">
        <f t="shared" si="216"/>
        <v>65.477104393896397</v>
      </c>
      <c r="M576" s="236"/>
      <c r="N576" s="236"/>
    </row>
    <row r="577" spans="1:14" x14ac:dyDescent="0.2">
      <c r="A577" s="237" t="str">
        <f>name!E$11</f>
        <v>Process, plant and machine operatives</v>
      </c>
      <c r="B577" s="302">
        <v>0.2268974269591148</v>
      </c>
      <c r="C577" s="302">
        <v>3.368738040018143</v>
      </c>
      <c r="D577" s="302">
        <f t="shared" si="214"/>
        <v>3.5956354669772579</v>
      </c>
      <c r="E577" s="303"/>
      <c r="F577" s="302">
        <v>0.20444710363142557</v>
      </c>
      <c r="G577" s="302">
        <v>3.7481077576473907</v>
      </c>
      <c r="H577" s="302">
        <f t="shared" si="215"/>
        <v>3.9525548612788164</v>
      </c>
      <c r="I577" s="303"/>
      <c r="J577" s="302">
        <v>0.17978370018537582</v>
      </c>
      <c r="K577" s="302">
        <v>3.7251879859656767</v>
      </c>
      <c r="L577" s="302">
        <f t="shared" si="216"/>
        <v>3.9049716861510526</v>
      </c>
      <c r="M577" s="236"/>
      <c r="N577" s="236"/>
    </row>
    <row r="578" spans="1:14" x14ac:dyDescent="0.2">
      <c r="A578" s="237" t="str">
        <f>name!E$12</f>
        <v>Elementary occupations</v>
      </c>
      <c r="B578" s="302">
        <v>4.8138484609924701</v>
      </c>
      <c r="C578" s="302">
        <v>7.6670920647290552</v>
      </c>
      <c r="D578" s="302">
        <f t="shared" si="214"/>
        <v>12.480940525721525</v>
      </c>
      <c r="E578" s="303"/>
      <c r="F578" s="302">
        <v>4.1265958176054536</v>
      </c>
      <c r="G578" s="302">
        <v>7.2669529973377101</v>
      </c>
      <c r="H578" s="302">
        <f t="shared" si="215"/>
        <v>11.393548814943163</v>
      </c>
      <c r="I578" s="303"/>
      <c r="J578" s="302">
        <v>3.3542650567958465</v>
      </c>
      <c r="K578" s="302">
        <v>6.5174915364021073</v>
      </c>
      <c r="L578" s="302">
        <f t="shared" si="216"/>
        <v>9.8717565931979543</v>
      </c>
      <c r="M578" s="236"/>
      <c r="N578" s="236"/>
    </row>
    <row r="579" spans="1:14" x14ac:dyDescent="0.2">
      <c r="A579" s="237"/>
      <c r="B579" s="302"/>
      <c r="C579" s="302"/>
      <c r="D579" s="302"/>
      <c r="E579" s="303"/>
      <c r="F579" s="302"/>
      <c r="G579" s="302"/>
      <c r="H579" s="302"/>
      <c r="I579" s="303"/>
      <c r="J579" s="302"/>
      <c r="K579" s="302"/>
      <c r="L579" s="302"/>
      <c r="M579" s="236"/>
      <c r="N579" s="236"/>
    </row>
    <row r="580" spans="1:14" x14ac:dyDescent="0.2">
      <c r="A580" s="244" t="s">
        <v>32</v>
      </c>
      <c r="B580" s="311">
        <f>SUM(B570:B578)</f>
        <v>76.189000002677574</v>
      </c>
      <c r="C580" s="311">
        <f t="shared" ref="C580:D580" si="217">SUM(C570:C578)</f>
        <v>48.147000000684478</v>
      </c>
      <c r="D580" s="311">
        <f t="shared" si="217"/>
        <v>124.33600000336203</v>
      </c>
      <c r="E580" s="311"/>
      <c r="F580" s="311">
        <f t="shared" ref="F580:H580" si="218">SUM(F570:F578)</f>
        <v>72.222000001036491</v>
      </c>
      <c r="G580" s="311">
        <f t="shared" si="218"/>
        <v>51.188000000022484</v>
      </c>
      <c r="H580" s="311">
        <f t="shared" si="218"/>
        <v>123.41000000105898</v>
      </c>
      <c r="I580" s="311"/>
      <c r="J580" s="311">
        <f t="shared" ref="J580:L580" si="219">SUM(J570:J578)</f>
        <v>68.593999999759873</v>
      </c>
      <c r="K580" s="311">
        <f t="shared" si="219"/>
        <v>52.885999999736555</v>
      </c>
      <c r="L580" s="311">
        <f t="shared" si="219"/>
        <v>121.47999999949641</v>
      </c>
      <c r="M580" s="236"/>
      <c r="N580" s="236"/>
    </row>
    <row r="581" spans="1:14" x14ac:dyDescent="0.2">
      <c r="A581" s="237"/>
      <c r="B581" s="237"/>
      <c r="C581" s="237"/>
      <c r="D581" s="237"/>
      <c r="E581" s="237"/>
      <c r="F581" s="237"/>
      <c r="G581" s="237"/>
      <c r="H581" s="237"/>
      <c r="I581" s="237"/>
      <c r="J581" s="237"/>
      <c r="K581" s="237"/>
      <c r="L581" s="240"/>
      <c r="M581" s="236"/>
      <c r="N581" s="236"/>
    </row>
    <row r="582" spans="1:14" x14ac:dyDescent="0.2">
      <c r="A582" s="237"/>
      <c r="B582" s="237"/>
      <c r="C582" s="237"/>
      <c r="D582" s="237"/>
      <c r="E582" s="237"/>
      <c r="F582" s="237"/>
      <c r="G582" s="237"/>
      <c r="H582" s="237"/>
      <c r="I582" s="237"/>
      <c r="J582" s="237"/>
      <c r="K582" s="237"/>
      <c r="L582" s="256" t="s">
        <v>35</v>
      </c>
      <c r="M582" s="236"/>
      <c r="N582" s="236"/>
    </row>
    <row r="583" spans="1:14" x14ac:dyDescent="0.2">
      <c r="A583" s="242"/>
      <c r="B583" s="250"/>
      <c r="C583" s="250"/>
      <c r="D583" s="250"/>
      <c r="E583" s="250"/>
      <c r="F583" s="250"/>
      <c r="G583" s="250"/>
      <c r="H583" s="250"/>
      <c r="I583" s="250"/>
      <c r="J583" s="250"/>
      <c r="K583" s="250"/>
      <c r="L583" s="236"/>
      <c r="M583" s="236"/>
      <c r="N583" s="236"/>
    </row>
    <row r="584" spans="1:14" x14ac:dyDescent="0.2">
      <c r="A584" s="241" t="str">
        <f>name!A37</f>
        <v>Land transport, etc</v>
      </c>
      <c r="B584" s="372">
        <f>B$6</f>
        <v>2015</v>
      </c>
      <c r="C584" s="372"/>
      <c r="D584" s="372"/>
      <c r="E584" s="253"/>
      <c r="F584" s="372">
        <f>F567</f>
        <v>2020</v>
      </c>
      <c r="G584" s="372"/>
      <c r="H584" s="372"/>
      <c r="I584" s="253"/>
      <c r="J584" s="372">
        <f>J567</f>
        <v>2035</v>
      </c>
      <c r="K584" s="372"/>
      <c r="L584" s="372"/>
      <c r="M584" s="236"/>
      <c r="N584" s="236"/>
    </row>
    <row r="585" spans="1:14" x14ac:dyDescent="0.2">
      <c r="A585" s="254"/>
      <c r="B585" s="255" t="s">
        <v>352</v>
      </c>
      <c r="C585" s="255" t="s">
        <v>353</v>
      </c>
      <c r="D585" s="255" t="s">
        <v>32</v>
      </c>
      <c r="E585" s="255"/>
      <c r="F585" s="255" t="s">
        <v>352</v>
      </c>
      <c r="G585" s="255" t="s">
        <v>353</v>
      </c>
      <c r="H585" s="255" t="s">
        <v>32</v>
      </c>
      <c r="I585" s="255"/>
      <c r="J585" s="255" t="s">
        <v>352</v>
      </c>
      <c r="K585" s="255" t="s">
        <v>353</v>
      </c>
      <c r="L585" s="255" t="s">
        <v>32</v>
      </c>
      <c r="M585" s="236"/>
      <c r="N585" s="236"/>
    </row>
    <row r="586" spans="1:14" x14ac:dyDescent="0.2">
      <c r="A586" s="258"/>
      <c r="B586" s="259"/>
      <c r="C586" s="259"/>
      <c r="D586" s="259"/>
      <c r="E586" s="259"/>
      <c r="F586" s="259"/>
      <c r="G586" s="259"/>
      <c r="H586" s="259"/>
      <c r="I586" s="259"/>
      <c r="J586" s="259"/>
      <c r="K586" s="259"/>
      <c r="L586" s="259"/>
      <c r="M586" s="236"/>
      <c r="N586" s="236"/>
    </row>
    <row r="587" spans="1:14" x14ac:dyDescent="0.2">
      <c r="A587" s="237" t="str">
        <f>name!E$4</f>
        <v>Managers, directors and senior officials</v>
      </c>
      <c r="B587" s="302">
        <v>0.30880879618671242</v>
      </c>
      <c r="C587" s="302">
        <v>1.0648718536670794</v>
      </c>
      <c r="D587" s="302">
        <f>SUM(B587:C587)</f>
        <v>1.3736806498537919</v>
      </c>
      <c r="E587" s="303"/>
      <c r="F587" s="302">
        <v>1.3766118458410828</v>
      </c>
      <c r="G587" s="302">
        <v>1.5353307196092492</v>
      </c>
      <c r="H587" s="302">
        <f>SUM(F587:G587)</f>
        <v>2.9119425654503317</v>
      </c>
      <c r="I587" s="303"/>
      <c r="J587" s="302">
        <v>1.5896259650901969</v>
      </c>
      <c r="K587" s="302">
        <v>1.7130364912450771</v>
      </c>
      <c r="L587" s="302">
        <f>SUM(J587:K587)</f>
        <v>3.3026624563352742</v>
      </c>
      <c r="M587" s="236"/>
      <c r="N587" s="236"/>
    </row>
    <row r="588" spans="1:14" x14ac:dyDescent="0.2">
      <c r="A588" s="237" t="str">
        <f>name!E$5</f>
        <v>Professional occupations</v>
      </c>
      <c r="B588" s="302">
        <v>0.28152645742120225</v>
      </c>
      <c r="C588" s="302">
        <v>0.7387145495834081</v>
      </c>
      <c r="D588" s="302">
        <f t="shared" ref="D588:D595" si="220">SUM(B588:C588)</f>
        <v>1.0202410070046104</v>
      </c>
      <c r="E588" s="303"/>
      <c r="F588" s="302">
        <v>0.8308624410380071</v>
      </c>
      <c r="G588" s="302">
        <v>1.3637342068417018</v>
      </c>
      <c r="H588" s="302">
        <f t="shared" ref="H588:H595" si="221">SUM(F588:G588)</f>
        <v>2.1945966478797088</v>
      </c>
      <c r="I588" s="303"/>
      <c r="J588" s="302">
        <v>1.0679581745652842</v>
      </c>
      <c r="K588" s="302">
        <v>2.0316842878529564</v>
      </c>
      <c r="L588" s="302">
        <f t="shared" ref="L588:L595" si="222">SUM(J588:K588)</f>
        <v>3.0996424624182408</v>
      </c>
      <c r="M588" s="236"/>
      <c r="N588" s="236"/>
    </row>
    <row r="589" spans="1:14" x14ac:dyDescent="0.2">
      <c r="A589" s="237" t="str">
        <f>name!E$6</f>
        <v>Associate professional occupations</v>
      </c>
      <c r="B589" s="302">
        <v>0.28807164611008135</v>
      </c>
      <c r="C589" s="302">
        <v>0.93030406281490219</v>
      </c>
      <c r="D589" s="302">
        <f t="shared" si="220"/>
        <v>1.2183757089249836</v>
      </c>
      <c r="E589" s="303"/>
      <c r="F589" s="302">
        <v>0.6668950276998834</v>
      </c>
      <c r="G589" s="302">
        <v>1.6970720934966013</v>
      </c>
      <c r="H589" s="302">
        <f t="shared" si="221"/>
        <v>2.3639671211964846</v>
      </c>
      <c r="I589" s="303"/>
      <c r="J589" s="302">
        <v>0.73992350877511892</v>
      </c>
      <c r="K589" s="302">
        <v>2.1340754831034152</v>
      </c>
      <c r="L589" s="302">
        <f t="shared" si="222"/>
        <v>2.8739989918785342</v>
      </c>
      <c r="M589" s="236"/>
      <c r="N589" s="236"/>
    </row>
    <row r="590" spans="1:14" x14ac:dyDescent="0.2">
      <c r="A590" s="237" t="str">
        <f>name!E$7</f>
        <v>Administrative and secretarial occupations</v>
      </c>
      <c r="B590" s="302">
        <v>1.0349373052079116</v>
      </c>
      <c r="C590" s="302">
        <v>0.75411967562275994</v>
      </c>
      <c r="D590" s="302">
        <f t="shared" si="220"/>
        <v>1.7890569808306716</v>
      </c>
      <c r="E590" s="303"/>
      <c r="F590" s="302">
        <v>1.9587732270728728</v>
      </c>
      <c r="G590" s="302">
        <v>1.1150842663878924</v>
      </c>
      <c r="H590" s="302">
        <f t="shared" si="221"/>
        <v>3.073857493460765</v>
      </c>
      <c r="I590" s="303"/>
      <c r="J590" s="302">
        <v>1.2737921385829412</v>
      </c>
      <c r="K590" s="302">
        <v>1.0835296927049118</v>
      </c>
      <c r="L590" s="302">
        <f t="shared" si="222"/>
        <v>2.357321831287853</v>
      </c>
      <c r="M590" s="236"/>
      <c r="N590" s="236"/>
    </row>
    <row r="591" spans="1:14" x14ac:dyDescent="0.2">
      <c r="A591" s="237" t="str">
        <f>name!E$8</f>
        <v>Skilled trades occupations</v>
      </c>
      <c r="B591" s="302">
        <v>4.9821539315644245E-2</v>
      </c>
      <c r="C591" s="302">
        <v>1.7201259334762977</v>
      </c>
      <c r="D591" s="302">
        <f t="shared" si="220"/>
        <v>1.769947472791942</v>
      </c>
      <c r="E591" s="303"/>
      <c r="F591" s="302">
        <v>0.16773315654551108</v>
      </c>
      <c r="G591" s="302">
        <v>1.7297098063537286</v>
      </c>
      <c r="H591" s="302">
        <f t="shared" si="221"/>
        <v>1.8974429628992397</v>
      </c>
      <c r="I591" s="303"/>
      <c r="J591" s="302">
        <v>0.47126728271337553</v>
      </c>
      <c r="K591" s="302">
        <v>1.44909567287855</v>
      </c>
      <c r="L591" s="302">
        <f t="shared" si="222"/>
        <v>1.9203629555919255</v>
      </c>
      <c r="M591" s="236"/>
      <c r="N591" s="236"/>
    </row>
    <row r="592" spans="1:14" x14ac:dyDescent="0.2">
      <c r="A592" s="237" t="str">
        <f>name!E$9</f>
        <v>Caring, leisure and other service occupations</v>
      </c>
      <c r="B592" s="302">
        <v>0.80329313187480778</v>
      </c>
      <c r="C592" s="302">
        <v>0.51957714373336716</v>
      </c>
      <c r="D592" s="302">
        <f t="shared" si="220"/>
        <v>1.3228702756081749</v>
      </c>
      <c r="E592" s="303"/>
      <c r="F592" s="302">
        <v>1.1235743316012314</v>
      </c>
      <c r="G592" s="302">
        <v>0.87110192144036225</v>
      </c>
      <c r="H592" s="302">
        <f t="shared" si="221"/>
        <v>1.9946762530415936</v>
      </c>
      <c r="I592" s="303"/>
      <c r="J592" s="302">
        <v>1.348149772111362</v>
      </c>
      <c r="K592" s="302">
        <v>1.2772778432067797</v>
      </c>
      <c r="L592" s="302">
        <f t="shared" si="222"/>
        <v>2.6254276153181415</v>
      </c>
      <c r="M592" s="236"/>
      <c r="N592" s="236"/>
    </row>
    <row r="593" spans="1:14" x14ac:dyDescent="0.2">
      <c r="A593" s="237" t="str">
        <f>name!E$10</f>
        <v>Sales and customer service occupations</v>
      </c>
      <c r="B593" s="302">
        <v>0.20598955719802686</v>
      </c>
      <c r="C593" s="302">
        <v>0.22871651997017062</v>
      </c>
      <c r="D593" s="302">
        <f t="shared" si="220"/>
        <v>0.43470607716819748</v>
      </c>
      <c r="E593" s="303"/>
      <c r="F593" s="302">
        <v>0.41255528447226786</v>
      </c>
      <c r="G593" s="302">
        <v>0.33686786071098934</v>
      </c>
      <c r="H593" s="302">
        <f t="shared" si="221"/>
        <v>0.74942314518325714</v>
      </c>
      <c r="I593" s="303"/>
      <c r="J593" s="302">
        <v>0.4827427051808737</v>
      </c>
      <c r="K593" s="302">
        <v>0.56410844438027197</v>
      </c>
      <c r="L593" s="302">
        <f t="shared" si="222"/>
        <v>1.0468511495611457</v>
      </c>
      <c r="M593" s="236"/>
      <c r="N593" s="236"/>
    </row>
    <row r="594" spans="1:14" x14ac:dyDescent="0.2">
      <c r="A594" s="237" t="str">
        <f>name!E$11</f>
        <v>Process, plant and machine operatives</v>
      </c>
      <c r="B594" s="302">
        <v>0.2338525818083774</v>
      </c>
      <c r="C594" s="302">
        <v>16.170997888424687</v>
      </c>
      <c r="D594" s="302">
        <f t="shared" si="220"/>
        <v>16.404850470233065</v>
      </c>
      <c r="E594" s="303"/>
      <c r="F594" s="302">
        <v>0.33209330156623806</v>
      </c>
      <c r="G594" s="302">
        <v>18.580803783635318</v>
      </c>
      <c r="H594" s="302">
        <f t="shared" si="221"/>
        <v>18.912897085201557</v>
      </c>
      <c r="I594" s="303"/>
      <c r="J594" s="302">
        <v>0.51311311885361055</v>
      </c>
      <c r="K594" s="302">
        <v>17.767354876479576</v>
      </c>
      <c r="L594" s="302">
        <f t="shared" si="222"/>
        <v>18.280467995333186</v>
      </c>
      <c r="M594" s="236"/>
      <c r="N594" s="236"/>
    </row>
    <row r="595" spans="1:14" x14ac:dyDescent="0.2">
      <c r="A595" s="237" t="str">
        <f>name!E$12</f>
        <v>Elementary occupations</v>
      </c>
      <c r="B595" s="302">
        <v>0.26269898488727095</v>
      </c>
      <c r="C595" s="302">
        <v>1.2585723729053215</v>
      </c>
      <c r="D595" s="302">
        <f t="shared" si="220"/>
        <v>1.5212713577925925</v>
      </c>
      <c r="E595" s="303"/>
      <c r="F595" s="302">
        <v>0.36290138406839312</v>
      </c>
      <c r="G595" s="302">
        <v>1.215295341745696</v>
      </c>
      <c r="H595" s="302">
        <f t="shared" si="221"/>
        <v>1.578196725814089</v>
      </c>
      <c r="I595" s="303"/>
      <c r="J595" s="302">
        <v>0.44542733416710928</v>
      </c>
      <c r="K595" s="302">
        <v>0.84883720832138787</v>
      </c>
      <c r="L595" s="302">
        <f t="shared" si="222"/>
        <v>1.2942645424884971</v>
      </c>
      <c r="M595" s="236"/>
      <c r="N595" s="236"/>
    </row>
    <row r="596" spans="1:14" x14ac:dyDescent="0.2">
      <c r="A596" s="237"/>
      <c r="B596" s="302"/>
      <c r="C596" s="302"/>
      <c r="D596" s="302"/>
      <c r="E596" s="303"/>
      <c r="F596" s="302"/>
      <c r="G596" s="302"/>
      <c r="H596" s="302"/>
      <c r="I596" s="303"/>
      <c r="J596" s="302"/>
      <c r="K596" s="302"/>
      <c r="L596" s="302"/>
      <c r="M596" s="236"/>
      <c r="N596" s="236"/>
    </row>
    <row r="597" spans="1:14" x14ac:dyDescent="0.2">
      <c r="A597" s="244" t="s">
        <v>32</v>
      </c>
      <c r="B597" s="311">
        <f>SUM(B587:B595)</f>
        <v>3.4690000000100349</v>
      </c>
      <c r="C597" s="311">
        <f t="shared" ref="C597:D597" si="223">SUM(C587:C595)</f>
        <v>23.386000000197992</v>
      </c>
      <c r="D597" s="311">
        <f t="shared" si="223"/>
        <v>26.85500000020803</v>
      </c>
      <c r="E597" s="311"/>
      <c r="F597" s="311">
        <f t="shared" ref="F597:H597" si="224">SUM(F587:F595)</f>
        <v>7.2319999999054874</v>
      </c>
      <c r="G597" s="311">
        <f t="shared" si="224"/>
        <v>28.445000000221533</v>
      </c>
      <c r="H597" s="311">
        <f t="shared" si="224"/>
        <v>35.677000000127023</v>
      </c>
      <c r="I597" s="311"/>
      <c r="J597" s="311">
        <f t="shared" ref="J597:L597" si="225">SUM(J587:J595)</f>
        <v>7.9320000000398716</v>
      </c>
      <c r="K597" s="311">
        <f t="shared" si="225"/>
        <v>28.869000000172928</v>
      </c>
      <c r="L597" s="311">
        <f t="shared" si="225"/>
        <v>36.801000000212802</v>
      </c>
      <c r="M597" s="236"/>
      <c r="N597" s="236"/>
    </row>
    <row r="598" spans="1:14" x14ac:dyDescent="0.2">
      <c r="A598" s="237"/>
      <c r="B598" s="237"/>
      <c r="C598" s="237"/>
      <c r="D598" s="237"/>
      <c r="E598" s="237"/>
      <c r="F598" s="237"/>
      <c r="G598" s="237"/>
      <c r="H598" s="237"/>
      <c r="I598" s="237"/>
      <c r="J598" s="237"/>
      <c r="K598" s="237"/>
      <c r="L598" s="240"/>
      <c r="M598" s="236"/>
      <c r="N598" s="236"/>
    </row>
    <row r="599" spans="1:14" x14ac:dyDescent="0.2">
      <c r="A599" s="237"/>
      <c r="B599" s="237"/>
      <c r="C599" s="237"/>
      <c r="D599" s="237"/>
      <c r="E599" s="237"/>
      <c r="F599" s="237"/>
      <c r="G599" s="237"/>
      <c r="H599" s="237"/>
      <c r="I599" s="237"/>
      <c r="J599" s="237"/>
      <c r="K599" s="237"/>
      <c r="L599" s="256" t="s">
        <v>35</v>
      </c>
      <c r="M599" s="236"/>
      <c r="N599" s="236"/>
    </row>
    <row r="600" spans="1:14" x14ac:dyDescent="0.2">
      <c r="A600" s="242"/>
      <c r="B600" s="250"/>
      <c r="C600" s="250"/>
      <c r="D600" s="250"/>
      <c r="E600" s="250"/>
      <c r="F600" s="250"/>
      <c r="G600" s="250"/>
      <c r="H600" s="250"/>
      <c r="I600" s="250"/>
      <c r="J600" s="250"/>
      <c r="K600" s="250"/>
      <c r="L600" s="236"/>
      <c r="M600" s="236"/>
      <c r="N600" s="236"/>
    </row>
    <row r="601" spans="1:14" x14ac:dyDescent="0.2">
      <c r="A601" s="241" t="str">
        <f>name!A38</f>
        <v>Water transport</v>
      </c>
      <c r="B601" s="372">
        <f>B$6</f>
        <v>2015</v>
      </c>
      <c r="C601" s="372"/>
      <c r="D601" s="372"/>
      <c r="E601" s="253"/>
      <c r="F601" s="372">
        <f>F584</f>
        <v>2020</v>
      </c>
      <c r="G601" s="372"/>
      <c r="H601" s="372"/>
      <c r="I601" s="253"/>
      <c r="J601" s="372">
        <f>J584</f>
        <v>2035</v>
      </c>
      <c r="K601" s="372"/>
      <c r="L601" s="372"/>
      <c r="M601" s="236"/>
      <c r="N601" s="236"/>
    </row>
    <row r="602" spans="1:14" x14ac:dyDescent="0.2">
      <c r="A602" s="254"/>
      <c r="B602" s="255" t="s">
        <v>352</v>
      </c>
      <c r="C602" s="255" t="s">
        <v>353</v>
      </c>
      <c r="D602" s="255" t="s">
        <v>32</v>
      </c>
      <c r="E602" s="255"/>
      <c r="F602" s="255" t="s">
        <v>352</v>
      </c>
      <c r="G602" s="255" t="s">
        <v>353</v>
      </c>
      <c r="H602" s="255" t="s">
        <v>32</v>
      </c>
      <c r="I602" s="255"/>
      <c r="J602" s="255" t="s">
        <v>352</v>
      </c>
      <c r="K602" s="255" t="s">
        <v>353</v>
      </c>
      <c r="L602" s="255" t="s">
        <v>32</v>
      </c>
      <c r="M602" s="236"/>
      <c r="N602" s="236"/>
    </row>
    <row r="603" spans="1:14" x14ac:dyDescent="0.2">
      <c r="A603" s="258"/>
      <c r="B603" s="259"/>
      <c r="C603" s="259"/>
      <c r="D603" s="259"/>
      <c r="E603" s="259"/>
      <c r="F603" s="259"/>
      <c r="G603" s="259"/>
      <c r="H603" s="259"/>
      <c r="I603" s="259"/>
      <c r="J603" s="259"/>
      <c r="K603" s="259"/>
      <c r="L603" s="259"/>
      <c r="M603" s="236"/>
      <c r="N603" s="236"/>
    </row>
    <row r="604" spans="1:14" x14ac:dyDescent="0.2">
      <c r="A604" s="237" t="str">
        <f>name!E$4</f>
        <v>Managers, directors and senior officials</v>
      </c>
      <c r="B604" s="302">
        <v>2.8794672820036674E-2</v>
      </c>
      <c r="C604" s="302">
        <v>2.6573114082974615E-2</v>
      </c>
      <c r="D604" s="302">
        <f>SUM(B604:C604)</f>
        <v>5.5367786903011293E-2</v>
      </c>
      <c r="E604" s="303"/>
      <c r="F604" s="302">
        <v>6.3738048021389361E-4</v>
      </c>
      <c r="G604" s="302">
        <v>1.3652640391432036E-3</v>
      </c>
      <c r="H604" s="302">
        <f>SUM(F604:G604)</f>
        <v>2.0026445193570973E-3</v>
      </c>
      <c r="I604" s="303"/>
      <c r="J604" s="302">
        <v>5.6739575512471357E-4</v>
      </c>
      <c r="K604" s="302">
        <v>1.1482945729934272E-3</v>
      </c>
      <c r="L604" s="302">
        <f>SUM(J604:K604)</f>
        <v>1.7156903281181409E-3</v>
      </c>
      <c r="M604" s="236"/>
      <c r="N604" s="236"/>
    </row>
    <row r="605" spans="1:14" x14ac:dyDescent="0.2">
      <c r="A605" s="237" t="str">
        <f>name!E$5</f>
        <v>Professional occupations</v>
      </c>
      <c r="B605" s="302">
        <v>2.9908050570741765E-2</v>
      </c>
      <c r="C605" s="302">
        <v>7.8389062691327158E-3</v>
      </c>
      <c r="D605" s="302">
        <f t="shared" ref="D605:D612" si="226">SUM(B605:C605)</f>
        <v>3.7746956839874481E-2</v>
      </c>
      <c r="E605" s="303"/>
      <c r="F605" s="302">
        <v>4.8373826452420001E-4</v>
      </c>
      <c r="G605" s="302">
        <v>1.0045445545489701E-3</v>
      </c>
      <c r="H605" s="302">
        <f t="shared" ref="H605:H612" si="227">SUM(F605:G605)</f>
        <v>1.48828281907317E-3</v>
      </c>
      <c r="I605" s="303"/>
      <c r="J605" s="302">
        <v>4.2453412912455855E-4</v>
      </c>
      <c r="K605" s="302">
        <v>8.0825888244093127E-4</v>
      </c>
      <c r="L605" s="302">
        <f t="shared" ref="L605:L612" si="228">SUM(J605:K605)</f>
        <v>1.2327930115654897E-3</v>
      </c>
      <c r="M605" s="236"/>
      <c r="N605" s="236"/>
    </row>
    <row r="606" spans="1:14" x14ac:dyDescent="0.2">
      <c r="A606" s="237" t="str">
        <f>name!E$6</f>
        <v>Associate professional occupations</v>
      </c>
      <c r="B606" s="302">
        <v>2.5445837618410402E-2</v>
      </c>
      <c r="C606" s="302">
        <v>8.8899580723308651E-3</v>
      </c>
      <c r="D606" s="302">
        <f t="shared" si="226"/>
        <v>3.4335795690741265E-2</v>
      </c>
      <c r="E606" s="303"/>
      <c r="F606" s="302">
        <v>4.1731132046378709E-4</v>
      </c>
      <c r="G606" s="302">
        <v>1.044571305411025E-3</v>
      </c>
      <c r="H606" s="302">
        <f t="shared" si="227"/>
        <v>1.4618826258748121E-3</v>
      </c>
      <c r="I606" s="303"/>
      <c r="J606" s="302">
        <v>3.59163159264401E-4</v>
      </c>
      <c r="K606" s="302">
        <v>8.4031039213744657E-4</v>
      </c>
      <c r="L606" s="302">
        <f t="shared" si="228"/>
        <v>1.1994735514018475E-3</v>
      </c>
      <c r="M606" s="236"/>
      <c r="N606" s="236"/>
    </row>
    <row r="607" spans="1:14" x14ac:dyDescent="0.2">
      <c r="A607" s="237" t="str">
        <f>name!E$7</f>
        <v>Administrative and secretarial occupations</v>
      </c>
      <c r="B607" s="302">
        <v>0.11071139981654717</v>
      </c>
      <c r="C607" s="302">
        <v>6.8663596507416878E-3</v>
      </c>
      <c r="D607" s="302">
        <f t="shared" si="226"/>
        <v>0.11757775946728885</v>
      </c>
      <c r="E607" s="303"/>
      <c r="F607" s="302">
        <v>1.2215214065481378E-3</v>
      </c>
      <c r="G607" s="302">
        <v>2.5865651933119899E-4</v>
      </c>
      <c r="H607" s="302">
        <f t="shared" si="227"/>
        <v>1.4801779258793368E-3</v>
      </c>
      <c r="I607" s="303"/>
      <c r="J607" s="302">
        <v>6.7464904987205368E-4</v>
      </c>
      <c r="K607" s="302">
        <v>2.8468076043459701E-4</v>
      </c>
      <c r="L607" s="302">
        <f t="shared" si="228"/>
        <v>9.5932981030665064E-4</v>
      </c>
      <c r="M607" s="236"/>
      <c r="N607" s="236"/>
    </row>
    <row r="608" spans="1:14" x14ac:dyDescent="0.2">
      <c r="A608" s="237" t="str">
        <f>name!E$8</f>
        <v>Skilled trades occupations</v>
      </c>
      <c r="B608" s="302">
        <v>8.9228746146400844E-3</v>
      </c>
      <c r="C608" s="302">
        <v>1.5022984215393219E-2</v>
      </c>
      <c r="D608" s="302">
        <f t="shared" si="226"/>
        <v>2.3945858830033303E-2</v>
      </c>
      <c r="E608" s="303"/>
      <c r="F608" s="302">
        <v>1.3802952904152179E-4</v>
      </c>
      <c r="G608" s="302">
        <v>3.299728856581925E-4</v>
      </c>
      <c r="H608" s="302">
        <f t="shared" si="227"/>
        <v>4.6800241469971426E-4</v>
      </c>
      <c r="I608" s="303"/>
      <c r="J608" s="302">
        <v>1.316701920283535E-4</v>
      </c>
      <c r="K608" s="302">
        <v>1.6309683955077444E-4</v>
      </c>
      <c r="L608" s="302">
        <f t="shared" si="228"/>
        <v>2.9476703157912791E-4</v>
      </c>
      <c r="M608" s="236"/>
      <c r="N608" s="236"/>
    </row>
    <row r="609" spans="1:14" x14ac:dyDescent="0.2">
      <c r="A609" s="237" t="str">
        <f>name!E$9</f>
        <v>Caring, leisure and other service occupations</v>
      </c>
      <c r="B609" s="302">
        <v>7.5198894667656016E-2</v>
      </c>
      <c r="C609" s="302">
        <v>4.1928226860200729E-3</v>
      </c>
      <c r="D609" s="302">
        <f t="shared" si="226"/>
        <v>7.9391717353676089E-2</v>
      </c>
      <c r="E609" s="303"/>
      <c r="F609" s="302">
        <v>5.2161747899298811E-4</v>
      </c>
      <c r="G609" s="302">
        <v>8.6546149903501742E-5</v>
      </c>
      <c r="H609" s="302">
        <f t="shared" si="227"/>
        <v>6.081636288964899E-4</v>
      </c>
      <c r="I609" s="303"/>
      <c r="J609" s="302">
        <v>3.6964332792858865E-4</v>
      </c>
      <c r="K609" s="302">
        <v>8.6793420801175881E-5</v>
      </c>
      <c r="L609" s="302">
        <f t="shared" si="228"/>
        <v>4.5643674872976455E-4</v>
      </c>
      <c r="M609" s="236"/>
      <c r="N609" s="236"/>
    </row>
    <row r="610" spans="1:14" x14ac:dyDescent="0.2">
      <c r="A610" s="237" t="str">
        <f>name!E$10</f>
        <v>Sales and customer service occupations</v>
      </c>
      <c r="B610" s="302">
        <v>2.8669566353759755E-2</v>
      </c>
      <c r="C610" s="302">
        <v>5.7014339461745785E-3</v>
      </c>
      <c r="D610" s="302">
        <f t="shared" si="226"/>
        <v>3.4371000299934333E-2</v>
      </c>
      <c r="E610" s="303"/>
      <c r="F610" s="302">
        <v>2.9483696938291816E-4</v>
      </c>
      <c r="G610" s="302">
        <v>1.2932170058002621E-4</v>
      </c>
      <c r="H610" s="302">
        <f t="shared" si="227"/>
        <v>4.2415866996294439E-4</v>
      </c>
      <c r="I610" s="303"/>
      <c r="J610" s="302">
        <v>2.3145718333355175E-4</v>
      </c>
      <c r="K610" s="302">
        <v>1.283005460252506E-4</v>
      </c>
      <c r="L610" s="302">
        <f t="shared" si="228"/>
        <v>3.5975772935880235E-4</v>
      </c>
      <c r="M610" s="236"/>
      <c r="N610" s="236"/>
    </row>
    <row r="611" spans="1:14" x14ac:dyDescent="0.2">
      <c r="A611" s="237" t="str">
        <f>name!E$11</f>
        <v>Process, plant and machine operatives</v>
      </c>
      <c r="B611" s="302">
        <v>5.6436518924414024E-3</v>
      </c>
      <c r="C611" s="302">
        <v>2.8182336147182987E-2</v>
      </c>
      <c r="D611" s="302">
        <f t="shared" si="226"/>
        <v>3.3825988039624388E-2</v>
      </c>
      <c r="E611" s="303"/>
      <c r="F611" s="302">
        <v>5.3357485281703505E-5</v>
      </c>
      <c r="G611" s="302">
        <v>4.7765893337457939E-4</v>
      </c>
      <c r="H611" s="302">
        <f t="shared" si="227"/>
        <v>5.3101641865628286E-4</v>
      </c>
      <c r="I611" s="303"/>
      <c r="J611" s="302">
        <v>5.9820533579967279E-5</v>
      </c>
      <c r="K611" s="302">
        <v>3.4532966468866545E-4</v>
      </c>
      <c r="L611" s="302">
        <f t="shared" si="228"/>
        <v>4.0515019826863275E-4</v>
      </c>
      <c r="M611" s="236"/>
      <c r="N611" s="236"/>
    </row>
    <row r="612" spans="1:14" x14ac:dyDescent="0.2">
      <c r="A612" s="237" t="str">
        <f>name!E$12</f>
        <v>Elementary occupations</v>
      </c>
      <c r="B612" s="302">
        <v>2.6705051650153945E-2</v>
      </c>
      <c r="C612" s="302">
        <v>1.2732084930829026E-2</v>
      </c>
      <c r="D612" s="302">
        <f t="shared" si="226"/>
        <v>3.9437136580982968E-2</v>
      </c>
      <c r="E612" s="303"/>
      <c r="F612" s="302">
        <v>2.3220706551663363E-4</v>
      </c>
      <c r="G612" s="302">
        <v>3.0346391208833082E-4</v>
      </c>
      <c r="H612" s="302">
        <f t="shared" si="227"/>
        <v>5.3567097760496445E-4</v>
      </c>
      <c r="I612" s="303"/>
      <c r="J612" s="302">
        <v>1.8166666975111267E-4</v>
      </c>
      <c r="K612" s="302">
        <v>1.9493492098540587E-4</v>
      </c>
      <c r="L612" s="302">
        <f t="shared" si="228"/>
        <v>3.7660159073651858E-4</v>
      </c>
      <c r="M612" s="236"/>
      <c r="N612" s="236"/>
    </row>
    <row r="613" spans="1:14" x14ac:dyDescent="0.2">
      <c r="A613" s="237"/>
      <c r="B613" s="302"/>
      <c r="C613" s="302"/>
      <c r="D613" s="302"/>
      <c r="E613" s="303"/>
      <c r="F613" s="302"/>
      <c r="G613" s="302"/>
      <c r="H613" s="302"/>
      <c r="I613" s="303"/>
      <c r="J613" s="302"/>
      <c r="K613" s="302"/>
      <c r="L613" s="302"/>
      <c r="M613" s="236"/>
      <c r="N613" s="236"/>
    </row>
    <row r="614" spans="1:14" x14ac:dyDescent="0.2">
      <c r="A614" s="244" t="s">
        <v>32</v>
      </c>
      <c r="B614" s="311">
        <f>SUM(B604:B612)</f>
        <v>0.34000000000438729</v>
      </c>
      <c r="C614" s="311">
        <f t="shared" ref="C614:D614" si="229">SUM(C604:C612)</f>
        <v>0.11600000000077977</v>
      </c>
      <c r="D614" s="311">
        <f t="shared" si="229"/>
        <v>0.45600000000516694</v>
      </c>
      <c r="E614" s="311"/>
      <c r="F614" s="311">
        <f t="shared" ref="F614:H614" si="230">SUM(F604:F612)</f>
        <v>3.9999999999657835E-3</v>
      </c>
      <c r="G614" s="311">
        <f t="shared" si="230"/>
        <v>5.0000000000390279E-3</v>
      </c>
      <c r="H614" s="311">
        <f t="shared" si="230"/>
        <v>9.0000000000048097E-3</v>
      </c>
      <c r="I614" s="311"/>
      <c r="J614" s="311">
        <f t="shared" ref="J614:L614" si="231">SUM(J604:J612)</f>
        <v>3.0000000000073011E-3</v>
      </c>
      <c r="K614" s="311">
        <f t="shared" si="231"/>
        <v>4.0000000000576744E-3</v>
      </c>
      <c r="L614" s="311">
        <f t="shared" si="231"/>
        <v>7.0000000000649751E-3</v>
      </c>
      <c r="M614" s="236"/>
      <c r="N614" s="236"/>
    </row>
    <row r="615" spans="1:14" x14ac:dyDescent="0.2">
      <c r="A615" s="237"/>
      <c r="B615" s="237"/>
      <c r="C615" s="237"/>
      <c r="D615" s="237"/>
      <c r="E615" s="237"/>
      <c r="F615" s="237"/>
      <c r="G615" s="237"/>
      <c r="H615" s="237"/>
      <c r="I615" s="237"/>
      <c r="J615" s="237"/>
      <c r="K615" s="237"/>
      <c r="L615" s="240"/>
      <c r="M615" s="236"/>
      <c r="N615" s="236"/>
    </row>
    <row r="616" spans="1:14" x14ac:dyDescent="0.2">
      <c r="A616" s="237"/>
      <c r="B616" s="237"/>
      <c r="C616" s="237"/>
      <c r="D616" s="237"/>
      <c r="E616" s="237"/>
      <c r="F616" s="237"/>
      <c r="G616" s="237"/>
      <c r="H616" s="237"/>
      <c r="I616" s="237"/>
      <c r="J616" s="237"/>
      <c r="K616" s="237"/>
      <c r="L616" s="256" t="s">
        <v>35</v>
      </c>
      <c r="M616" s="236"/>
      <c r="N616" s="236"/>
    </row>
    <row r="617" spans="1:14" x14ac:dyDescent="0.2">
      <c r="A617" s="242"/>
      <c r="B617" s="250"/>
      <c r="C617" s="250"/>
      <c r="D617" s="250"/>
      <c r="E617" s="250"/>
      <c r="F617" s="250"/>
      <c r="G617" s="250"/>
      <c r="H617" s="250"/>
      <c r="I617" s="250"/>
      <c r="J617" s="250"/>
      <c r="K617" s="250"/>
      <c r="L617" s="236"/>
      <c r="M617" s="236"/>
      <c r="N617" s="236"/>
    </row>
    <row r="618" spans="1:14" x14ac:dyDescent="0.2">
      <c r="A618" s="241" t="str">
        <f>name!A39</f>
        <v>Air transport</v>
      </c>
      <c r="B618" s="372">
        <f>B$6</f>
        <v>2015</v>
      </c>
      <c r="C618" s="372"/>
      <c r="D618" s="372"/>
      <c r="E618" s="253"/>
      <c r="F618" s="372">
        <f>F601</f>
        <v>2020</v>
      </c>
      <c r="G618" s="372"/>
      <c r="H618" s="372"/>
      <c r="I618" s="253"/>
      <c r="J618" s="372">
        <f>J601</f>
        <v>2035</v>
      </c>
      <c r="K618" s="372"/>
      <c r="L618" s="372"/>
      <c r="M618" s="236"/>
      <c r="N618" s="236"/>
    </row>
    <row r="619" spans="1:14" x14ac:dyDescent="0.2">
      <c r="A619" s="254"/>
      <c r="B619" s="255" t="s">
        <v>352</v>
      </c>
      <c r="C619" s="255" t="s">
        <v>353</v>
      </c>
      <c r="D619" s="255" t="s">
        <v>32</v>
      </c>
      <c r="E619" s="255"/>
      <c r="F619" s="255" t="s">
        <v>352</v>
      </c>
      <c r="G619" s="255" t="s">
        <v>353</v>
      </c>
      <c r="H619" s="255" t="s">
        <v>32</v>
      </c>
      <c r="I619" s="255"/>
      <c r="J619" s="255" t="s">
        <v>352</v>
      </c>
      <c r="K619" s="255" t="s">
        <v>353</v>
      </c>
      <c r="L619" s="255" t="s">
        <v>32</v>
      </c>
      <c r="M619" s="236"/>
      <c r="N619" s="236"/>
    </row>
    <row r="620" spans="1:14" x14ac:dyDescent="0.2">
      <c r="A620" s="258"/>
      <c r="B620" s="259"/>
      <c r="C620" s="259"/>
      <c r="D620" s="259"/>
      <c r="E620" s="259"/>
      <c r="F620" s="259"/>
      <c r="G620" s="259"/>
      <c r="H620" s="259"/>
      <c r="I620" s="259"/>
      <c r="J620" s="259"/>
      <c r="K620" s="259"/>
      <c r="L620" s="259"/>
      <c r="M620" s="236"/>
      <c r="N620" s="236"/>
    </row>
    <row r="621" spans="1:14" x14ac:dyDescent="0.2">
      <c r="A621" s="237" t="str">
        <f>name!E$4</f>
        <v>Managers, directors and senior officials</v>
      </c>
      <c r="B621" s="302">
        <v>1.6292424882799795E-2</v>
      </c>
      <c r="C621" s="302">
        <v>0.12176728592743141</v>
      </c>
      <c r="D621" s="302">
        <f>SUM(B621:C621)</f>
        <v>0.13805971081023122</v>
      </c>
      <c r="E621" s="303"/>
      <c r="F621" s="302">
        <v>2.3066024539836968E-2</v>
      </c>
      <c r="G621" s="302">
        <v>0.1189074887328699</v>
      </c>
      <c r="H621" s="302">
        <f>SUM(F621:G621)</f>
        <v>0.14197351327270685</v>
      </c>
      <c r="I621" s="303"/>
      <c r="J621" s="302">
        <v>4.2175117991008051E-2</v>
      </c>
      <c r="K621" s="302">
        <v>0.19828764903235405</v>
      </c>
      <c r="L621" s="302">
        <f>SUM(J621:K621)</f>
        <v>0.24046276702336211</v>
      </c>
      <c r="M621" s="236"/>
      <c r="N621" s="236"/>
    </row>
    <row r="622" spans="1:14" x14ac:dyDescent="0.2">
      <c r="A622" s="237" t="str">
        <f>name!E$5</f>
        <v>Professional occupations</v>
      </c>
      <c r="B622" s="302">
        <v>2.7770008174478309E-2</v>
      </c>
      <c r="C622" s="302">
        <v>0.19910859493724178</v>
      </c>
      <c r="D622" s="302">
        <f t="shared" ref="D622:D629" si="232">SUM(B622:C622)</f>
        <v>0.22687860311172009</v>
      </c>
      <c r="E622" s="303"/>
      <c r="F622" s="302">
        <v>4.2568545492462237E-2</v>
      </c>
      <c r="G622" s="302">
        <v>0.21479466932225505</v>
      </c>
      <c r="H622" s="302">
        <f t="shared" ref="H622:H629" si="233">SUM(F622:G622)</f>
        <v>0.2573632148147173</v>
      </c>
      <c r="I622" s="303"/>
      <c r="J622" s="302">
        <v>7.6676213404507282E-2</v>
      </c>
      <c r="K622" s="302">
        <v>0.41311819386437409</v>
      </c>
      <c r="L622" s="302">
        <f t="shared" ref="L622:L629" si="234">SUM(J622:K622)</f>
        <v>0.48979440726888135</v>
      </c>
      <c r="M622" s="236"/>
      <c r="N622" s="236"/>
    </row>
    <row r="623" spans="1:14" x14ac:dyDescent="0.2">
      <c r="A623" s="237" t="str">
        <f>name!E$6</f>
        <v>Associate professional occupations</v>
      </c>
      <c r="B623" s="302">
        <v>5.371469152229727E-2</v>
      </c>
      <c r="C623" s="302">
        <v>0.17774119423544729</v>
      </c>
      <c r="D623" s="302">
        <f t="shared" si="232"/>
        <v>0.23145588575774456</v>
      </c>
      <c r="E623" s="303"/>
      <c r="F623" s="302">
        <v>6.7130969080229586E-2</v>
      </c>
      <c r="G623" s="302">
        <v>0.16655050912925276</v>
      </c>
      <c r="H623" s="302">
        <f t="shared" si="233"/>
        <v>0.23368147820948235</v>
      </c>
      <c r="I623" s="303"/>
      <c r="J623" s="302">
        <v>0.11098422945996642</v>
      </c>
      <c r="K623" s="302">
        <v>0.2352464020394405</v>
      </c>
      <c r="L623" s="302">
        <f t="shared" si="234"/>
        <v>0.34623063149940692</v>
      </c>
      <c r="M623" s="236"/>
      <c r="N623" s="236"/>
    </row>
    <row r="624" spans="1:14" x14ac:dyDescent="0.2">
      <c r="A624" s="237" t="str">
        <f>name!E$7</f>
        <v>Administrative and secretarial occupations</v>
      </c>
      <c r="B624" s="302">
        <v>6.3125343520796198E-2</v>
      </c>
      <c r="C624" s="302">
        <v>4.5790146225799432E-2</v>
      </c>
      <c r="D624" s="302">
        <f t="shared" si="232"/>
        <v>0.10891548974659562</v>
      </c>
      <c r="E624" s="303"/>
      <c r="F624" s="302">
        <v>6.0523561394926192E-2</v>
      </c>
      <c r="G624" s="302">
        <v>3.8702272514382061E-2</v>
      </c>
      <c r="H624" s="302">
        <f t="shared" si="233"/>
        <v>9.9225833909308253E-2</v>
      </c>
      <c r="I624" s="303"/>
      <c r="J624" s="302">
        <v>8.3285263238404128E-2</v>
      </c>
      <c r="K624" s="302">
        <v>5.5168825012640109E-2</v>
      </c>
      <c r="L624" s="302">
        <f t="shared" si="234"/>
        <v>0.13845408825104424</v>
      </c>
      <c r="M624" s="236"/>
      <c r="N624" s="236"/>
    </row>
    <row r="625" spans="1:14" x14ac:dyDescent="0.2">
      <c r="A625" s="237" t="str">
        <f>name!E$8</f>
        <v>Skilled trades occupations</v>
      </c>
      <c r="B625" s="302">
        <v>5.8913449627020194E-3</v>
      </c>
      <c r="C625" s="302">
        <v>9.2427268841830432E-2</v>
      </c>
      <c r="D625" s="302">
        <f t="shared" si="232"/>
        <v>9.8318613804532454E-2</v>
      </c>
      <c r="E625" s="303"/>
      <c r="F625" s="302">
        <v>8.6764279501901805E-3</v>
      </c>
      <c r="G625" s="302">
        <v>6.8856286917199624E-2</v>
      </c>
      <c r="H625" s="302">
        <f t="shared" si="233"/>
        <v>7.7532714867389801E-2</v>
      </c>
      <c r="I625" s="303"/>
      <c r="J625" s="302">
        <v>2.2704599515691291E-2</v>
      </c>
      <c r="K625" s="302">
        <v>6.5229455591159752E-2</v>
      </c>
      <c r="L625" s="302">
        <f t="shared" si="234"/>
        <v>8.7934055106851039E-2</v>
      </c>
      <c r="M625" s="236"/>
      <c r="N625" s="236"/>
    </row>
    <row r="626" spans="1:14" x14ac:dyDescent="0.2">
      <c r="A626" s="237" t="str">
        <f>name!E$9</f>
        <v>Caring, leisure and other service occupations</v>
      </c>
      <c r="B626" s="302">
        <v>0.43078509540796717</v>
      </c>
      <c r="C626" s="302">
        <v>4.9454557089766232E-2</v>
      </c>
      <c r="D626" s="302">
        <f t="shared" si="232"/>
        <v>0.48023965249773337</v>
      </c>
      <c r="E626" s="303"/>
      <c r="F626" s="302">
        <v>0.32940239514260822</v>
      </c>
      <c r="G626" s="302">
        <v>3.1834500115542196E-2</v>
      </c>
      <c r="H626" s="302">
        <f t="shared" si="233"/>
        <v>0.36123689525815039</v>
      </c>
      <c r="I626" s="303"/>
      <c r="J626" s="302">
        <v>0.47753567528218815</v>
      </c>
      <c r="K626" s="302">
        <v>3.7565366871007727E-2</v>
      </c>
      <c r="L626" s="302">
        <f t="shared" si="234"/>
        <v>0.51510104215319585</v>
      </c>
      <c r="M626" s="236"/>
      <c r="N626" s="236"/>
    </row>
    <row r="627" spans="1:14" x14ac:dyDescent="0.2">
      <c r="A627" s="237" t="str">
        <f>name!E$10</f>
        <v>Sales and customer service occupations</v>
      </c>
      <c r="B627" s="302">
        <v>4.617505461166705E-2</v>
      </c>
      <c r="C627" s="302">
        <v>3.1773422293014879E-2</v>
      </c>
      <c r="D627" s="302">
        <f t="shared" si="232"/>
        <v>7.7948476904681929E-2</v>
      </c>
      <c r="E627" s="303"/>
      <c r="F627" s="302">
        <v>4.4276630688858218E-2</v>
      </c>
      <c r="G627" s="302">
        <v>2.1221353501805901E-2</v>
      </c>
      <c r="H627" s="302">
        <f t="shared" si="233"/>
        <v>6.5497984190664119E-2</v>
      </c>
      <c r="I627" s="303"/>
      <c r="J627" s="302">
        <v>8.3218795154166372E-2</v>
      </c>
      <c r="K627" s="302">
        <v>4.2313405296867043E-2</v>
      </c>
      <c r="L627" s="302">
        <f t="shared" si="234"/>
        <v>0.12553220045103342</v>
      </c>
      <c r="M627" s="236"/>
      <c r="N627" s="236"/>
    </row>
    <row r="628" spans="1:14" x14ac:dyDescent="0.2">
      <c r="A628" s="237" t="str">
        <f>name!E$11</f>
        <v>Process, plant and machine operatives</v>
      </c>
      <c r="B628" s="302">
        <v>1.7473191541372241E-2</v>
      </c>
      <c r="C628" s="302">
        <v>7.3320673597333186E-2</v>
      </c>
      <c r="D628" s="302">
        <f t="shared" si="232"/>
        <v>9.0793865138705424E-2</v>
      </c>
      <c r="E628" s="303"/>
      <c r="F628" s="302">
        <v>1.3884908784458187E-2</v>
      </c>
      <c r="G628" s="302">
        <v>4.3985306760859079E-2</v>
      </c>
      <c r="H628" s="302">
        <f t="shared" si="233"/>
        <v>5.7870215545317266E-2</v>
      </c>
      <c r="I628" s="303"/>
      <c r="J628" s="302">
        <v>3.8630097295670893E-2</v>
      </c>
      <c r="K628" s="302">
        <v>3.4782106632377859E-2</v>
      </c>
      <c r="L628" s="302">
        <f t="shared" si="234"/>
        <v>7.3412203928048758E-2</v>
      </c>
      <c r="M628" s="236"/>
      <c r="N628" s="236"/>
    </row>
    <row r="629" spans="1:14" x14ac:dyDescent="0.2">
      <c r="A629" s="237" t="str">
        <f>name!E$12</f>
        <v>Elementary occupations</v>
      </c>
      <c r="B629" s="302">
        <v>9.5772845376835697E-2</v>
      </c>
      <c r="C629" s="302">
        <v>2.6616856852797764E-2</v>
      </c>
      <c r="D629" s="302">
        <f t="shared" si="232"/>
        <v>0.12238970222963347</v>
      </c>
      <c r="E629" s="303"/>
      <c r="F629" s="302">
        <v>8.7470536920437214E-2</v>
      </c>
      <c r="G629" s="302">
        <v>1.3147613005415688E-2</v>
      </c>
      <c r="H629" s="302">
        <f t="shared" si="233"/>
        <v>0.1006181499258529</v>
      </c>
      <c r="I629" s="303"/>
      <c r="J629" s="302">
        <v>0.17579000865432462</v>
      </c>
      <c r="K629" s="302">
        <v>1.1288595661033705E-2</v>
      </c>
      <c r="L629" s="302">
        <f t="shared" si="234"/>
        <v>0.18707860431535833</v>
      </c>
      <c r="M629" s="236"/>
      <c r="N629" s="236"/>
    </row>
    <row r="630" spans="1:14" x14ac:dyDescent="0.2">
      <c r="A630" s="237"/>
      <c r="B630" s="302"/>
      <c r="C630" s="302"/>
      <c r="D630" s="302"/>
      <c r="E630" s="303"/>
      <c r="F630" s="302"/>
      <c r="G630" s="302"/>
      <c r="H630" s="302"/>
      <c r="I630" s="303"/>
      <c r="J630" s="302"/>
      <c r="K630" s="302"/>
      <c r="L630" s="302"/>
      <c r="M630" s="236"/>
      <c r="N630" s="236"/>
    </row>
    <row r="631" spans="1:14" x14ac:dyDescent="0.2">
      <c r="A631" s="244" t="s">
        <v>32</v>
      </c>
      <c r="B631" s="311">
        <f>SUM(B621:B629)</f>
        <v>0.75700000000091583</v>
      </c>
      <c r="C631" s="311">
        <f t="shared" ref="C631:D631" si="235">SUM(C621:C629)</f>
        <v>0.81800000000066242</v>
      </c>
      <c r="D631" s="311">
        <f t="shared" si="235"/>
        <v>1.575000000001578</v>
      </c>
      <c r="E631" s="311"/>
      <c r="F631" s="311">
        <f t="shared" ref="F631:H631" si="236">SUM(F621:F629)</f>
        <v>0.67699999999400706</v>
      </c>
      <c r="G631" s="311">
        <f t="shared" si="236"/>
        <v>0.71799999999958219</v>
      </c>
      <c r="H631" s="311">
        <f t="shared" si="236"/>
        <v>1.3949999999935894</v>
      </c>
      <c r="I631" s="311"/>
      <c r="J631" s="311">
        <f t="shared" ref="J631:L631" si="237">SUM(J621:J629)</f>
        <v>1.1109999999959272</v>
      </c>
      <c r="K631" s="311">
        <f t="shared" si="237"/>
        <v>1.093000000001255</v>
      </c>
      <c r="L631" s="311">
        <f t="shared" si="237"/>
        <v>2.2039999999971824</v>
      </c>
      <c r="M631" s="236"/>
      <c r="N631" s="236"/>
    </row>
    <row r="632" spans="1:14" x14ac:dyDescent="0.2">
      <c r="A632" s="237"/>
      <c r="B632" s="237"/>
      <c r="C632" s="237"/>
      <c r="D632" s="237"/>
      <c r="E632" s="237"/>
      <c r="F632" s="237"/>
      <c r="G632" s="237"/>
      <c r="H632" s="237"/>
      <c r="I632" s="237"/>
      <c r="J632" s="237"/>
      <c r="K632" s="237"/>
      <c r="L632" s="240"/>
      <c r="M632" s="236"/>
      <c r="N632" s="236"/>
    </row>
    <row r="633" spans="1:14" x14ac:dyDescent="0.2">
      <c r="A633" s="237"/>
      <c r="B633" s="237"/>
      <c r="C633" s="237"/>
      <c r="D633" s="237"/>
      <c r="E633" s="237"/>
      <c r="F633" s="237"/>
      <c r="G633" s="237"/>
      <c r="H633" s="237"/>
      <c r="I633" s="237"/>
      <c r="J633" s="237"/>
      <c r="K633" s="237"/>
      <c r="L633" s="256" t="s">
        <v>35</v>
      </c>
      <c r="M633" s="236"/>
      <c r="N633" s="236"/>
    </row>
    <row r="634" spans="1:14" x14ac:dyDescent="0.2">
      <c r="A634" s="242"/>
      <c r="B634" s="250"/>
      <c r="C634" s="250"/>
      <c r="D634" s="250"/>
      <c r="E634" s="250"/>
      <c r="F634" s="250"/>
      <c r="G634" s="250"/>
      <c r="H634" s="250"/>
      <c r="I634" s="250"/>
      <c r="J634" s="250"/>
      <c r="K634" s="250"/>
      <c r="L634" s="236"/>
      <c r="M634" s="236"/>
      <c r="N634" s="236"/>
    </row>
    <row r="635" spans="1:14" x14ac:dyDescent="0.2">
      <c r="A635" s="241" t="str">
        <f>name!A40</f>
        <v>Warehousing, etc</v>
      </c>
      <c r="B635" s="372">
        <f>B$6</f>
        <v>2015</v>
      </c>
      <c r="C635" s="372"/>
      <c r="D635" s="372"/>
      <c r="E635" s="253"/>
      <c r="F635" s="372">
        <f>F618</f>
        <v>2020</v>
      </c>
      <c r="G635" s="372"/>
      <c r="H635" s="372"/>
      <c r="I635" s="253"/>
      <c r="J635" s="372">
        <f>J618</f>
        <v>2035</v>
      </c>
      <c r="K635" s="372"/>
      <c r="L635" s="372"/>
      <c r="M635" s="236"/>
      <c r="N635" s="236"/>
    </row>
    <row r="636" spans="1:14" x14ac:dyDescent="0.2">
      <c r="A636" s="254"/>
      <c r="B636" s="255" t="s">
        <v>352</v>
      </c>
      <c r="C636" s="255" t="s">
        <v>353</v>
      </c>
      <c r="D636" s="255" t="s">
        <v>32</v>
      </c>
      <c r="E636" s="255"/>
      <c r="F636" s="255" t="s">
        <v>352</v>
      </c>
      <c r="G636" s="255" t="s">
        <v>353</v>
      </c>
      <c r="H636" s="255" t="s">
        <v>32</v>
      </c>
      <c r="I636" s="255"/>
      <c r="J636" s="255" t="s">
        <v>352</v>
      </c>
      <c r="K636" s="255" t="s">
        <v>353</v>
      </c>
      <c r="L636" s="255" t="s">
        <v>32</v>
      </c>
      <c r="M636" s="236"/>
      <c r="N636" s="236"/>
    </row>
    <row r="637" spans="1:14" x14ac:dyDescent="0.2">
      <c r="A637" s="258"/>
      <c r="B637" s="259"/>
      <c r="C637" s="259"/>
      <c r="D637" s="259"/>
      <c r="E637" s="259"/>
      <c r="F637" s="259"/>
      <c r="G637" s="259"/>
      <c r="H637" s="259"/>
      <c r="I637" s="259"/>
      <c r="J637" s="259"/>
      <c r="K637" s="259"/>
      <c r="L637" s="259"/>
      <c r="M637" s="236"/>
      <c r="N637" s="236"/>
    </row>
    <row r="638" spans="1:14" x14ac:dyDescent="0.2">
      <c r="A638" s="237" t="str">
        <f>name!E$4</f>
        <v>Managers, directors and senior officials</v>
      </c>
      <c r="B638" s="302">
        <v>0.11502837545643965</v>
      </c>
      <c r="C638" s="302">
        <v>0.97413963807078308</v>
      </c>
      <c r="D638" s="302">
        <f>SUM(B638:C638)</f>
        <v>1.0891680135272228</v>
      </c>
      <c r="E638" s="303"/>
      <c r="F638" s="302">
        <v>0.20520913088775594</v>
      </c>
      <c r="G638" s="302">
        <v>1.314191217251214</v>
      </c>
      <c r="H638" s="302">
        <f>SUM(F638:G638)</f>
        <v>1.51940034813897</v>
      </c>
      <c r="I638" s="303"/>
      <c r="J638" s="302">
        <v>0.28416375713995401</v>
      </c>
      <c r="K638" s="302">
        <v>1.3720141864072231</v>
      </c>
      <c r="L638" s="302">
        <f>SUM(J638:K638)</f>
        <v>1.6561779435471771</v>
      </c>
      <c r="M638" s="236"/>
      <c r="N638" s="236"/>
    </row>
    <row r="639" spans="1:14" x14ac:dyDescent="0.2">
      <c r="A639" s="237" t="str">
        <f>name!E$5</f>
        <v>Professional occupations</v>
      </c>
      <c r="B639" s="302">
        <v>8.8134604188230894E-2</v>
      </c>
      <c r="C639" s="302">
        <v>0.67962052290239283</v>
      </c>
      <c r="D639" s="302">
        <f t="shared" ref="D639:D646" si="238">SUM(B639:C639)</f>
        <v>0.76775512709062377</v>
      </c>
      <c r="E639" s="303"/>
      <c r="F639" s="302">
        <v>0.18760855188817629</v>
      </c>
      <c r="G639" s="302">
        <v>1.0171222611743518</v>
      </c>
      <c r="H639" s="302">
        <f t="shared" ref="H639:H646" si="239">SUM(F639:G639)</f>
        <v>1.204730813062528</v>
      </c>
      <c r="I639" s="303"/>
      <c r="J639" s="302">
        <v>0.26286607566692483</v>
      </c>
      <c r="K639" s="302">
        <v>1.3300286897720925</v>
      </c>
      <c r="L639" s="302">
        <f t="shared" ref="L639:L646" si="240">SUM(J639:K639)</f>
        <v>1.5928947654390173</v>
      </c>
      <c r="M639" s="236"/>
      <c r="N639" s="236"/>
    </row>
    <row r="640" spans="1:14" x14ac:dyDescent="0.2">
      <c r="A640" s="237" t="str">
        <f>name!E$6</f>
        <v>Associate professional occupations</v>
      </c>
      <c r="B640" s="302">
        <v>0.11510060315721256</v>
      </c>
      <c r="C640" s="302">
        <v>0.6186404849109538</v>
      </c>
      <c r="D640" s="302">
        <f t="shared" si="238"/>
        <v>0.7337410880681664</v>
      </c>
      <c r="E640" s="303"/>
      <c r="F640" s="302">
        <v>0.20442336317225229</v>
      </c>
      <c r="G640" s="302">
        <v>0.93493965885410302</v>
      </c>
      <c r="H640" s="302">
        <f t="shared" si="239"/>
        <v>1.1393630220263553</v>
      </c>
      <c r="I640" s="303"/>
      <c r="J640" s="302">
        <v>0.26128642644028444</v>
      </c>
      <c r="K640" s="302">
        <v>1.0842094323510965</v>
      </c>
      <c r="L640" s="302">
        <f t="shared" si="240"/>
        <v>1.3454958587913808</v>
      </c>
      <c r="M640" s="236"/>
      <c r="N640" s="236"/>
    </row>
    <row r="641" spans="1:14" x14ac:dyDescent="0.2">
      <c r="A641" s="237" t="str">
        <f>name!E$7</f>
        <v>Administrative and secretarial occupations</v>
      </c>
      <c r="B641" s="302">
        <v>0.55400652581489829</v>
      </c>
      <c r="C641" s="302">
        <v>0.62200977004770241</v>
      </c>
      <c r="D641" s="302">
        <f t="shared" si="238"/>
        <v>1.1760162958626008</v>
      </c>
      <c r="E641" s="303"/>
      <c r="F641" s="302">
        <v>0.77331373711693796</v>
      </c>
      <c r="G641" s="302">
        <v>0.81711619361700005</v>
      </c>
      <c r="H641" s="302">
        <f t="shared" si="239"/>
        <v>1.590429930733938</v>
      </c>
      <c r="I641" s="303"/>
      <c r="J641" s="302">
        <v>0.70527820888878556</v>
      </c>
      <c r="K641" s="302">
        <v>0.81268295635935295</v>
      </c>
      <c r="L641" s="302">
        <f t="shared" si="240"/>
        <v>1.5179611652481384</v>
      </c>
      <c r="M641" s="236"/>
      <c r="N641" s="236"/>
    </row>
    <row r="642" spans="1:14" x14ac:dyDescent="0.2">
      <c r="A642" s="237" t="str">
        <f>name!E$8</f>
        <v>Skilled trades occupations</v>
      </c>
      <c r="B642" s="302">
        <v>1.7331715619335785E-2</v>
      </c>
      <c r="C642" s="302">
        <v>0.48411231820854866</v>
      </c>
      <c r="D642" s="302">
        <f t="shared" si="238"/>
        <v>0.50144403382788449</v>
      </c>
      <c r="E642" s="303"/>
      <c r="F642" s="302">
        <v>2.5324774593200376E-2</v>
      </c>
      <c r="G642" s="302">
        <v>0.50304100164064325</v>
      </c>
      <c r="H642" s="302">
        <f t="shared" si="239"/>
        <v>0.52836577623384362</v>
      </c>
      <c r="I642" s="303"/>
      <c r="J642" s="302">
        <v>4.5973075940427072E-2</v>
      </c>
      <c r="K642" s="302">
        <v>0.62759245560405053</v>
      </c>
      <c r="L642" s="302">
        <f t="shared" si="240"/>
        <v>0.67356553154447762</v>
      </c>
      <c r="M642" s="236"/>
      <c r="N642" s="236"/>
    </row>
    <row r="643" spans="1:14" x14ac:dyDescent="0.2">
      <c r="A643" s="237" t="str">
        <f>name!E$9</f>
        <v>Caring, leisure and other service occupations</v>
      </c>
      <c r="B643" s="302">
        <v>1.1636113545534095</v>
      </c>
      <c r="C643" s="302">
        <v>0.58826816981333563</v>
      </c>
      <c r="D643" s="302">
        <f t="shared" si="238"/>
        <v>1.7518795243667451</v>
      </c>
      <c r="E643" s="303"/>
      <c r="F643" s="302">
        <v>1.2907984692764189</v>
      </c>
      <c r="G643" s="302">
        <v>0.78397645276190187</v>
      </c>
      <c r="H643" s="302">
        <f t="shared" si="239"/>
        <v>2.0747749220383209</v>
      </c>
      <c r="I643" s="303"/>
      <c r="J643" s="302">
        <v>1.3247367493224589</v>
      </c>
      <c r="K643" s="302">
        <v>0.85644719381664158</v>
      </c>
      <c r="L643" s="302">
        <f t="shared" si="240"/>
        <v>2.1811839431391005</v>
      </c>
      <c r="M643" s="236"/>
      <c r="N643" s="236"/>
    </row>
    <row r="644" spans="1:14" x14ac:dyDescent="0.2">
      <c r="A644" s="237" t="str">
        <f>name!E$10</f>
        <v>Sales and customer service occupations</v>
      </c>
      <c r="B644" s="302">
        <v>0.31924375921836406</v>
      </c>
      <c r="C644" s="302">
        <v>0.4395333176006963</v>
      </c>
      <c r="D644" s="302">
        <f t="shared" si="238"/>
        <v>0.75877707681906037</v>
      </c>
      <c r="E644" s="303"/>
      <c r="F644" s="302">
        <v>0.42975122168279623</v>
      </c>
      <c r="G644" s="302">
        <v>0.54474912807576581</v>
      </c>
      <c r="H644" s="302">
        <f t="shared" si="239"/>
        <v>0.97450034975856203</v>
      </c>
      <c r="I644" s="303"/>
      <c r="J644" s="302">
        <v>0.48689095627693357</v>
      </c>
      <c r="K644" s="302">
        <v>0.66778906053033715</v>
      </c>
      <c r="L644" s="302">
        <f t="shared" si="240"/>
        <v>1.1546800168072706</v>
      </c>
      <c r="M644" s="236"/>
      <c r="N644" s="236"/>
    </row>
    <row r="645" spans="1:14" x14ac:dyDescent="0.2">
      <c r="A645" s="237" t="str">
        <f>name!E$11</f>
        <v>Process, plant and machine operatives</v>
      </c>
      <c r="B645" s="302">
        <v>4.7772395361613755E-2</v>
      </c>
      <c r="C645" s="302">
        <v>3.047003898367957</v>
      </c>
      <c r="D645" s="302">
        <f t="shared" si="238"/>
        <v>3.0947762937295709</v>
      </c>
      <c r="E645" s="303"/>
      <c r="F645" s="302">
        <v>5.9171078608913533E-2</v>
      </c>
      <c r="G645" s="302">
        <v>3.1144112945140585</v>
      </c>
      <c r="H645" s="302">
        <f t="shared" si="239"/>
        <v>3.1735823731229722</v>
      </c>
      <c r="I645" s="303"/>
      <c r="J645" s="302">
        <v>0.13908035694146992</v>
      </c>
      <c r="K645" s="302">
        <v>3.2192536846538324</v>
      </c>
      <c r="L645" s="302">
        <f t="shared" si="240"/>
        <v>3.3583340415953025</v>
      </c>
      <c r="M645" s="236"/>
      <c r="N645" s="236"/>
    </row>
    <row r="646" spans="1:14" x14ac:dyDescent="0.2">
      <c r="A646" s="237" t="str">
        <f>name!E$12</f>
        <v>Elementary occupations</v>
      </c>
      <c r="B646" s="302">
        <v>0.18577066663100186</v>
      </c>
      <c r="C646" s="302">
        <v>3.1046718801545432</v>
      </c>
      <c r="D646" s="302">
        <f t="shared" si="238"/>
        <v>3.2904425467855449</v>
      </c>
      <c r="E646" s="303"/>
      <c r="F646" s="302">
        <v>0.22239967274411332</v>
      </c>
      <c r="G646" s="302">
        <v>2.697452792135612</v>
      </c>
      <c r="H646" s="302">
        <f t="shared" si="239"/>
        <v>2.9198524648797255</v>
      </c>
      <c r="I646" s="303"/>
      <c r="J646" s="302">
        <v>0.21972439336881341</v>
      </c>
      <c r="K646" s="302">
        <v>1.7599823404077175</v>
      </c>
      <c r="L646" s="302">
        <f t="shared" si="240"/>
        <v>1.9797067337765308</v>
      </c>
      <c r="M646" s="236"/>
      <c r="N646" s="236"/>
    </row>
    <row r="647" spans="1:14" x14ac:dyDescent="0.2">
      <c r="A647" s="237"/>
      <c r="B647" s="302"/>
      <c r="C647" s="302"/>
      <c r="D647" s="302"/>
      <c r="E647" s="303"/>
      <c r="F647" s="302"/>
      <c r="G647" s="302"/>
      <c r="H647" s="302"/>
      <c r="I647" s="303"/>
      <c r="J647" s="302"/>
      <c r="K647" s="302"/>
      <c r="L647" s="302"/>
      <c r="M647" s="236"/>
      <c r="N647" s="236"/>
    </row>
    <row r="648" spans="1:14" x14ac:dyDescent="0.2">
      <c r="A648" s="244" t="s">
        <v>32</v>
      </c>
      <c r="B648" s="311">
        <f>SUM(B638:B646)</f>
        <v>2.6060000000005061</v>
      </c>
      <c r="C648" s="311">
        <f t="shared" ref="C648:D648" si="241">SUM(C638:C646)</f>
        <v>10.558000000076913</v>
      </c>
      <c r="D648" s="311">
        <f t="shared" si="241"/>
        <v>13.16400000007742</v>
      </c>
      <c r="E648" s="311"/>
      <c r="F648" s="311">
        <f t="shared" ref="F648:H648" si="242">SUM(F638:F646)</f>
        <v>3.3979999999705646</v>
      </c>
      <c r="G648" s="311">
        <f t="shared" si="242"/>
        <v>11.727000000024651</v>
      </c>
      <c r="H648" s="311">
        <f t="shared" si="242"/>
        <v>15.124999999995218</v>
      </c>
      <c r="I648" s="311"/>
      <c r="J648" s="311">
        <f t="shared" ref="J648:L648" si="243">SUM(J638:J646)</f>
        <v>3.7299999999860516</v>
      </c>
      <c r="K648" s="311">
        <f t="shared" si="243"/>
        <v>11.729999999902343</v>
      </c>
      <c r="L648" s="311">
        <f t="shared" si="243"/>
        <v>15.459999999888396</v>
      </c>
      <c r="M648" s="236"/>
      <c r="N648" s="236"/>
    </row>
    <row r="649" spans="1:14" x14ac:dyDescent="0.2">
      <c r="A649" s="237"/>
      <c r="B649" s="237"/>
      <c r="C649" s="237"/>
      <c r="D649" s="237"/>
      <c r="E649" s="237"/>
      <c r="F649" s="237"/>
      <c r="G649" s="237"/>
      <c r="H649" s="237"/>
      <c r="I649" s="237"/>
      <c r="J649" s="237"/>
      <c r="K649" s="237"/>
      <c r="L649" s="240"/>
      <c r="M649" s="236"/>
      <c r="N649" s="236"/>
    </row>
    <row r="650" spans="1:14" x14ac:dyDescent="0.2">
      <c r="A650" s="237"/>
      <c r="B650" s="237"/>
      <c r="C650" s="237"/>
      <c r="D650" s="237"/>
      <c r="E650" s="237"/>
      <c r="F650" s="237"/>
      <c r="G650" s="237"/>
      <c r="H650" s="237"/>
      <c r="I650" s="237"/>
      <c r="J650" s="237"/>
      <c r="K650" s="237"/>
      <c r="L650" s="256" t="s">
        <v>35</v>
      </c>
      <c r="M650" s="236"/>
      <c r="N650" s="236"/>
    </row>
    <row r="651" spans="1:14" x14ac:dyDescent="0.2">
      <c r="A651" s="242"/>
      <c r="B651" s="250"/>
      <c r="C651" s="250"/>
      <c r="D651" s="250"/>
      <c r="E651" s="250"/>
      <c r="F651" s="250"/>
      <c r="G651" s="250"/>
      <c r="H651" s="250"/>
      <c r="I651" s="250"/>
      <c r="J651" s="250"/>
      <c r="K651" s="250"/>
      <c r="L651" s="236"/>
      <c r="M651" s="236"/>
      <c r="N651" s="236"/>
    </row>
    <row r="652" spans="1:14" x14ac:dyDescent="0.2">
      <c r="A652" s="241" t="str">
        <f>name!A41</f>
        <v>Postal and courier</v>
      </c>
      <c r="B652" s="372">
        <f>B$6</f>
        <v>2015</v>
      </c>
      <c r="C652" s="372"/>
      <c r="D652" s="372"/>
      <c r="E652" s="253"/>
      <c r="F652" s="372">
        <f>F635</f>
        <v>2020</v>
      </c>
      <c r="G652" s="372"/>
      <c r="H652" s="372"/>
      <c r="I652" s="253"/>
      <c r="J652" s="372">
        <f>J635</f>
        <v>2035</v>
      </c>
      <c r="K652" s="372"/>
      <c r="L652" s="372"/>
      <c r="M652" s="236"/>
      <c r="N652" s="236"/>
    </row>
    <row r="653" spans="1:14" x14ac:dyDescent="0.2">
      <c r="A653" s="254"/>
      <c r="B653" s="255" t="s">
        <v>352</v>
      </c>
      <c r="C653" s="255" t="s">
        <v>353</v>
      </c>
      <c r="D653" s="255" t="s">
        <v>32</v>
      </c>
      <c r="E653" s="255"/>
      <c r="F653" s="255" t="s">
        <v>352</v>
      </c>
      <c r="G653" s="255" t="s">
        <v>353</v>
      </c>
      <c r="H653" s="255" t="s">
        <v>32</v>
      </c>
      <c r="I653" s="255"/>
      <c r="J653" s="255" t="s">
        <v>352</v>
      </c>
      <c r="K653" s="255" t="s">
        <v>353</v>
      </c>
      <c r="L653" s="255" t="s">
        <v>32</v>
      </c>
      <c r="M653" s="236"/>
      <c r="N653" s="236"/>
    </row>
    <row r="654" spans="1:14" x14ac:dyDescent="0.2">
      <c r="A654" s="258"/>
      <c r="B654" s="259"/>
      <c r="C654" s="259"/>
      <c r="D654" s="259"/>
      <c r="E654" s="259"/>
      <c r="F654" s="259"/>
      <c r="G654" s="259"/>
      <c r="H654" s="259"/>
      <c r="I654" s="259"/>
      <c r="J654" s="259"/>
      <c r="K654" s="259"/>
      <c r="L654" s="259"/>
      <c r="M654" s="236"/>
      <c r="N654" s="236"/>
    </row>
    <row r="655" spans="1:14" x14ac:dyDescent="0.2">
      <c r="A655" s="237" t="str">
        <f>name!E$4</f>
        <v>Managers, directors and senior officials</v>
      </c>
      <c r="B655" s="302">
        <v>0.229579136517856</v>
      </c>
      <c r="C655" s="302">
        <v>0.29253435448943321</v>
      </c>
      <c r="D655" s="302">
        <f>SUM(B655:C655)</f>
        <v>0.52211349100728921</v>
      </c>
      <c r="E655" s="303"/>
      <c r="F655" s="302">
        <v>0.46256913920500448</v>
      </c>
      <c r="G655" s="302">
        <v>0.32757702908535125</v>
      </c>
      <c r="H655" s="302">
        <f>SUM(F655:G655)</f>
        <v>0.79014616829035567</v>
      </c>
      <c r="I655" s="303"/>
      <c r="J655" s="302">
        <v>0.51840139604715263</v>
      </c>
      <c r="K655" s="302">
        <v>0.31684058509347823</v>
      </c>
      <c r="L655" s="302">
        <f>SUM(J655:K655)</f>
        <v>0.83524198114063086</v>
      </c>
      <c r="M655" s="236"/>
      <c r="N655" s="236"/>
    </row>
    <row r="656" spans="1:14" x14ac:dyDescent="0.2">
      <c r="A656" s="237" t="str">
        <f>name!E$5</f>
        <v>Professional occupations</v>
      </c>
      <c r="B656" s="302">
        <v>0.14280475087168051</v>
      </c>
      <c r="C656" s="302">
        <v>0.16281536947863948</v>
      </c>
      <c r="D656" s="302">
        <f t="shared" ref="D656:D663" si="244">SUM(B656:C656)</f>
        <v>0.30562012035031999</v>
      </c>
      <c r="E656" s="303"/>
      <c r="F656" s="302">
        <v>0.24485321682519492</v>
      </c>
      <c r="G656" s="302">
        <v>0.20417002407844501</v>
      </c>
      <c r="H656" s="302">
        <f t="shared" ref="H656:H663" si="245">SUM(F656:G656)</f>
        <v>0.44902324090363993</v>
      </c>
      <c r="I656" s="303"/>
      <c r="J656" s="302">
        <v>0.30849605254761425</v>
      </c>
      <c r="K656" s="302">
        <v>0.23441363186671804</v>
      </c>
      <c r="L656" s="302">
        <f t="shared" ref="L656:L663" si="246">SUM(J656:K656)</f>
        <v>0.54290968441433229</v>
      </c>
      <c r="M656" s="236"/>
      <c r="N656" s="236"/>
    </row>
    <row r="657" spans="1:14" x14ac:dyDescent="0.2">
      <c r="A657" s="237" t="str">
        <f>name!E$6</f>
        <v>Associate professional occupations</v>
      </c>
      <c r="B657" s="302">
        <v>0.19232277934979866</v>
      </c>
      <c r="C657" s="302">
        <v>0.20855263953913661</v>
      </c>
      <c r="D657" s="302">
        <f t="shared" si="244"/>
        <v>0.4008754188889353</v>
      </c>
      <c r="E657" s="303"/>
      <c r="F657" s="302">
        <v>0.27003180012652966</v>
      </c>
      <c r="G657" s="302">
        <v>0.22805556393733173</v>
      </c>
      <c r="H657" s="302">
        <f t="shared" si="245"/>
        <v>0.49808736406386139</v>
      </c>
      <c r="I657" s="303"/>
      <c r="J657" s="302">
        <v>0.32244776148536408</v>
      </c>
      <c r="K657" s="302">
        <v>0.22509295604367804</v>
      </c>
      <c r="L657" s="302">
        <f t="shared" si="246"/>
        <v>0.5475407175290421</v>
      </c>
      <c r="M657" s="236"/>
      <c r="N657" s="236"/>
    </row>
    <row r="658" spans="1:14" x14ac:dyDescent="0.2">
      <c r="A658" s="237" t="str">
        <f>name!E$7</f>
        <v>Administrative and secretarial occupations</v>
      </c>
      <c r="B658" s="302">
        <v>1.1065977044485191</v>
      </c>
      <c r="C658" s="302">
        <v>0.22124764040840109</v>
      </c>
      <c r="D658" s="302">
        <f t="shared" si="244"/>
        <v>1.3278453448569203</v>
      </c>
      <c r="E658" s="303"/>
      <c r="F658" s="302">
        <v>1.2586161434873988</v>
      </c>
      <c r="G658" s="302">
        <v>0.23850165610526231</v>
      </c>
      <c r="H658" s="302">
        <f t="shared" si="245"/>
        <v>1.4971177995926612</v>
      </c>
      <c r="I658" s="303"/>
      <c r="J658" s="302">
        <v>1.2460735053194971</v>
      </c>
      <c r="K658" s="302">
        <v>0.24230611249640946</v>
      </c>
      <c r="L658" s="302">
        <f t="shared" si="246"/>
        <v>1.4883796178159066</v>
      </c>
      <c r="M658" s="236"/>
      <c r="N658" s="236"/>
    </row>
    <row r="659" spans="1:14" x14ac:dyDescent="0.2">
      <c r="A659" s="237" t="str">
        <f>name!E$8</f>
        <v>Skilled trades occupations</v>
      </c>
      <c r="B659" s="302">
        <v>3.348719163871023E-2</v>
      </c>
      <c r="C659" s="302">
        <v>0.34505740637873489</v>
      </c>
      <c r="D659" s="302">
        <f t="shared" si="244"/>
        <v>0.37854459801744511</v>
      </c>
      <c r="E659" s="303"/>
      <c r="F659" s="302">
        <v>4.4588637920144877E-2</v>
      </c>
      <c r="G659" s="302">
        <v>0.30659219060454024</v>
      </c>
      <c r="H659" s="302">
        <f t="shared" si="245"/>
        <v>0.35118082852468513</v>
      </c>
      <c r="I659" s="303"/>
      <c r="J659" s="302">
        <v>6.0685759389929074E-2</v>
      </c>
      <c r="K659" s="302">
        <v>0.29774740674453237</v>
      </c>
      <c r="L659" s="302">
        <f t="shared" si="246"/>
        <v>0.35843316613446147</v>
      </c>
      <c r="M659" s="236"/>
      <c r="N659" s="236"/>
    </row>
    <row r="660" spans="1:14" x14ac:dyDescent="0.2">
      <c r="A660" s="237" t="str">
        <f>name!E$9</f>
        <v>Caring, leisure and other service occupations</v>
      </c>
      <c r="B660" s="302">
        <v>0.18929864900238427</v>
      </c>
      <c r="C660" s="302">
        <v>0.14721894116342754</v>
      </c>
      <c r="D660" s="302">
        <f t="shared" si="244"/>
        <v>0.33651759016581184</v>
      </c>
      <c r="E660" s="303"/>
      <c r="F660" s="302">
        <v>0.24227364616032596</v>
      </c>
      <c r="G660" s="302">
        <v>0.16107999559415834</v>
      </c>
      <c r="H660" s="302">
        <f t="shared" si="245"/>
        <v>0.40335364175448429</v>
      </c>
      <c r="I660" s="303"/>
      <c r="J660" s="302">
        <v>0.27670210478482193</v>
      </c>
      <c r="K660" s="302">
        <v>0.21046338425389693</v>
      </c>
      <c r="L660" s="302">
        <f t="shared" si="246"/>
        <v>0.48716548903871887</v>
      </c>
      <c r="M660" s="236"/>
      <c r="N660" s="236"/>
    </row>
    <row r="661" spans="1:14" x14ac:dyDescent="0.2">
      <c r="A661" s="237" t="str">
        <f>name!E$10</f>
        <v>Sales and customer service occupations</v>
      </c>
      <c r="B661" s="302">
        <v>0.54476511257967875</v>
      </c>
      <c r="C661" s="302">
        <v>0.11508139654897513</v>
      </c>
      <c r="D661" s="302">
        <f t="shared" si="244"/>
        <v>0.65984650912865384</v>
      </c>
      <c r="E661" s="303"/>
      <c r="F661" s="302">
        <v>0.59734082093012963</v>
      </c>
      <c r="G661" s="302">
        <v>0.1147959549891176</v>
      </c>
      <c r="H661" s="302">
        <f t="shared" si="245"/>
        <v>0.71213677591924718</v>
      </c>
      <c r="I661" s="303"/>
      <c r="J661" s="302">
        <v>0.78999576728577159</v>
      </c>
      <c r="K661" s="302">
        <v>0.15581050015995851</v>
      </c>
      <c r="L661" s="302">
        <f t="shared" si="246"/>
        <v>0.94580626744573015</v>
      </c>
      <c r="M661" s="236"/>
      <c r="N661" s="236"/>
    </row>
    <row r="662" spans="1:14" x14ac:dyDescent="0.2">
      <c r="A662" s="237" t="str">
        <f>name!E$11</f>
        <v>Process, plant and machine operatives</v>
      </c>
      <c r="B662" s="302">
        <v>2.864157413289457E-2</v>
      </c>
      <c r="C662" s="302">
        <v>0.9045016629141045</v>
      </c>
      <c r="D662" s="302">
        <f t="shared" si="244"/>
        <v>0.93314323704699909</v>
      </c>
      <c r="E662" s="303"/>
      <c r="F662" s="302">
        <v>3.2081072023216854E-2</v>
      </c>
      <c r="G662" s="302">
        <v>0.81659104783148928</v>
      </c>
      <c r="H662" s="302">
        <f t="shared" si="245"/>
        <v>0.84867211985470614</v>
      </c>
      <c r="I662" s="303"/>
      <c r="J662" s="302">
        <v>4.9855802382395127E-2</v>
      </c>
      <c r="K662" s="302">
        <v>0.79859228501064716</v>
      </c>
      <c r="L662" s="302">
        <f t="shared" si="246"/>
        <v>0.84844808739304234</v>
      </c>
      <c r="M662" s="236"/>
      <c r="N662" s="236"/>
    </row>
    <row r="663" spans="1:14" x14ac:dyDescent="0.2">
      <c r="A663" s="237" t="str">
        <f>name!E$12</f>
        <v>Elementary occupations</v>
      </c>
      <c r="B663" s="302">
        <v>1.0825031015026272</v>
      </c>
      <c r="C663" s="302">
        <v>2.6909905891319479</v>
      </c>
      <c r="D663" s="302">
        <f t="shared" si="244"/>
        <v>3.7734936906345751</v>
      </c>
      <c r="E663" s="303"/>
      <c r="F663" s="302">
        <v>1.0506455232963665</v>
      </c>
      <c r="G663" s="302">
        <v>2.2866365377864017</v>
      </c>
      <c r="H663" s="302">
        <f t="shared" si="245"/>
        <v>3.3372820610827683</v>
      </c>
      <c r="I663" s="303"/>
      <c r="J663" s="302">
        <v>1.0033418507321876</v>
      </c>
      <c r="K663" s="302">
        <v>2.2097331382728678</v>
      </c>
      <c r="L663" s="302">
        <f t="shared" si="246"/>
        <v>3.2130749890050554</v>
      </c>
      <c r="M663" s="236"/>
      <c r="N663" s="236"/>
    </row>
    <row r="664" spans="1:14" x14ac:dyDescent="0.2">
      <c r="A664" s="237"/>
      <c r="B664" s="302"/>
      <c r="C664" s="302"/>
      <c r="D664" s="302"/>
      <c r="E664" s="303"/>
      <c r="F664" s="302"/>
      <c r="G664" s="302"/>
      <c r="H664" s="302"/>
      <c r="I664" s="303"/>
      <c r="J664" s="302"/>
      <c r="K664" s="302"/>
      <c r="L664" s="302"/>
      <c r="M664" s="236"/>
      <c r="N664" s="236"/>
    </row>
    <row r="665" spans="1:14" x14ac:dyDescent="0.2">
      <c r="A665" s="244" t="s">
        <v>32</v>
      </c>
      <c r="B665" s="311">
        <f>SUM(B655:B663)</f>
        <v>3.5500000000441494</v>
      </c>
      <c r="C665" s="311">
        <f t="shared" ref="C665:D665" si="247">SUM(C655:C663)</f>
        <v>5.0880000000528005</v>
      </c>
      <c r="D665" s="311">
        <f t="shared" si="247"/>
        <v>8.6380000000969499</v>
      </c>
      <c r="E665" s="311"/>
      <c r="F665" s="311">
        <f t="shared" ref="F665:H665" si="248">SUM(F655:F663)</f>
        <v>4.2029999999743115</v>
      </c>
      <c r="G665" s="311">
        <f t="shared" si="248"/>
        <v>4.6840000000120972</v>
      </c>
      <c r="H665" s="311">
        <f t="shared" si="248"/>
        <v>8.8869999999864078</v>
      </c>
      <c r="I665" s="311"/>
      <c r="J665" s="311">
        <f t="shared" ref="J665:L665" si="249">SUM(J655:J663)</f>
        <v>4.5759999999747336</v>
      </c>
      <c r="K665" s="311">
        <f t="shared" si="249"/>
        <v>4.6909999999421874</v>
      </c>
      <c r="L665" s="311">
        <f t="shared" si="249"/>
        <v>9.2669999999169193</v>
      </c>
      <c r="M665" s="236"/>
      <c r="N665" s="236"/>
    </row>
    <row r="666" spans="1:14" x14ac:dyDescent="0.2">
      <c r="A666" s="237"/>
      <c r="B666" s="237"/>
      <c r="C666" s="237"/>
      <c r="D666" s="237"/>
      <c r="E666" s="237"/>
      <c r="F666" s="237"/>
      <c r="G666" s="237"/>
      <c r="H666" s="237"/>
      <c r="I666" s="237"/>
      <c r="J666" s="237"/>
      <c r="K666" s="237"/>
      <c r="L666" s="240"/>
      <c r="M666" s="236"/>
      <c r="N666" s="236"/>
    </row>
    <row r="667" spans="1:14" x14ac:dyDescent="0.2">
      <c r="A667" s="237"/>
      <c r="B667" s="237"/>
      <c r="C667" s="237"/>
      <c r="D667" s="237"/>
      <c r="E667" s="237"/>
      <c r="F667" s="237"/>
      <c r="G667" s="237"/>
      <c r="H667" s="237"/>
      <c r="I667" s="237"/>
      <c r="J667" s="237"/>
      <c r="K667" s="237"/>
      <c r="L667" s="256" t="s">
        <v>35</v>
      </c>
      <c r="M667" s="236"/>
      <c r="N667" s="236"/>
    </row>
    <row r="668" spans="1:14" x14ac:dyDescent="0.2">
      <c r="A668" s="242"/>
      <c r="B668" s="250"/>
      <c r="C668" s="250"/>
      <c r="D668" s="250"/>
      <c r="E668" s="250"/>
      <c r="F668" s="250"/>
      <c r="G668" s="250"/>
      <c r="H668" s="250"/>
      <c r="I668" s="250"/>
      <c r="J668" s="250"/>
      <c r="K668" s="250"/>
      <c r="L668" s="236"/>
      <c r="M668" s="236"/>
      <c r="N668" s="236"/>
    </row>
    <row r="669" spans="1:14" x14ac:dyDescent="0.2">
      <c r="A669" s="241" t="str">
        <f>name!A42</f>
        <v>Accommodation</v>
      </c>
      <c r="B669" s="372">
        <f>B$6</f>
        <v>2015</v>
      </c>
      <c r="C669" s="372"/>
      <c r="D669" s="372"/>
      <c r="E669" s="253"/>
      <c r="F669" s="372">
        <f>F652</f>
        <v>2020</v>
      </c>
      <c r="G669" s="372"/>
      <c r="H669" s="372"/>
      <c r="I669" s="253"/>
      <c r="J669" s="372">
        <f>J652</f>
        <v>2035</v>
      </c>
      <c r="K669" s="372"/>
      <c r="L669" s="372"/>
      <c r="M669" s="236"/>
      <c r="N669" s="236"/>
    </row>
    <row r="670" spans="1:14" x14ac:dyDescent="0.2">
      <c r="A670" s="254"/>
      <c r="B670" s="255" t="s">
        <v>352</v>
      </c>
      <c r="C670" s="255" t="s">
        <v>353</v>
      </c>
      <c r="D670" s="255" t="s">
        <v>32</v>
      </c>
      <c r="E670" s="255"/>
      <c r="F670" s="255" t="s">
        <v>352</v>
      </c>
      <c r="G670" s="255" t="s">
        <v>353</v>
      </c>
      <c r="H670" s="255" t="s">
        <v>32</v>
      </c>
      <c r="I670" s="255"/>
      <c r="J670" s="255" t="s">
        <v>352</v>
      </c>
      <c r="K670" s="255" t="s">
        <v>353</v>
      </c>
      <c r="L670" s="255" t="s">
        <v>32</v>
      </c>
      <c r="M670" s="236"/>
      <c r="N670" s="236"/>
    </row>
    <row r="671" spans="1:14" x14ac:dyDescent="0.2">
      <c r="A671" s="258"/>
      <c r="B671" s="259"/>
      <c r="C671" s="259"/>
      <c r="D671" s="259"/>
      <c r="E671" s="259"/>
      <c r="F671" s="259"/>
      <c r="G671" s="259"/>
      <c r="H671" s="259"/>
      <c r="I671" s="259"/>
      <c r="J671" s="259"/>
      <c r="K671" s="259"/>
      <c r="L671" s="259"/>
      <c r="M671" s="236"/>
      <c r="N671" s="236"/>
    </row>
    <row r="672" spans="1:14" x14ac:dyDescent="0.2">
      <c r="A672" s="237" t="str">
        <f>name!E$4</f>
        <v>Managers, directors and senior officials</v>
      </c>
      <c r="B672" s="302">
        <v>1.7863291176623675</v>
      </c>
      <c r="C672" s="302">
        <v>1.9048344418154581</v>
      </c>
      <c r="D672" s="302">
        <f>SUM(B672:C672)</f>
        <v>3.6911635594778254</v>
      </c>
      <c r="E672" s="303"/>
      <c r="F672" s="302">
        <v>1.6492903829932875</v>
      </c>
      <c r="G672" s="302">
        <v>1.5076112652143587</v>
      </c>
      <c r="H672" s="302">
        <f>SUM(F672:G672)</f>
        <v>3.1569016482076462</v>
      </c>
      <c r="I672" s="303"/>
      <c r="J672" s="302">
        <v>2.1310812461561603</v>
      </c>
      <c r="K672" s="302">
        <v>1.9959766652590727</v>
      </c>
      <c r="L672" s="302">
        <f>SUM(J672:K672)</f>
        <v>4.1270579114152328</v>
      </c>
      <c r="M672" s="236"/>
      <c r="N672" s="236"/>
    </row>
    <row r="673" spans="1:14" x14ac:dyDescent="0.2">
      <c r="A673" s="237" t="str">
        <f>name!E$5</f>
        <v>Professional occupations</v>
      </c>
      <c r="B673" s="302">
        <v>0.3422040178668046</v>
      </c>
      <c r="C673" s="302">
        <v>0.33013278018111836</v>
      </c>
      <c r="D673" s="302">
        <f t="shared" ref="D673:D680" si="250">SUM(B673:C673)</f>
        <v>0.6723367980479229</v>
      </c>
      <c r="E673" s="303"/>
      <c r="F673" s="302">
        <v>0.36898561487053927</v>
      </c>
      <c r="G673" s="302">
        <v>0.30359379200922404</v>
      </c>
      <c r="H673" s="302">
        <f t="shared" ref="H673:H680" si="251">SUM(F673:G673)</f>
        <v>0.67257940687976325</v>
      </c>
      <c r="I673" s="303"/>
      <c r="J673" s="302">
        <v>0.41144481822958279</v>
      </c>
      <c r="K673" s="302">
        <v>0.33224569217928451</v>
      </c>
      <c r="L673" s="302">
        <f t="shared" ref="L673:L680" si="252">SUM(J673:K673)</f>
        <v>0.74369051040886736</v>
      </c>
      <c r="M673" s="236"/>
      <c r="N673" s="236"/>
    </row>
    <row r="674" spans="1:14" x14ac:dyDescent="0.2">
      <c r="A674" s="237" t="str">
        <f>name!E$6</f>
        <v>Associate professional occupations</v>
      </c>
      <c r="B674" s="302">
        <v>0.29300711562946863</v>
      </c>
      <c r="C674" s="302">
        <v>0.22597303361862872</v>
      </c>
      <c r="D674" s="302">
        <f t="shared" si="250"/>
        <v>0.51898014924809732</v>
      </c>
      <c r="E674" s="303"/>
      <c r="F674" s="302">
        <v>0.26511458781232877</v>
      </c>
      <c r="G674" s="302">
        <v>0.18901350195541342</v>
      </c>
      <c r="H674" s="302">
        <f t="shared" si="251"/>
        <v>0.45412808976774222</v>
      </c>
      <c r="I674" s="303"/>
      <c r="J674" s="302">
        <v>0.32621447631754069</v>
      </c>
      <c r="K674" s="302">
        <v>0.17401014655313124</v>
      </c>
      <c r="L674" s="302">
        <f t="shared" si="252"/>
        <v>0.50022462287067193</v>
      </c>
      <c r="M674" s="236"/>
      <c r="N674" s="236"/>
    </row>
    <row r="675" spans="1:14" x14ac:dyDescent="0.2">
      <c r="A675" s="237" t="str">
        <f>name!E$7</f>
        <v>Administrative and secretarial occupations</v>
      </c>
      <c r="B675" s="302">
        <v>0.4099065973445456</v>
      </c>
      <c r="C675" s="302">
        <v>0.21277321614568423</v>
      </c>
      <c r="D675" s="302">
        <f t="shared" si="250"/>
        <v>0.62267981349022983</v>
      </c>
      <c r="E675" s="303"/>
      <c r="F675" s="302">
        <v>0.32755537572296428</v>
      </c>
      <c r="G675" s="302">
        <v>0.15378561176919855</v>
      </c>
      <c r="H675" s="302">
        <f t="shared" si="251"/>
        <v>0.48134098749216281</v>
      </c>
      <c r="I675" s="303"/>
      <c r="J675" s="302">
        <v>0.38365835061851011</v>
      </c>
      <c r="K675" s="302">
        <v>0.19878876154724934</v>
      </c>
      <c r="L675" s="302">
        <f t="shared" si="252"/>
        <v>0.58244711216575951</v>
      </c>
      <c r="M675" s="236"/>
      <c r="N675" s="236"/>
    </row>
    <row r="676" spans="1:14" x14ac:dyDescent="0.2">
      <c r="A676" s="237" t="str">
        <f>name!E$8</f>
        <v>Skilled trades occupations</v>
      </c>
      <c r="B676" s="302">
        <v>1.1564467567720904</v>
      </c>
      <c r="C676" s="302">
        <v>1.0762670546539526</v>
      </c>
      <c r="D676" s="302">
        <f t="shared" si="250"/>
        <v>2.2327138114260432</v>
      </c>
      <c r="E676" s="303"/>
      <c r="F676" s="302">
        <v>0.8656011660631846</v>
      </c>
      <c r="G676" s="302">
        <v>0.63407319435799725</v>
      </c>
      <c r="H676" s="302">
        <f t="shared" si="251"/>
        <v>1.499674360421182</v>
      </c>
      <c r="I676" s="303"/>
      <c r="J676" s="302">
        <v>0.86443180968836486</v>
      </c>
      <c r="K676" s="302">
        <v>0.53768074323580706</v>
      </c>
      <c r="L676" s="302">
        <f t="shared" si="252"/>
        <v>1.402112552924172</v>
      </c>
      <c r="M676" s="236"/>
      <c r="N676" s="236"/>
    </row>
    <row r="677" spans="1:14" x14ac:dyDescent="0.2">
      <c r="A677" s="237" t="str">
        <f>name!E$9</f>
        <v>Caring, leisure and other service occupations</v>
      </c>
      <c r="B677" s="302">
        <v>0.93048571227190569</v>
      </c>
      <c r="C677" s="302">
        <v>0.14620015270667722</v>
      </c>
      <c r="D677" s="302">
        <f t="shared" si="250"/>
        <v>1.0766858649785829</v>
      </c>
      <c r="E677" s="303"/>
      <c r="F677" s="302">
        <v>0.64982735712909456</v>
      </c>
      <c r="G677" s="302">
        <v>0.12115636807237448</v>
      </c>
      <c r="H677" s="302">
        <f t="shared" si="251"/>
        <v>0.77098372520146907</v>
      </c>
      <c r="I677" s="303"/>
      <c r="J677" s="302">
        <v>0.7893593811370434</v>
      </c>
      <c r="K677" s="302">
        <v>0.1341980103738695</v>
      </c>
      <c r="L677" s="302">
        <f t="shared" si="252"/>
        <v>0.92355739151091287</v>
      </c>
      <c r="M677" s="236"/>
      <c r="N677" s="236"/>
    </row>
    <row r="678" spans="1:14" x14ac:dyDescent="0.2">
      <c r="A678" s="237" t="str">
        <f>name!E$10</f>
        <v>Sales and customer service occupations</v>
      </c>
      <c r="B678" s="302">
        <v>1.1295262776943691</v>
      </c>
      <c r="C678" s="302">
        <v>0.53091256851501412</v>
      </c>
      <c r="D678" s="302">
        <f t="shared" si="250"/>
        <v>1.6604388462093831</v>
      </c>
      <c r="E678" s="303"/>
      <c r="F678" s="302">
        <v>0.7271080576956318</v>
      </c>
      <c r="G678" s="302">
        <v>0.4049386543700399</v>
      </c>
      <c r="H678" s="302">
        <f t="shared" si="251"/>
        <v>1.1320467120656716</v>
      </c>
      <c r="I678" s="303"/>
      <c r="J678" s="302">
        <v>0.86941650806966975</v>
      </c>
      <c r="K678" s="302">
        <v>0.46599364205842636</v>
      </c>
      <c r="L678" s="302">
        <f t="shared" si="252"/>
        <v>1.3354101501280962</v>
      </c>
      <c r="M678" s="236"/>
      <c r="N678" s="236"/>
    </row>
    <row r="679" spans="1:14" x14ac:dyDescent="0.2">
      <c r="A679" s="237" t="str">
        <f>name!E$11</f>
        <v>Process, plant and machine operatives</v>
      </c>
      <c r="B679" s="302">
        <v>5.9292170350393199E-2</v>
      </c>
      <c r="C679" s="302">
        <v>0.35146381246792946</v>
      </c>
      <c r="D679" s="302">
        <f t="shared" si="250"/>
        <v>0.41075598281832265</v>
      </c>
      <c r="E679" s="303"/>
      <c r="F679" s="302">
        <v>3.2759461211274696E-2</v>
      </c>
      <c r="G679" s="302">
        <v>0.25774380885122511</v>
      </c>
      <c r="H679" s="302">
        <f t="shared" si="251"/>
        <v>0.29050327006249982</v>
      </c>
      <c r="I679" s="303"/>
      <c r="J679" s="302">
        <v>8.4540478690697834E-2</v>
      </c>
      <c r="K679" s="302">
        <v>0.30495607206575504</v>
      </c>
      <c r="L679" s="302">
        <f t="shared" si="252"/>
        <v>0.38949655075645284</v>
      </c>
      <c r="M679" s="236"/>
      <c r="N679" s="236"/>
    </row>
    <row r="680" spans="1:14" x14ac:dyDescent="0.2">
      <c r="A680" s="237" t="str">
        <f>name!E$12</f>
        <v>Elementary occupations</v>
      </c>
      <c r="B680" s="302">
        <v>6.1688022346438158</v>
      </c>
      <c r="C680" s="302">
        <v>1.7894429399401048</v>
      </c>
      <c r="D680" s="302">
        <f t="shared" si="250"/>
        <v>7.9582451745839204</v>
      </c>
      <c r="E680" s="303"/>
      <c r="F680" s="302">
        <v>3.6747579964619028</v>
      </c>
      <c r="G680" s="302">
        <v>1.34608380339749</v>
      </c>
      <c r="H680" s="302">
        <f t="shared" si="251"/>
        <v>5.0208417998593928</v>
      </c>
      <c r="I680" s="303"/>
      <c r="J680" s="302">
        <v>4.1788529310393132</v>
      </c>
      <c r="K680" s="302">
        <v>1.393150266749225</v>
      </c>
      <c r="L680" s="302">
        <f t="shared" si="252"/>
        <v>5.572003197788538</v>
      </c>
      <c r="M680" s="236"/>
      <c r="N680" s="236"/>
    </row>
    <row r="681" spans="1:14" x14ac:dyDescent="0.2">
      <c r="A681" s="237"/>
      <c r="B681" s="302"/>
      <c r="C681" s="302"/>
      <c r="D681" s="302"/>
      <c r="E681" s="303"/>
      <c r="F681" s="302"/>
      <c r="G681" s="302"/>
      <c r="H681" s="302"/>
      <c r="I681" s="303"/>
      <c r="J681" s="302"/>
      <c r="K681" s="302"/>
      <c r="L681" s="302"/>
      <c r="M681" s="236"/>
      <c r="N681" s="236"/>
    </row>
    <row r="682" spans="1:14" x14ac:dyDescent="0.2">
      <c r="A682" s="244" t="s">
        <v>32</v>
      </c>
      <c r="B682" s="311">
        <f>SUM(B672:B680)</f>
        <v>12.276000000235761</v>
      </c>
      <c r="C682" s="311">
        <f t="shared" ref="C682:D682" si="253">SUM(C672:C680)</f>
        <v>6.5680000000445675</v>
      </c>
      <c r="D682" s="311">
        <f t="shared" si="253"/>
        <v>18.844000000280325</v>
      </c>
      <c r="E682" s="311"/>
      <c r="F682" s="311">
        <f t="shared" ref="F682:H682" si="254">SUM(F672:F680)</f>
        <v>8.5609999999602078</v>
      </c>
      <c r="G682" s="311">
        <f t="shared" si="254"/>
        <v>4.9179999999973214</v>
      </c>
      <c r="H682" s="311">
        <f t="shared" si="254"/>
        <v>13.47899999995753</v>
      </c>
      <c r="I682" s="311"/>
      <c r="J682" s="311">
        <f t="shared" ref="J682:L682" si="255">SUM(J672:J680)</f>
        <v>10.038999999946883</v>
      </c>
      <c r="K682" s="311">
        <f t="shared" si="255"/>
        <v>5.5370000000218207</v>
      </c>
      <c r="L682" s="311">
        <f t="shared" si="255"/>
        <v>15.575999999968703</v>
      </c>
      <c r="M682" s="236"/>
      <c r="N682" s="236"/>
    </row>
    <row r="683" spans="1:14" x14ac:dyDescent="0.2">
      <c r="A683" s="237"/>
      <c r="B683" s="237"/>
      <c r="C683" s="237"/>
      <c r="D683" s="237"/>
      <c r="E683" s="237"/>
      <c r="F683" s="237"/>
      <c r="G683" s="237"/>
      <c r="H683" s="237"/>
      <c r="I683" s="237"/>
      <c r="J683" s="237"/>
      <c r="K683" s="237"/>
      <c r="L683" s="240"/>
      <c r="M683" s="236"/>
      <c r="N683" s="236"/>
    </row>
    <row r="684" spans="1:14" x14ac:dyDescent="0.2">
      <c r="A684" s="237"/>
      <c r="B684" s="237"/>
      <c r="C684" s="237"/>
      <c r="D684" s="237"/>
      <c r="E684" s="237"/>
      <c r="F684" s="237"/>
      <c r="G684" s="237"/>
      <c r="H684" s="237"/>
      <c r="I684" s="237"/>
      <c r="J684" s="237"/>
      <c r="K684" s="237"/>
      <c r="L684" s="256" t="s">
        <v>35</v>
      </c>
      <c r="M684" s="236"/>
      <c r="N684" s="236"/>
    </row>
    <row r="685" spans="1:14" x14ac:dyDescent="0.2">
      <c r="A685" s="242"/>
      <c r="B685" s="250"/>
      <c r="C685" s="250"/>
      <c r="D685" s="250"/>
      <c r="E685" s="250"/>
      <c r="F685" s="250"/>
      <c r="G685" s="250"/>
      <c r="H685" s="250"/>
      <c r="I685" s="250"/>
      <c r="J685" s="250"/>
      <c r="K685" s="250"/>
      <c r="L685" s="236"/>
      <c r="M685" s="236"/>
      <c r="N685" s="236"/>
    </row>
    <row r="686" spans="1:14" x14ac:dyDescent="0.2">
      <c r="A686" s="241" t="str">
        <f>name!A43</f>
        <v>Food and beverage services</v>
      </c>
      <c r="B686" s="372">
        <f>B$6</f>
        <v>2015</v>
      </c>
      <c r="C686" s="372"/>
      <c r="D686" s="372"/>
      <c r="E686" s="253"/>
      <c r="F686" s="372">
        <f>F669</f>
        <v>2020</v>
      </c>
      <c r="G686" s="372"/>
      <c r="H686" s="372"/>
      <c r="I686" s="253"/>
      <c r="J686" s="372">
        <f>J669</f>
        <v>2035</v>
      </c>
      <c r="K686" s="372"/>
      <c r="L686" s="372"/>
      <c r="M686" s="236"/>
      <c r="N686" s="236"/>
    </row>
    <row r="687" spans="1:14" x14ac:dyDescent="0.2">
      <c r="A687" s="254"/>
      <c r="B687" s="255" t="s">
        <v>352</v>
      </c>
      <c r="C687" s="255" t="s">
        <v>353</v>
      </c>
      <c r="D687" s="255" t="s">
        <v>32</v>
      </c>
      <c r="E687" s="255"/>
      <c r="F687" s="255" t="s">
        <v>352</v>
      </c>
      <c r="G687" s="255" t="s">
        <v>353</v>
      </c>
      <c r="H687" s="255" t="s">
        <v>32</v>
      </c>
      <c r="I687" s="255"/>
      <c r="J687" s="255" t="s">
        <v>352</v>
      </c>
      <c r="K687" s="255" t="s">
        <v>353</v>
      </c>
      <c r="L687" s="255" t="s">
        <v>32</v>
      </c>
      <c r="M687" s="236"/>
      <c r="N687" s="236"/>
    </row>
    <row r="688" spans="1:14" x14ac:dyDescent="0.2">
      <c r="A688" s="258"/>
      <c r="B688" s="259"/>
      <c r="C688" s="259"/>
      <c r="D688" s="259"/>
      <c r="E688" s="259"/>
      <c r="F688" s="259"/>
      <c r="G688" s="259"/>
      <c r="H688" s="259"/>
      <c r="I688" s="259"/>
      <c r="J688" s="259"/>
      <c r="K688" s="259"/>
      <c r="L688" s="259"/>
      <c r="M688" s="236"/>
      <c r="N688" s="236"/>
    </row>
    <row r="689" spans="1:14" x14ac:dyDescent="0.2">
      <c r="A689" s="237" t="str">
        <f>name!E$4</f>
        <v>Managers, directors and senior officials</v>
      </c>
      <c r="B689" s="302">
        <v>3.2043402518758963</v>
      </c>
      <c r="C689" s="302">
        <v>6.2090357368844549</v>
      </c>
      <c r="D689" s="302">
        <f>SUM(B689:C689)</f>
        <v>9.4133759887603503</v>
      </c>
      <c r="E689" s="303"/>
      <c r="F689" s="302">
        <v>5.4064091900336742</v>
      </c>
      <c r="G689" s="302">
        <v>7.6079846433524301</v>
      </c>
      <c r="H689" s="302">
        <f>SUM(F689:G689)</f>
        <v>13.014393833386105</v>
      </c>
      <c r="I689" s="303"/>
      <c r="J689" s="302">
        <v>7.6277151397929357</v>
      </c>
      <c r="K689" s="302">
        <v>11.43520199914394</v>
      </c>
      <c r="L689" s="302">
        <f>SUM(J689:K689)</f>
        <v>19.062917138936875</v>
      </c>
      <c r="M689" s="236"/>
      <c r="N689" s="236"/>
    </row>
    <row r="690" spans="1:14" x14ac:dyDescent="0.2">
      <c r="A690" s="237" t="str">
        <f>name!E$5</f>
        <v>Professional occupations</v>
      </c>
      <c r="B690" s="302">
        <v>0.7471469694847207</v>
      </c>
      <c r="C690" s="302">
        <v>1.0515034810997315</v>
      </c>
      <c r="D690" s="302">
        <f t="shared" ref="D690:D697" si="256">SUM(B690:C690)</f>
        <v>1.7986504505844523</v>
      </c>
      <c r="E690" s="303"/>
      <c r="F690" s="302">
        <v>1.634211915694854</v>
      </c>
      <c r="G690" s="302">
        <v>1.6848523775942457</v>
      </c>
      <c r="H690" s="302">
        <f t="shared" ref="H690:H697" si="257">SUM(F690:G690)</f>
        <v>3.3190642932890997</v>
      </c>
      <c r="I690" s="303"/>
      <c r="J690" s="302">
        <v>2.0751108675822736</v>
      </c>
      <c r="K690" s="302">
        <v>2.1515996830670647</v>
      </c>
      <c r="L690" s="302">
        <f t="shared" ref="L690:L697" si="258">SUM(J690:K690)</f>
        <v>4.2267105506493383</v>
      </c>
      <c r="M690" s="236"/>
      <c r="N690" s="236"/>
    </row>
    <row r="691" spans="1:14" x14ac:dyDescent="0.2">
      <c r="A691" s="237" t="str">
        <f>name!E$6</f>
        <v>Associate professional occupations</v>
      </c>
      <c r="B691" s="302">
        <v>0.77692486921974335</v>
      </c>
      <c r="C691" s="302">
        <v>0.75698834171476426</v>
      </c>
      <c r="D691" s="302">
        <f t="shared" si="256"/>
        <v>1.5339132109345077</v>
      </c>
      <c r="E691" s="303"/>
      <c r="F691" s="302">
        <v>1.2974798116776582</v>
      </c>
      <c r="G691" s="302">
        <v>1.1365553620704001</v>
      </c>
      <c r="H691" s="302">
        <f t="shared" si="257"/>
        <v>2.4340351737480583</v>
      </c>
      <c r="I691" s="303"/>
      <c r="J691" s="302">
        <v>1.7319170280259946</v>
      </c>
      <c r="K691" s="302">
        <v>1.2299224319608342</v>
      </c>
      <c r="L691" s="302">
        <f t="shared" si="258"/>
        <v>2.9618394599868285</v>
      </c>
      <c r="M691" s="236"/>
      <c r="N691" s="236"/>
    </row>
    <row r="692" spans="1:14" x14ac:dyDescent="0.2">
      <c r="A692" s="237" t="str">
        <f>name!E$7</f>
        <v>Administrative and secretarial occupations</v>
      </c>
      <c r="B692" s="302">
        <v>1.1098535182730089</v>
      </c>
      <c r="C692" s="302">
        <v>0.67184102083589092</v>
      </c>
      <c r="D692" s="302">
        <f t="shared" si="256"/>
        <v>1.7816945391088999</v>
      </c>
      <c r="E692" s="303"/>
      <c r="F692" s="302">
        <v>1.6704271814390503</v>
      </c>
      <c r="G692" s="302">
        <v>0.88694573863108761</v>
      </c>
      <c r="H692" s="302">
        <f t="shared" si="257"/>
        <v>2.5573729200701378</v>
      </c>
      <c r="I692" s="303"/>
      <c r="J692" s="302">
        <v>2.0913463950016942</v>
      </c>
      <c r="K692" s="302">
        <v>1.2514381307702362</v>
      </c>
      <c r="L692" s="302">
        <f t="shared" si="258"/>
        <v>3.3427845257719304</v>
      </c>
      <c r="M692" s="236"/>
      <c r="N692" s="236"/>
    </row>
    <row r="693" spans="1:14" x14ac:dyDescent="0.2">
      <c r="A693" s="237" t="str">
        <f>name!E$8</f>
        <v>Skilled trades occupations</v>
      </c>
      <c r="B693" s="302">
        <v>2.8557372155082064</v>
      </c>
      <c r="C693" s="302">
        <v>4.4125436319609586</v>
      </c>
      <c r="D693" s="302">
        <f t="shared" si="256"/>
        <v>7.2682808474691649</v>
      </c>
      <c r="E693" s="303"/>
      <c r="F693" s="302">
        <v>3.7208326283101361</v>
      </c>
      <c r="G693" s="302">
        <v>4.2910445722187012</v>
      </c>
      <c r="H693" s="302">
        <f t="shared" si="257"/>
        <v>8.0118772005288363</v>
      </c>
      <c r="I693" s="303"/>
      <c r="J693" s="302">
        <v>3.6729016166970103</v>
      </c>
      <c r="K693" s="302">
        <v>4.0569563814583383</v>
      </c>
      <c r="L693" s="302">
        <f t="shared" si="258"/>
        <v>7.7298579981553486</v>
      </c>
      <c r="M693" s="236"/>
      <c r="N693" s="236"/>
    </row>
    <row r="694" spans="1:14" x14ac:dyDescent="0.2">
      <c r="A694" s="237" t="str">
        <f>name!E$9</f>
        <v>Caring, leisure and other service occupations</v>
      </c>
      <c r="B694" s="302">
        <v>2.6717247562746782</v>
      </c>
      <c r="C694" s="302">
        <v>0.59056832181686458</v>
      </c>
      <c r="D694" s="302">
        <f t="shared" si="256"/>
        <v>3.2622930780915427</v>
      </c>
      <c r="E694" s="303"/>
      <c r="F694" s="302">
        <v>3.2107852393296965</v>
      </c>
      <c r="G694" s="302">
        <v>0.85351347312159787</v>
      </c>
      <c r="H694" s="302">
        <f t="shared" si="257"/>
        <v>4.0642987124512944</v>
      </c>
      <c r="I694" s="303"/>
      <c r="J694" s="302">
        <v>3.8947051176345884</v>
      </c>
      <c r="K694" s="302">
        <v>1.002179372032314</v>
      </c>
      <c r="L694" s="302">
        <f t="shared" si="258"/>
        <v>4.8968844896669026</v>
      </c>
      <c r="M694" s="236"/>
      <c r="N694" s="236"/>
    </row>
    <row r="695" spans="1:14" x14ac:dyDescent="0.2">
      <c r="A695" s="237" t="str">
        <f>name!E$10</f>
        <v>Sales and customer service occupations</v>
      </c>
      <c r="B695" s="302">
        <v>3.376192990068053</v>
      </c>
      <c r="C695" s="302">
        <v>2.1408718258267023</v>
      </c>
      <c r="D695" s="302">
        <f t="shared" si="256"/>
        <v>5.5170648158947557</v>
      </c>
      <c r="E695" s="303"/>
      <c r="F695" s="302">
        <v>3.7456552439331077</v>
      </c>
      <c r="G695" s="302">
        <v>2.4663606313262134</v>
      </c>
      <c r="H695" s="302">
        <f t="shared" si="257"/>
        <v>6.2120158752593211</v>
      </c>
      <c r="I695" s="303"/>
      <c r="J695" s="302">
        <v>4.9426225506813655</v>
      </c>
      <c r="K695" s="302">
        <v>3.1240180180844628</v>
      </c>
      <c r="L695" s="302">
        <f t="shared" si="258"/>
        <v>8.0666405687658287</v>
      </c>
      <c r="M695" s="236"/>
      <c r="N695" s="236"/>
    </row>
    <row r="696" spans="1:14" x14ac:dyDescent="0.2">
      <c r="A696" s="237" t="str">
        <f>name!E$11</f>
        <v>Process, plant and machine operatives</v>
      </c>
      <c r="B696" s="302">
        <v>0.21894380548558268</v>
      </c>
      <c r="C696" s="302">
        <v>1.6615533356933065</v>
      </c>
      <c r="D696" s="302">
        <f t="shared" si="256"/>
        <v>1.8804971411788891</v>
      </c>
      <c r="E696" s="303"/>
      <c r="F696" s="302">
        <v>0.20200981782155575</v>
      </c>
      <c r="G696" s="302">
        <v>2.30441783990823</v>
      </c>
      <c r="H696" s="302">
        <f t="shared" si="257"/>
        <v>2.5064276577297857</v>
      </c>
      <c r="I696" s="303"/>
      <c r="J696" s="302">
        <v>0.54532093121493808</v>
      </c>
      <c r="K696" s="302">
        <v>3.1628946071545498</v>
      </c>
      <c r="L696" s="302">
        <f t="shared" si="258"/>
        <v>3.7082155383694877</v>
      </c>
      <c r="M696" s="236"/>
      <c r="N696" s="236"/>
    </row>
    <row r="697" spans="1:14" x14ac:dyDescent="0.2">
      <c r="A697" s="237" t="str">
        <f>name!E$12</f>
        <v>Elementary occupations</v>
      </c>
      <c r="B697" s="302">
        <v>24.092135624702166</v>
      </c>
      <c r="C697" s="302">
        <v>10.564094304460141</v>
      </c>
      <c r="D697" s="302">
        <f t="shared" si="256"/>
        <v>34.656229929162308</v>
      </c>
      <c r="E697" s="303"/>
      <c r="F697" s="302">
        <v>23.729188971832372</v>
      </c>
      <c r="G697" s="302">
        <v>13.564325361717174</v>
      </c>
      <c r="H697" s="302">
        <f t="shared" si="257"/>
        <v>37.293514333549545</v>
      </c>
      <c r="I697" s="303"/>
      <c r="J697" s="302">
        <v>26.735360353068106</v>
      </c>
      <c r="K697" s="302">
        <v>14.839789376378812</v>
      </c>
      <c r="L697" s="302">
        <f t="shared" si="258"/>
        <v>41.57514972944692</v>
      </c>
      <c r="M697" s="236"/>
      <c r="N697" s="236"/>
    </row>
    <row r="698" spans="1:14" x14ac:dyDescent="0.2">
      <c r="A698" s="237"/>
      <c r="B698" s="302"/>
      <c r="C698" s="302"/>
      <c r="D698" s="302"/>
      <c r="E698" s="303"/>
      <c r="F698" s="302"/>
      <c r="G698" s="302"/>
      <c r="H698" s="302"/>
      <c r="I698" s="303"/>
      <c r="J698" s="302"/>
      <c r="K698" s="302"/>
      <c r="L698" s="302"/>
      <c r="M698" s="236"/>
      <c r="N698" s="236"/>
    </row>
    <row r="699" spans="1:14" x14ac:dyDescent="0.2">
      <c r="A699" s="244" t="s">
        <v>32</v>
      </c>
      <c r="B699" s="311">
        <f>SUM(B689:B697)</f>
        <v>39.053000000892055</v>
      </c>
      <c r="C699" s="311">
        <f t="shared" ref="C699:D699" si="259">SUM(C689:C697)</f>
        <v>28.059000000292816</v>
      </c>
      <c r="D699" s="311">
        <f t="shared" si="259"/>
        <v>67.112000001184867</v>
      </c>
      <c r="E699" s="311"/>
      <c r="F699" s="311">
        <f t="shared" ref="F699:H699" si="260">SUM(F689:F697)</f>
        <v>44.617000000072103</v>
      </c>
      <c r="G699" s="311">
        <f t="shared" si="260"/>
        <v>34.795999999940079</v>
      </c>
      <c r="H699" s="311">
        <f t="shared" si="260"/>
        <v>79.413000000012175</v>
      </c>
      <c r="I699" s="311"/>
      <c r="J699" s="311">
        <f t="shared" ref="J699:L699" si="261">SUM(J689:J697)</f>
        <v>53.316999999698908</v>
      </c>
      <c r="K699" s="311">
        <f t="shared" si="261"/>
        <v>42.254000000050553</v>
      </c>
      <c r="L699" s="311">
        <f t="shared" si="261"/>
        <v>95.570999999749461</v>
      </c>
      <c r="M699" s="236"/>
      <c r="N699" s="236"/>
    </row>
    <row r="700" spans="1:14" x14ac:dyDescent="0.2">
      <c r="A700" s="237"/>
      <c r="B700" s="237"/>
      <c r="C700" s="237"/>
      <c r="D700" s="237"/>
      <c r="E700" s="237"/>
      <c r="F700" s="237"/>
      <c r="G700" s="237"/>
      <c r="H700" s="237"/>
      <c r="I700" s="237"/>
      <c r="J700" s="237"/>
      <c r="K700" s="237"/>
      <c r="L700" s="240"/>
      <c r="M700" s="236"/>
      <c r="N700" s="236"/>
    </row>
    <row r="701" spans="1:14" x14ac:dyDescent="0.2">
      <c r="A701" s="237"/>
      <c r="B701" s="237"/>
      <c r="C701" s="237"/>
      <c r="D701" s="237"/>
      <c r="E701" s="237"/>
      <c r="F701" s="237"/>
      <c r="G701" s="237"/>
      <c r="H701" s="237"/>
      <c r="I701" s="237"/>
      <c r="J701" s="237"/>
      <c r="K701" s="237"/>
      <c r="L701" s="256" t="s">
        <v>35</v>
      </c>
      <c r="M701" s="236"/>
      <c r="N701" s="236"/>
    </row>
    <row r="702" spans="1:14" x14ac:dyDescent="0.2">
      <c r="A702" s="242"/>
      <c r="B702" s="250"/>
      <c r="C702" s="250"/>
      <c r="D702" s="250"/>
      <c r="E702" s="250"/>
      <c r="F702" s="250"/>
      <c r="G702" s="250"/>
      <c r="H702" s="250"/>
      <c r="I702" s="250"/>
      <c r="J702" s="250"/>
      <c r="K702" s="250"/>
      <c r="L702" s="236"/>
      <c r="M702" s="236"/>
      <c r="N702" s="236"/>
    </row>
    <row r="703" spans="1:14" x14ac:dyDescent="0.2">
      <c r="A703" s="241" t="str">
        <f>name!A44</f>
        <v>Publishing activities</v>
      </c>
      <c r="B703" s="372">
        <f>B$6</f>
        <v>2015</v>
      </c>
      <c r="C703" s="372"/>
      <c r="D703" s="372"/>
      <c r="E703" s="253"/>
      <c r="F703" s="372">
        <f>F686</f>
        <v>2020</v>
      </c>
      <c r="G703" s="372"/>
      <c r="H703" s="372"/>
      <c r="I703" s="253"/>
      <c r="J703" s="372">
        <f>J686</f>
        <v>2035</v>
      </c>
      <c r="K703" s="372"/>
      <c r="L703" s="372"/>
      <c r="M703" s="236"/>
      <c r="N703" s="236"/>
    </row>
    <row r="704" spans="1:14" x14ac:dyDescent="0.2">
      <c r="A704" s="254"/>
      <c r="B704" s="255" t="s">
        <v>352</v>
      </c>
      <c r="C704" s="255" t="s">
        <v>353</v>
      </c>
      <c r="D704" s="255" t="s">
        <v>32</v>
      </c>
      <c r="E704" s="255"/>
      <c r="F704" s="255" t="s">
        <v>352</v>
      </c>
      <c r="G704" s="255" t="s">
        <v>353</v>
      </c>
      <c r="H704" s="255" t="s">
        <v>32</v>
      </c>
      <c r="I704" s="255"/>
      <c r="J704" s="255" t="s">
        <v>352</v>
      </c>
      <c r="K704" s="255" t="s">
        <v>353</v>
      </c>
      <c r="L704" s="255" t="s">
        <v>32</v>
      </c>
      <c r="M704" s="236"/>
      <c r="N704" s="236"/>
    </row>
    <row r="705" spans="1:14" x14ac:dyDescent="0.2">
      <c r="A705" s="258"/>
      <c r="B705" s="259"/>
      <c r="C705" s="259"/>
      <c r="D705" s="259"/>
      <c r="E705" s="259"/>
      <c r="F705" s="259"/>
      <c r="G705" s="259"/>
      <c r="H705" s="259"/>
      <c r="I705" s="259"/>
      <c r="J705" s="259"/>
      <c r="K705" s="259"/>
      <c r="L705" s="259"/>
      <c r="M705" s="236"/>
      <c r="N705" s="236"/>
    </row>
    <row r="706" spans="1:14" x14ac:dyDescent="0.2">
      <c r="A706" s="237" t="str">
        <f>name!E$4</f>
        <v>Managers, directors and senior officials</v>
      </c>
      <c r="B706" s="302">
        <v>0.19308442933530301</v>
      </c>
      <c r="C706" s="302">
        <v>0.36251652720183725</v>
      </c>
      <c r="D706" s="302">
        <f>SUM(B706:C706)</f>
        <v>0.55560095653714026</v>
      </c>
      <c r="E706" s="303"/>
      <c r="F706" s="302">
        <v>0.22315562238452372</v>
      </c>
      <c r="G706" s="302">
        <v>0.17670067288581809</v>
      </c>
      <c r="H706" s="302">
        <f>SUM(F706:G706)</f>
        <v>0.39985629527034183</v>
      </c>
      <c r="I706" s="303"/>
      <c r="J706" s="302">
        <v>0.19023210532094634</v>
      </c>
      <c r="K706" s="302">
        <v>0.1928142634416935</v>
      </c>
      <c r="L706" s="302">
        <f>SUM(J706:K706)</f>
        <v>0.38304636876263987</v>
      </c>
      <c r="M706" s="236"/>
      <c r="N706" s="236"/>
    </row>
    <row r="707" spans="1:14" x14ac:dyDescent="0.2">
      <c r="A707" s="237" t="str">
        <f>name!E$5</f>
        <v>Professional occupations</v>
      </c>
      <c r="B707" s="302">
        <v>0.2812137711371539</v>
      </c>
      <c r="C707" s="302">
        <v>0.82081621790236925</v>
      </c>
      <c r="D707" s="302">
        <f t="shared" ref="D707:D714" si="262">SUM(B707:C707)</f>
        <v>1.1020299890395231</v>
      </c>
      <c r="E707" s="303"/>
      <c r="F707" s="302">
        <v>0.24506521536358422</v>
      </c>
      <c r="G707" s="302">
        <v>0.45682744665523922</v>
      </c>
      <c r="H707" s="302">
        <f t="shared" ref="H707:H714" si="263">SUM(F707:G707)</f>
        <v>0.7018926620188235</v>
      </c>
      <c r="I707" s="303"/>
      <c r="J707" s="302">
        <v>0.19484260980220267</v>
      </c>
      <c r="K707" s="302">
        <v>0.4846289538118882</v>
      </c>
      <c r="L707" s="302">
        <f t="shared" ref="L707:L714" si="264">SUM(J707:K707)</f>
        <v>0.67947156361409089</v>
      </c>
      <c r="M707" s="236"/>
      <c r="N707" s="236"/>
    </row>
    <row r="708" spans="1:14" x14ac:dyDescent="0.2">
      <c r="A708" s="237" t="str">
        <f>name!E$6</f>
        <v>Associate professional occupations</v>
      </c>
      <c r="B708" s="302">
        <v>0.64584853476218551</v>
      </c>
      <c r="C708" s="302">
        <v>0.42925786459218274</v>
      </c>
      <c r="D708" s="302">
        <f t="shared" si="262"/>
        <v>1.0751063993543681</v>
      </c>
      <c r="E708" s="303"/>
      <c r="F708" s="302">
        <v>0.79270478608988615</v>
      </c>
      <c r="G708" s="302">
        <v>0.22664829985057985</v>
      </c>
      <c r="H708" s="302">
        <f t="shared" si="263"/>
        <v>1.019353085940466</v>
      </c>
      <c r="I708" s="303"/>
      <c r="J708" s="302">
        <v>0.67301778603818307</v>
      </c>
      <c r="K708" s="302">
        <v>0.22293504540305292</v>
      </c>
      <c r="L708" s="302">
        <f t="shared" si="264"/>
        <v>0.89595283144123594</v>
      </c>
      <c r="M708" s="236"/>
      <c r="N708" s="236"/>
    </row>
    <row r="709" spans="1:14" x14ac:dyDescent="0.2">
      <c r="A709" s="237" t="str">
        <f>name!E$7</f>
        <v>Administrative and secretarial occupations</v>
      </c>
      <c r="B709" s="302">
        <v>0.38467641502251587</v>
      </c>
      <c r="C709" s="302">
        <v>0.12808578165630358</v>
      </c>
      <c r="D709" s="302">
        <f t="shared" si="262"/>
        <v>0.51276219667881939</v>
      </c>
      <c r="E709" s="303"/>
      <c r="F709" s="302">
        <v>0.13563216391975699</v>
      </c>
      <c r="G709" s="302">
        <v>5.5294709560496209E-2</v>
      </c>
      <c r="H709" s="302">
        <f t="shared" si="263"/>
        <v>0.1909268734802532</v>
      </c>
      <c r="I709" s="303"/>
      <c r="J709" s="302">
        <v>8.6154223773276931E-2</v>
      </c>
      <c r="K709" s="302">
        <v>5.5443113371228966E-2</v>
      </c>
      <c r="L709" s="302">
        <f t="shared" si="264"/>
        <v>0.1415973371445059</v>
      </c>
      <c r="M709" s="236"/>
      <c r="N709" s="236"/>
    </row>
    <row r="710" spans="1:14" x14ac:dyDescent="0.2">
      <c r="A710" s="237" t="str">
        <f>name!E$8</f>
        <v>Skilled trades occupations</v>
      </c>
      <c r="B710" s="302">
        <v>5.0189908819483771E-2</v>
      </c>
      <c r="C710" s="302">
        <v>0.41242355047239426</v>
      </c>
      <c r="D710" s="302">
        <f t="shared" si="262"/>
        <v>0.46261345929187803</v>
      </c>
      <c r="E710" s="303"/>
      <c r="F710" s="302">
        <v>6.0688719942056421E-2</v>
      </c>
      <c r="G710" s="302">
        <v>0.13006467701599975</v>
      </c>
      <c r="H710" s="302">
        <f t="shared" si="263"/>
        <v>0.19075339695805615</v>
      </c>
      <c r="I710" s="303"/>
      <c r="J710" s="302">
        <v>8.9226534431080584E-2</v>
      </c>
      <c r="K710" s="302">
        <v>0.10094272892847612</v>
      </c>
      <c r="L710" s="302">
        <f t="shared" si="264"/>
        <v>0.1901692633595567</v>
      </c>
      <c r="M710" s="236"/>
      <c r="N710" s="236"/>
    </row>
    <row r="711" spans="1:14" x14ac:dyDescent="0.2">
      <c r="A711" s="237" t="str">
        <f>name!E$9</f>
        <v>Caring, leisure and other service occupations</v>
      </c>
      <c r="B711" s="302">
        <v>3.2419066803057207E-2</v>
      </c>
      <c r="C711" s="302">
        <v>3.7907746635448464E-2</v>
      </c>
      <c r="D711" s="302">
        <f t="shared" si="262"/>
        <v>7.0326813438505664E-2</v>
      </c>
      <c r="E711" s="303"/>
      <c r="F711" s="302">
        <v>4.4033449291392808E-2</v>
      </c>
      <c r="G711" s="302">
        <v>1.5529658883077262E-2</v>
      </c>
      <c r="H711" s="302">
        <f t="shared" si="263"/>
        <v>5.9563108174470067E-2</v>
      </c>
      <c r="I711" s="303"/>
      <c r="J711" s="302">
        <v>3.6525764469934691E-2</v>
      </c>
      <c r="K711" s="302">
        <v>2.47523806399872E-2</v>
      </c>
      <c r="L711" s="302">
        <f t="shared" si="264"/>
        <v>6.127814510992189E-2</v>
      </c>
      <c r="M711" s="236"/>
      <c r="N711" s="236"/>
    </row>
    <row r="712" spans="1:14" x14ac:dyDescent="0.2">
      <c r="A712" s="237" t="str">
        <f>name!E$10</f>
        <v>Sales and customer service occupations</v>
      </c>
      <c r="B712" s="302">
        <v>0.15100088125242631</v>
      </c>
      <c r="C712" s="302">
        <v>6.4783520847721182E-2</v>
      </c>
      <c r="D712" s="302">
        <f t="shared" si="262"/>
        <v>0.21578440210014749</v>
      </c>
      <c r="E712" s="303"/>
      <c r="F712" s="302">
        <v>6.26193199790719E-2</v>
      </c>
      <c r="G712" s="302">
        <v>2.0105300451357101E-2</v>
      </c>
      <c r="H712" s="302">
        <f t="shared" si="263"/>
        <v>8.2724620430428997E-2</v>
      </c>
      <c r="I712" s="303"/>
      <c r="J712" s="302">
        <v>5.1541702761011485E-2</v>
      </c>
      <c r="K712" s="302">
        <v>2.7677860570699792E-2</v>
      </c>
      <c r="L712" s="302">
        <f t="shared" si="264"/>
        <v>7.9219563331711276E-2</v>
      </c>
      <c r="M712" s="236"/>
      <c r="N712" s="236"/>
    </row>
    <row r="713" spans="1:14" x14ac:dyDescent="0.2">
      <c r="A713" s="237" t="str">
        <f>name!E$11</f>
        <v>Process, plant and machine operatives</v>
      </c>
      <c r="B713" s="302">
        <v>6.6274608705383806E-2</v>
      </c>
      <c r="C713" s="302">
        <v>0.15654907544780883</v>
      </c>
      <c r="D713" s="302">
        <f t="shared" si="262"/>
        <v>0.22282368415319265</v>
      </c>
      <c r="E713" s="303"/>
      <c r="F713" s="302">
        <v>6.7652575276385796E-2</v>
      </c>
      <c r="G713" s="302">
        <v>4.2493205550554532E-2</v>
      </c>
      <c r="H713" s="302">
        <f t="shared" si="263"/>
        <v>0.11014578082694032</v>
      </c>
      <c r="I713" s="303"/>
      <c r="J713" s="302">
        <v>0.11187105427091591</v>
      </c>
      <c r="K713" s="302">
        <v>4.0776256477011087E-2</v>
      </c>
      <c r="L713" s="302">
        <f t="shared" si="264"/>
        <v>0.15264731074792701</v>
      </c>
      <c r="M713" s="236"/>
      <c r="N713" s="236"/>
    </row>
    <row r="714" spans="1:14" x14ac:dyDescent="0.2">
      <c r="A714" s="237" t="str">
        <f>name!E$12</f>
        <v>Elementary occupations</v>
      </c>
      <c r="B714" s="302">
        <v>0.24429238415981241</v>
      </c>
      <c r="C714" s="302">
        <v>0.2096597152341467</v>
      </c>
      <c r="D714" s="302">
        <f t="shared" si="262"/>
        <v>0.45395209939395909</v>
      </c>
      <c r="E714" s="303"/>
      <c r="F714" s="302">
        <v>0.20344814774179962</v>
      </c>
      <c r="G714" s="302">
        <v>5.2336029140697633E-2</v>
      </c>
      <c r="H714" s="302">
        <f t="shared" si="263"/>
        <v>0.25578417688249727</v>
      </c>
      <c r="I714" s="303"/>
      <c r="J714" s="302">
        <v>0.21658821914332047</v>
      </c>
      <c r="K714" s="302">
        <v>3.502939737261794E-2</v>
      </c>
      <c r="L714" s="302">
        <f t="shared" si="264"/>
        <v>0.25161761651593839</v>
      </c>
      <c r="M714" s="236"/>
      <c r="N714" s="236"/>
    </row>
    <row r="715" spans="1:14" x14ac:dyDescent="0.2">
      <c r="A715" s="237"/>
      <c r="B715" s="302"/>
      <c r="C715" s="302"/>
      <c r="D715" s="302"/>
      <c r="E715" s="303"/>
      <c r="F715" s="302"/>
      <c r="G715" s="302"/>
      <c r="H715" s="302"/>
      <c r="I715" s="303"/>
      <c r="J715" s="302"/>
      <c r="K715" s="302"/>
      <c r="L715" s="302"/>
      <c r="M715" s="236"/>
      <c r="N715" s="236"/>
    </row>
    <row r="716" spans="1:14" x14ac:dyDescent="0.2">
      <c r="A716" s="244" t="s">
        <v>32</v>
      </c>
      <c r="B716" s="311">
        <f>SUM(B706:B714)</f>
        <v>2.0489999999973221</v>
      </c>
      <c r="C716" s="311">
        <f t="shared" ref="C716:D716" si="265">SUM(C706:C714)</f>
        <v>2.6219999999902122</v>
      </c>
      <c r="D716" s="311">
        <f t="shared" si="265"/>
        <v>4.6709999999875338</v>
      </c>
      <c r="E716" s="311"/>
      <c r="F716" s="311">
        <f t="shared" ref="F716:H716" si="266">SUM(F706:F714)</f>
        <v>1.8349999999884576</v>
      </c>
      <c r="G716" s="311">
        <f t="shared" si="266"/>
        <v>1.1759999999938198</v>
      </c>
      <c r="H716" s="311">
        <f t="shared" si="266"/>
        <v>3.0109999999822774</v>
      </c>
      <c r="I716" s="311"/>
      <c r="J716" s="311">
        <f t="shared" ref="J716:L716" si="267">SUM(J706:J714)</f>
        <v>1.6500000000108717</v>
      </c>
      <c r="K716" s="311">
        <f t="shared" si="267"/>
        <v>1.1850000000166556</v>
      </c>
      <c r="L716" s="311">
        <f t="shared" si="267"/>
        <v>2.8350000000275277</v>
      </c>
      <c r="M716" s="236"/>
      <c r="N716" s="236"/>
    </row>
    <row r="717" spans="1:14" x14ac:dyDescent="0.2">
      <c r="A717" s="237"/>
      <c r="B717" s="237"/>
      <c r="C717" s="237"/>
      <c r="D717" s="237"/>
      <c r="E717" s="237"/>
      <c r="F717" s="237"/>
      <c r="G717" s="237"/>
      <c r="H717" s="237"/>
      <c r="I717" s="237"/>
      <c r="J717" s="237"/>
      <c r="K717" s="237"/>
      <c r="L717" s="240"/>
      <c r="M717" s="236"/>
      <c r="N717" s="236"/>
    </row>
    <row r="718" spans="1:14" x14ac:dyDescent="0.2">
      <c r="A718" s="237"/>
      <c r="B718" s="237"/>
      <c r="C718" s="237"/>
      <c r="D718" s="237"/>
      <c r="E718" s="237"/>
      <c r="F718" s="237"/>
      <c r="G718" s="237"/>
      <c r="H718" s="237"/>
      <c r="I718" s="237"/>
      <c r="J718" s="237"/>
      <c r="K718" s="237"/>
      <c r="L718" s="256" t="s">
        <v>35</v>
      </c>
      <c r="M718" s="236"/>
      <c r="N718" s="236"/>
    </row>
    <row r="719" spans="1:14" x14ac:dyDescent="0.2">
      <c r="A719" s="242"/>
      <c r="B719" s="250"/>
      <c r="C719" s="250"/>
      <c r="D719" s="250"/>
      <c r="E719" s="250"/>
      <c r="F719" s="250"/>
      <c r="G719" s="250"/>
      <c r="H719" s="250"/>
      <c r="I719" s="250"/>
      <c r="J719" s="250"/>
      <c r="K719" s="250"/>
      <c r="L719" s="236"/>
      <c r="M719" s="236"/>
      <c r="N719" s="236"/>
    </row>
    <row r="720" spans="1:14" x14ac:dyDescent="0.2">
      <c r="A720" s="241" t="str">
        <f>name!A45</f>
        <v>Film and music</v>
      </c>
      <c r="B720" s="372">
        <f>B$6</f>
        <v>2015</v>
      </c>
      <c r="C720" s="372"/>
      <c r="D720" s="372"/>
      <c r="E720" s="253"/>
      <c r="F720" s="372">
        <f>F703</f>
        <v>2020</v>
      </c>
      <c r="G720" s="372"/>
      <c r="H720" s="372"/>
      <c r="I720" s="253"/>
      <c r="J720" s="372">
        <f>J703</f>
        <v>2035</v>
      </c>
      <c r="K720" s="372"/>
      <c r="L720" s="372"/>
      <c r="M720" s="236"/>
      <c r="N720" s="236"/>
    </row>
    <row r="721" spans="1:14" x14ac:dyDescent="0.2">
      <c r="A721" s="254"/>
      <c r="B721" s="255" t="s">
        <v>352</v>
      </c>
      <c r="C721" s="255" t="s">
        <v>353</v>
      </c>
      <c r="D721" s="255" t="s">
        <v>32</v>
      </c>
      <c r="E721" s="255"/>
      <c r="F721" s="255" t="s">
        <v>352</v>
      </c>
      <c r="G721" s="255" t="s">
        <v>353</v>
      </c>
      <c r="H721" s="255" t="s">
        <v>32</v>
      </c>
      <c r="I721" s="255"/>
      <c r="J721" s="255" t="s">
        <v>352</v>
      </c>
      <c r="K721" s="255" t="s">
        <v>353</v>
      </c>
      <c r="L721" s="255" t="s">
        <v>32</v>
      </c>
      <c r="M721" s="236"/>
      <c r="N721" s="236"/>
    </row>
    <row r="722" spans="1:14" x14ac:dyDescent="0.2">
      <c r="A722" s="258"/>
      <c r="B722" s="259"/>
      <c r="C722" s="259"/>
      <c r="D722" s="259"/>
      <c r="E722" s="259"/>
      <c r="F722" s="259"/>
      <c r="G722" s="259"/>
      <c r="H722" s="259"/>
      <c r="I722" s="259"/>
      <c r="J722" s="259"/>
      <c r="K722" s="259"/>
      <c r="L722" s="259"/>
      <c r="M722" s="236"/>
      <c r="N722" s="236"/>
    </row>
    <row r="723" spans="1:14" x14ac:dyDescent="0.2">
      <c r="A723" s="237" t="str">
        <f>name!E$4</f>
        <v>Managers, directors and senior officials</v>
      </c>
      <c r="B723" s="302">
        <v>8.668114398836585E-2</v>
      </c>
      <c r="C723" s="302">
        <v>7.4923667164010402E-2</v>
      </c>
      <c r="D723" s="302">
        <f>SUM(B723:C723)</f>
        <v>0.16160481115237624</v>
      </c>
      <c r="E723" s="303"/>
      <c r="F723" s="302">
        <v>0.18491613708786037</v>
      </c>
      <c r="G723" s="302">
        <v>0.15786765759688942</v>
      </c>
      <c r="H723" s="302">
        <f>SUM(F723:G723)</f>
        <v>0.34278379468474979</v>
      </c>
      <c r="I723" s="303"/>
      <c r="J723" s="302">
        <v>0.1934677279490728</v>
      </c>
      <c r="K723" s="302">
        <v>0.1784499106046156</v>
      </c>
      <c r="L723" s="302">
        <f>SUM(J723:K723)</f>
        <v>0.37191763855368842</v>
      </c>
      <c r="M723" s="236"/>
      <c r="N723" s="236"/>
    </row>
    <row r="724" spans="1:14" x14ac:dyDescent="0.2">
      <c r="A724" s="237" t="str">
        <f>name!E$5</f>
        <v>Professional occupations</v>
      </c>
      <c r="B724" s="302">
        <v>0.23032028351530284</v>
      </c>
      <c r="C724" s="302">
        <v>0.1063075233377001</v>
      </c>
      <c r="D724" s="302">
        <f t="shared" ref="D724:D731" si="268">SUM(B724:C724)</f>
        <v>0.33662780685300298</v>
      </c>
      <c r="E724" s="303"/>
      <c r="F724" s="302">
        <v>0.44732341991129998</v>
      </c>
      <c r="G724" s="302">
        <v>0.19813024171237317</v>
      </c>
      <c r="H724" s="302">
        <f t="shared" ref="H724:H731" si="269">SUM(F724:G724)</f>
        <v>0.64545366162367313</v>
      </c>
      <c r="I724" s="303"/>
      <c r="J724" s="302">
        <v>0.48684181781747221</v>
      </c>
      <c r="K724" s="302">
        <v>0.18970343842190057</v>
      </c>
      <c r="L724" s="302">
        <f t="shared" ref="L724:L731" si="270">SUM(J724:K724)</f>
        <v>0.67654525623937278</v>
      </c>
      <c r="M724" s="236"/>
      <c r="N724" s="236"/>
    </row>
    <row r="725" spans="1:14" x14ac:dyDescent="0.2">
      <c r="A725" s="237" t="str">
        <f>name!E$6</f>
        <v>Associate professional occupations</v>
      </c>
      <c r="B725" s="302">
        <v>0.41699109152717723</v>
      </c>
      <c r="C725" s="302">
        <v>0.23276593604353873</v>
      </c>
      <c r="D725" s="302">
        <f t="shared" si="268"/>
        <v>0.64975702757071596</v>
      </c>
      <c r="E725" s="303"/>
      <c r="F725" s="302">
        <v>0.90398889723726739</v>
      </c>
      <c r="G725" s="302">
        <v>0.38764573904594185</v>
      </c>
      <c r="H725" s="302">
        <f t="shared" si="269"/>
        <v>1.2916346362832092</v>
      </c>
      <c r="I725" s="303"/>
      <c r="J725" s="302">
        <v>0.90426698339231149</v>
      </c>
      <c r="K725" s="302">
        <v>0.33854541256554649</v>
      </c>
      <c r="L725" s="302">
        <f t="shared" si="270"/>
        <v>1.2428123959578579</v>
      </c>
      <c r="M725" s="236"/>
      <c r="N725" s="236"/>
    </row>
    <row r="726" spans="1:14" x14ac:dyDescent="0.2">
      <c r="A726" s="237" t="str">
        <f>name!E$7</f>
        <v>Administrative and secretarial occupations</v>
      </c>
      <c r="B726" s="302">
        <v>0.34117573120879652</v>
      </c>
      <c r="C726" s="302">
        <v>8.5709977503498416E-2</v>
      </c>
      <c r="D726" s="302">
        <f t="shared" si="268"/>
        <v>0.42688570871229492</v>
      </c>
      <c r="E726" s="303"/>
      <c r="F726" s="302">
        <v>0.42032450104853514</v>
      </c>
      <c r="G726" s="302">
        <v>0.26877001813895229</v>
      </c>
      <c r="H726" s="302">
        <f t="shared" si="269"/>
        <v>0.68909451918748743</v>
      </c>
      <c r="I726" s="303"/>
      <c r="J726" s="302">
        <v>0.35612754539905872</v>
      </c>
      <c r="K726" s="302">
        <v>0.2544968363679927</v>
      </c>
      <c r="L726" s="302">
        <f t="shared" si="270"/>
        <v>0.61062438176705136</v>
      </c>
      <c r="M726" s="236"/>
      <c r="N726" s="236"/>
    </row>
    <row r="727" spans="1:14" x14ac:dyDescent="0.2">
      <c r="A727" s="237" t="str">
        <f>name!E$8</f>
        <v>Skilled trades occupations</v>
      </c>
      <c r="B727" s="302">
        <v>5.6273939931892746E-2</v>
      </c>
      <c r="C727" s="302">
        <v>0.16752497722776138</v>
      </c>
      <c r="D727" s="302">
        <f t="shared" si="268"/>
        <v>0.22379891715965414</v>
      </c>
      <c r="E727" s="303"/>
      <c r="F727" s="302">
        <v>0.13243595978788009</v>
      </c>
      <c r="G727" s="302">
        <v>0.28486852258793749</v>
      </c>
      <c r="H727" s="302">
        <f t="shared" si="269"/>
        <v>0.41730448237581758</v>
      </c>
      <c r="I727" s="303"/>
      <c r="J727" s="302">
        <v>0.15027827002772326</v>
      </c>
      <c r="K727" s="302">
        <v>0.23126885143847445</v>
      </c>
      <c r="L727" s="302">
        <f t="shared" si="270"/>
        <v>0.38154712146619774</v>
      </c>
      <c r="M727" s="236"/>
      <c r="N727" s="236"/>
    </row>
    <row r="728" spans="1:14" x14ac:dyDescent="0.2">
      <c r="A728" s="237" t="str">
        <f>name!E$9</f>
        <v>Caring, leisure and other service occupations</v>
      </c>
      <c r="B728" s="302">
        <v>0.12982024844177448</v>
      </c>
      <c r="C728" s="302">
        <v>6.8682110738791879E-2</v>
      </c>
      <c r="D728" s="302">
        <f t="shared" si="268"/>
        <v>0.19850235918056636</v>
      </c>
      <c r="E728" s="303"/>
      <c r="F728" s="302">
        <v>0.18077738485641842</v>
      </c>
      <c r="G728" s="302">
        <v>0.17466688914910697</v>
      </c>
      <c r="H728" s="302">
        <f t="shared" si="269"/>
        <v>0.35544427400552536</v>
      </c>
      <c r="I728" s="303"/>
      <c r="J728" s="302">
        <v>0.18899826451424584</v>
      </c>
      <c r="K728" s="302">
        <v>0.17482327746557283</v>
      </c>
      <c r="L728" s="302">
        <f t="shared" si="270"/>
        <v>0.36382154197981864</v>
      </c>
      <c r="M728" s="236"/>
      <c r="N728" s="236"/>
    </row>
    <row r="729" spans="1:14" x14ac:dyDescent="0.2">
      <c r="A729" s="237" t="str">
        <f>name!E$10</f>
        <v>Sales and customer service occupations</v>
      </c>
      <c r="B729" s="302">
        <v>0.12749872677481697</v>
      </c>
      <c r="C729" s="302">
        <v>8.5704390472563827E-2</v>
      </c>
      <c r="D729" s="302">
        <f t="shared" si="268"/>
        <v>0.21320311724738078</v>
      </c>
      <c r="E729" s="303"/>
      <c r="F729" s="302">
        <v>0.15697254649341932</v>
      </c>
      <c r="G729" s="302">
        <v>0.23115931317022068</v>
      </c>
      <c r="H729" s="302">
        <f t="shared" si="269"/>
        <v>0.38813185966364</v>
      </c>
      <c r="I729" s="303"/>
      <c r="J729" s="302">
        <v>0.15296135885788295</v>
      </c>
      <c r="K729" s="302">
        <v>0.3035615018451619</v>
      </c>
      <c r="L729" s="302">
        <f t="shared" si="270"/>
        <v>0.45652286070304482</v>
      </c>
      <c r="M729" s="236"/>
      <c r="N729" s="236"/>
    </row>
    <row r="730" spans="1:14" x14ac:dyDescent="0.2">
      <c r="A730" s="237" t="str">
        <f>name!E$11</f>
        <v>Process, plant and machine operatives</v>
      </c>
      <c r="B730" s="302">
        <v>7.7570528592993439E-3</v>
      </c>
      <c r="C730" s="302">
        <v>5.1206605472035857E-2</v>
      </c>
      <c r="D730" s="302">
        <f t="shared" si="268"/>
        <v>5.8963658331335198E-2</v>
      </c>
      <c r="E730" s="303"/>
      <c r="F730" s="302">
        <v>1.0600883056407294E-2</v>
      </c>
      <c r="G730" s="302">
        <v>0.12290272993080978</v>
      </c>
      <c r="H730" s="302">
        <f t="shared" si="269"/>
        <v>0.13350361298721708</v>
      </c>
      <c r="I730" s="303"/>
      <c r="J730" s="302">
        <v>1.322500376983341E-2</v>
      </c>
      <c r="K730" s="302">
        <v>0.14239323196238024</v>
      </c>
      <c r="L730" s="302">
        <f t="shared" si="270"/>
        <v>0.15561823573221364</v>
      </c>
      <c r="M730" s="236"/>
      <c r="N730" s="236"/>
    </row>
    <row r="731" spans="1:14" x14ac:dyDescent="0.2">
      <c r="A731" s="237" t="str">
        <f>name!E$12</f>
        <v>Elementary occupations</v>
      </c>
      <c r="B731" s="302">
        <v>0.24748178175272495</v>
      </c>
      <c r="C731" s="302">
        <v>0.36517481205212393</v>
      </c>
      <c r="D731" s="302">
        <f t="shared" si="268"/>
        <v>0.61265659380484894</v>
      </c>
      <c r="E731" s="303"/>
      <c r="F731" s="302">
        <v>0.36566027051094185</v>
      </c>
      <c r="G731" s="302">
        <v>0.86998888867556101</v>
      </c>
      <c r="H731" s="302">
        <f t="shared" si="269"/>
        <v>1.2356491591865029</v>
      </c>
      <c r="I731" s="303"/>
      <c r="J731" s="302">
        <v>0.46783302828645007</v>
      </c>
      <c r="K731" s="302">
        <v>0.95975753932251884</v>
      </c>
      <c r="L731" s="302">
        <f t="shared" si="270"/>
        <v>1.4275905676089689</v>
      </c>
      <c r="M731" s="236"/>
      <c r="N731" s="236"/>
    </row>
    <row r="732" spans="1:14" x14ac:dyDescent="0.2">
      <c r="A732" s="237"/>
      <c r="B732" s="302"/>
      <c r="C732" s="302"/>
      <c r="D732" s="302"/>
      <c r="E732" s="303"/>
      <c r="F732" s="302"/>
      <c r="G732" s="302"/>
      <c r="H732" s="302"/>
      <c r="I732" s="303"/>
      <c r="J732" s="302"/>
      <c r="K732" s="302"/>
      <c r="L732" s="302"/>
      <c r="M732" s="236"/>
      <c r="N732" s="236"/>
    </row>
    <row r="733" spans="1:14" x14ac:dyDescent="0.2">
      <c r="A733" s="244" t="s">
        <v>32</v>
      </c>
      <c r="B733" s="311">
        <f>SUM(B723:B731)</f>
        <v>1.6440000000001511</v>
      </c>
      <c r="C733" s="311">
        <f t="shared" ref="C733:D733" si="271">SUM(C723:C731)</f>
        <v>1.2380000000120246</v>
      </c>
      <c r="D733" s="311">
        <f t="shared" si="271"/>
        <v>2.8820000000121757</v>
      </c>
      <c r="E733" s="311"/>
      <c r="F733" s="311">
        <f t="shared" ref="F733:H733" si="272">SUM(F723:F731)</f>
        <v>2.8029999999900297</v>
      </c>
      <c r="G733" s="311">
        <f t="shared" si="272"/>
        <v>2.6960000000077931</v>
      </c>
      <c r="H733" s="311">
        <f t="shared" si="272"/>
        <v>5.4989999999978219</v>
      </c>
      <c r="I733" s="311"/>
      <c r="J733" s="311">
        <f t="shared" ref="J733:L733" si="273">SUM(J723:J731)</f>
        <v>2.9140000000140511</v>
      </c>
      <c r="K733" s="311">
        <f t="shared" si="273"/>
        <v>2.7729999999941635</v>
      </c>
      <c r="L733" s="311">
        <f t="shared" si="273"/>
        <v>5.6870000000082142</v>
      </c>
      <c r="M733" s="236"/>
      <c r="N733" s="236"/>
    </row>
    <row r="734" spans="1:14" x14ac:dyDescent="0.2">
      <c r="A734" s="237"/>
      <c r="B734" s="237"/>
      <c r="C734" s="237"/>
      <c r="D734" s="237"/>
      <c r="E734" s="237"/>
      <c r="F734" s="237"/>
      <c r="G734" s="237"/>
      <c r="H734" s="237"/>
      <c r="I734" s="237"/>
      <c r="J734" s="237"/>
      <c r="K734" s="237"/>
      <c r="L734" s="240"/>
      <c r="M734" s="236"/>
      <c r="N734" s="236"/>
    </row>
    <row r="735" spans="1:14" x14ac:dyDescent="0.2">
      <c r="A735" s="237"/>
      <c r="B735" s="237"/>
      <c r="C735" s="237"/>
      <c r="D735" s="237"/>
      <c r="E735" s="237"/>
      <c r="F735" s="237"/>
      <c r="G735" s="237"/>
      <c r="H735" s="237"/>
      <c r="I735" s="237"/>
      <c r="J735" s="237"/>
      <c r="K735" s="237"/>
      <c r="L735" s="256" t="s">
        <v>35</v>
      </c>
      <c r="M735" s="236"/>
      <c r="N735" s="236"/>
    </row>
    <row r="736" spans="1:14" x14ac:dyDescent="0.2">
      <c r="A736" s="242"/>
      <c r="B736" s="250"/>
      <c r="C736" s="250"/>
      <c r="D736" s="250"/>
      <c r="E736" s="250"/>
      <c r="F736" s="250"/>
      <c r="G736" s="250"/>
      <c r="H736" s="250"/>
      <c r="I736" s="250"/>
      <c r="J736" s="250"/>
      <c r="K736" s="250"/>
      <c r="L736" s="236"/>
      <c r="M736" s="236"/>
      <c r="N736" s="236"/>
    </row>
    <row r="737" spans="1:14" x14ac:dyDescent="0.2">
      <c r="A737" s="241" t="str">
        <f>name!A46</f>
        <v>Broadcasting</v>
      </c>
      <c r="B737" s="372">
        <f>B$6</f>
        <v>2015</v>
      </c>
      <c r="C737" s="372"/>
      <c r="D737" s="372"/>
      <c r="E737" s="253"/>
      <c r="F737" s="372">
        <f>F720</f>
        <v>2020</v>
      </c>
      <c r="G737" s="372"/>
      <c r="H737" s="372"/>
      <c r="I737" s="253"/>
      <c r="J737" s="372">
        <f>J720</f>
        <v>2035</v>
      </c>
      <c r="K737" s="372"/>
      <c r="L737" s="372"/>
      <c r="M737" s="236"/>
      <c r="N737" s="236"/>
    </row>
    <row r="738" spans="1:14" x14ac:dyDescent="0.2">
      <c r="A738" s="254"/>
      <c r="B738" s="255" t="s">
        <v>352</v>
      </c>
      <c r="C738" s="255" t="s">
        <v>353</v>
      </c>
      <c r="D738" s="255" t="s">
        <v>32</v>
      </c>
      <c r="E738" s="255"/>
      <c r="F738" s="255" t="s">
        <v>352</v>
      </c>
      <c r="G738" s="255" t="s">
        <v>353</v>
      </c>
      <c r="H738" s="255" t="s">
        <v>32</v>
      </c>
      <c r="I738" s="255"/>
      <c r="J738" s="255" t="s">
        <v>352</v>
      </c>
      <c r="K738" s="255" t="s">
        <v>353</v>
      </c>
      <c r="L738" s="255" t="s">
        <v>32</v>
      </c>
      <c r="M738" s="236"/>
      <c r="N738" s="236"/>
    </row>
    <row r="739" spans="1:14" x14ac:dyDescent="0.2">
      <c r="A739" s="258"/>
      <c r="B739" s="259"/>
      <c r="C739" s="259"/>
      <c r="D739" s="259"/>
      <c r="E739" s="259"/>
      <c r="F739" s="259"/>
      <c r="G739" s="259"/>
      <c r="H739" s="259"/>
      <c r="I739" s="259"/>
      <c r="J739" s="259"/>
      <c r="K739" s="259"/>
      <c r="L739" s="259"/>
      <c r="M739" s="236"/>
      <c r="N739" s="236"/>
    </row>
    <row r="740" spans="1:14" x14ac:dyDescent="0.2">
      <c r="A740" s="237" t="str">
        <f>name!E$4</f>
        <v>Managers, directors and senior officials</v>
      </c>
      <c r="B740" s="302">
        <v>3.0839602093467463E-3</v>
      </c>
      <c r="C740" s="302">
        <v>2.2319103829117719E-2</v>
      </c>
      <c r="D740" s="302">
        <f>SUM(B740:C740)</f>
        <v>2.5403064038464464E-2</v>
      </c>
      <c r="E740" s="303"/>
      <c r="F740" s="302">
        <v>1.7972567135126561E-2</v>
      </c>
      <c r="G740" s="302">
        <v>1.9771340588993339E-2</v>
      </c>
      <c r="H740" s="302">
        <f>SUM(F740:G740)</f>
        <v>3.7743907724119896E-2</v>
      </c>
      <c r="I740" s="303"/>
      <c r="J740" s="302">
        <v>1.6901057500949768E-2</v>
      </c>
      <c r="K740" s="302">
        <v>1.9436575013821691E-2</v>
      </c>
      <c r="L740" s="302">
        <f>SUM(J740:K740)</f>
        <v>3.6337632514771456E-2</v>
      </c>
      <c r="M740" s="236"/>
      <c r="N740" s="236"/>
    </row>
    <row r="741" spans="1:14" x14ac:dyDescent="0.2">
      <c r="A741" s="237" t="str">
        <f>name!E$5</f>
        <v>Professional occupations</v>
      </c>
      <c r="B741" s="302">
        <v>5.7780939771553651E-3</v>
      </c>
      <c r="C741" s="302">
        <v>3.83186631100658E-2</v>
      </c>
      <c r="D741" s="302">
        <f t="shared" ref="D741:D748" si="274">SUM(B741:C741)</f>
        <v>4.4096757087221161E-2</v>
      </c>
      <c r="E741" s="303"/>
      <c r="F741" s="302">
        <v>2.8225448072266231E-2</v>
      </c>
      <c r="G741" s="302">
        <v>3.4482952646250772E-2</v>
      </c>
      <c r="H741" s="302">
        <f t="shared" ref="H741:H748" si="275">SUM(F741:G741)</f>
        <v>6.2708400718517007E-2</v>
      </c>
      <c r="I741" s="303"/>
      <c r="J741" s="302">
        <v>1.9836164139200762E-2</v>
      </c>
      <c r="K741" s="302">
        <v>3.7341463214898424E-2</v>
      </c>
      <c r="L741" s="302">
        <f t="shared" ref="L741:L748" si="276">SUM(J741:K741)</f>
        <v>5.7177627354099189E-2</v>
      </c>
      <c r="M741" s="236"/>
      <c r="N741" s="236"/>
    </row>
    <row r="742" spans="1:14" x14ac:dyDescent="0.2">
      <c r="A742" s="237" t="str">
        <f>name!E$6</f>
        <v>Associate professional occupations</v>
      </c>
      <c r="B742" s="302">
        <v>1.8284371648722965E-2</v>
      </c>
      <c r="C742" s="302">
        <v>4.5313517233199811E-2</v>
      </c>
      <c r="D742" s="302">
        <f t="shared" si="274"/>
        <v>6.3597888881922776E-2</v>
      </c>
      <c r="E742" s="303"/>
      <c r="F742" s="302">
        <v>0.10128956757272368</v>
      </c>
      <c r="G742" s="302">
        <v>3.79413244905401E-2</v>
      </c>
      <c r="H742" s="302">
        <f t="shared" si="275"/>
        <v>0.13923089206326378</v>
      </c>
      <c r="I742" s="303"/>
      <c r="J742" s="302">
        <v>8.3851945385993387E-2</v>
      </c>
      <c r="K742" s="302">
        <v>4.3832839309126216E-2</v>
      </c>
      <c r="L742" s="302">
        <f t="shared" si="276"/>
        <v>0.1276847846951196</v>
      </c>
      <c r="M742" s="236"/>
      <c r="N742" s="236"/>
    </row>
    <row r="743" spans="1:14" x14ac:dyDescent="0.2">
      <c r="A743" s="237" t="str">
        <f>name!E$7</f>
        <v>Administrative and secretarial occupations</v>
      </c>
      <c r="B743" s="302">
        <v>2.6171151142288769E-3</v>
      </c>
      <c r="C743" s="302">
        <v>1.8706463586190002E-2</v>
      </c>
      <c r="D743" s="302">
        <f t="shared" si="274"/>
        <v>2.1323578700418878E-2</v>
      </c>
      <c r="E743" s="303"/>
      <c r="F743" s="302">
        <v>5.9872623361752362E-3</v>
      </c>
      <c r="G743" s="302">
        <v>2.1541331719495706E-2</v>
      </c>
      <c r="H743" s="302">
        <f t="shared" si="275"/>
        <v>2.7528594055670944E-2</v>
      </c>
      <c r="I743" s="303"/>
      <c r="J743" s="302">
        <v>4.9744019614115986E-3</v>
      </c>
      <c r="K743" s="302">
        <v>2.437453315010471E-2</v>
      </c>
      <c r="L743" s="302">
        <f t="shared" si="276"/>
        <v>2.934893511151631E-2</v>
      </c>
      <c r="M743" s="236"/>
      <c r="N743" s="236"/>
    </row>
    <row r="744" spans="1:14" x14ac:dyDescent="0.2">
      <c r="A744" s="237" t="str">
        <f>name!E$8</f>
        <v>Skilled trades occupations</v>
      </c>
      <c r="B744" s="302">
        <v>2.8391656167701851E-3</v>
      </c>
      <c r="C744" s="302">
        <v>4.3487197342423449E-2</v>
      </c>
      <c r="D744" s="302">
        <f t="shared" si="274"/>
        <v>4.6326362959193637E-2</v>
      </c>
      <c r="E744" s="303"/>
      <c r="F744" s="302">
        <v>1.7664429814396553E-2</v>
      </c>
      <c r="G744" s="302">
        <v>3.1096228304359451E-2</v>
      </c>
      <c r="H744" s="302">
        <f t="shared" si="275"/>
        <v>4.8760658118756003E-2</v>
      </c>
      <c r="I744" s="303"/>
      <c r="J744" s="302">
        <v>1.9436578122295749E-2</v>
      </c>
      <c r="K744" s="302">
        <v>2.4793391801945171E-2</v>
      </c>
      <c r="L744" s="302">
        <f t="shared" si="276"/>
        <v>4.4229969924240921E-2</v>
      </c>
      <c r="M744" s="236"/>
      <c r="N744" s="236"/>
    </row>
    <row r="745" spans="1:14" x14ac:dyDescent="0.2">
      <c r="A745" s="237" t="str">
        <f>name!E$9</f>
        <v>Caring, leisure and other service occupations</v>
      </c>
      <c r="B745" s="302">
        <v>1.3596025814951638E-3</v>
      </c>
      <c r="C745" s="302">
        <v>1.5578960412681312E-2</v>
      </c>
      <c r="D745" s="302">
        <f t="shared" si="274"/>
        <v>1.6938562994176475E-2</v>
      </c>
      <c r="E745" s="303"/>
      <c r="F745" s="302">
        <v>5.7609578160102435E-3</v>
      </c>
      <c r="G745" s="302">
        <v>1.5925489255569369E-2</v>
      </c>
      <c r="H745" s="302">
        <f t="shared" si="275"/>
        <v>2.1686447071579611E-2</v>
      </c>
      <c r="I745" s="303"/>
      <c r="J745" s="302">
        <v>6.0285959554769617E-3</v>
      </c>
      <c r="K745" s="302">
        <v>1.7034566978098305E-2</v>
      </c>
      <c r="L745" s="302">
        <f t="shared" si="276"/>
        <v>2.3063162933575267E-2</v>
      </c>
      <c r="M745" s="236"/>
      <c r="N745" s="236"/>
    </row>
    <row r="746" spans="1:14" x14ac:dyDescent="0.2">
      <c r="A746" s="237" t="str">
        <f>name!E$10</f>
        <v>Sales and customer service occupations</v>
      </c>
      <c r="B746" s="302">
        <v>2.0348483017866626E-3</v>
      </c>
      <c r="C746" s="302">
        <v>1.468069850424919E-2</v>
      </c>
      <c r="D746" s="302">
        <f t="shared" si="274"/>
        <v>1.6715546806035854E-2</v>
      </c>
      <c r="E746" s="303"/>
      <c r="F746" s="302">
        <v>3.6042988802031748E-3</v>
      </c>
      <c r="G746" s="302">
        <v>1.381935258411489E-2</v>
      </c>
      <c r="H746" s="302">
        <f t="shared" si="275"/>
        <v>1.7423651464318065E-2</v>
      </c>
      <c r="I746" s="303"/>
      <c r="J746" s="302">
        <v>3.2526876948200359E-3</v>
      </c>
      <c r="K746" s="302">
        <v>1.6612871860734867E-2</v>
      </c>
      <c r="L746" s="302">
        <f t="shared" si="276"/>
        <v>1.9865559555554902E-2</v>
      </c>
      <c r="M746" s="236"/>
      <c r="N746" s="236"/>
    </row>
    <row r="747" spans="1:14" x14ac:dyDescent="0.2">
      <c r="A747" s="237" t="str">
        <f>name!E$11</f>
        <v>Process, plant and machine operatives</v>
      </c>
      <c r="B747" s="302">
        <v>1.0288492246379165E-4</v>
      </c>
      <c r="C747" s="302">
        <v>6.8774959788647679E-3</v>
      </c>
      <c r="D747" s="302">
        <f t="shared" si="274"/>
        <v>6.9803809013285591E-3</v>
      </c>
      <c r="E747" s="303"/>
      <c r="F747" s="302">
        <v>5.6067151197300013E-4</v>
      </c>
      <c r="G747" s="302">
        <v>5.125130605227065E-3</v>
      </c>
      <c r="H747" s="302">
        <f t="shared" si="275"/>
        <v>5.685802117200065E-3</v>
      </c>
      <c r="I747" s="303"/>
      <c r="J747" s="302">
        <v>5.1375659645079043E-4</v>
      </c>
      <c r="K747" s="302">
        <v>5.340446715497345E-3</v>
      </c>
      <c r="L747" s="302">
        <f t="shared" si="276"/>
        <v>5.8542033119481354E-3</v>
      </c>
      <c r="M747" s="236"/>
      <c r="N747" s="236"/>
    </row>
    <row r="748" spans="1:14" x14ac:dyDescent="0.2">
      <c r="A748" s="237" t="str">
        <f>name!E$12</f>
        <v>Elementary occupations</v>
      </c>
      <c r="B748" s="302">
        <v>8.9995762805225707E-4</v>
      </c>
      <c r="C748" s="302">
        <v>2.9717900003996676E-2</v>
      </c>
      <c r="D748" s="302">
        <f t="shared" si="274"/>
        <v>3.0617857632048932E-2</v>
      </c>
      <c r="E748" s="303"/>
      <c r="F748" s="302">
        <v>1.9347968607750703E-3</v>
      </c>
      <c r="G748" s="302">
        <v>2.2296849805435524E-2</v>
      </c>
      <c r="H748" s="302">
        <f t="shared" si="275"/>
        <v>2.4231646666210596E-2</v>
      </c>
      <c r="I748" s="303"/>
      <c r="J748" s="302">
        <v>1.2048126446553746E-3</v>
      </c>
      <c r="K748" s="302">
        <v>1.723331195697364E-2</v>
      </c>
      <c r="L748" s="302">
        <f t="shared" si="276"/>
        <v>1.8438124601629014E-2</v>
      </c>
      <c r="M748" s="236"/>
      <c r="N748" s="236"/>
    </row>
    <row r="749" spans="1:14" x14ac:dyDescent="0.2">
      <c r="A749" s="237"/>
      <c r="B749" s="302"/>
      <c r="C749" s="302"/>
      <c r="D749" s="302"/>
      <c r="E749" s="303"/>
      <c r="F749" s="302"/>
      <c r="G749" s="302"/>
      <c r="H749" s="302"/>
      <c r="I749" s="303"/>
      <c r="J749" s="302"/>
      <c r="K749" s="302"/>
      <c r="L749" s="302"/>
      <c r="M749" s="236"/>
      <c r="N749" s="236"/>
    </row>
    <row r="750" spans="1:14" x14ac:dyDescent="0.2">
      <c r="A750" s="244" t="s">
        <v>32</v>
      </c>
      <c r="B750" s="311">
        <f>SUM(B740:B748)</f>
        <v>3.7000000000022015E-2</v>
      </c>
      <c r="C750" s="311">
        <f t="shared" ref="C750:D750" si="277">SUM(C740:C748)</f>
        <v>0.23500000000078874</v>
      </c>
      <c r="D750" s="311">
        <f t="shared" si="277"/>
        <v>0.2720000000008107</v>
      </c>
      <c r="E750" s="311"/>
      <c r="F750" s="311">
        <f t="shared" ref="F750:H750" si="278">SUM(F740:F748)</f>
        <v>0.18299999999964978</v>
      </c>
      <c r="G750" s="311">
        <f t="shared" si="278"/>
        <v>0.20199999999998625</v>
      </c>
      <c r="H750" s="311">
        <f t="shared" si="278"/>
        <v>0.38499999999963597</v>
      </c>
      <c r="I750" s="311"/>
      <c r="J750" s="311">
        <f t="shared" ref="J750:L750" si="279">SUM(J740:J748)</f>
        <v>0.15600000000125444</v>
      </c>
      <c r="K750" s="311">
        <f t="shared" si="279"/>
        <v>0.20600000000120039</v>
      </c>
      <c r="L750" s="311">
        <f t="shared" si="279"/>
        <v>0.3620000000024548</v>
      </c>
      <c r="M750" s="236"/>
      <c r="N750" s="236"/>
    </row>
    <row r="751" spans="1:14" x14ac:dyDescent="0.2">
      <c r="A751" s="237"/>
      <c r="B751" s="237"/>
      <c r="C751" s="237"/>
      <c r="D751" s="237"/>
      <c r="E751" s="237"/>
      <c r="F751" s="237"/>
      <c r="G751" s="237"/>
      <c r="H751" s="237"/>
      <c r="I751" s="237"/>
      <c r="J751" s="237"/>
      <c r="K751" s="237"/>
      <c r="L751" s="240"/>
      <c r="M751" s="236"/>
      <c r="N751" s="236"/>
    </row>
    <row r="752" spans="1:14" x14ac:dyDescent="0.2">
      <c r="A752" s="237"/>
      <c r="B752" s="237"/>
      <c r="C752" s="237"/>
      <c r="D752" s="237"/>
      <c r="E752" s="237"/>
      <c r="F752" s="237"/>
      <c r="G752" s="237"/>
      <c r="H752" s="237"/>
      <c r="I752" s="237"/>
      <c r="J752" s="237"/>
      <c r="K752" s="237"/>
      <c r="L752" s="256" t="s">
        <v>35</v>
      </c>
      <c r="M752" s="236"/>
      <c r="N752" s="236"/>
    </row>
    <row r="753" spans="1:14" x14ac:dyDescent="0.2">
      <c r="A753" s="242"/>
      <c r="B753" s="250"/>
      <c r="C753" s="250"/>
      <c r="D753" s="250"/>
      <c r="E753" s="250"/>
      <c r="F753" s="250"/>
      <c r="G753" s="250"/>
      <c r="H753" s="250"/>
      <c r="I753" s="250"/>
      <c r="J753" s="250"/>
      <c r="K753" s="250"/>
      <c r="L753" s="236"/>
      <c r="M753" s="236"/>
      <c r="N753" s="236"/>
    </row>
    <row r="754" spans="1:14" x14ac:dyDescent="0.2">
      <c r="A754" s="241" t="str">
        <f>name!A47</f>
        <v>Telecommunications</v>
      </c>
      <c r="B754" s="372">
        <f>B$6</f>
        <v>2015</v>
      </c>
      <c r="C754" s="372"/>
      <c r="D754" s="372"/>
      <c r="E754" s="253"/>
      <c r="F754" s="372">
        <f>F737</f>
        <v>2020</v>
      </c>
      <c r="G754" s="372"/>
      <c r="H754" s="372"/>
      <c r="I754" s="253"/>
      <c r="J754" s="372">
        <f>J737</f>
        <v>2035</v>
      </c>
      <c r="K754" s="372"/>
      <c r="L754" s="372"/>
      <c r="M754" s="236"/>
      <c r="N754" s="236"/>
    </row>
    <row r="755" spans="1:14" x14ac:dyDescent="0.2">
      <c r="A755" s="254"/>
      <c r="B755" s="255" t="s">
        <v>352</v>
      </c>
      <c r="C755" s="255" t="s">
        <v>353</v>
      </c>
      <c r="D755" s="255" t="s">
        <v>32</v>
      </c>
      <c r="E755" s="255"/>
      <c r="F755" s="255" t="s">
        <v>352</v>
      </c>
      <c r="G755" s="255" t="s">
        <v>353</v>
      </c>
      <c r="H755" s="255" t="s">
        <v>32</v>
      </c>
      <c r="I755" s="255"/>
      <c r="J755" s="255" t="s">
        <v>352</v>
      </c>
      <c r="K755" s="255" t="s">
        <v>353</v>
      </c>
      <c r="L755" s="255" t="s">
        <v>32</v>
      </c>
      <c r="M755" s="236"/>
      <c r="N755" s="236"/>
    </row>
    <row r="756" spans="1:14" x14ac:dyDescent="0.2">
      <c r="A756" s="258"/>
      <c r="B756" s="259"/>
      <c r="C756" s="259"/>
      <c r="D756" s="259"/>
      <c r="E756" s="259"/>
      <c r="F756" s="259"/>
      <c r="G756" s="259"/>
      <c r="H756" s="259"/>
      <c r="I756" s="259"/>
      <c r="J756" s="259"/>
      <c r="K756" s="259"/>
      <c r="L756" s="259"/>
      <c r="M756" s="236"/>
      <c r="N756" s="236"/>
    </row>
    <row r="757" spans="1:14" x14ac:dyDescent="0.2">
      <c r="A757" s="237" t="str">
        <f>name!E$4</f>
        <v>Managers, directors and senior officials</v>
      </c>
      <c r="B757" s="302">
        <v>0.48503206744301869</v>
      </c>
      <c r="C757" s="302">
        <v>1.1607781916725184</v>
      </c>
      <c r="D757" s="302">
        <f>SUM(B757:C757)</f>
        <v>1.645810259115537</v>
      </c>
      <c r="E757" s="303"/>
      <c r="F757" s="302">
        <v>0.30215343646765852</v>
      </c>
      <c r="G757" s="302">
        <v>1.1542578299604036</v>
      </c>
      <c r="H757" s="302">
        <f>SUM(F757:G757)</f>
        <v>1.4564112664280622</v>
      </c>
      <c r="I757" s="303"/>
      <c r="J757" s="302">
        <v>0.40737838028359463</v>
      </c>
      <c r="K757" s="302">
        <v>1.2858746315432301</v>
      </c>
      <c r="L757" s="302">
        <f>SUM(J757:K757)</f>
        <v>1.6932530118268247</v>
      </c>
      <c r="M757" s="236"/>
      <c r="N757" s="236"/>
    </row>
    <row r="758" spans="1:14" x14ac:dyDescent="0.2">
      <c r="A758" s="237" t="str">
        <f>name!E$5</f>
        <v>Professional occupations</v>
      </c>
      <c r="B758" s="302">
        <v>0.42824438817960153</v>
      </c>
      <c r="C758" s="302">
        <v>2.1759157350395477</v>
      </c>
      <c r="D758" s="302">
        <f t="shared" ref="D758:D765" si="280">SUM(B758:C758)</f>
        <v>2.6041601232191494</v>
      </c>
      <c r="E758" s="303"/>
      <c r="F758" s="302">
        <v>0.30539851837501542</v>
      </c>
      <c r="G758" s="302">
        <v>2.3482438652966731</v>
      </c>
      <c r="H758" s="302">
        <f t="shared" ref="H758:H765" si="281">SUM(F758:G758)</f>
        <v>2.6536423836716887</v>
      </c>
      <c r="I758" s="303"/>
      <c r="J758" s="302">
        <v>0.42509509526376427</v>
      </c>
      <c r="K758" s="302">
        <v>3.1164195989774757</v>
      </c>
      <c r="L758" s="302">
        <f t="shared" ref="L758:L765" si="282">SUM(J758:K758)</f>
        <v>3.5415146942412399</v>
      </c>
      <c r="M758" s="236"/>
      <c r="N758" s="236"/>
    </row>
    <row r="759" spans="1:14" x14ac:dyDescent="0.2">
      <c r="A759" s="237" t="str">
        <f>name!E$6</f>
        <v>Associate professional occupations</v>
      </c>
      <c r="B759" s="302">
        <v>0.4894443836641641</v>
      </c>
      <c r="C759" s="302">
        <v>0.78341826484690225</v>
      </c>
      <c r="D759" s="302">
        <f t="shared" si="280"/>
        <v>1.2728626485110663</v>
      </c>
      <c r="E759" s="303"/>
      <c r="F759" s="302">
        <v>0.2879946680587866</v>
      </c>
      <c r="G759" s="302">
        <v>0.81202815627106717</v>
      </c>
      <c r="H759" s="302">
        <f t="shared" si="281"/>
        <v>1.1000228243298538</v>
      </c>
      <c r="I759" s="303"/>
      <c r="J759" s="302">
        <v>0.35441210939970602</v>
      </c>
      <c r="K759" s="302">
        <v>0.87899750905411045</v>
      </c>
      <c r="L759" s="302">
        <f t="shared" si="282"/>
        <v>1.2334096184538166</v>
      </c>
      <c r="M759" s="236"/>
      <c r="N759" s="236"/>
    </row>
    <row r="760" spans="1:14" x14ac:dyDescent="0.2">
      <c r="A760" s="237" t="str">
        <f>name!E$7</f>
        <v>Administrative and secretarial occupations</v>
      </c>
      <c r="B760" s="302">
        <v>0.5317025112585485</v>
      </c>
      <c r="C760" s="302">
        <v>0.26321853794229499</v>
      </c>
      <c r="D760" s="302">
        <f t="shared" si="280"/>
        <v>0.7949210492008435</v>
      </c>
      <c r="E760" s="303"/>
      <c r="F760" s="302">
        <v>0.22285406587530757</v>
      </c>
      <c r="G760" s="302">
        <v>0.26485781190079211</v>
      </c>
      <c r="H760" s="302">
        <f t="shared" si="281"/>
        <v>0.4877118777760997</v>
      </c>
      <c r="I760" s="303"/>
      <c r="J760" s="302">
        <v>0.20605389064683977</v>
      </c>
      <c r="K760" s="302">
        <v>0.31439419245466887</v>
      </c>
      <c r="L760" s="302">
        <f t="shared" si="282"/>
        <v>0.52044808310150859</v>
      </c>
      <c r="M760" s="236"/>
      <c r="N760" s="236"/>
    </row>
    <row r="761" spans="1:14" x14ac:dyDescent="0.2">
      <c r="A761" s="237" t="str">
        <f>name!E$8</f>
        <v>Skilled trades occupations</v>
      </c>
      <c r="B761" s="302">
        <v>6.7396711924413058E-2</v>
      </c>
      <c r="C761" s="302">
        <v>0.96499748905617044</v>
      </c>
      <c r="D761" s="302">
        <f t="shared" si="280"/>
        <v>1.0323942009805835</v>
      </c>
      <c r="E761" s="303"/>
      <c r="F761" s="302">
        <v>2.9585394328948966E-2</v>
      </c>
      <c r="G761" s="302">
        <v>0.68406250280938496</v>
      </c>
      <c r="H761" s="302">
        <f t="shared" si="281"/>
        <v>0.71364789713833399</v>
      </c>
      <c r="I761" s="303"/>
      <c r="J761" s="302">
        <v>4.1454860508945451E-2</v>
      </c>
      <c r="K761" s="302">
        <v>0.44624194963323566</v>
      </c>
      <c r="L761" s="302">
        <f t="shared" si="282"/>
        <v>0.48769681014218114</v>
      </c>
      <c r="M761" s="236"/>
      <c r="N761" s="236"/>
    </row>
    <row r="762" spans="1:14" x14ac:dyDescent="0.2">
      <c r="A762" s="237" t="str">
        <f>name!E$9</f>
        <v>Caring, leisure and other service occupations</v>
      </c>
      <c r="B762" s="302">
        <v>0.10791669018965887</v>
      </c>
      <c r="C762" s="302">
        <v>0.20129702668126803</v>
      </c>
      <c r="D762" s="302">
        <f t="shared" si="280"/>
        <v>0.30921371687092691</v>
      </c>
      <c r="E762" s="303"/>
      <c r="F762" s="302">
        <v>2.1412686563408709E-2</v>
      </c>
      <c r="G762" s="302">
        <v>0.17827265140864457</v>
      </c>
      <c r="H762" s="302">
        <f t="shared" si="281"/>
        <v>0.19968533797205329</v>
      </c>
      <c r="I762" s="303"/>
      <c r="J762" s="302">
        <v>2.3048454256406663E-2</v>
      </c>
      <c r="K762" s="302">
        <v>0.27083692687179589</v>
      </c>
      <c r="L762" s="302">
        <f t="shared" si="282"/>
        <v>0.29388538112820256</v>
      </c>
      <c r="M762" s="236"/>
      <c r="N762" s="236"/>
    </row>
    <row r="763" spans="1:14" x14ac:dyDescent="0.2">
      <c r="A763" s="237" t="str">
        <f>name!E$10</f>
        <v>Sales and customer service occupations</v>
      </c>
      <c r="B763" s="302">
        <v>1.3571500501353309</v>
      </c>
      <c r="C763" s="302">
        <v>0.48920217194611249</v>
      </c>
      <c r="D763" s="302">
        <f t="shared" si="280"/>
        <v>1.8463522220814435</v>
      </c>
      <c r="E763" s="303"/>
      <c r="F763" s="302">
        <v>0.49184468623245403</v>
      </c>
      <c r="G763" s="302">
        <v>0.39255879108783159</v>
      </c>
      <c r="H763" s="302">
        <f t="shared" si="281"/>
        <v>0.88440347732028557</v>
      </c>
      <c r="I763" s="303"/>
      <c r="J763" s="302">
        <v>0.61841154499715012</v>
      </c>
      <c r="K763" s="302">
        <v>0.6154260503641763</v>
      </c>
      <c r="L763" s="302">
        <f t="shared" si="282"/>
        <v>1.2338375953613263</v>
      </c>
      <c r="M763" s="236"/>
      <c r="N763" s="236"/>
    </row>
    <row r="764" spans="1:14" x14ac:dyDescent="0.2">
      <c r="A764" s="237" t="str">
        <f>name!E$11</f>
        <v>Process, plant and machine operatives</v>
      </c>
      <c r="B764" s="302">
        <v>1.6150096731440002E-2</v>
      </c>
      <c r="C764" s="302">
        <v>0.14761193505953016</v>
      </c>
      <c r="D764" s="302">
        <f t="shared" si="280"/>
        <v>0.16376203179097015</v>
      </c>
      <c r="E764" s="303"/>
      <c r="F764" s="302">
        <v>3.4537112083877727E-3</v>
      </c>
      <c r="G764" s="302">
        <v>8.1697832453133196E-2</v>
      </c>
      <c r="H764" s="302">
        <f t="shared" si="281"/>
        <v>8.5151543661520973E-2</v>
      </c>
      <c r="I764" s="303"/>
      <c r="J764" s="302">
        <v>5.1853673110345997E-3</v>
      </c>
      <c r="K764" s="302">
        <v>0.1017677250197338</v>
      </c>
      <c r="L764" s="302">
        <f t="shared" si="282"/>
        <v>0.1069530923307684</v>
      </c>
      <c r="M764" s="236"/>
      <c r="N764" s="236"/>
    </row>
    <row r="765" spans="1:14" x14ac:dyDescent="0.2">
      <c r="A765" s="237" t="str">
        <f>name!E$12</f>
        <v>Elementary occupations</v>
      </c>
      <c r="B765" s="302">
        <v>6.0963100478130687E-2</v>
      </c>
      <c r="C765" s="302">
        <v>0.13856064767192594</v>
      </c>
      <c r="D765" s="302">
        <f t="shared" si="280"/>
        <v>0.19952374815005663</v>
      </c>
      <c r="E765" s="303"/>
      <c r="F765" s="302">
        <v>1.2302832885948444E-2</v>
      </c>
      <c r="G765" s="302">
        <v>7.6020558753643622E-2</v>
      </c>
      <c r="H765" s="302">
        <f t="shared" si="281"/>
        <v>8.8323391639592061E-2</v>
      </c>
      <c r="I765" s="303"/>
      <c r="J765" s="302">
        <v>1.1960297345004641E-2</v>
      </c>
      <c r="K765" s="302">
        <v>7.0041416189813355E-2</v>
      </c>
      <c r="L765" s="302">
        <f t="shared" si="282"/>
        <v>8.2001713534817999E-2</v>
      </c>
      <c r="M765" s="236"/>
      <c r="N765" s="236"/>
    </row>
    <row r="766" spans="1:14" x14ac:dyDescent="0.2">
      <c r="A766" s="237"/>
      <c r="B766" s="302"/>
      <c r="C766" s="302"/>
      <c r="D766" s="302"/>
      <c r="E766" s="303"/>
      <c r="F766" s="302"/>
      <c r="G766" s="302"/>
      <c r="H766" s="302"/>
      <c r="I766" s="303"/>
      <c r="J766" s="302"/>
      <c r="K766" s="302"/>
      <c r="L766" s="302"/>
      <c r="M766" s="236"/>
      <c r="N766" s="236"/>
    </row>
    <row r="767" spans="1:14" x14ac:dyDescent="0.2">
      <c r="A767" s="244" t="s">
        <v>32</v>
      </c>
      <c r="B767" s="311">
        <f>SUM(B757:B765)</f>
        <v>3.5440000000043064</v>
      </c>
      <c r="C767" s="311">
        <f t="shared" ref="C767:D767" si="283">SUM(C757:C765)</f>
        <v>6.3249999999162698</v>
      </c>
      <c r="D767" s="311">
        <f t="shared" si="283"/>
        <v>9.8689999999205753</v>
      </c>
      <c r="E767" s="311"/>
      <c r="F767" s="311">
        <f t="shared" ref="F767:H767" si="284">SUM(F757:F765)</f>
        <v>1.676999999995916</v>
      </c>
      <c r="G767" s="311">
        <f t="shared" si="284"/>
        <v>5.9919999999415747</v>
      </c>
      <c r="H767" s="311">
        <f t="shared" si="284"/>
        <v>7.6689999999374896</v>
      </c>
      <c r="I767" s="311"/>
      <c r="J767" s="311">
        <f t="shared" ref="J767:L767" si="285">SUM(J757:J765)</f>
        <v>2.093000000012446</v>
      </c>
      <c r="K767" s="311">
        <f t="shared" si="285"/>
        <v>7.1000000001082411</v>
      </c>
      <c r="L767" s="311">
        <f t="shared" si="285"/>
        <v>9.1930000001206853</v>
      </c>
      <c r="M767" s="236"/>
      <c r="N767" s="236"/>
    </row>
    <row r="768" spans="1:14" x14ac:dyDescent="0.2">
      <c r="A768" s="237"/>
      <c r="B768" s="237"/>
      <c r="C768" s="237"/>
      <c r="D768" s="237"/>
      <c r="E768" s="237"/>
      <c r="F768" s="237"/>
      <c r="G768" s="237"/>
      <c r="H768" s="237"/>
      <c r="I768" s="237"/>
      <c r="J768" s="237"/>
      <c r="K768" s="237"/>
      <c r="L768" s="240"/>
      <c r="M768" s="236"/>
      <c r="N768" s="236"/>
    </row>
    <row r="769" spans="1:14" x14ac:dyDescent="0.2">
      <c r="A769" s="237"/>
      <c r="B769" s="237"/>
      <c r="C769" s="237"/>
      <c r="D769" s="237"/>
      <c r="E769" s="237"/>
      <c r="F769" s="237"/>
      <c r="G769" s="237"/>
      <c r="H769" s="237"/>
      <c r="I769" s="237"/>
      <c r="J769" s="237"/>
      <c r="K769" s="237"/>
      <c r="L769" s="256" t="s">
        <v>35</v>
      </c>
      <c r="M769" s="236"/>
      <c r="N769" s="236"/>
    </row>
    <row r="770" spans="1:14" x14ac:dyDescent="0.2">
      <c r="A770" s="242"/>
      <c r="B770" s="250"/>
      <c r="C770" s="250"/>
      <c r="D770" s="250"/>
      <c r="E770" s="250"/>
      <c r="F770" s="250"/>
      <c r="G770" s="250"/>
      <c r="H770" s="250"/>
      <c r="I770" s="250"/>
      <c r="J770" s="250"/>
      <c r="K770" s="250"/>
      <c r="L770" s="236"/>
      <c r="M770" s="236"/>
      <c r="N770" s="236"/>
    </row>
    <row r="771" spans="1:14" x14ac:dyDescent="0.2">
      <c r="A771" s="241" t="str">
        <f>name!A48</f>
        <v>Computing services</v>
      </c>
      <c r="B771" s="372">
        <f>B$6</f>
        <v>2015</v>
      </c>
      <c r="C771" s="372"/>
      <c r="D771" s="372"/>
      <c r="E771" s="253"/>
      <c r="F771" s="372">
        <f>F$6</f>
        <v>2020</v>
      </c>
      <c r="G771" s="372"/>
      <c r="H771" s="372"/>
      <c r="I771" s="253"/>
      <c r="J771" s="372">
        <f>J$6</f>
        <v>2035</v>
      </c>
      <c r="K771" s="372"/>
      <c r="L771" s="372"/>
      <c r="M771" s="236"/>
      <c r="N771" s="236"/>
    </row>
    <row r="772" spans="1:14" x14ac:dyDescent="0.2">
      <c r="A772" s="254"/>
      <c r="B772" s="255" t="s">
        <v>352</v>
      </c>
      <c r="C772" s="255" t="s">
        <v>353</v>
      </c>
      <c r="D772" s="255" t="s">
        <v>32</v>
      </c>
      <c r="E772" s="255"/>
      <c r="F772" s="255" t="s">
        <v>352</v>
      </c>
      <c r="G772" s="255" t="s">
        <v>353</v>
      </c>
      <c r="H772" s="255" t="s">
        <v>32</v>
      </c>
      <c r="I772" s="255"/>
      <c r="J772" s="255" t="s">
        <v>352</v>
      </c>
      <c r="K772" s="255" t="s">
        <v>353</v>
      </c>
      <c r="L772" s="255" t="s">
        <v>32</v>
      </c>
      <c r="M772" s="236"/>
      <c r="N772" s="236"/>
    </row>
    <row r="773" spans="1:14" x14ac:dyDescent="0.2">
      <c r="A773" s="258"/>
      <c r="B773" s="259"/>
      <c r="C773" s="259"/>
      <c r="D773" s="259"/>
      <c r="E773" s="259"/>
      <c r="F773" s="259"/>
      <c r="G773" s="259"/>
      <c r="H773" s="259"/>
      <c r="I773" s="259"/>
      <c r="J773" s="259"/>
      <c r="K773" s="259"/>
      <c r="L773" s="259"/>
      <c r="M773" s="236"/>
      <c r="N773" s="236"/>
    </row>
    <row r="774" spans="1:14" x14ac:dyDescent="0.2">
      <c r="A774" s="237" t="str">
        <f>name!E$4</f>
        <v>Managers, directors and senior officials</v>
      </c>
      <c r="B774" s="302">
        <v>0.72132585489170276</v>
      </c>
      <c r="C774" s="302">
        <v>0.94891036350611879</v>
      </c>
      <c r="D774" s="302">
        <f>SUM(B774:C774)</f>
        <v>1.6702362183978217</v>
      </c>
      <c r="E774" s="303"/>
      <c r="F774" s="302">
        <v>0.50264042261286934</v>
      </c>
      <c r="G774" s="302">
        <v>0.84889656952910442</v>
      </c>
      <c r="H774" s="302">
        <f>SUM(F774:G774)</f>
        <v>1.3515369921419738</v>
      </c>
      <c r="I774" s="303"/>
      <c r="J774" s="302">
        <v>0.68865715504522962</v>
      </c>
      <c r="K774" s="302">
        <v>0.88303432634839552</v>
      </c>
      <c r="L774" s="302">
        <f>SUM(J774:K774)</f>
        <v>1.5716914813936251</v>
      </c>
      <c r="M774" s="236"/>
      <c r="N774" s="236"/>
    </row>
    <row r="775" spans="1:14" x14ac:dyDescent="0.2">
      <c r="A775" s="237" t="str">
        <f>name!E$5</f>
        <v>Professional occupations</v>
      </c>
      <c r="B775" s="302">
        <v>1.5352623414397175</v>
      </c>
      <c r="C775" s="302">
        <v>5.1550359430853483</v>
      </c>
      <c r="D775" s="302">
        <f t="shared" ref="D775:D782" si="286">SUM(B775:C775)</f>
        <v>6.690298284525066</v>
      </c>
      <c r="E775" s="303"/>
      <c r="F775" s="302">
        <v>1.2712433968010204</v>
      </c>
      <c r="G775" s="302">
        <v>5.092034308672619</v>
      </c>
      <c r="H775" s="302">
        <f t="shared" ref="H775:H782" si="287">SUM(F775:G775)</f>
        <v>6.3632777054736396</v>
      </c>
      <c r="I775" s="303"/>
      <c r="J775" s="302">
        <v>1.8519798568684618</v>
      </c>
      <c r="K775" s="302">
        <v>6.3602838239776291</v>
      </c>
      <c r="L775" s="302">
        <f t="shared" ref="L775:L782" si="288">SUM(J775:K775)</f>
        <v>8.2122636808460907</v>
      </c>
      <c r="M775" s="236"/>
      <c r="N775" s="236"/>
    </row>
    <row r="776" spans="1:14" x14ac:dyDescent="0.2">
      <c r="A776" s="237" t="str">
        <f>name!E$6</f>
        <v>Associate professional occupations</v>
      </c>
      <c r="B776" s="302">
        <v>1.2483464283069852</v>
      </c>
      <c r="C776" s="302">
        <v>2.1870605066262327</v>
      </c>
      <c r="D776" s="302">
        <f t="shared" si="286"/>
        <v>3.4354069349332179</v>
      </c>
      <c r="E776" s="303"/>
      <c r="F776" s="302">
        <v>0.96970207190911173</v>
      </c>
      <c r="G776" s="302">
        <v>2.0993775715100234</v>
      </c>
      <c r="H776" s="302">
        <f t="shared" si="287"/>
        <v>3.0690796434191352</v>
      </c>
      <c r="I776" s="303"/>
      <c r="J776" s="302">
        <v>1.2300584840016624</v>
      </c>
      <c r="K776" s="302">
        <v>2.3843269160577774</v>
      </c>
      <c r="L776" s="302">
        <f t="shared" si="288"/>
        <v>3.6143854000594398</v>
      </c>
      <c r="M776" s="236"/>
      <c r="N776" s="236"/>
    </row>
    <row r="777" spans="1:14" x14ac:dyDescent="0.2">
      <c r="A777" s="237" t="str">
        <f>name!E$7</f>
        <v>Administrative and secretarial occupations</v>
      </c>
      <c r="B777" s="302">
        <v>1.6358398210966318</v>
      </c>
      <c r="C777" s="302">
        <v>0.70880203820286802</v>
      </c>
      <c r="D777" s="302">
        <f t="shared" si="286"/>
        <v>2.3446418592994998</v>
      </c>
      <c r="E777" s="303"/>
      <c r="F777" s="302">
        <v>0.75651969107506201</v>
      </c>
      <c r="G777" s="302">
        <v>0.61674975116221631</v>
      </c>
      <c r="H777" s="302">
        <f t="shared" si="287"/>
        <v>1.3732694422372784</v>
      </c>
      <c r="I777" s="303"/>
      <c r="J777" s="302">
        <v>0.58875290350340015</v>
      </c>
      <c r="K777" s="302">
        <v>0.73604006543042833</v>
      </c>
      <c r="L777" s="302">
        <f t="shared" si="288"/>
        <v>1.3247929689338285</v>
      </c>
      <c r="M777" s="236"/>
      <c r="N777" s="236"/>
    </row>
    <row r="778" spans="1:14" x14ac:dyDescent="0.2">
      <c r="A778" s="237" t="str">
        <f>name!E$8</f>
        <v>Skilled trades occupations</v>
      </c>
      <c r="B778" s="302">
        <v>6.4259229294558975E-2</v>
      </c>
      <c r="C778" s="302">
        <v>1.0206132050355765</v>
      </c>
      <c r="D778" s="302">
        <f t="shared" si="286"/>
        <v>1.0848724343301355</v>
      </c>
      <c r="E778" s="303"/>
      <c r="F778" s="302">
        <v>4.8108617555379742E-2</v>
      </c>
      <c r="G778" s="302">
        <v>0.62909828685032232</v>
      </c>
      <c r="H778" s="302">
        <f t="shared" si="287"/>
        <v>0.67720690440570208</v>
      </c>
      <c r="I778" s="303"/>
      <c r="J778" s="302">
        <v>9.2697749087061646E-2</v>
      </c>
      <c r="K778" s="302">
        <v>0.52128001362622112</v>
      </c>
      <c r="L778" s="302">
        <f t="shared" si="288"/>
        <v>0.61397776271328275</v>
      </c>
      <c r="M778" s="236"/>
      <c r="N778" s="236"/>
    </row>
    <row r="779" spans="1:14" x14ac:dyDescent="0.2">
      <c r="A779" s="237" t="str">
        <f>name!E$9</f>
        <v>Caring, leisure and other service occupations</v>
      </c>
      <c r="B779" s="302">
        <v>0.16395092758015917</v>
      </c>
      <c r="C779" s="302">
        <v>0.26053098137911179</v>
      </c>
      <c r="D779" s="302">
        <f t="shared" si="286"/>
        <v>0.42448190895927096</v>
      </c>
      <c r="E779" s="303"/>
      <c r="F779" s="302">
        <v>0.11735344921210643</v>
      </c>
      <c r="G779" s="302">
        <v>0.20972570294335377</v>
      </c>
      <c r="H779" s="302">
        <f t="shared" si="287"/>
        <v>0.32707915215546018</v>
      </c>
      <c r="I779" s="303"/>
      <c r="J779" s="302">
        <v>0.15511209850419486</v>
      </c>
      <c r="K779" s="302">
        <v>0.34309786442258589</v>
      </c>
      <c r="L779" s="302">
        <f t="shared" si="288"/>
        <v>0.49820996292678077</v>
      </c>
      <c r="M779" s="236"/>
      <c r="N779" s="236"/>
    </row>
    <row r="780" spans="1:14" x14ac:dyDescent="0.2">
      <c r="A780" s="237" t="str">
        <f>name!E$10</f>
        <v>Sales and customer service occupations</v>
      </c>
      <c r="B780" s="302">
        <v>0.6308960441469571</v>
      </c>
      <c r="C780" s="302">
        <v>0.17222561726808192</v>
      </c>
      <c r="D780" s="302">
        <f t="shared" si="286"/>
        <v>0.80312166141503905</v>
      </c>
      <c r="E780" s="303"/>
      <c r="F780" s="302">
        <v>0.29815515649299251</v>
      </c>
      <c r="G780" s="302">
        <v>0.13208525815902508</v>
      </c>
      <c r="H780" s="302">
        <f t="shared" si="287"/>
        <v>0.43024041465201757</v>
      </c>
      <c r="I780" s="303"/>
      <c r="J780" s="302">
        <v>0.37411852160354742</v>
      </c>
      <c r="K780" s="302">
        <v>0.22790583004694515</v>
      </c>
      <c r="L780" s="302">
        <f t="shared" si="288"/>
        <v>0.60202435165049262</v>
      </c>
      <c r="M780" s="236"/>
      <c r="N780" s="236"/>
    </row>
    <row r="781" spans="1:14" x14ac:dyDescent="0.2">
      <c r="A781" s="237" t="str">
        <f>name!E$11</f>
        <v>Process, plant and machine operatives</v>
      </c>
      <c r="B781" s="302">
        <v>4.4845851450569525E-2</v>
      </c>
      <c r="C781" s="302">
        <v>0.17135124293391982</v>
      </c>
      <c r="D781" s="302">
        <f t="shared" si="286"/>
        <v>0.21619709438448934</v>
      </c>
      <c r="E781" s="303"/>
      <c r="F781" s="302">
        <v>3.3973004898266566E-2</v>
      </c>
      <c r="G781" s="302">
        <v>0.10517673321525364</v>
      </c>
      <c r="H781" s="302">
        <f t="shared" si="287"/>
        <v>0.13914973811352022</v>
      </c>
      <c r="I781" s="303"/>
      <c r="J781" s="302">
        <v>6.3682427995294222E-2</v>
      </c>
      <c r="K781" s="302">
        <v>0.12667970706105583</v>
      </c>
      <c r="L781" s="302">
        <f t="shared" si="288"/>
        <v>0.19036213505635005</v>
      </c>
      <c r="M781" s="236"/>
      <c r="N781" s="236"/>
    </row>
    <row r="782" spans="1:14" x14ac:dyDescent="0.2">
      <c r="A782" s="237" t="str">
        <f>name!E$12</f>
        <v>Elementary occupations</v>
      </c>
      <c r="B782" s="302">
        <v>0.1312735017398558</v>
      </c>
      <c r="C782" s="302">
        <v>0.19847010178998198</v>
      </c>
      <c r="D782" s="302">
        <f t="shared" si="286"/>
        <v>0.32974360352983778</v>
      </c>
      <c r="E782" s="303"/>
      <c r="F782" s="302">
        <v>0.10130418943076432</v>
      </c>
      <c r="G782" s="302">
        <v>0.11285581784842556</v>
      </c>
      <c r="H782" s="302">
        <f t="shared" si="287"/>
        <v>0.21416000727918988</v>
      </c>
      <c r="I782" s="303"/>
      <c r="J782" s="302">
        <v>0.15294080340641811</v>
      </c>
      <c r="K782" s="302">
        <v>9.5351453239448505E-2</v>
      </c>
      <c r="L782" s="302">
        <f t="shared" si="288"/>
        <v>0.24829225664586663</v>
      </c>
      <c r="M782" s="236"/>
      <c r="N782" s="236"/>
    </row>
    <row r="783" spans="1:14" x14ac:dyDescent="0.2">
      <c r="A783" s="237"/>
      <c r="B783" s="302"/>
      <c r="C783" s="302"/>
      <c r="D783" s="302"/>
      <c r="E783" s="303"/>
      <c r="F783" s="302"/>
      <c r="G783" s="302"/>
      <c r="H783" s="302"/>
      <c r="I783" s="303"/>
      <c r="J783" s="302"/>
      <c r="K783" s="302"/>
      <c r="L783" s="302"/>
      <c r="M783" s="236"/>
      <c r="N783" s="236"/>
    </row>
    <row r="784" spans="1:14" x14ac:dyDescent="0.2">
      <c r="A784" s="244" t="s">
        <v>32</v>
      </c>
      <c r="B784" s="311">
        <f>SUM(B774:B782)</f>
        <v>6.1759999999471376</v>
      </c>
      <c r="C784" s="311">
        <f t="shared" ref="C784:D784" si="289">SUM(C774:C782)</f>
        <v>10.822999999827241</v>
      </c>
      <c r="D784" s="311">
        <f t="shared" si="289"/>
        <v>16.99899999977438</v>
      </c>
      <c r="E784" s="311"/>
      <c r="F784" s="311">
        <f t="shared" ref="F784:H784" si="290">SUM(F774:F782)</f>
        <v>4.0989999999875737</v>
      </c>
      <c r="G784" s="311">
        <f t="shared" si="290"/>
        <v>9.845999999890342</v>
      </c>
      <c r="H784" s="311">
        <f t="shared" si="290"/>
        <v>13.944999999877918</v>
      </c>
      <c r="I784" s="311"/>
      <c r="J784" s="311">
        <f t="shared" ref="J784:L784" si="291">SUM(J774:J782)</f>
        <v>5.1980000000152708</v>
      </c>
      <c r="K784" s="311">
        <f t="shared" si="291"/>
        <v>11.678000000210487</v>
      </c>
      <c r="L784" s="311">
        <f t="shared" si="291"/>
        <v>16.876000000225758</v>
      </c>
      <c r="M784" s="236"/>
      <c r="N784" s="236"/>
    </row>
    <row r="785" spans="1:14" x14ac:dyDescent="0.2">
      <c r="A785" s="237"/>
      <c r="B785" s="237"/>
      <c r="C785" s="237"/>
      <c r="D785" s="237"/>
      <c r="E785" s="237"/>
      <c r="F785" s="237"/>
      <c r="G785" s="237"/>
      <c r="H785" s="237"/>
      <c r="I785" s="237"/>
      <c r="J785" s="237"/>
      <c r="K785" s="237"/>
      <c r="L785" s="240"/>
      <c r="M785" s="236"/>
      <c r="N785" s="236"/>
    </row>
    <row r="786" spans="1:14" x14ac:dyDescent="0.2">
      <c r="A786" s="237"/>
      <c r="B786" s="237"/>
      <c r="C786" s="237"/>
      <c r="D786" s="237"/>
      <c r="E786" s="237"/>
      <c r="F786" s="237"/>
      <c r="G786" s="237"/>
      <c r="H786" s="237"/>
      <c r="I786" s="237"/>
      <c r="J786" s="237"/>
      <c r="K786" s="237"/>
      <c r="L786" s="256" t="s">
        <v>35</v>
      </c>
      <c r="M786" s="236"/>
      <c r="N786" s="236"/>
    </row>
    <row r="787" spans="1:14" x14ac:dyDescent="0.2">
      <c r="A787" s="242"/>
      <c r="B787" s="250"/>
      <c r="C787" s="250"/>
      <c r="D787" s="250"/>
      <c r="E787" s="250"/>
      <c r="F787" s="250"/>
      <c r="G787" s="250"/>
      <c r="H787" s="250"/>
      <c r="I787" s="250"/>
      <c r="J787" s="250"/>
      <c r="K787" s="250"/>
      <c r="L787" s="236"/>
      <c r="M787" s="236"/>
      <c r="N787" s="236"/>
    </row>
    <row r="788" spans="1:14" x14ac:dyDescent="0.2">
      <c r="A788" s="241" t="str">
        <f>name!A49</f>
        <v>Information services</v>
      </c>
      <c r="B788" s="372">
        <f>B$6</f>
        <v>2015</v>
      </c>
      <c r="C788" s="372"/>
      <c r="D788" s="372"/>
      <c r="E788" s="253"/>
      <c r="F788" s="372">
        <f>F$6</f>
        <v>2020</v>
      </c>
      <c r="G788" s="372"/>
      <c r="H788" s="372"/>
      <c r="I788" s="253"/>
      <c r="J788" s="372">
        <f>J$6</f>
        <v>2035</v>
      </c>
      <c r="K788" s="372"/>
      <c r="L788" s="372"/>
      <c r="M788" s="236"/>
      <c r="N788" s="236"/>
    </row>
    <row r="789" spans="1:14" x14ac:dyDescent="0.2">
      <c r="A789" s="254"/>
      <c r="B789" s="255" t="s">
        <v>352</v>
      </c>
      <c r="C789" s="255" t="s">
        <v>353</v>
      </c>
      <c r="D789" s="255" t="s">
        <v>32</v>
      </c>
      <c r="E789" s="255"/>
      <c r="F789" s="255" t="s">
        <v>352</v>
      </c>
      <c r="G789" s="255" t="s">
        <v>353</v>
      </c>
      <c r="H789" s="255" t="s">
        <v>32</v>
      </c>
      <c r="I789" s="255"/>
      <c r="J789" s="255" t="s">
        <v>352</v>
      </c>
      <c r="K789" s="255" t="s">
        <v>353</v>
      </c>
      <c r="L789" s="255" t="s">
        <v>32</v>
      </c>
      <c r="M789" s="236"/>
      <c r="N789" s="236"/>
    </row>
    <row r="790" spans="1:14" x14ac:dyDescent="0.2">
      <c r="A790" s="258"/>
      <c r="B790" s="259"/>
      <c r="C790" s="259"/>
      <c r="D790" s="259"/>
      <c r="E790" s="259"/>
      <c r="F790" s="259"/>
      <c r="G790" s="259"/>
      <c r="H790" s="259"/>
      <c r="I790" s="259"/>
      <c r="J790" s="259"/>
      <c r="K790" s="259"/>
      <c r="L790" s="259"/>
      <c r="M790" s="236"/>
      <c r="N790" s="236"/>
    </row>
    <row r="791" spans="1:14" x14ac:dyDescent="0.2">
      <c r="A791" s="237" t="str">
        <f>name!E$4</f>
        <v>Managers, directors and senior officials</v>
      </c>
      <c r="B791" s="302">
        <v>2.311493546256824E-2</v>
      </c>
      <c r="C791" s="302">
        <v>5.8913702801957027E-2</v>
      </c>
      <c r="D791" s="302">
        <f>SUM(B791:C791)</f>
        <v>8.2028638264525264E-2</v>
      </c>
      <c r="E791" s="303"/>
      <c r="F791" s="302">
        <v>6.8818165732195583E-2</v>
      </c>
      <c r="G791" s="302">
        <v>0.17384416995704885</v>
      </c>
      <c r="H791" s="302">
        <f>SUM(F791:G791)</f>
        <v>0.24266233568924445</v>
      </c>
      <c r="I791" s="303"/>
      <c r="J791" s="302">
        <v>8.2296203346095234E-2</v>
      </c>
      <c r="K791" s="302">
        <v>0.17868720572836905</v>
      </c>
      <c r="L791" s="302">
        <f>SUM(J791:K791)</f>
        <v>0.26098340907446427</v>
      </c>
      <c r="M791" s="236"/>
      <c r="N791" s="236"/>
    </row>
    <row r="792" spans="1:14" x14ac:dyDescent="0.2">
      <c r="A792" s="237" t="str">
        <f>name!E$5</f>
        <v>Professional occupations</v>
      </c>
      <c r="B792" s="302">
        <v>4.9323240431758925E-2</v>
      </c>
      <c r="C792" s="302">
        <v>0.25292162349168124</v>
      </c>
      <c r="D792" s="302">
        <f t="shared" ref="D792:D799" si="292">SUM(B792:C792)</f>
        <v>0.30224486392344019</v>
      </c>
      <c r="E792" s="303"/>
      <c r="F792" s="302">
        <v>0.14241732378997718</v>
      </c>
      <c r="G792" s="302">
        <v>0.76650339247288701</v>
      </c>
      <c r="H792" s="302">
        <f t="shared" ref="H792:H799" si="293">SUM(F792:G792)</f>
        <v>0.90892071626286419</v>
      </c>
      <c r="I792" s="303"/>
      <c r="J792" s="302">
        <v>0.18724188444679615</v>
      </c>
      <c r="K792" s="302">
        <v>0.88279094948846792</v>
      </c>
      <c r="L792" s="302">
        <f t="shared" ref="L792:L799" si="294">SUM(J792:K792)</f>
        <v>1.070032833935264</v>
      </c>
      <c r="M792" s="236"/>
      <c r="N792" s="236"/>
    </row>
    <row r="793" spans="1:14" x14ac:dyDescent="0.2">
      <c r="A793" s="237" t="str">
        <f>name!E$6</f>
        <v>Associate professional occupations</v>
      </c>
      <c r="B793" s="302">
        <v>5.377697968937916E-2</v>
      </c>
      <c r="C793" s="302">
        <v>0.13647324374817213</v>
      </c>
      <c r="D793" s="302">
        <f t="shared" si="292"/>
        <v>0.1902502234375513</v>
      </c>
      <c r="E793" s="303"/>
      <c r="F793" s="302">
        <v>0.16524199972718251</v>
      </c>
      <c r="G793" s="302">
        <v>0.41172359536370123</v>
      </c>
      <c r="H793" s="302">
        <f t="shared" si="293"/>
        <v>0.57696559509088374</v>
      </c>
      <c r="I793" s="303"/>
      <c r="J793" s="302">
        <v>0.18343052457019082</v>
      </c>
      <c r="K793" s="302">
        <v>0.43240713610263565</v>
      </c>
      <c r="L793" s="302">
        <f t="shared" si="294"/>
        <v>0.61583766067282641</v>
      </c>
      <c r="M793" s="236"/>
      <c r="N793" s="236"/>
    </row>
    <row r="794" spans="1:14" x14ac:dyDescent="0.2">
      <c r="A794" s="237" t="str">
        <f>name!E$7</f>
        <v>Administrative and secretarial occupations</v>
      </c>
      <c r="B794" s="302">
        <v>9.2474812514353619E-2</v>
      </c>
      <c r="C794" s="302">
        <v>7.4422703780247318E-2</v>
      </c>
      <c r="D794" s="302">
        <f t="shared" si="292"/>
        <v>0.16689751629460092</v>
      </c>
      <c r="E794" s="303"/>
      <c r="F794" s="302">
        <v>0.2075976657309081</v>
      </c>
      <c r="G794" s="302">
        <v>0.23407455895225404</v>
      </c>
      <c r="H794" s="302">
        <f t="shared" si="293"/>
        <v>0.44167222468316214</v>
      </c>
      <c r="I794" s="303"/>
      <c r="J794" s="302">
        <v>0.19287351526910065</v>
      </c>
      <c r="K794" s="302">
        <v>0.27953414366414997</v>
      </c>
      <c r="L794" s="302">
        <f t="shared" si="294"/>
        <v>0.47240765893325065</v>
      </c>
      <c r="M794" s="236"/>
      <c r="N794" s="236"/>
    </row>
    <row r="795" spans="1:14" x14ac:dyDescent="0.2">
      <c r="A795" s="237" t="str">
        <f>name!E$8</f>
        <v>Skilled trades occupations</v>
      </c>
      <c r="B795" s="302">
        <v>2.8658230935047469E-3</v>
      </c>
      <c r="C795" s="302">
        <v>6.4516539685159885E-2</v>
      </c>
      <c r="D795" s="302">
        <f t="shared" si="292"/>
        <v>6.7382362778664634E-2</v>
      </c>
      <c r="E795" s="303"/>
      <c r="F795" s="302">
        <v>9.8222053426856356E-3</v>
      </c>
      <c r="G795" s="302">
        <v>0.13651805575827761</v>
      </c>
      <c r="H795" s="302">
        <f t="shared" si="293"/>
        <v>0.14634026110096324</v>
      </c>
      <c r="I795" s="303"/>
      <c r="J795" s="302">
        <v>1.349963893057819E-2</v>
      </c>
      <c r="K795" s="302">
        <v>0.10106468928916794</v>
      </c>
      <c r="L795" s="302">
        <f t="shared" si="294"/>
        <v>0.11456432821974613</v>
      </c>
      <c r="M795" s="236"/>
      <c r="N795" s="236"/>
    </row>
    <row r="796" spans="1:14" x14ac:dyDescent="0.2">
      <c r="A796" s="237" t="str">
        <f>name!E$9</f>
        <v>Caring, leisure and other service occupations</v>
      </c>
      <c r="B796" s="302">
        <v>2.4216770354662583E-2</v>
      </c>
      <c r="C796" s="302">
        <v>2.6138180065186638E-2</v>
      </c>
      <c r="D796" s="302">
        <f t="shared" si="292"/>
        <v>5.035495041984922E-2</v>
      </c>
      <c r="E796" s="303"/>
      <c r="F796" s="302">
        <v>7.6368096389524145E-2</v>
      </c>
      <c r="G796" s="302">
        <v>8.7741676251350223E-2</v>
      </c>
      <c r="H796" s="302">
        <f t="shared" si="293"/>
        <v>0.16410977264087437</v>
      </c>
      <c r="I796" s="303"/>
      <c r="J796" s="302">
        <v>9.8433327521074768E-2</v>
      </c>
      <c r="K796" s="302">
        <v>0.12979340524824887</v>
      </c>
      <c r="L796" s="302">
        <f t="shared" si="294"/>
        <v>0.22822673276932365</v>
      </c>
      <c r="M796" s="236"/>
      <c r="N796" s="236"/>
    </row>
    <row r="797" spans="1:14" x14ac:dyDescent="0.2">
      <c r="A797" s="237" t="str">
        <f>name!E$10</f>
        <v>Sales and customer service occupations</v>
      </c>
      <c r="B797" s="302">
        <v>3.5568284221794297E-2</v>
      </c>
      <c r="C797" s="302">
        <v>5.3255198598279846E-2</v>
      </c>
      <c r="D797" s="302">
        <f t="shared" si="292"/>
        <v>8.8823482820074143E-2</v>
      </c>
      <c r="E797" s="303"/>
      <c r="F797" s="302">
        <v>8.1455597029671326E-2</v>
      </c>
      <c r="G797" s="302">
        <v>0.17019622771232176</v>
      </c>
      <c r="H797" s="302">
        <f t="shared" si="293"/>
        <v>0.2516518247419931</v>
      </c>
      <c r="I797" s="303"/>
      <c r="J797" s="302">
        <v>0.11393115479587057</v>
      </c>
      <c r="K797" s="302">
        <v>0.27889946800452503</v>
      </c>
      <c r="L797" s="302">
        <f t="shared" si="294"/>
        <v>0.3928306228003956</v>
      </c>
      <c r="M797" s="236"/>
      <c r="N797" s="236"/>
    </row>
    <row r="798" spans="1:14" x14ac:dyDescent="0.2">
      <c r="A798" s="237" t="str">
        <f>name!E$11</f>
        <v>Process, plant and machine operatives</v>
      </c>
      <c r="B798" s="302">
        <v>4.1915901541232665E-3</v>
      </c>
      <c r="C798" s="302">
        <v>3.7600936248986666E-2</v>
      </c>
      <c r="D798" s="302">
        <f t="shared" si="292"/>
        <v>4.1792526403109931E-2</v>
      </c>
      <c r="E798" s="303"/>
      <c r="F798" s="302">
        <v>8.6022285249519811E-3</v>
      </c>
      <c r="G798" s="302">
        <v>0.10299751903502473</v>
      </c>
      <c r="H798" s="302">
        <f t="shared" si="293"/>
        <v>0.1115997475599767</v>
      </c>
      <c r="I798" s="303"/>
      <c r="J798" s="302">
        <v>1.65405955587891E-2</v>
      </c>
      <c r="K798" s="302">
        <v>0.12864366595215268</v>
      </c>
      <c r="L798" s="302">
        <f t="shared" si="294"/>
        <v>0.14518426151094177</v>
      </c>
      <c r="M798" s="236"/>
      <c r="N798" s="236"/>
    </row>
    <row r="799" spans="1:14" x14ac:dyDescent="0.2">
      <c r="A799" s="237" t="str">
        <f>name!E$12</f>
        <v>Elementary occupations</v>
      </c>
      <c r="B799" s="302">
        <v>7.2467564077245541E-2</v>
      </c>
      <c r="C799" s="302">
        <v>0.2747578715741642</v>
      </c>
      <c r="D799" s="302">
        <f t="shared" si="292"/>
        <v>0.34722543565140973</v>
      </c>
      <c r="E799" s="303"/>
      <c r="F799" s="302">
        <v>0.21867671772542013</v>
      </c>
      <c r="G799" s="302">
        <v>0.79840080448305728</v>
      </c>
      <c r="H799" s="302">
        <f t="shared" si="293"/>
        <v>1.0170775222084774</v>
      </c>
      <c r="I799" s="303"/>
      <c r="J799" s="302">
        <v>0.3087531555662465</v>
      </c>
      <c r="K799" s="302">
        <v>1.0111793365298865</v>
      </c>
      <c r="L799" s="302">
        <f t="shared" si="294"/>
        <v>1.3199324920961328</v>
      </c>
      <c r="M799" s="236"/>
      <c r="N799" s="236"/>
    </row>
    <row r="800" spans="1:14" x14ac:dyDescent="0.2">
      <c r="A800" s="237"/>
      <c r="B800" s="302"/>
      <c r="C800" s="302"/>
      <c r="D800" s="302"/>
      <c r="E800" s="303"/>
      <c r="F800" s="302"/>
      <c r="G800" s="302"/>
      <c r="H800" s="302"/>
      <c r="I800" s="303"/>
      <c r="J800" s="302"/>
      <c r="K800" s="302"/>
      <c r="L800" s="302"/>
      <c r="M800" s="236"/>
      <c r="N800" s="236"/>
    </row>
    <row r="801" spans="1:14" x14ac:dyDescent="0.2">
      <c r="A801" s="244" t="s">
        <v>32</v>
      </c>
      <c r="B801" s="311">
        <f>SUM(B791:B799)</f>
        <v>0.35799999999939042</v>
      </c>
      <c r="C801" s="311">
        <f t="shared" ref="C801:D801" si="295">SUM(C791:C799)</f>
        <v>0.97899999999383491</v>
      </c>
      <c r="D801" s="311">
        <f t="shared" si="295"/>
        <v>1.3369999999932254</v>
      </c>
      <c r="E801" s="311"/>
      <c r="F801" s="311">
        <f t="shared" ref="F801:H801" si="296">SUM(F791:F799)</f>
        <v>0.97899999999251652</v>
      </c>
      <c r="G801" s="311">
        <f t="shared" si="296"/>
        <v>2.8819999999859229</v>
      </c>
      <c r="H801" s="311">
        <f t="shared" si="296"/>
        <v>3.8609999999784397</v>
      </c>
      <c r="I801" s="311"/>
      <c r="J801" s="311">
        <f t="shared" ref="J801:L801" si="297">SUM(J791:J799)</f>
        <v>1.197000000004742</v>
      </c>
      <c r="K801" s="311">
        <f t="shared" si="297"/>
        <v>3.4230000000076037</v>
      </c>
      <c r="L801" s="311">
        <f t="shared" si="297"/>
        <v>4.6200000000123449</v>
      </c>
      <c r="M801" s="236"/>
      <c r="N801" s="236"/>
    </row>
    <row r="802" spans="1:14" x14ac:dyDescent="0.2">
      <c r="A802" s="237"/>
      <c r="B802" s="237"/>
      <c r="C802" s="237"/>
      <c r="D802" s="237"/>
      <c r="E802" s="237"/>
      <c r="F802" s="237"/>
      <c r="G802" s="237"/>
      <c r="H802" s="237"/>
      <c r="I802" s="237"/>
      <c r="J802" s="237"/>
      <c r="K802" s="237"/>
      <c r="L802" s="240"/>
      <c r="M802" s="236"/>
      <c r="N802" s="236"/>
    </row>
    <row r="803" spans="1:14" x14ac:dyDescent="0.2">
      <c r="A803" s="237"/>
      <c r="B803" s="237"/>
      <c r="C803" s="237"/>
      <c r="D803" s="237"/>
      <c r="E803" s="237"/>
      <c r="F803" s="237"/>
      <c r="G803" s="237"/>
      <c r="H803" s="237"/>
      <c r="I803" s="237"/>
      <c r="J803" s="237"/>
      <c r="K803" s="237"/>
      <c r="L803" s="256" t="s">
        <v>35</v>
      </c>
      <c r="M803" s="236"/>
      <c r="N803" s="236"/>
    </row>
    <row r="804" spans="1:14" x14ac:dyDescent="0.2">
      <c r="A804" s="242"/>
      <c r="B804" s="250"/>
      <c r="C804" s="250"/>
      <c r="D804" s="250"/>
      <c r="E804" s="250"/>
      <c r="F804" s="250"/>
      <c r="G804" s="250"/>
      <c r="H804" s="250"/>
      <c r="I804" s="250"/>
      <c r="J804" s="250"/>
      <c r="K804" s="250"/>
      <c r="L804" s="236"/>
      <c r="M804" s="236"/>
      <c r="N804" s="236"/>
    </row>
    <row r="805" spans="1:14" x14ac:dyDescent="0.2">
      <c r="A805" s="241" t="str">
        <f>name!A50</f>
        <v>Financial services</v>
      </c>
      <c r="B805" s="372">
        <f>B$6</f>
        <v>2015</v>
      </c>
      <c r="C805" s="372"/>
      <c r="D805" s="372"/>
      <c r="E805" s="253"/>
      <c r="F805" s="372">
        <f>F$6</f>
        <v>2020</v>
      </c>
      <c r="G805" s="372"/>
      <c r="H805" s="372"/>
      <c r="I805" s="253"/>
      <c r="J805" s="372">
        <f>J$6</f>
        <v>2035</v>
      </c>
      <c r="K805" s="372"/>
      <c r="L805" s="372"/>
      <c r="M805" s="236"/>
      <c r="N805" s="236"/>
    </row>
    <row r="806" spans="1:14" x14ac:dyDescent="0.2">
      <c r="A806" s="254"/>
      <c r="B806" s="255" t="s">
        <v>352</v>
      </c>
      <c r="C806" s="255" t="s">
        <v>353</v>
      </c>
      <c r="D806" s="255" t="s">
        <v>32</v>
      </c>
      <c r="E806" s="255"/>
      <c r="F806" s="255" t="s">
        <v>352</v>
      </c>
      <c r="G806" s="255" t="s">
        <v>353</v>
      </c>
      <c r="H806" s="255" t="s">
        <v>32</v>
      </c>
      <c r="I806" s="255"/>
      <c r="J806" s="255" t="s">
        <v>352</v>
      </c>
      <c r="K806" s="255" t="s">
        <v>353</v>
      </c>
      <c r="L806" s="255" t="s">
        <v>32</v>
      </c>
      <c r="M806" s="236"/>
      <c r="N806" s="236"/>
    </row>
    <row r="807" spans="1:14" x14ac:dyDescent="0.2">
      <c r="A807" s="258"/>
      <c r="B807" s="259"/>
      <c r="C807" s="259"/>
      <c r="D807" s="259"/>
      <c r="E807" s="259"/>
      <c r="F807" s="259"/>
      <c r="G807" s="259"/>
      <c r="H807" s="259"/>
      <c r="I807" s="259"/>
      <c r="J807" s="259"/>
      <c r="K807" s="259"/>
      <c r="L807" s="259"/>
      <c r="M807" s="236"/>
      <c r="N807" s="236"/>
    </row>
    <row r="808" spans="1:14" x14ac:dyDescent="0.2">
      <c r="A808" s="237" t="str">
        <f>name!E$4</f>
        <v>Managers, directors and senior officials</v>
      </c>
      <c r="B808" s="302">
        <v>0.87252381596744533</v>
      </c>
      <c r="C808" s="302">
        <v>1.0920079956480035</v>
      </c>
      <c r="D808" s="302">
        <f>SUM(B808:C808)</f>
        <v>1.9645318116154489</v>
      </c>
      <c r="E808" s="303"/>
      <c r="F808" s="302">
        <v>0.9463479475670078</v>
      </c>
      <c r="G808" s="302">
        <v>1.001984587244479</v>
      </c>
      <c r="H808" s="302">
        <f>SUM(F808:G808)</f>
        <v>1.9483325348114868</v>
      </c>
      <c r="I808" s="303"/>
      <c r="J808" s="302">
        <v>1.215926066082085</v>
      </c>
      <c r="K808" s="302">
        <v>1.0703151189181295</v>
      </c>
      <c r="L808" s="302">
        <f>SUM(J808:K808)</f>
        <v>2.2862411850002147</v>
      </c>
      <c r="M808" s="236"/>
      <c r="N808" s="236"/>
    </row>
    <row r="809" spans="1:14" x14ac:dyDescent="0.2">
      <c r="A809" s="237" t="str">
        <f>name!E$5</f>
        <v>Professional occupations</v>
      </c>
      <c r="B809" s="302">
        <v>0.78903358408608715</v>
      </c>
      <c r="C809" s="302">
        <v>2.7517782748094777</v>
      </c>
      <c r="D809" s="302">
        <f t="shared" ref="D809:D816" si="298">SUM(B809:C809)</f>
        <v>3.540811858895565</v>
      </c>
      <c r="E809" s="303"/>
      <c r="F809" s="302">
        <v>0.96388494003158198</v>
      </c>
      <c r="G809" s="302">
        <v>1.7707745976927465</v>
      </c>
      <c r="H809" s="302">
        <f t="shared" ref="H809:H816" si="299">SUM(F809:G809)</f>
        <v>2.7346595377243283</v>
      </c>
      <c r="I809" s="303"/>
      <c r="J809" s="302">
        <v>1.3027526590320722</v>
      </c>
      <c r="K809" s="302">
        <v>2.1786580062340395</v>
      </c>
      <c r="L809" s="302">
        <f t="shared" ref="L809:L816" si="300">SUM(J809:K809)</f>
        <v>3.4814106652661119</v>
      </c>
      <c r="M809" s="236"/>
      <c r="N809" s="236"/>
    </row>
    <row r="810" spans="1:14" x14ac:dyDescent="0.2">
      <c r="A810" s="237" t="str">
        <f>name!E$6</f>
        <v>Associate professional occupations</v>
      </c>
      <c r="B810" s="302">
        <v>1.1868812869112595</v>
      </c>
      <c r="C810" s="302">
        <v>1.5504943275528986</v>
      </c>
      <c r="D810" s="302">
        <f t="shared" si="298"/>
        <v>2.7373756144641579</v>
      </c>
      <c r="E810" s="303"/>
      <c r="F810" s="302">
        <v>1.1655726881215613</v>
      </c>
      <c r="G810" s="302">
        <v>1.2261689045877719</v>
      </c>
      <c r="H810" s="302">
        <f t="shared" si="299"/>
        <v>2.3917415927093333</v>
      </c>
      <c r="I810" s="303"/>
      <c r="J810" s="302">
        <v>1.257453619600593</v>
      </c>
      <c r="K810" s="302">
        <v>1.1091611971241861</v>
      </c>
      <c r="L810" s="302">
        <f t="shared" si="300"/>
        <v>2.3666148167247791</v>
      </c>
      <c r="M810" s="236"/>
      <c r="N810" s="236"/>
    </row>
    <row r="811" spans="1:14" x14ac:dyDescent="0.2">
      <c r="A811" s="237" t="str">
        <f>name!E$7</f>
        <v>Administrative and secretarial occupations</v>
      </c>
      <c r="B811" s="302">
        <v>4.1323922631305319</v>
      </c>
      <c r="C811" s="302">
        <v>2.3146098704559135</v>
      </c>
      <c r="D811" s="302">
        <f t="shared" si="298"/>
        <v>6.4470021335864454</v>
      </c>
      <c r="E811" s="303"/>
      <c r="F811" s="302">
        <v>3.2541080310632995</v>
      </c>
      <c r="G811" s="302">
        <v>1.914157831902225</v>
      </c>
      <c r="H811" s="302">
        <f t="shared" si="299"/>
        <v>5.1682658629655247</v>
      </c>
      <c r="I811" s="303"/>
      <c r="J811" s="302">
        <v>2.5618813143029944</v>
      </c>
      <c r="K811" s="302">
        <v>1.7610877340093294</v>
      </c>
      <c r="L811" s="302">
        <f t="shared" si="300"/>
        <v>4.3229690483123235</v>
      </c>
      <c r="M811" s="236"/>
      <c r="N811" s="236"/>
    </row>
    <row r="812" spans="1:14" x14ac:dyDescent="0.2">
      <c r="A812" s="237" t="str">
        <f>name!E$8</f>
        <v>Skilled trades occupations</v>
      </c>
      <c r="B812" s="302">
        <v>1.8572996256002991E-2</v>
      </c>
      <c r="C812" s="302">
        <v>0.2804074864080085</v>
      </c>
      <c r="D812" s="302">
        <f t="shared" si="298"/>
        <v>0.2989804826640115</v>
      </c>
      <c r="E812" s="303"/>
      <c r="F812" s="302">
        <v>1.5817962787053805E-2</v>
      </c>
      <c r="G812" s="302">
        <v>8.0400261751168781E-2</v>
      </c>
      <c r="H812" s="302">
        <f t="shared" si="299"/>
        <v>9.6218224538222583E-2</v>
      </c>
      <c r="I812" s="303"/>
      <c r="J812" s="302">
        <v>4.1566385018155579E-2</v>
      </c>
      <c r="K812" s="302">
        <v>6.2588518678445726E-2</v>
      </c>
      <c r="L812" s="302">
        <f t="shared" si="300"/>
        <v>0.1041549036966013</v>
      </c>
      <c r="M812" s="236"/>
      <c r="N812" s="236"/>
    </row>
    <row r="813" spans="1:14" x14ac:dyDescent="0.2">
      <c r="A813" s="237" t="str">
        <f>name!E$9</f>
        <v>Caring, leisure and other service occupations</v>
      </c>
      <c r="B813" s="302">
        <v>2.6607559954482794E-2</v>
      </c>
      <c r="C813" s="302">
        <v>2.4792727076119802E-2</v>
      </c>
      <c r="D813" s="302">
        <f t="shared" si="298"/>
        <v>5.1400287030602593E-2</v>
      </c>
      <c r="E813" s="303"/>
      <c r="F813" s="302">
        <v>1.9224603460645508E-2</v>
      </c>
      <c r="G813" s="302">
        <v>1.9764092348991513E-2</v>
      </c>
      <c r="H813" s="302">
        <f t="shared" si="299"/>
        <v>3.8988695809637021E-2</v>
      </c>
      <c r="I813" s="303"/>
      <c r="J813" s="302">
        <v>1.8651463741465861E-2</v>
      </c>
      <c r="K813" s="302">
        <v>2.4095974387029422E-2</v>
      </c>
      <c r="L813" s="302">
        <f t="shared" si="300"/>
        <v>4.2747438128495283E-2</v>
      </c>
      <c r="M813" s="236"/>
      <c r="N813" s="236"/>
    </row>
    <row r="814" spans="1:14" x14ac:dyDescent="0.2">
      <c r="A814" s="237" t="str">
        <f>name!E$10</f>
        <v>Sales and customer service occupations</v>
      </c>
      <c r="B814" s="302">
        <v>1.025606640513627</v>
      </c>
      <c r="C814" s="302">
        <v>0.69555328703803188</v>
      </c>
      <c r="D814" s="302">
        <f t="shared" si="298"/>
        <v>1.7211599275516589</v>
      </c>
      <c r="E814" s="303"/>
      <c r="F814" s="302">
        <v>0.85681357144779124</v>
      </c>
      <c r="G814" s="302">
        <v>0.35634138771179835</v>
      </c>
      <c r="H814" s="302">
        <f t="shared" si="299"/>
        <v>1.2131549591595896</v>
      </c>
      <c r="I814" s="303"/>
      <c r="J814" s="302">
        <v>1.0023222954436104</v>
      </c>
      <c r="K814" s="302">
        <v>0.46234776464715466</v>
      </c>
      <c r="L814" s="302">
        <f t="shared" si="300"/>
        <v>1.4646700600907652</v>
      </c>
      <c r="M814" s="236"/>
      <c r="N814" s="236"/>
    </row>
    <row r="815" spans="1:14" x14ac:dyDescent="0.2">
      <c r="A815" s="237" t="str">
        <f>name!E$11</f>
        <v>Process, plant and machine operatives</v>
      </c>
      <c r="B815" s="302">
        <v>1.172737871687109E-2</v>
      </c>
      <c r="C815" s="302">
        <v>0.118745304190583</v>
      </c>
      <c r="D815" s="302">
        <f t="shared" si="298"/>
        <v>0.13047268290745409</v>
      </c>
      <c r="E815" s="303"/>
      <c r="F815" s="302">
        <v>7.2478621912408269E-3</v>
      </c>
      <c r="G815" s="302">
        <v>2.5858707576772437E-2</v>
      </c>
      <c r="H815" s="302">
        <f t="shared" si="299"/>
        <v>3.3106569768013266E-2</v>
      </c>
      <c r="I815" s="303"/>
      <c r="J815" s="302">
        <v>1.0137519929705911E-2</v>
      </c>
      <c r="K815" s="302">
        <v>2.8594067515480902E-2</v>
      </c>
      <c r="L815" s="302">
        <f t="shared" si="300"/>
        <v>3.8731587445186816E-2</v>
      </c>
      <c r="M815" s="236"/>
      <c r="N815" s="236"/>
    </row>
    <row r="816" spans="1:14" x14ac:dyDescent="0.2">
      <c r="A816" s="237" t="str">
        <f>name!E$12</f>
        <v>Elementary occupations</v>
      </c>
      <c r="B816" s="302">
        <v>3.8654474422033978E-2</v>
      </c>
      <c r="C816" s="302">
        <v>0.19561072677250219</v>
      </c>
      <c r="D816" s="302">
        <f t="shared" si="298"/>
        <v>0.23426520119453617</v>
      </c>
      <c r="E816" s="303"/>
      <c r="F816" s="302">
        <v>2.6982393306330257E-2</v>
      </c>
      <c r="G816" s="302">
        <v>0.10154962914253829</v>
      </c>
      <c r="H816" s="302">
        <f t="shared" si="299"/>
        <v>0.12853202244886855</v>
      </c>
      <c r="I816" s="303"/>
      <c r="J816" s="302">
        <v>2.5308676847836345E-2</v>
      </c>
      <c r="K816" s="302">
        <v>8.5151618542610677E-2</v>
      </c>
      <c r="L816" s="302">
        <f t="shared" si="300"/>
        <v>0.11046029539044702</v>
      </c>
      <c r="M816" s="236"/>
      <c r="N816" s="236"/>
    </row>
    <row r="817" spans="1:14" x14ac:dyDescent="0.2">
      <c r="A817" s="237"/>
      <c r="B817" s="302"/>
      <c r="C817" s="302"/>
      <c r="D817" s="302"/>
      <c r="E817" s="303"/>
      <c r="F817" s="302"/>
      <c r="G817" s="302"/>
      <c r="H817" s="302"/>
      <c r="I817" s="303"/>
      <c r="J817" s="302"/>
      <c r="K817" s="302"/>
      <c r="L817" s="302"/>
      <c r="M817" s="236"/>
      <c r="N817" s="236"/>
    </row>
    <row r="818" spans="1:14" x14ac:dyDescent="0.2">
      <c r="A818" s="244" t="s">
        <v>32</v>
      </c>
      <c r="B818" s="311">
        <f>SUM(B808:B816)</f>
        <v>8.101999999958343</v>
      </c>
      <c r="C818" s="311">
        <f t="shared" ref="C818:D818" si="301">SUM(C808:C816)</f>
        <v>9.0239999999515366</v>
      </c>
      <c r="D818" s="311">
        <f t="shared" si="301"/>
        <v>17.12599999990988</v>
      </c>
      <c r="E818" s="311"/>
      <c r="F818" s="311">
        <f t="shared" ref="F818:H818" si="302">SUM(F808:F816)</f>
        <v>7.2559999999765123</v>
      </c>
      <c r="G818" s="311">
        <f t="shared" si="302"/>
        <v>6.4969999999584926</v>
      </c>
      <c r="H818" s="311">
        <f t="shared" si="302"/>
        <v>13.752999999935005</v>
      </c>
      <c r="I818" s="311"/>
      <c r="J818" s="311">
        <f t="shared" ref="J818:L818" si="303">SUM(J808:J816)</f>
        <v>7.4359999999985185</v>
      </c>
      <c r="K818" s="311">
        <f t="shared" si="303"/>
        <v>6.7820000000564065</v>
      </c>
      <c r="L818" s="311">
        <f t="shared" si="303"/>
        <v>14.218000000054925</v>
      </c>
      <c r="M818" s="236"/>
      <c r="N818" s="236"/>
    </row>
    <row r="819" spans="1:14" x14ac:dyDescent="0.2">
      <c r="A819" s="237"/>
      <c r="B819" s="237"/>
      <c r="C819" s="237"/>
      <c r="D819" s="237"/>
      <c r="E819" s="237"/>
      <c r="F819" s="237"/>
      <c r="G819" s="237"/>
      <c r="H819" s="237"/>
      <c r="I819" s="237"/>
      <c r="J819" s="237"/>
      <c r="K819" s="237"/>
      <c r="L819" s="240"/>
      <c r="M819" s="236"/>
      <c r="N819" s="236"/>
    </row>
    <row r="820" spans="1:14" x14ac:dyDescent="0.2">
      <c r="A820" s="237"/>
      <c r="B820" s="237"/>
      <c r="C820" s="237"/>
      <c r="D820" s="237"/>
      <c r="E820" s="237"/>
      <c r="F820" s="237"/>
      <c r="G820" s="237"/>
      <c r="H820" s="237"/>
      <c r="I820" s="237"/>
      <c r="J820" s="237"/>
      <c r="K820" s="237"/>
      <c r="L820" s="256" t="s">
        <v>35</v>
      </c>
      <c r="M820" s="236"/>
      <c r="N820" s="236"/>
    </row>
    <row r="821" spans="1:14" x14ac:dyDescent="0.2">
      <c r="A821" s="242"/>
      <c r="B821" s="250"/>
      <c r="C821" s="250"/>
      <c r="D821" s="250"/>
      <c r="E821" s="250"/>
      <c r="F821" s="250"/>
      <c r="G821" s="250"/>
      <c r="H821" s="250"/>
      <c r="I821" s="250"/>
      <c r="J821" s="250"/>
      <c r="K821" s="250"/>
      <c r="L821" s="236"/>
      <c r="M821" s="236"/>
      <c r="N821" s="236"/>
    </row>
    <row r="822" spans="1:14" x14ac:dyDescent="0.2">
      <c r="A822" s="241" t="str">
        <f>name!A51</f>
        <v>Insurance and pensions</v>
      </c>
      <c r="B822" s="372">
        <f>B$6</f>
        <v>2015</v>
      </c>
      <c r="C822" s="372"/>
      <c r="D822" s="372"/>
      <c r="E822" s="253"/>
      <c r="F822" s="372">
        <f>F$6</f>
        <v>2020</v>
      </c>
      <c r="G822" s="372"/>
      <c r="H822" s="372"/>
      <c r="I822" s="253"/>
      <c r="J822" s="372">
        <f>J$6</f>
        <v>2035</v>
      </c>
      <c r="K822" s="372"/>
      <c r="L822" s="372"/>
      <c r="M822" s="236"/>
      <c r="N822" s="236"/>
    </row>
    <row r="823" spans="1:14" x14ac:dyDescent="0.2">
      <c r="A823" s="254"/>
      <c r="B823" s="255" t="s">
        <v>352</v>
      </c>
      <c r="C823" s="255" t="s">
        <v>353</v>
      </c>
      <c r="D823" s="255" t="s">
        <v>32</v>
      </c>
      <c r="E823" s="255"/>
      <c r="F823" s="255" t="s">
        <v>352</v>
      </c>
      <c r="G823" s="255" t="s">
        <v>353</v>
      </c>
      <c r="H823" s="255" t="s">
        <v>32</v>
      </c>
      <c r="I823" s="255"/>
      <c r="J823" s="255" t="s">
        <v>352</v>
      </c>
      <c r="K823" s="255" t="s">
        <v>353</v>
      </c>
      <c r="L823" s="255" t="s">
        <v>32</v>
      </c>
      <c r="M823" s="236"/>
      <c r="N823" s="236"/>
    </row>
    <row r="824" spans="1:14" x14ac:dyDescent="0.2">
      <c r="A824" s="258"/>
      <c r="B824" s="259"/>
      <c r="C824" s="259"/>
      <c r="D824" s="259"/>
      <c r="E824" s="259"/>
      <c r="F824" s="259"/>
      <c r="G824" s="259"/>
      <c r="H824" s="259"/>
      <c r="I824" s="259"/>
      <c r="J824" s="259"/>
      <c r="K824" s="259"/>
      <c r="L824" s="259"/>
      <c r="M824" s="236"/>
      <c r="N824" s="236"/>
    </row>
    <row r="825" spans="1:14" x14ac:dyDescent="0.2">
      <c r="A825" s="237" t="str">
        <f>name!E$4</f>
        <v>Managers, directors and senior officials</v>
      </c>
      <c r="B825" s="302">
        <v>7.2889837665892493E-2</v>
      </c>
      <c r="C825" s="302">
        <v>8.5531633851123751E-2</v>
      </c>
      <c r="D825" s="302">
        <f>SUM(B825:C825)</f>
        <v>0.15842147151701624</v>
      </c>
      <c r="E825" s="303"/>
      <c r="F825" s="302">
        <v>0.10472725094160211</v>
      </c>
      <c r="G825" s="302">
        <v>6.5801687609368234E-2</v>
      </c>
      <c r="H825" s="302">
        <f>SUM(F825:G825)</f>
        <v>0.17052893855097034</v>
      </c>
      <c r="I825" s="303"/>
      <c r="J825" s="302">
        <v>0.1256575747510118</v>
      </c>
      <c r="K825" s="302">
        <v>5.7441509606349452E-2</v>
      </c>
      <c r="L825" s="302">
        <f>SUM(J825:K825)</f>
        <v>0.18309908435736125</v>
      </c>
      <c r="M825" s="236"/>
      <c r="N825" s="236"/>
    </row>
    <row r="826" spans="1:14" x14ac:dyDescent="0.2">
      <c r="A826" s="237" t="str">
        <f>name!E$5</f>
        <v>Professional occupations</v>
      </c>
      <c r="B826" s="302">
        <v>0.17212418974774402</v>
      </c>
      <c r="C826" s="302">
        <v>0.18089646154819683</v>
      </c>
      <c r="D826" s="302">
        <f t="shared" ref="D826:D833" si="304">SUM(B826:C826)</f>
        <v>0.35302065129594085</v>
      </c>
      <c r="E826" s="303"/>
      <c r="F826" s="302">
        <v>0.26598829172375349</v>
      </c>
      <c r="G826" s="302">
        <v>0.19049871549486197</v>
      </c>
      <c r="H826" s="302">
        <f t="shared" ref="H826:H833" si="305">SUM(F826:G826)</f>
        <v>0.45648700721861546</v>
      </c>
      <c r="I826" s="303"/>
      <c r="J826" s="302">
        <v>0.3404171602089926</v>
      </c>
      <c r="K826" s="302">
        <v>0.22845146762826166</v>
      </c>
      <c r="L826" s="302">
        <f t="shared" ref="L826:L833" si="306">SUM(J826:K826)</f>
        <v>0.56886862783725423</v>
      </c>
      <c r="M826" s="236"/>
      <c r="N826" s="236"/>
    </row>
    <row r="827" spans="1:14" x14ac:dyDescent="0.2">
      <c r="A827" s="237" t="str">
        <f>name!E$6</f>
        <v>Associate professional occupations</v>
      </c>
      <c r="B827" s="302">
        <v>0.26886369956755946</v>
      </c>
      <c r="C827" s="302">
        <v>0.24190065530671442</v>
      </c>
      <c r="D827" s="302">
        <f t="shared" si="304"/>
        <v>0.51076435487427385</v>
      </c>
      <c r="E827" s="303"/>
      <c r="F827" s="302">
        <v>0.35993427039109299</v>
      </c>
      <c r="G827" s="302">
        <v>0.20142423713469917</v>
      </c>
      <c r="H827" s="302">
        <f t="shared" si="305"/>
        <v>0.56135850752579219</v>
      </c>
      <c r="I827" s="303"/>
      <c r="J827" s="302">
        <v>0.37881295784813868</v>
      </c>
      <c r="K827" s="302">
        <v>0.16238299799506617</v>
      </c>
      <c r="L827" s="302">
        <f t="shared" si="306"/>
        <v>0.5411959558432049</v>
      </c>
      <c r="M827" s="236"/>
      <c r="N827" s="236"/>
    </row>
    <row r="828" spans="1:14" x14ac:dyDescent="0.2">
      <c r="A828" s="237" t="str">
        <f>name!E$7</f>
        <v>Administrative and secretarial occupations</v>
      </c>
      <c r="B828" s="302">
        <v>0.36215833447273216</v>
      </c>
      <c r="C828" s="302">
        <v>0.29536663355709597</v>
      </c>
      <c r="D828" s="302">
        <f t="shared" si="304"/>
        <v>0.65752496802982807</v>
      </c>
      <c r="E828" s="303"/>
      <c r="F828" s="302">
        <v>0.39645559286586701</v>
      </c>
      <c r="G828" s="302">
        <v>0.29198565077584482</v>
      </c>
      <c r="H828" s="302">
        <f t="shared" si="305"/>
        <v>0.68844124364171178</v>
      </c>
      <c r="I828" s="303"/>
      <c r="J828" s="302">
        <v>0.30046987184899288</v>
      </c>
      <c r="K828" s="302">
        <v>0.28831246925749915</v>
      </c>
      <c r="L828" s="302">
        <f t="shared" si="306"/>
        <v>0.58878234110649208</v>
      </c>
      <c r="M828" s="236"/>
      <c r="N828" s="236"/>
    </row>
    <row r="829" spans="1:14" x14ac:dyDescent="0.2">
      <c r="A829" s="237" t="str">
        <f>name!E$8</f>
        <v>Skilled trades occupations</v>
      </c>
      <c r="B829" s="302">
        <v>9.4986595453094309E-3</v>
      </c>
      <c r="C829" s="302">
        <v>5.866634219239944E-2</v>
      </c>
      <c r="D829" s="302">
        <f t="shared" si="304"/>
        <v>6.8165001737708869E-2</v>
      </c>
      <c r="E829" s="303"/>
      <c r="F829" s="302">
        <v>9.9483974386613307E-3</v>
      </c>
      <c r="G829" s="302">
        <v>1.6529695182196893E-2</v>
      </c>
      <c r="H829" s="302">
        <f t="shared" si="305"/>
        <v>2.6478092620858224E-2</v>
      </c>
      <c r="I829" s="303"/>
      <c r="J829" s="302">
        <v>1.1747030541079111E-2</v>
      </c>
      <c r="K829" s="302">
        <v>1.3344881732374766E-2</v>
      </c>
      <c r="L829" s="302">
        <f t="shared" si="306"/>
        <v>2.5091912273453879E-2</v>
      </c>
      <c r="M829" s="236"/>
      <c r="N829" s="236"/>
    </row>
    <row r="830" spans="1:14" x14ac:dyDescent="0.2">
      <c r="A830" s="237" t="str">
        <f>name!E$9</f>
        <v>Caring, leisure and other service occupations</v>
      </c>
      <c r="B830" s="302">
        <v>1.8913596552913584E-2</v>
      </c>
      <c r="C830" s="302">
        <v>4.2383095148895822E-2</v>
      </c>
      <c r="D830" s="302">
        <f t="shared" si="304"/>
        <v>6.1296691701809403E-2</v>
      </c>
      <c r="E830" s="303"/>
      <c r="F830" s="302">
        <v>1.9549868082521307E-2</v>
      </c>
      <c r="G830" s="302">
        <v>4.0941048187502563E-2</v>
      </c>
      <c r="H830" s="302">
        <f t="shared" si="305"/>
        <v>6.049091627002387E-2</v>
      </c>
      <c r="I830" s="303"/>
      <c r="J830" s="302">
        <v>2.0974302010755435E-2</v>
      </c>
      <c r="K830" s="302">
        <v>5.7082302348547546E-2</v>
      </c>
      <c r="L830" s="302">
        <f t="shared" si="306"/>
        <v>7.8056604359302978E-2</v>
      </c>
      <c r="M830" s="236"/>
      <c r="N830" s="236"/>
    </row>
    <row r="831" spans="1:14" x14ac:dyDescent="0.2">
      <c r="A831" s="237" t="str">
        <f>name!E$10</f>
        <v>Sales and customer service occupations</v>
      </c>
      <c r="B831" s="302">
        <v>0.2437233468475683</v>
      </c>
      <c r="C831" s="302">
        <v>0.13501092488644073</v>
      </c>
      <c r="D831" s="302">
        <f t="shared" si="304"/>
        <v>0.37873427173400903</v>
      </c>
      <c r="E831" s="303"/>
      <c r="F831" s="302">
        <v>0.27524003745760428</v>
      </c>
      <c r="G831" s="302">
        <v>0.12127099414307617</v>
      </c>
      <c r="H831" s="302">
        <f t="shared" si="305"/>
        <v>0.39651103160068046</v>
      </c>
      <c r="I831" s="303"/>
      <c r="J831" s="302">
        <v>0.29087099825474477</v>
      </c>
      <c r="K831" s="302">
        <v>0.15972493922183253</v>
      </c>
      <c r="L831" s="302">
        <f t="shared" si="306"/>
        <v>0.45059593747657734</v>
      </c>
      <c r="M831" s="236"/>
      <c r="N831" s="236"/>
    </row>
    <row r="832" spans="1:14" x14ac:dyDescent="0.2">
      <c r="A832" s="237" t="str">
        <f>name!E$11</f>
        <v>Process, plant and machine operatives</v>
      </c>
      <c r="B832" s="302">
        <v>3.5509660343112999E-3</v>
      </c>
      <c r="C832" s="302">
        <v>1.3462454936025612E-2</v>
      </c>
      <c r="D832" s="302">
        <f t="shared" si="304"/>
        <v>1.7013420970336913E-2</v>
      </c>
      <c r="E832" s="303"/>
      <c r="F832" s="302">
        <v>3.290019199539705E-3</v>
      </c>
      <c r="G832" s="302">
        <v>6.0908005811238881E-3</v>
      </c>
      <c r="H832" s="302">
        <f t="shared" si="305"/>
        <v>9.3808197806635931E-3</v>
      </c>
      <c r="I832" s="303"/>
      <c r="J832" s="302">
        <v>4.8924198908266193E-3</v>
      </c>
      <c r="K832" s="302">
        <v>6.6715092660969621E-3</v>
      </c>
      <c r="L832" s="302">
        <f t="shared" si="306"/>
        <v>1.1563929156923582E-2</v>
      </c>
      <c r="M832" s="236"/>
      <c r="N832" s="236"/>
    </row>
    <row r="833" spans="1:14" x14ac:dyDescent="0.2">
      <c r="A833" s="237" t="str">
        <f>name!E$12</f>
        <v>Elementary occupations</v>
      </c>
      <c r="B833" s="302">
        <v>1.2277369558446022E-2</v>
      </c>
      <c r="C833" s="302">
        <v>2.7781798568545898E-2</v>
      </c>
      <c r="D833" s="302">
        <f t="shared" si="304"/>
        <v>4.0059168126991923E-2</v>
      </c>
      <c r="E833" s="303"/>
      <c r="F833" s="302">
        <v>1.2866271895309743E-2</v>
      </c>
      <c r="G833" s="302">
        <v>1.9457170885627258E-2</v>
      </c>
      <c r="H833" s="302">
        <f t="shared" si="305"/>
        <v>3.2323442780937003E-2</v>
      </c>
      <c r="I833" s="303"/>
      <c r="J833" s="302">
        <v>1.1157684645054015E-2</v>
      </c>
      <c r="K833" s="302">
        <v>1.7587922950785782E-2</v>
      </c>
      <c r="L833" s="302">
        <f t="shared" si="306"/>
        <v>2.8745607595839797E-2</v>
      </c>
      <c r="M833" s="236"/>
      <c r="N833" s="236"/>
    </row>
    <row r="834" spans="1:14" x14ac:dyDescent="0.2">
      <c r="A834" s="237"/>
      <c r="B834" s="302"/>
      <c r="C834" s="302"/>
      <c r="D834" s="302"/>
      <c r="E834" s="303"/>
      <c r="F834" s="302"/>
      <c r="G834" s="302"/>
      <c r="H834" s="302"/>
      <c r="I834" s="303"/>
      <c r="J834" s="302"/>
      <c r="K834" s="302"/>
      <c r="L834" s="302"/>
      <c r="M834" s="236"/>
      <c r="N834" s="236"/>
    </row>
    <row r="835" spans="1:14" x14ac:dyDescent="0.2">
      <c r="A835" s="244" t="s">
        <v>32</v>
      </c>
      <c r="B835" s="311">
        <f>SUM(B825:B833)</f>
        <v>1.1639999999924768</v>
      </c>
      <c r="C835" s="311">
        <f t="shared" ref="C835:D835" si="307">SUM(C825:C833)</f>
        <v>1.0809999999954383</v>
      </c>
      <c r="D835" s="311">
        <f t="shared" si="307"/>
        <v>2.2449999999879147</v>
      </c>
      <c r="E835" s="311"/>
      <c r="F835" s="311">
        <f t="shared" ref="F835:H835" si="308">SUM(F825:F833)</f>
        <v>1.4479999999959519</v>
      </c>
      <c r="G835" s="311">
        <f t="shared" si="308"/>
        <v>0.95399999999430096</v>
      </c>
      <c r="H835" s="311">
        <f t="shared" si="308"/>
        <v>2.4019999999902533</v>
      </c>
      <c r="I835" s="311"/>
      <c r="J835" s="311">
        <f t="shared" ref="J835:L835" si="309">SUM(J825:J833)</f>
        <v>1.484999999999596</v>
      </c>
      <c r="K835" s="311">
        <f t="shared" si="309"/>
        <v>0.99100000000681399</v>
      </c>
      <c r="L835" s="311">
        <f t="shared" si="309"/>
        <v>2.47600000000641</v>
      </c>
      <c r="M835" s="236"/>
      <c r="N835" s="236"/>
    </row>
    <row r="836" spans="1:14" x14ac:dyDescent="0.2">
      <c r="A836" s="237"/>
      <c r="B836" s="237"/>
      <c r="C836" s="237"/>
      <c r="D836" s="237"/>
      <c r="E836" s="237"/>
      <c r="F836" s="237"/>
      <c r="G836" s="237"/>
      <c r="H836" s="237"/>
      <c r="I836" s="237"/>
      <c r="J836" s="237"/>
      <c r="K836" s="237"/>
      <c r="L836" s="240"/>
      <c r="M836" s="236"/>
      <c r="N836" s="236"/>
    </row>
    <row r="837" spans="1:14" x14ac:dyDescent="0.2">
      <c r="A837" s="237"/>
      <c r="B837" s="237"/>
      <c r="C837" s="237"/>
      <c r="D837" s="237"/>
      <c r="E837" s="237"/>
      <c r="F837" s="237"/>
      <c r="G837" s="237"/>
      <c r="H837" s="237"/>
      <c r="I837" s="237"/>
      <c r="J837" s="237"/>
      <c r="K837" s="237"/>
      <c r="L837" s="256" t="s">
        <v>35</v>
      </c>
      <c r="M837" s="236"/>
      <c r="N837" s="236"/>
    </row>
    <row r="838" spans="1:14" x14ac:dyDescent="0.2">
      <c r="A838" s="242"/>
      <c r="B838" s="250"/>
      <c r="C838" s="250"/>
      <c r="D838" s="250"/>
      <c r="E838" s="250"/>
      <c r="F838" s="250"/>
      <c r="G838" s="250"/>
      <c r="H838" s="250"/>
      <c r="I838" s="250"/>
      <c r="J838" s="250"/>
      <c r="K838" s="250"/>
      <c r="L838" s="236"/>
      <c r="M838" s="236"/>
      <c r="N838" s="236"/>
    </row>
    <row r="839" spans="1:14" x14ac:dyDescent="0.2">
      <c r="A839" s="241" t="str">
        <f>name!A52</f>
        <v>Auxiliary financial services</v>
      </c>
      <c r="B839" s="372">
        <f>B$6</f>
        <v>2015</v>
      </c>
      <c r="C839" s="372"/>
      <c r="D839" s="372"/>
      <c r="E839" s="253"/>
      <c r="F839" s="372">
        <f>F$6</f>
        <v>2020</v>
      </c>
      <c r="G839" s="372"/>
      <c r="H839" s="372"/>
      <c r="I839" s="253"/>
      <c r="J839" s="372">
        <f>J$6</f>
        <v>2035</v>
      </c>
      <c r="K839" s="372"/>
      <c r="L839" s="372"/>
      <c r="M839" s="236"/>
      <c r="N839" s="236"/>
    </row>
    <row r="840" spans="1:14" x14ac:dyDescent="0.2">
      <c r="A840" s="254"/>
      <c r="B840" s="255" t="s">
        <v>352</v>
      </c>
      <c r="C840" s="255" t="s">
        <v>353</v>
      </c>
      <c r="D840" s="255" t="s">
        <v>32</v>
      </c>
      <c r="E840" s="255"/>
      <c r="F840" s="255" t="s">
        <v>352</v>
      </c>
      <c r="G840" s="255" t="s">
        <v>353</v>
      </c>
      <c r="H840" s="255" t="s">
        <v>32</v>
      </c>
      <c r="I840" s="255"/>
      <c r="J840" s="255" t="s">
        <v>352</v>
      </c>
      <c r="K840" s="255" t="s">
        <v>353</v>
      </c>
      <c r="L840" s="255" t="s">
        <v>32</v>
      </c>
      <c r="M840" s="236"/>
      <c r="N840" s="236"/>
    </row>
    <row r="841" spans="1:14" x14ac:dyDescent="0.2">
      <c r="A841" s="258"/>
      <c r="B841" s="259"/>
      <c r="C841" s="259"/>
      <c r="D841" s="259"/>
      <c r="E841" s="259"/>
      <c r="F841" s="259"/>
      <c r="G841" s="259"/>
      <c r="H841" s="259"/>
      <c r="I841" s="259"/>
      <c r="J841" s="259"/>
      <c r="K841" s="259"/>
      <c r="L841" s="259"/>
      <c r="M841" s="236"/>
      <c r="N841" s="236"/>
    </row>
    <row r="842" spans="1:14" x14ac:dyDescent="0.2">
      <c r="A842" s="237" t="str">
        <f>name!E$4</f>
        <v>Managers, directors and senior officials</v>
      </c>
      <c r="B842" s="302">
        <v>0.18652621767292471</v>
      </c>
      <c r="C842" s="302">
        <v>0.42887019165539025</v>
      </c>
      <c r="D842" s="302">
        <f>SUM(B842:C842)</f>
        <v>0.61539640932831496</v>
      </c>
      <c r="E842" s="303"/>
      <c r="F842" s="302">
        <v>0.24638196301621873</v>
      </c>
      <c r="G842" s="302">
        <v>0.40165984859100878</v>
      </c>
      <c r="H842" s="302">
        <f>SUM(F842:G842)</f>
        <v>0.64804181160722751</v>
      </c>
      <c r="I842" s="303"/>
      <c r="J842" s="302">
        <v>0.30632512347482715</v>
      </c>
      <c r="K842" s="302">
        <v>0.37919296865070823</v>
      </c>
      <c r="L842" s="302">
        <f>SUM(J842:K842)</f>
        <v>0.68551809212553538</v>
      </c>
      <c r="M842" s="236"/>
      <c r="N842" s="236"/>
    </row>
    <row r="843" spans="1:14" x14ac:dyDescent="0.2">
      <c r="A843" s="237" t="str">
        <f>name!E$5</f>
        <v>Professional occupations</v>
      </c>
      <c r="B843" s="302">
        <v>0.3734943127201264</v>
      </c>
      <c r="C843" s="302">
        <v>0.60289851548372186</v>
      </c>
      <c r="D843" s="302">
        <f t="shared" ref="D843:D850" si="310">SUM(B843:C843)</f>
        <v>0.97639282820384832</v>
      </c>
      <c r="E843" s="303"/>
      <c r="F843" s="302">
        <v>0.58299849364821132</v>
      </c>
      <c r="G843" s="302">
        <v>0.65060500932711673</v>
      </c>
      <c r="H843" s="302">
        <f t="shared" ref="H843:H850" si="311">SUM(F843:G843)</f>
        <v>1.2336035029753281</v>
      </c>
      <c r="I843" s="303"/>
      <c r="J843" s="302">
        <v>0.82143005853366258</v>
      </c>
      <c r="K843" s="302">
        <v>0.78800540974792743</v>
      </c>
      <c r="L843" s="302">
        <f t="shared" ref="L843:L850" si="312">SUM(J843:K843)</f>
        <v>1.6094354682815899</v>
      </c>
      <c r="M843" s="236"/>
      <c r="N843" s="236"/>
    </row>
    <row r="844" spans="1:14" x14ac:dyDescent="0.2">
      <c r="A844" s="237" t="str">
        <f>name!E$6</f>
        <v>Associate professional occupations</v>
      </c>
      <c r="B844" s="302">
        <v>0.58201165816623102</v>
      </c>
      <c r="C844" s="302">
        <v>0.85490120089204835</v>
      </c>
      <c r="D844" s="302">
        <f t="shared" si="310"/>
        <v>1.4369128590582794</v>
      </c>
      <c r="E844" s="303"/>
      <c r="F844" s="302">
        <v>0.73899277999919544</v>
      </c>
      <c r="G844" s="302">
        <v>0.82467754220902934</v>
      </c>
      <c r="H844" s="302">
        <f t="shared" si="311"/>
        <v>1.5636703222082247</v>
      </c>
      <c r="I844" s="303"/>
      <c r="J844" s="302">
        <v>0.80553029166334422</v>
      </c>
      <c r="K844" s="302">
        <v>0.72335064348283984</v>
      </c>
      <c r="L844" s="302">
        <f t="shared" si="312"/>
        <v>1.5288809351461841</v>
      </c>
      <c r="M844" s="236"/>
      <c r="N844" s="236"/>
    </row>
    <row r="845" spans="1:14" x14ac:dyDescent="0.2">
      <c r="A845" s="237" t="str">
        <f>name!E$7</f>
        <v>Administrative and secretarial occupations</v>
      </c>
      <c r="B845" s="302">
        <v>1.7885092441716857</v>
      </c>
      <c r="C845" s="302">
        <v>0.78450880613491381</v>
      </c>
      <c r="D845" s="302">
        <f t="shared" si="310"/>
        <v>2.5730180503065996</v>
      </c>
      <c r="E845" s="303"/>
      <c r="F845" s="302">
        <v>1.7798181039234824</v>
      </c>
      <c r="G845" s="302">
        <v>0.81864094912968677</v>
      </c>
      <c r="H845" s="302">
        <f t="shared" si="311"/>
        <v>2.598459053053169</v>
      </c>
      <c r="I845" s="303"/>
      <c r="J845" s="302">
        <v>1.4580159353235227</v>
      </c>
      <c r="K845" s="302">
        <v>0.86710272600846861</v>
      </c>
      <c r="L845" s="302">
        <f t="shared" si="312"/>
        <v>2.3251186613319912</v>
      </c>
      <c r="M845" s="236"/>
      <c r="N845" s="236"/>
    </row>
    <row r="846" spans="1:14" x14ac:dyDescent="0.2">
      <c r="A846" s="237" t="str">
        <f>name!E$8</f>
        <v>Skilled trades occupations</v>
      </c>
      <c r="B846" s="302">
        <v>1.3055577873205035E-2</v>
      </c>
      <c r="C846" s="302">
        <v>0.19689553654163156</v>
      </c>
      <c r="D846" s="302">
        <f t="shared" si="310"/>
        <v>0.2099511144148366</v>
      </c>
      <c r="E846" s="303"/>
      <c r="F846" s="302">
        <v>1.252983951031808E-2</v>
      </c>
      <c r="G846" s="302">
        <v>6.6209598401646821E-2</v>
      </c>
      <c r="H846" s="302">
        <f t="shared" si="311"/>
        <v>7.8739437911964902E-2</v>
      </c>
      <c r="I846" s="303"/>
      <c r="J846" s="302">
        <v>2.0424432385636418E-2</v>
      </c>
      <c r="K846" s="302">
        <v>5.7815616549708487E-2</v>
      </c>
      <c r="L846" s="302">
        <f t="shared" si="312"/>
        <v>7.8240048935344905E-2</v>
      </c>
      <c r="M846" s="236"/>
      <c r="N846" s="236"/>
    </row>
    <row r="847" spans="1:14" x14ac:dyDescent="0.2">
      <c r="A847" s="237" t="str">
        <f>name!E$9</f>
        <v>Caring, leisure and other service occupations</v>
      </c>
      <c r="B847" s="302">
        <v>6.9624596482858554E-3</v>
      </c>
      <c r="C847" s="302">
        <v>3.3797641112421936E-2</v>
      </c>
      <c r="D847" s="302">
        <f t="shared" si="310"/>
        <v>4.0760100760707789E-2</v>
      </c>
      <c r="E847" s="303"/>
      <c r="F847" s="302">
        <v>6.4331038958548034E-3</v>
      </c>
      <c r="G847" s="302">
        <v>2.3197412610498812E-2</v>
      </c>
      <c r="H847" s="302">
        <f t="shared" si="311"/>
        <v>2.9630516506353614E-2</v>
      </c>
      <c r="I847" s="303"/>
      <c r="J847" s="302">
        <v>7.4662402421434189E-3</v>
      </c>
      <c r="K847" s="302">
        <v>3.0230895096954612E-2</v>
      </c>
      <c r="L847" s="302">
        <f t="shared" si="312"/>
        <v>3.7697135339098034E-2</v>
      </c>
      <c r="M847" s="236"/>
      <c r="N847" s="236"/>
    </row>
    <row r="848" spans="1:14" x14ac:dyDescent="0.2">
      <c r="A848" s="237" t="str">
        <f>name!E$10</f>
        <v>Sales and customer service occupations</v>
      </c>
      <c r="B848" s="302">
        <v>0.32235218441545599</v>
      </c>
      <c r="C848" s="302">
        <v>0.26872235764048319</v>
      </c>
      <c r="D848" s="302">
        <f t="shared" si="310"/>
        <v>0.59107454205593912</v>
      </c>
      <c r="E848" s="303"/>
      <c r="F848" s="302">
        <v>0.32473037495337276</v>
      </c>
      <c r="G848" s="302">
        <v>0.27595035561719938</v>
      </c>
      <c r="H848" s="302">
        <f t="shared" si="311"/>
        <v>0.60068073057057214</v>
      </c>
      <c r="I848" s="303"/>
      <c r="J848" s="302">
        <v>0.37461048266767771</v>
      </c>
      <c r="K848" s="302">
        <v>0.40222933542290618</v>
      </c>
      <c r="L848" s="302">
        <f t="shared" si="312"/>
        <v>0.77683981809058389</v>
      </c>
      <c r="M848" s="236"/>
      <c r="N848" s="236"/>
    </row>
    <row r="849" spans="1:14" x14ac:dyDescent="0.2">
      <c r="A849" s="237" t="str">
        <f>name!E$11</f>
        <v>Process, plant and machine operatives</v>
      </c>
      <c r="B849" s="302">
        <v>8.4575873167081171E-3</v>
      </c>
      <c r="C849" s="302">
        <v>0.12305545437625671</v>
      </c>
      <c r="D849" s="302">
        <f t="shared" si="310"/>
        <v>0.13151304169296482</v>
      </c>
      <c r="E849" s="303"/>
      <c r="F849" s="302">
        <v>7.1707075430211837E-3</v>
      </c>
      <c r="G849" s="302">
        <v>4.3331964583489875E-2</v>
      </c>
      <c r="H849" s="302">
        <f t="shared" si="311"/>
        <v>5.0502672126511057E-2</v>
      </c>
      <c r="I849" s="303"/>
      <c r="J849" s="302">
        <v>1.308802172553542E-2</v>
      </c>
      <c r="K849" s="302">
        <v>6.1727124274027705E-2</v>
      </c>
      <c r="L849" s="302">
        <f t="shared" si="312"/>
        <v>7.4815145999563126E-2</v>
      </c>
      <c r="M849" s="236"/>
      <c r="N849" s="236"/>
    </row>
    <row r="850" spans="1:14" x14ac:dyDescent="0.2">
      <c r="A850" s="237" t="str">
        <f>name!E$12</f>
        <v>Elementary occupations</v>
      </c>
      <c r="B850" s="302">
        <v>4.463075798775773E-2</v>
      </c>
      <c r="C850" s="302">
        <v>0.17835029614228512</v>
      </c>
      <c r="D850" s="302">
        <f t="shared" si="310"/>
        <v>0.22298105413004285</v>
      </c>
      <c r="E850" s="303"/>
      <c r="F850" s="302">
        <v>3.5944633486201756E-2</v>
      </c>
      <c r="G850" s="302">
        <v>9.0727319515030783E-2</v>
      </c>
      <c r="H850" s="302">
        <f t="shared" si="311"/>
        <v>0.12667195300123255</v>
      </c>
      <c r="I850" s="303"/>
      <c r="J850" s="302">
        <v>3.9109413981911673E-2</v>
      </c>
      <c r="K850" s="302">
        <v>8.8345280806405982E-2</v>
      </c>
      <c r="L850" s="302">
        <f t="shared" si="312"/>
        <v>0.12745469478831767</v>
      </c>
      <c r="M850" s="236"/>
      <c r="N850" s="236"/>
    </row>
    <row r="851" spans="1:14" x14ac:dyDescent="0.2">
      <c r="A851" s="237"/>
      <c r="B851" s="302"/>
      <c r="C851" s="302"/>
      <c r="D851" s="302"/>
      <c r="E851" s="303"/>
      <c r="F851" s="302"/>
      <c r="G851" s="302"/>
      <c r="H851" s="302"/>
      <c r="I851" s="303"/>
      <c r="J851" s="302"/>
      <c r="K851" s="302"/>
      <c r="L851" s="302"/>
      <c r="M851" s="236"/>
      <c r="N851" s="236"/>
    </row>
    <row r="852" spans="1:14" x14ac:dyDescent="0.2">
      <c r="A852" s="244" t="s">
        <v>32</v>
      </c>
      <c r="B852" s="311">
        <f>SUM(B842:B850)</f>
        <v>3.3259999999723799</v>
      </c>
      <c r="C852" s="311">
        <f t="shared" ref="C852:D852" si="313">SUM(C842:C850)</f>
        <v>3.4719999999791527</v>
      </c>
      <c r="D852" s="311">
        <f t="shared" si="313"/>
        <v>6.7979999999515339</v>
      </c>
      <c r="E852" s="311"/>
      <c r="F852" s="311">
        <f t="shared" ref="F852:H852" si="314">SUM(F842:F850)</f>
        <v>3.7349999999758769</v>
      </c>
      <c r="G852" s="311">
        <f t="shared" si="314"/>
        <v>3.1949999999847067</v>
      </c>
      <c r="H852" s="311">
        <f t="shared" si="314"/>
        <v>6.9299999999605832</v>
      </c>
      <c r="I852" s="311"/>
      <c r="J852" s="311">
        <f t="shared" ref="J852:L852" si="315">SUM(J842:J850)</f>
        <v>3.8459999999982615</v>
      </c>
      <c r="K852" s="311">
        <f t="shared" si="315"/>
        <v>3.3980000000399473</v>
      </c>
      <c r="L852" s="311">
        <f t="shared" si="315"/>
        <v>7.2440000000382065</v>
      </c>
      <c r="M852" s="236"/>
      <c r="N852" s="236"/>
    </row>
    <row r="853" spans="1:14" x14ac:dyDescent="0.2">
      <c r="A853" s="237"/>
      <c r="B853" s="237"/>
      <c r="C853" s="237"/>
      <c r="D853" s="237"/>
      <c r="E853" s="237"/>
      <c r="F853" s="237"/>
      <c r="G853" s="237"/>
      <c r="H853" s="237"/>
      <c r="I853" s="237"/>
      <c r="J853" s="237"/>
      <c r="K853" s="237"/>
      <c r="L853" s="240"/>
      <c r="M853" s="236"/>
      <c r="N853" s="236"/>
    </row>
    <row r="854" spans="1:14" x14ac:dyDescent="0.2">
      <c r="A854" s="237"/>
      <c r="B854" s="237"/>
      <c r="C854" s="237"/>
      <c r="D854" s="237"/>
      <c r="E854" s="237"/>
      <c r="F854" s="237"/>
      <c r="G854" s="237"/>
      <c r="H854" s="237"/>
      <c r="I854" s="237"/>
      <c r="J854" s="237"/>
      <c r="K854" s="237"/>
      <c r="L854" s="256" t="s">
        <v>35</v>
      </c>
      <c r="M854" s="236"/>
      <c r="N854" s="236"/>
    </row>
    <row r="855" spans="1:14" x14ac:dyDescent="0.2">
      <c r="A855" s="242"/>
      <c r="B855" s="250"/>
      <c r="C855" s="250"/>
      <c r="D855" s="250"/>
      <c r="E855" s="250"/>
      <c r="F855" s="250"/>
      <c r="G855" s="250"/>
      <c r="H855" s="250"/>
      <c r="I855" s="250"/>
      <c r="J855" s="250"/>
      <c r="K855" s="250"/>
      <c r="L855" s="236"/>
      <c r="M855" s="236"/>
      <c r="N855" s="236"/>
    </row>
    <row r="856" spans="1:14" x14ac:dyDescent="0.2">
      <c r="A856" s="241" t="str">
        <f>name!A53</f>
        <v>Real estate</v>
      </c>
      <c r="B856" s="372">
        <f>B$6</f>
        <v>2015</v>
      </c>
      <c r="C856" s="372"/>
      <c r="D856" s="372"/>
      <c r="E856" s="253"/>
      <c r="F856" s="372">
        <f>F$6</f>
        <v>2020</v>
      </c>
      <c r="G856" s="372"/>
      <c r="H856" s="372"/>
      <c r="I856" s="253"/>
      <c r="J856" s="372">
        <f>J$6</f>
        <v>2035</v>
      </c>
      <c r="K856" s="372"/>
      <c r="L856" s="372"/>
      <c r="M856" s="236"/>
      <c r="N856" s="236"/>
    </row>
    <row r="857" spans="1:14" x14ac:dyDescent="0.2">
      <c r="A857" s="254"/>
      <c r="B857" s="255" t="s">
        <v>352</v>
      </c>
      <c r="C857" s="255" t="s">
        <v>353</v>
      </c>
      <c r="D857" s="255" t="s">
        <v>32</v>
      </c>
      <c r="E857" s="255"/>
      <c r="F857" s="255" t="s">
        <v>352</v>
      </c>
      <c r="G857" s="255" t="s">
        <v>353</v>
      </c>
      <c r="H857" s="255" t="s">
        <v>32</v>
      </c>
      <c r="I857" s="255"/>
      <c r="J857" s="255" t="s">
        <v>352</v>
      </c>
      <c r="K857" s="255" t="s">
        <v>353</v>
      </c>
      <c r="L857" s="255" t="s">
        <v>32</v>
      </c>
      <c r="M857" s="236"/>
      <c r="N857" s="236"/>
    </row>
    <row r="858" spans="1:14" x14ac:dyDescent="0.2">
      <c r="A858" s="258"/>
      <c r="B858" s="259"/>
      <c r="C858" s="259"/>
      <c r="D858" s="259"/>
      <c r="E858" s="259"/>
      <c r="F858" s="259"/>
      <c r="G858" s="259"/>
      <c r="H858" s="259"/>
      <c r="I858" s="259"/>
      <c r="J858" s="259"/>
      <c r="K858" s="259"/>
      <c r="L858" s="259"/>
      <c r="M858" s="236"/>
      <c r="N858" s="236"/>
    </row>
    <row r="859" spans="1:14" x14ac:dyDescent="0.2">
      <c r="A859" s="237" t="str">
        <f>name!E$4</f>
        <v>Managers, directors and senior officials</v>
      </c>
      <c r="B859" s="302">
        <v>0.59285681575306182</v>
      </c>
      <c r="C859" s="302">
        <v>1.4523276183472251</v>
      </c>
      <c r="D859" s="302">
        <f>SUM(B859:C859)</f>
        <v>2.0451844341002872</v>
      </c>
      <c r="E859" s="303"/>
      <c r="F859" s="302">
        <v>1.1975305204177671</v>
      </c>
      <c r="G859" s="302">
        <v>1.2729700524985814</v>
      </c>
      <c r="H859" s="302">
        <f>SUM(F859:G859)</f>
        <v>2.4705005729163485</v>
      </c>
      <c r="I859" s="303"/>
      <c r="J859" s="302">
        <v>1.4117075361105536</v>
      </c>
      <c r="K859" s="302">
        <v>1.5154659902363219</v>
      </c>
      <c r="L859" s="302">
        <f>SUM(J859:K859)</f>
        <v>2.9271735263468752</v>
      </c>
      <c r="M859" s="236"/>
      <c r="N859" s="236"/>
    </row>
    <row r="860" spans="1:14" x14ac:dyDescent="0.2">
      <c r="A860" s="237" t="str">
        <f>name!E$5</f>
        <v>Professional occupations</v>
      </c>
      <c r="B860" s="302">
        <v>0.79864399770496675</v>
      </c>
      <c r="C860" s="302">
        <v>1.1611493524297767</v>
      </c>
      <c r="D860" s="302">
        <f t="shared" ref="D860:D867" si="316">SUM(B860:C860)</f>
        <v>1.9597933501347433</v>
      </c>
      <c r="E860" s="303"/>
      <c r="F860" s="302">
        <v>1.2117910119266915</v>
      </c>
      <c r="G860" s="302">
        <v>1.3497425915581376</v>
      </c>
      <c r="H860" s="302">
        <f t="shared" ref="H860:H867" si="317">SUM(F860:G860)</f>
        <v>2.5615336034848291</v>
      </c>
      <c r="I860" s="303"/>
      <c r="J860" s="302">
        <v>1.5703150185733057</v>
      </c>
      <c r="K860" s="302">
        <v>1.7399006406202433</v>
      </c>
      <c r="L860" s="302">
        <f t="shared" ref="L860:L867" si="318">SUM(J860:K860)</f>
        <v>3.310215659193549</v>
      </c>
      <c r="M860" s="236"/>
      <c r="N860" s="236"/>
    </row>
    <row r="861" spans="1:14" x14ac:dyDescent="0.2">
      <c r="A861" s="237" t="str">
        <f>name!E$6</f>
        <v>Associate professional occupations</v>
      </c>
      <c r="B861" s="302">
        <v>0.86149199667656584</v>
      </c>
      <c r="C861" s="302">
        <v>0.95598719140226873</v>
      </c>
      <c r="D861" s="302">
        <f t="shared" si="316"/>
        <v>1.8174791880788346</v>
      </c>
      <c r="E861" s="303"/>
      <c r="F861" s="302">
        <v>1.2049488869062137</v>
      </c>
      <c r="G861" s="302">
        <v>1.0359083172290102</v>
      </c>
      <c r="H861" s="302">
        <f t="shared" si="317"/>
        <v>2.2408572041352239</v>
      </c>
      <c r="I861" s="303"/>
      <c r="J861" s="302">
        <v>1.5713831845605351</v>
      </c>
      <c r="K861" s="302">
        <v>0.98717185303670585</v>
      </c>
      <c r="L861" s="302">
        <f t="shared" si="318"/>
        <v>2.558555037597241</v>
      </c>
      <c r="M861" s="236"/>
      <c r="N861" s="236"/>
    </row>
    <row r="862" spans="1:14" x14ac:dyDescent="0.2">
      <c r="A862" s="237" t="str">
        <f>name!E$7</f>
        <v>Administrative and secretarial occupations</v>
      </c>
      <c r="B862" s="302">
        <v>3.2407440434857091</v>
      </c>
      <c r="C862" s="302">
        <v>1.1900614036549553</v>
      </c>
      <c r="D862" s="302">
        <f t="shared" si="316"/>
        <v>4.4308054471406644</v>
      </c>
      <c r="E862" s="303"/>
      <c r="F862" s="302">
        <v>3.4719446336390845</v>
      </c>
      <c r="G862" s="302">
        <v>1.2271923232523336</v>
      </c>
      <c r="H862" s="302">
        <f t="shared" si="317"/>
        <v>4.6991369568914179</v>
      </c>
      <c r="I862" s="303"/>
      <c r="J862" s="302">
        <v>3.3048753146258334</v>
      </c>
      <c r="K862" s="302">
        <v>1.4610363127245889</v>
      </c>
      <c r="L862" s="302">
        <f t="shared" si="318"/>
        <v>4.7659116273504223</v>
      </c>
      <c r="M862" s="236"/>
      <c r="N862" s="236"/>
    </row>
    <row r="863" spans="1:14" x14ac:dyDescent="0.2">
      <c r="A863" s="237" t="str">
        <f>name!E$8</f>
        <v>Skilled trades occupations</v>
      </c>
      <c r="B863" s="302">
        <v>0.10599137288884859</v>
      </c>
      <c r="C863" s="302">
        <v>1.549407399850675</v>
      </c>
      <c r="D863" s="302">
        <f t="shared" si="316"/>
        <v>1.6553987727395236</v>
      </c>
      <c r="E863" s="303"/>
      <c r="F863" s="302">
        <v>0.2384859574078724</v>
      </c>
      <c r="G863" s="302">
        <v>0.80338300429234066</v>
      </c>
      <c r="H863" s="302">
        <f t="shared" si="317"/>
        <v>1.041868961700213</v>
      </c>
      <c r="I863" s="303"/>
      <c r="J863" s="302">
        <v>0.44418787609580934</v>
      </c>
      <c r="K863" s="302">
        <v>0.93119708085930342</v>
      </c>
      <c r="L863" s="302">
        <f t="shared" si="318"/>
        <v>1.3753849569551129</v>
      </c>
      <c r="M863" s="236"/>
      <c r="N863" s="236"/>
    </row>
    <row r="864" spans="1:14" x14ac:dyDescent="0.2">
      <c r="A864" s="237" t="str">
        <f>name!E$9</f>
        <v>Caring, leisure and other service occupations</v>
      </c>
      <c r="B864" s="302">
        <v>0.21264066864653347</v>
      </c>
      <c r="C864" s="302">
        <v>0.36205237077536395</v>
      </c>
      <c r="D864" s="302">
        <f t="shared" si="316"/>
        <v>0.57469303942189742</v>
      </c>
      <c r="E864" s="303"/>
      <c r="F864" s="302">
        <v>0.25669718239403694</v>
      </c>
      <c r="G864" s="302">
        <v>0.38058184212197976</v>
      </c>
      <c r="H864" s="302">
        <f t="shared" si="317"/>
        <v>0.6372790245160167</v>
      </c>
      <c r="I864" s="303"/>
      <c r="J864" s="302">
        <v>0.36767722701732947</v>
      </c>
      <c r="K864" s="302">
        <v>0.40640189693129342</v>
      </c>
      <c r="L864" s="302">
        <f t="shared" si="318"/>
        <v>0.77407912394862288</v>
      </c>
      <c r="M864" s="236"/>
      <c r="N864" s="236"/>
    </row>
    <row r="865" spans="1:14" x14ac:dyDescent="0.2">
      <c r="A865" s="237" t="str">
        <f>name!E$10</f>
        <v>Sales and customer service occupations</v>
      </c>
      <c r="B865" s="302">
        <v>2.2310001360291158</v>
      </c>
      <c r="C865" s="302">
        <v>1.1311130916270176</v>
      </c>
      <c r="D865" s="302">
        <f t="shared" si="316"/>
        <v>3.3621132276561334</v>
      </c>
      <c r="E865" s="303"/>
      <c r="F865" s="302">
        <v>2.2187840914083345</v>
      </c>
      <c r="G865" s="302">
        <v>1.26501652708384</v>
      </c>
      <c r="H865" s="302">
        <f t="shared" si="317"/>
        <v>3.4838006184921744</v>
      </c>
      <c r="I865" s="303"/>
      <c r="J865" s="302">
        <v>2.6329332821213485</v>
      </c>
      <c r="K865" s="302">
        <v>1.3702670680789111</v>
      </c>
      <c r="L865" s="302">
        <f t="shared" si="318"/>
        <v>4.0032003502002595</v>
      </c>
      <c r="M865" s="236"/>
      <c r="N865" s="236"/>
    </row>
    <row r="866" spans="1:14" x14ac:dyDescent="0.2">
      <c r="A866" s="237" t="str">
        <f>name!E$11</f>
        <v>Process, plant and machine operatives</v>
      </c>
      <c r="B866" s="302">
        <v>1.0503639903208279E-2</v>
      </c>
      <c r="C866" s="302">
        <v>0.57649380449573506</v>
      </c>
      <c r="D866" s="302">
        <f t="shared" si="316"/>
        <v>0.5869974443989433</v>
      </c>
      <c r="E866" s="303"/>
      <c r="F866" s="302">
        <v>1.3001053291763248E-2</v>
      </c>
      <c r="G866" s="302">
        <v>0.43364264460483376</v>
      </c>
      <c r="H866" s="302">
        <f t="shared" si="317"/>
        <v>0.44664369789659703</v>
      </c>
      <c r="I866" s="303"/>
      <c r="J866" s="302">
        <v>2.7775749106674252E-2</v>
      </c>
      <c r="K866" s="302">
        <v>0.46730471093994014</v>
      </c>
      <c r="L866" s="302">
        <f t="shared" si="318"/>
        <v>0.49508046004661438</v>
      </c>
      <c r="M866" s="236"/>
      <c r="N866" s="236"/>
    </row>
    <row r="867" spans="1:14" x14ac:dyDescent="0.2">
      <c r="A867" s="237" t="str">
        <f>name!E$12</f>
        <v>Elementary occupations</v>
      </c>
      <c r="B867" s="302">
        <v>0.26512732892865509</v>
      </c>
      <c r="C867" s="302">
        <v>0.91240776737491203</v>
      </c>
      <c r="D867" s="302">
        <f t="shared" si="316"/>
        <v>1.1775350963035671</v>
      </c>
      <c r="E867" s="303"/>
      <c r="F867" s="302">
        <v>0.27381666256120007</v>
      </c>
      <c r="G867" s="302">
        <v>0.71856269732544842</v>
      </c>
      <c r="H867" s="302">
        <f t="shared" si="317"/>
        <v>0.99237935988664849</v>
      </c>
      <c r="I867" s="303"/>
      <c r="J867" s="302">
        <v>0.31314481180572268</v>
      </c>
      <c r="K867" s="302">
        <v>0.67425444657443567</v>
      </c>
      <c r="L867" s="302">
        <f t="shared" si="318"/>
        <v>0.9873992583801583</v>
      </c>
      <c r="M867" s="236"/>
      <c r="N867" s="236"/>
    </row>
    <row r="868" spans="1:14" x14ac:dyDescent="0.2">
      <c r="A868" s="237"/>
      <c r="B868" s="302"/>
      <c r="C868" s="302"/>
      <c r="D868" s="302"/>
      <c r="E868" s="303"/>
      <c r="F868" s="302"/>
      <c r="G868" s="302"/>
      <c r="H868" s="302"/>
      <c r="I868" s="303"/>
      <c r="J868" s="302"/>
      <c r="K868" s="302"/>
      <c r="L868" s="302"/>
      <c r="M868" s="236"/>
      <c r="N868" s="236"/>
    </row>
    <row r="869" spans="1:14" x14ac:dyDescent="0.2">
      <c r="A869" s="244" t="s">
        <v>32</v>
      </c>
      <c r="B869" s="311">
        <f>SUM(B859:B867)</f>
        <v>8.3190000000166631</v>
      </c>
      <c r="C869" s="311">
        <f t="shared" ref="C869:D869" si="319">SUM(C859:C867)</f>
        <v>9.2909999999579291</v>
      </c>
      <c r="D869" s="311">
        <f t="shared" si="319"/>
        <v>17.609999999974594</v>
      </c>
      <c r="E869" s="311"/>
      <c r="F869" s="311">
        <f t="shared" ref="F869:H869" si="320">SUM(F859:F867)</f>
        <v>10.086999999952964</v>
      </c>
      <c r="G869" s="311">
        <f t="shared" si="320"/>
        <v>8.4869999999665051</v>
      </c>
      <c r="H869" s="311">
        <f t="shared" si="320"/>
        <v>18.573999999919469</v>
      </c>
      <c r="I869" s="311"/>
      <c r="J869" s="311">
        <f t="shared" ref="J869:L869" si="321">SUM(J859:J867)</f>
        <v>11.64400000001711</v>
      </c>
      <c r="K869" s="311">
        <f t="shared" si="321"/>
        <v>9.5530000000017434</v>
      </c>
      <c r="L869" s="311">
        <f t="shared" si="321"/>
        <v>21.197000000018853</v>
      </c>
      <c r="M869" s="236"/>
      <c r="N869" s="236"/>
    </row>
    <row r="870" spans="1:14" x14ac:dyDescent="0.2">
      <c r="A870" s="237"/>
      <c r="B870" s="237"/>
      <c r="C870" s="237"/>
      <c r="D870" s="237"/>
      <c r="E870" s="237"/>
      <c r="F870" s="237"/>
      <c r="G870" s="237"/>
      <c r="H870" s="237"/>
      <c r="I870" s="237"/>
      <c r="J870" s="237"/>
      <c r="K870" s="237"/>
      <c r="L870" s="240"/>
      <c r="M870" s="236"/>
      <c r="N870" s="236"/>
    </row>
    <row r="871" spans="1:14" x14ac:dyDescent="0.2">
      <c r="A871" s="237"/>
      <c r="B871" s="237"/>
      <c r="C871" s="237"/>
      <c r="D871" s="237"/>
      <c r="E871" s="237"/>
      <c r="F871" s="237"/>
      <c r="G871" s="237"/>
      <c r="H871" s="237"/>
      <c r="I871" s="237"/>
      <c r="J871" s="237"/>
      <c r="K871" s="237"/>
      <c r="L871" s="256" t="s">
        <v>35</v>
      </c>
      <c r="M871" s="236"/>
      <c r="N871" s="236"/>
    </row>
    <row r="872" spans="1:14" x14ac:dyDescent="0.2">
      <c r="A872" s="242"/>
      <c r="B872" s="250"/>
      <c r="C872" s="250"/>
      <c r="D872" s="250"/>
      <c r="E872" s="250"/>
      <c r="F872" s="250"/>
      <c r="G872" s="250"/>
      <c r="H872" s="250"/>
      <c r="I872" s="250"/>
      <c r="J872" s="250"/>
      <c r="K872" s="250"/>
      <c r="L872" s="236"/>
      <c r="M872" s="236"/>
      <c r="N872" s="236"/>
    </row>
    <row r="873" spans="1:14" x14ac:dyDescent="0.2">
      <c r="A873" s="241" t="str">
        <f>name!A54</f>
        <v>Legal and accounting</v>
      </c>
      <c r="B873" s="372">
        <f>B$6</f>
        <v>2015</v>
      </c>
      <c r="C873" s="372"/>
      <c r="D873" s="372"/>
      <c r="E873" s="253"/>
      <c r="F873" s="372">
        <f>F$6</f>
        <v>2020</v>
      </c>
      <c r="G873" s="372"/>
      <c r="H873" s="372"/>
      <c r="I873" s="253"/>
      <c r="J873" s="372">
        <f>J$6</f>
        <v>2035</v>
      </c>
      <c r="K873" s="372"/>
      <c r="L873" s="372"/>
      <c r="M873" s="236"/>
      <c r="N873" s="236"/>
    </row>
    <row r="874" spans="1:14" x14ac:dyDescent="0.2">
      <c r="A874" s="254"/>
      <c r="B874" s="255" t="s">
        <v>352</v>
      </c>
      <c r="C874" s="255" t="s">
        <v>353</v>
      </c>
      <c r="D874" s="255" t="s">
        <v>32</v>
      </c>
      <c r="E874" s="255"/>
      <c r="F874" s="255" t="s">
        <v>352</v>
      </c>
      <c r="G874" s="255" t="s">
        <v>353</v>
      </c>
      <c r="H874" s="255" t="s">
        <v>32</v>
      </c>
      <c r="I874" s="255"/>
      <c r="J874" s="255" t="s">
        <v>352</v>
      </c>
      <c r="K874" s="255" t="s">
        <v>353</v>
      </c>
      <c r="L874" s="255" t="s">
        <v>32</v>
      </c>
      <c r="M874" s="236"/>
      <c r="N874" s="236"/>
    </row>
    <row r="875" spans="1:14" x14ac:dyDescent="0.2">
      <c r="A875" s="258"/>
      <c r="B875" s="259"/>
      <c r="C875" s="259"/>
      <c r="D875" s="259"/>
      <c r="E875" s="259"/>
      <c r="F875" s="259"/>
      <c r="G875" s="259"/>
      <c r="H875" s="259"/>
      <c r="I875" s="259"/>
      <c r="J875" s="259"/>
      <c r="K875" s="259"/>
      <c r="L875" s="259"/>
      <c r="M875" s="236"/>
      <c r="N875" s="236"/>
    </row>
    <row r="876" spans="1:14" x14ac:dyDescent="0.2">
      <c r="A876" s="237" t="str">
        <f>name!E$4</f>
        <v>Managers, directors and senior officials</v>
      </c>
      <c r="B876" s="302">
        <v>0.53211589904895396</v>
      </c>
      <c r="C876" s="302">
        <v>0.85776588683068844</v>
      </c>
      <c r="D876" s="302">
        <f>SUM(B876:C876)</f>
        <v>1.3898817858796424</v>
      </c>
      <c r="E876" s="303"/>
      <c r="F876" s="302">
        <v>0.80103140607937329</v>
      </c>
      <c r="G876" s="302">
        <v>0.95203669411937153</v>
      </c>
      <c r="H876" s="302">
        <f>SUM(F876:G876)</f>
        <v>1.7530681001987447</v>
      </c>
      <c r="I876" s="303"/>
      <c r="J876" s="302">
        <v>0.97001247467835305</v>
      </c>
      <c r="K876" s="302">
        <v>1.0533649968660992</v>
      </c>
      <c r="L876" s="302">
        <f>SUM(J876:K876)</f>
        <v>2.0233774715444524</v>
      </c>
      <c r="M876" s="236"/>
      <c r="N876" s="236"/>
    </row>
    <row r="877" spans="1:14" x14ac:dyDescent="0.2">
      <c r="A877" s="237" t="str">
        <f>name!E$5</f>
        <v>Professional occupations</v>
      </c>
      <c r="B877" s="302">
        <v>1.5513160137092068</v>
      </c>
      <c r="C877" s="302">
        <v>2.7093926937483475</v>
      </c>
      <c r="D877" s="302">
        <f t="shared" ref="D877:D884" si="322">SUM(B877:C877)</f>
        <v>4.260708707457554</v>
      </c>
      <c r="E877" s="303"/>
      <c r="F877" s="302">
        <v>2.5423361646975642</v>
      </c>
      <c r="G877" s="302">
        <v>2.7947253080403014</v>
      </c>
      <c r="H877" s="302">
        <f t="shared" ref="H877:H884" si="323">SUM(F877:G877)</f>
        <v>5.3370614727378651</v>
      </c>
      <c r="I877" s="303"/>
      <c r="J877" s="302">
        <v>3.2870362145247873</v>
      </c>
      <c r="K877" s="302">
        <v>2.8991998668048398</v>
      </c>
      <c r="L877" s="302">
        <f t="shared" ref="L877:L884" si="324">SUM(J877:K877)</f>
        <v>6.1862360813296267</v>
      </c>
      <c r="M877" s="236"/>
      <c r="N877" s="236"/>
    </row>
    <row r="878" spans="1:14" x14ac:dyDescent="0.2">
      <c r="A878" s="237" t="str">
        <f>name!E$6</f>
        <v>Associate professional occupations</v>
      </c>
      <c r="B878" s="302">
        <v>1.1709795749810874</v>
      </c>
      <c r="C878" s="302">
        <v>1.2488530585942268</v>
      </c>
      <c r="D878" s="302">
        <f t="shared" si="322"/>
        <v>2.4198326335753144</v>
      </c>
      <c r="E878" s="303"/>
      <c r="F878" s="302">
        <v>1.6069145027174143</v>
      </c>
      <c r="G878" s="302">
        <v>1.3881803489359554</v>
      </c>
      <c r="H878" s="302">
        <f t="shared" si="323"/>
        <v>2.99509485165337</v>
      </c>
      <c r="I878" s="303"/>
      <c r="J878" s="302">
        <v>1.878421699576506</v>
      </c>
      <c r="K878" s="302">
        <v>1.2319621974517427</v>
      </c>
      <c r="L878" s="302">
        <f t="shared" si="324"/>
        <v>3.1103838970282487</v>
      </c>
      <c r="M878" s="236"/>
      <c r="N878" s="236"/>
    </row>
    <row r="879" spans="1:14" x14ac:dyDescent="0.2">
      <c r="A879" s="237" t="str">
        <f>name!E$7</f>
        <v>Administrative and secretarial occupations</v>
      </c>
      <c r="B879" s="302">
        <v>3.6562121580132718</v>
      </c>
      <c r="C879" s="302">
        <v>1.343797450271891</v>
      </c>
      <c r="D879" s="302">
        <f t="shared" si="322"/>
        <v>5.0000096082851631</v>
      </c>
      <c r="E879" s="303"/>
      <c r="F879" s="302">
        <v>4.6368471177552344</v>
      </c>
      <c r="G879" s="302">
        <v>1.6530379192545961</v>
      </c>
      <c r="H879" s="302">
        <f t="shared" si="323"/>
        <v>6.2898850370098307</v>
      </c>
      <c r="I879" s="303"/>
      <c r="J879" s="302">
        <v>3.6748237865070847</v>
      </c>
      <c r="K879" s="302">
        <v>1.9658932947470613</v>
      </c>
      <c r="L879" s="302">
        <f t="shared" si="324"/>
        <v>5.6407170812541461</v>
      </c>
      <c r="M879" s="236"/>
      <c r="N879" s="236"/>
    </row>
    <row r="880" spans="1:14" x14ac:dyDescent="0.2">
      <c r="A880" s="237" t="str">
        <f>name!E$8</f>
        <v>Skilled trades occupations</v>
      </c>
      <c r="B880" s="302">
        <v>5.2662066798128522E-2</v>
      </c>
      <c r="C880" s="302">
        <v>0.60779493328679657</v>
      </c>
      <c r="D880" s="302">
        <f t="shared" si="322"/>
        <v>0.66045700008492514</v>
      </c>
      <c r="E880" s="303"/>
      <c r="F880" s="302">
        <v>5.8020483706103826E-2</v>
      </c>
      <c r="G880" s="302">
        <v>0.44663260842936453</v>
      </c>
      <c r="H880" s="302">
        <f t="shared" si="323"/>
        <v>0.50465309213546838</v>
      </c>
      <c r="I880" s="303"/>
      <c r="J880" s="302">
        <v>0.12534186078119777</v>
      </c>
      <c r="K880" s="302">
        <v>0.40977932327986655</v>
      </c>
      <c r="L880" s="302">
        <f t="shared" si="324"/>
        <v>0.53512118406106435</v>
      </c>
      <c r="M880" s="236"/>
      <c r="N880" s="236"/>
    </row>
    <row r="881" spans="1:14" x14ac:dyDescent="0.2">
      <c r="A881" s="237" t="str">
        <f>name!E$9</f>
        <v>Caring, leisure and other service occupations</v>
      </c>
      <c r="B881" s="302">
        <v>3.2940035031820969E-2</v>
      </c>
      <c r="C881" s="302">
        <v>6.3774619059959473E-2</v>
      </c>
      <c r="D881" s="302">
        <f t="shared" si="322"/>
        <v>9.6714654091780441E-2</v>
      </c>
      <c r="E881" s="303"/>
      <c r="F881" s="302">
        <v>2.9958133912127788E-2</v>
      </c>
      <c r="G881" s="302">
        <v>8.1606467213769407E-2</v>
      </c>
      <c r="H881" s="302">
        <f t="shared" si="323"/>
        <v>0.11156460112589719</v>
      </c>
      <c r="I881" s="303"/>
      <c r="J881" s="302">
        <v>3.2403886151372151E-2</v>
      </c>
      <c r="K881" s="302">
        <v>0.13542803122733382</v>
      </c>
      <c r="L881" s="302">
        <f t="shared" si="324"/>
        <v>0.16783191737870598</v>
      </c>
      <c r="M881" s="236"/>
      <c r="N881" s="236"/>
    </row>
    <row r="882" spans="1:14" x14ac:dyDescent="0.2">
      <c r="A882" s="237" t="str">
        <f>name!E$10</f>
        <v>Sales and customer service occupations</v>
      </c>
      <c r="B882" s="302">
        <v>0.77963601549275519</v>
      </c>
      <c r="C882" s="302">
        <v>0.37921518136078908</v>
      </c>
      <c r="D882" s="302">
        <f t="shared" si="322"/>
        <v>1.1588511968535442</v>
      </c>
      <c r="E882" s="303"/>
      <c r="F882" s="302">
        <v>0.95433399610343261</v>
      </c>
      <c r="G882" s="302">
        <v>0.52439424097412657</v>
      </c>
      <c r="H882" s="302">
        <f t="shared" si="323"/>
        <v>1.4787282370775592</v>
      </c>
      <c r="I882" s="303"/>
      <c r="J882" s="302">
        <v>0.9898801466219197</v>
      </c>
      <c r="K882" s="302">
        <v>0.73202000965818892</v>
      </c>
      <c r="L882" s="302">
        <f t="shared" si="324"/>
        <v>1.7219001562801086</v>
      </c>
      <c r="M882" s="236"/>
      <c r="N882" s="236"/>
    </row>
    <row r="883" spans="1:14" x14ac:dyDescent="0.2">
      <c r="A883" s="237" t="str">
        <f>name!E$11</f>
        <v>Process, plant and machine operatives</v>
      </c>
      <c r="B883" s="302">
        <v>2.1456239464501401E-2</v>
      </c>
      <c r="C883" s="302">
        <v>0.29604437321195198</v>
      </c>
      <c r="D883" s="302">
        <f t="shared" si="322"/>
        <v>0.31750061267645341</v>
      </c>
      <c r="E883" s="303"/>
      <c r="F883" s="302">
        <v>2.1337557028011156E-2</v>
      </c>
      <c r="G883" s="302">
        <v>0.24425716686162446</v>
      </c>
      <c r="H883" s="302">
        <f t="shared" si="323"/>
        <v>0.26559472388963562</v>
      </c>
      <c r="I883" s="303"/>
      <c r="J883" s="302">
        <v>2.6729277968794408E-2</v>
      </c>
      <c r="K883" s="302">
        <v>0.27710888228416175</v>
      </c>
      <c r="L883" s="302">
        <f t="shared" si="324"/>
        <v>0.30383816025295618</v>
      </c>
      <c r="M883" s="236"/>
      <c r="N883" s="236"/>
    </row>
    <row r="884" spans="1:14" x14ac:dyDescent="0.2">
      <c r="A884" s="237" t="str">
        <f>name!E$12</f>
        <v>Elementary occupations</v>
      </c>
      <c r="B884" s="302">
        <v>0.14568199739547055</v>
      </c>
      <c r="C884" s="302">
        <v>0.24436180353533235</v>
      </c>
      <c r="D884" s="302">
        <f t="shared" si="322"/>
        <v>0.39004380093080293</v>
      </c>
      <c r="E884" s="303"/>
      <c r="F884" s="302">
        <v>0.14822063801516144</v>
      </c>
      <c r="G884" s="302">
        <v>0.22812924613195415</v>
      </c>
      <c r="H884" s="302">
        <f t="shared" si="323"/>
        <v>0.37634988414711557</v>
      </c>
      <c r="I884" s="303"/>
      <c r="J884" s="302">
        <v>0.11835065322498511</v>
      </c>
      <c r="K884" s="302">
        <v>0.22924339783017375</v>
      </c>
      <c r="L884" s="302">
        <f t="shared" si="324"/>
        <v>0.34759405105515884</v>
      </c>
      <c r="M884" s="236"/>
      <c r="N884" s="236"/>
    </row>
    <row r="885" spans="1:14" x14ac:dyDescent="0.2">
      <c r="A885" s="237"/>
      <c r="B885" s="302"/>
      <c r="C885" s="302"/>
      <c r="D885" s="302"/>
      <c r="E885" s="303"/>
      <c r="F885" s="302"/>
      <c r="G885" s="302"/>
      <c r="H885" s="302"/>
      <c r="I885" s="303"/>
      <c r="J885" s="302"/>
      <c r="K885" s="302"/>
      <c r="L885" s="302"/>
      <c r="M885" s="236"/>
      <c r="N885" s="236"/>
    </row>
    <row r="886" spans="1:14" x14ac:dyDescent="0.2">
      <c r="A886" s="244" t="s">
        <v>32</v>
      </c>
      <c r="B886" s="311">
        <f>SUM(B876:B884)</f>
        <v>7.9429999999351972</v>
      </c>
      <c r="C886" s="311">
        <f t="shared" ref="C886:D886" si="325">SUM(C876:C884)</f>
        <v>7.7509999998999835</v>
      </c>
      <c r="D886" s="311">
        <f t="shared" si="325"/>
        <v>15.693999999835178</v>
      </c>
      <c r="E886" s="311"/>
      <c r="F886" s="311">
        <f t="shared" ref="F886:H886" si="326">SUM(F876:F884)</f>
        <v>10.799000000014422</v>
      </c>
      <c r="G886" s="311">
        <f t="shared" si="326"/>
        <v>8.3129999999610646</v>
      </c>
      <c r="H886" s="311">
        <f t="shared" si="326"/>
        <v>19.111999999975481</v>
      </c>
      <c r="I886" s="311"/>
      <c r="J886" s="311">
        <f t="shared" ref="J886:L886" si="327">SUM(J876:J884)</f>
        <v>11.103000000034999</v>
      </c>
      <c r="K886" s="311">
        <f t="shared" si="327"/>
        <v>8.934000000149469</v>
      </c>
      <c r="L886" s="311">
        <f t="shared" si="327"/>
        <v>20.037000000184463</v>
      </c>
      <c r="M886" s="236"/>
      <c r="N886" s="236"/>
    </row>
    <row r="887" spans="1:14" x14ac:dyDescent="0.2">
      <c r="A887" s="237"/>
      <c r="B887" s="237"/>
      <c r="C887" s="237"/>
      <c r="D887" s="237"/>
      <c r="E887" s="237"/>
      <c r="F887" s="237"/>
      <c r="G887" s="237"/>
      <c r="H887" s="237"/>
      <c r="I887" s="237"/>
      <c r="J887" s="237"/>
      <c r="K887" s="237"/>
      <c r="L887" s="240"/>
      <c r="M887" s="236"/>
      <c r="N887" s="236"/>
    </row>
    <row r="888" spans="1:14" x14ac:dyDescent="0.2">
      <c r="A888" s="237"/>
      <c r="B888" s="237"/>
      <c r="C888" s="237"/>
      <c r="D888" s="237"/>
      <c r="E888" s="237"/>
      <c r="F888" s="237"/>
      <c r="G888" s="237"/>
      <c r="H888" s="237"/>
      <c r="I888" s="237"/>
      <c r="J888" s="237"/>
      <c r="K888" s="237"/>
      <c r="L888" s="256" t="s">
        <v>35</v>
      </c>
      <c r="M888" s="236"/>
      <c r="N888" s="236"/>
    </row>
    <row r="889" spans="1:14" x14ac:dyDescent="0.2">
      <c r="A889" s="242"/>
      <c r="B889" s="250"/>
      <c r="C889" s="250"/>
      <c r="D889" s="250"/>
      <c r="E889" s="250"/>
      <c r="F889" s="250"/>
      <c r="G889" s="250"/>
      <c r="H889" s="250"/>
      <c r="I889" s="250"/>
      <c r="J889" s="250"/>
      <c r="K889" s="250"/>
      <c r="L889" s="236"/>
      <c r="M889" s="236"/>
      <c r="N889" s="236"/>
    </row>
    <row r="890" spans="1:14" x14ac:dyDescent="0.2">
      <c r="A890" s="241" t="str">
        <f>name!A55</f>
        <v>Head offices, etc</v>
      </c>
      <c r="B890" s="372">
        <f>B$6</f>
        <v>2015</v>
      </c>
      <c r="C890" s="372"/>
      <c r="D890" s="372"/>
      <c r="E890" s="253"/>
      <c r="F890" s="372">
        <f>F$6</f>
        <v>2020</v>
      </c>
      <c r="G890" s="372"/>
      <c r="H890" s="372"/>
      <c r="I890" s="253"/>
      <c r="J890" s="372">
        <f>J$6</f>
        <v>2035</v>
      </c>
      <c r="K890" s="372"/>
      <c r="L890" s="372"/>
      <c r="M890" s="236"/>
      <c r="N890" s="236"/>
    </row>
    <row r="891" spans="1:14" x14ac:dyDescent="0.2">
      <c r="A891" s="254"/>
      <c r="B891" s="255" t="s">
        <v>352</v>
      </c>
      <c r="C891" s="255" t="s">
        <v>353</v>
      </c>
      <c r="D891" s="255" t="s">
        <v>32</v>
      </c>
      <c r="E891" s="255"/>
      <c r="F891" s="255" t="s">
        <v>352</v>
      </c>
      <c r="G891" s="255" t="s">
        <v>353</v>
      </c>
      <c r="H891" s="255" t="s">
        <v>32</v>
      </c>
      <c r="I891" s="255"/>
      <c r="J891" s="255" t="s">
        <v>352</v>
      </c>
      <c r="K891" s="255" t="s">
        <v>353</v>
      </c>
      <c r="L891" s="255" t="s">
        <v>32</v>
      </c>
      <c r="M891" s="236"/>
      <c r="N891" s="236"/>
    </row>
    <row r="892" spans="1:14" x14ac:dyDescent="0.2">
      <c r="A892" s="258"/>
      <c r="B892" s="259"/>
      <c r="C892" s="259"/>
      <c r="D892" s="259"/>
      <c r="E892" s="259"/>
      <c r="F892" s="259"/>
      <c r="G892" s="259"/>
      <c r="H892" s="259"/>
      <c r="I892" s="259"/>
      <c r="J892" s="259"/>
      <c r="K892" s="259"/>
      <c r="L892" s="259"/>
      <c r="M892" s="236"/>
      <c r="N892" s="236"/>
    </row>
    <row r="893" spans="1:14" x14ac:dyDescent="0.2">
      <c r="A893" s="237" t="str">
        <f>name!E$4</f>
        <v>Managers, directors and senior officials</v>
      </c>
      <c r="B893" s="302">
        <v>0.38823296640342309</v>
      </c>
      <c r="C893" s="302">
        <v>0.76703093476710715</v>
      </c>
      <c r="D893" s="302">
        <f>SUM(B893:C893)</f>
        <v>1.1552639011705303</v>
      </c>
      <c r="E893" s="303"/>
      <c r="F893" s="302">
        <v>0.42220268895982499</v>
      </c>
      <c r="G893" s="302">
        <v>0.7124411632313864</v>
      </c>
      <c r="H893" s="302">
        <f>SUM(F893:G893)</f>
        <v>1.1346438521912114</v>
      </c>
      <c r="I893" s="303"/>
      <c r="J893" s="302">
        <v>0.53379791379291219</v>
      </c>
      <c r="K893" s="302">
        <v>0.68091048283800915</v>
      </c>
      <c r="L893" s="302">
        <f>SUM(J893:K893)</f>
        <v>1.2147083966309213</v>
      </c>
      <c r="M893" s="236"/>
      <c r="N893" s="236"/>
    </row>
    <row r="894" spans="1:14" x14ac:dyDescent="0.2">
      <c r="A894" s="237" t="str">
        <f>name!E$5</f>
        <v>Professional occupations</v>
      </c>
      <c r="B894" s="302">
        <v>1.0896023838076279</v>
      </c>
      <c r="C894" s="302">
        <v>2.6731579224475381</v>
      </c>
      <c r="D894" s="302">
        <f t="shared" ref="D894:D901" si="328">SUM(B894:C894)</f>
        <v>3.7627603062551662</v>
      </c>
      <c r="E894" s="303"/>
      <c r="F894" s="302">
        <v>1.3711288100724788</v>
      </c>
      <c r="G894" s="302">
        <v>2.6104395070432158</v>
      </c>
      <c r="H894" s="302">
        <f t="shared" ref="H894:H901" si="329">SUM(F894:G894)</f>
        <v>3.9815683171156948</v>
      </c>
      <c r="I894" s="303"/>
      <c r="J894" s="302">
        <v>1.8600618963073725</v>
      </c>
      <c r="K894" s="302">
        <v>2.6590138868155764</v>
      </c>
      <c r="L894" s="302">
        <f t="shared" ref="L894:L901" si="330">SUM(J894:K894)</f>
        <v>4.5190757831229487</v>
      </c>
      <c r="M894" s="236"/>
      <c r="N894" s="236"/>
    </row>
    <row r="895" spans="1:14" x14ac:dyDescent="0.2">
      <c r="A895" s="237" t="str">
        <f>name!E$6</f>
        <v>Associate professional occupations</v>
      </c>
      <c r="B895" s="302">
        <v>0.85081395842868535</v>
      </c>
      <c r="C895" s="302">
        <v>1.1931791797018443</v>
      </c>
      <c r="D895" s="302">
        <f t="shared" si="328"/>
        <v>2.0439931381305296</v>
      </c>
      <c r="E895" s="303"/>
      <c r="F895" s="302">
        <v>0.86008283902275362</v>
      </c>
      <c r="G895" s="302">
        <v>1.1522829246521358</v>
      </c>
      <c r="H895" s="302">
        <f t="shared" si="329"/>
        <v>2.0123657636748895</v>
      </c>
      <c r="I895" s="303"/>
      <c r="J895" s="302">
        <v>1.0449556666340569</v>
      </c>
      <c r="K895" s="302">
        <v>0.94725919058032337</v>
      </c>
      <c r="L895" s="302">
        <f t="shared" si="330"/>
        <v>1.9922148572143803</v>
      </c>
      <c r="M895" s="236"/>
      <c r="N895" s="236"/>
    </row>
    <row r="896" spans="1:14" x14ac:dyDescent="0.2">
      <c r="A896" s="237" t="str">
        <f>name!E$7</f>
        <v>Administrative and secretarial occupations</v>
      </c>
      <c r="B896" s="302">
        <v>2.9390833879519622</v>
      </c>
      <c r="C896" s="302">
        <v>1.3012948422689798</v>
      </c>
      <c r="D896" s="302">
        <f t="shared" si="328"/>
        <v>4.2403782302209425</v>
      </c>
      <c r="E896" s="303"/>
      <c r="F896" s="302">
        <v>2.4603309324425662</v>
      </c>
      <c r="G896" s="302">
        <v>1.2337221281036534</v>
      </c>
      <c r="H896" s="302">
        <f t="shared" si="329"/>
        <v>3.6940530605462198</v>
      </c>
      <c r="I896" s="303"/>
      <c r="J896" s="302">
        <v>2.0095307012382713</v>
      </c>
      <c r="K896" s="302">
        <v>1.4068961374662869</v>
      </c>
      <c r="L896" s="302">
        <f t="shared" si="330"/>
        <v>3.4164268387045582</v>
      </c>
      <c r="M896" s="236"/>
      <c r="N896" s="236"/>
    </row>
    <row r="897" spans="1:14" x14ac:dyDescent="0.2">
      <c r="A897" s="237" t="str">
        <f>name!E$8</f>
        <v>Skilled trades occupations</v>
      </c>
      <c r="B897" s="302">
        <v>3.9879807969890907E-2</v>
      </c>
      <c r="C897" s="302">
        <v>0.56648667811148645</v>
      </c>
      <c r="D897" s="302">
        <f t="shared" si="328"/>
        <v>0.60636648608137733</v>
      </c>
      <c r="E897" s="303"/>
      <c r="F897" s="302">
        <v>2.9770404643477973E-2</v>
      </c>
      <c r="G897" s="302">
        <v>0.35621183397139378</v>
      </c>
      <c r="H897" s="302">
        <f t="shared" si="329"/>
        <v>0.38598223861487174</v>
      </c>
      <c r="I897" s="303"/>
      <c r="J897" s="302">
        <v>6.6448249875099716E-2</v>
      </c>
      <c r="K897" s="302">
        <v>0.26245992819698288</v>
      </c>
      <c r="L897" s="302">
        <f t="shared" si="330"/>
        <v>0.32890817807208261</v>
      </c>
      <c r="M897" s="236"/>
      <c r="N897" s="236"/>
    </row>
    <row r="898" spans="1:14" x14ac:dyDescent="0.2">
      <c r="A898" s="237" t="str">
        <f>name!E$9</f>
        <v>Caring, leisure and other service occupations</v>
      </c>
      <c r="B898" s="302">
        <v>2.30521899108116E-2</v>
      </c>
      <c r="C898" s="302">
        <v>4.0983615923649561E-2</v>
      </c>
      <c r="D898" s="302">
        <f t="shared" si="328"/>
        <v>6.4035805834461168E-2</v>
      </c>
      <c r="E898" s="303"/>
      <c r="F898" s="302">
        <v>1.5496538320289034E-2</v>
      </c>
      <c r="G898" s="302">
        <v>4.093650345328375E-2</v>
      </c>
      <c r="H898" s="302">
        <f t="shared" si="329"/>
        <v>5.6433041773572785E-2</v>
      </c>
      <c r="I898" s="303"/>
      <c r="J898" s="302">
        <v>1.6734630738500355E-2</v>
      </c>
      <c r="K898" s="302">
        <v>5.8495386166798856E-2</v>
      </c>
      <c r="L898" s="302">
        <f t="shared" si="330"/>
        <v>7.5230016905299207E-2</v>
      </c>
      <c r="M898" s="236"/>
      <c r="N898" s="236"/>
    </row>
    <row r="899" spans="1:14" x14ac:dyDescent="0.2">
      <c r="A899" s="237" t="str">
        <f>name!E$10</f>
        <v>Sales and customer service occupations</v>
      </c>
      <c r="B899" s="302">
        <v>0.64469658450430778</v>
      </c>
      <c r="C899" s="302">
        <v>0.32850882631232309</v>
      </c>
      <c r="D899" s="302">
        <f t="shared" si="328"/>
        <v>0.97320541081663081</v>
      </c>
      <c r="E899" s="303"/>
      <c r="F899" s="302">
        <v>0.50410137099482766</v>
      </c>
      <c r="G899" s="302">
        <v>0.31059170223899141</v>
      </c>
      <c r="H899" s="302">
        <f t="shared" si="329"/>
        <v>0.81469307323381912</v>
      </c>
      <c r="I899" s="303"/>
      <c r="J899" s="302">
        <v>0.5425916298850908</v>
      </c>
      <c r="K899" s="302">
        <v>0.40474464550143191</v>
      </c>
      <c r="L899" s="302">
        <f t="shared" si="330"/>
        <v>0.94733627538652265</v>
      </c>
      <c r="M899" s="236"/>
      <c r="N899" s="236"/>
    </row>
    <row r="900" spans="1:14" x14ac:dyDescent="0.2">
      <c r="A900" s="237" t="str">
        <f>name!E$11</f>
        <v>Process, plant and machine operatives</v>
      </c>
      <c r="B900" s="302">
        <v>1.7053027253283289E-2</v>
      </c>
      <c r="C900" s="302">
        <v>0.29750423808954518</v>
      </c>
      <c r="D900" s="302">
        <f t="shared" si="328"/>
        <v>0.31455726534282846</v>
      </c>
      <c r="E900" s="303"/>
      <c r="F900" s="302">
        <v>1.0982306849570732E-2</v>
      </c>
      <c r="G900" s="302">
        <v>0.19358225700947584</v>
      </c>
      <c r="H900" s="302">
        <f t="shared" si="329"/>
        <v>0.20456456385904659</v>
      </c>
      <c r="I900" s="303"/>
      <c r="J900" s="302">
        <v>1.4133861737852849E-2</v>
      </c>
      <c r="K900" s="302">
        <v>0.19061475154107191</v>
      </c>
      <c r="L900" s="302">
        <f t="shared" si="330"/>
        <v>0.20474861327892477</v>
      </c>
      <c r="M900" s="236"/>
      <c r="N900" s="236"/>
    </row>
    <row r="901" spans="1:14" x14ac:dyDescent="0.2">
      <c r="A901" s="237" t="str">
        <f>name!E$12</f>
        <v>Elementary occupations</v>
      </c>
      <c r="B901" s="302">
        <v>0.11158569373353819</v>
      </c>
      <c r="C901" s="302">
        <v>0.23985376225713007</v>
      </c>
      <c r="D901" s="302">
        <f t="shared" si="328"/>
        <v>0.35143945599066828</v>
      </c>
      <c r="E901" s="303"/>
      <c r="F901" s="302">
        <v>7.8904108701175049E-2</v>
      </c>
      <c r="G901" s="302">
        <v>0.17179198023678219</v>
      </c>
      <c r="H901" s="302">
        <f t="shared" si="329"/>
        <v>0.25069608893795725</v>
      </c>
      <c r="I901" s="303"/>
      <c r="J901" s="302">
        <v>6.4745449809832892E-2</v>
      </c>
      <c r="K901" s="302">
        <v>0.1506055909999042</v>
      </c>
      <c r="L901" s="302">
        <f t="shared" si="330"/>
        <v>0.2153510408097371</v>
      </c>
      <c r="M901" s="236"/>
      <c r="N901" s="236"/>
    </row>
    <row r="902" spans="1:14" x14ac:dyDescent="0.2">
      <c r="A902" s="237"/>
      <c r="B902" s="302"/>
      <c r="C902" s="302"/>
      <c r="D902" s="302"/>
      <c r="E902" s="303"/>
      <c r="F902" s="302"/>
      <c r="G902" s="302"/>
      <c r="H902" s="302"/>
      <c r="I902" s="303"/>
      <c r="J902" s="302"/>
      <c r="K902" s="302"/>
      <c r="L902" s="302"/>
      <c r="M902" s="236"/>
      <c r="N902" s="236"/>
    </row>
    <row r="903" spans="1:14" x14ac:dyDescent="0.2">
      <c r="A903" s="244" t="s">
        <v>32</v>
      </c>
      <c r="B903" s="311">
        <f>SUM(B893:B901)</f>
        <v>6.1039999999635297</v>
      </c>
      <c r="C903" s="311">
        <f t="shared" ref="C903:D903" si="331">SUM(C893:C901)</f>
        <v>7.4079999998796033</v>
      </c>
      <c r="D903" s="311">
        <f t="shared" si="331"/>
        <v>13.511999999843136</v>
      </c>
      <c r="E903" s="311"/>
      <c r="F903" s="311">
        <f t="shared" ref="F903:H903" si="332">SUM(F893:F901)</f>
        <v>5.7530000000069652</v>
      </c>
      <c r="G903" s="311">
        <f t="shared" si="332"/>
        <v>6.781999999940318</v>
      </c>
      <c r="H903" s="311">
        <f t="shared" si="332"/>
        <v>12.534999999947283</v>
      </c>
      <c r="I903" s="311"/>
      <c r="J903" s="311">
        <f t="shared" ref="J903:L903" si="333">SUM(J893:J901)</f>
        <v>6.1530000000189897</v>
      </c>
      <c r="K903" s="311">
        <f t="shared" si="333"/>
        <v>6.7610000001063852</v>
      </c>
      <c r="L903" s="311">
        <f t="shared" si="333"/>
        <v>12.914000000125375</v>
      </c>
      <c r="M903" s="236"/>
      <c r="N903" s="236"/>
    </row>
    <row r="904" spans="1:14" x14ac:dyDescent="0.2">
      <c r="A904" s="237"/>
      <c r="B904" s="237"/>
      <c r="C904" s="237"/>
      <c r="D904" s="237"/>
      <c r="E904" s="237"/>
      <c r="F904" s="237"/>
      <c r="G904" s="237"/>
      <c r="H904" s="237"/>
      <c r="I904" s="237"/>
      <c r="J904" s="237"/>
      <c r="K904" s="237"/>
      <c r="L904" s="240"/>
      <c r="M904" s="236"/>
      <c r="N904" s="236"/>
    </row>
    <row r="905" spans="1:14" x14ac:dyDescent="0.2">
      <c r="A905" s="237"/>
      <c r="B905" s="237"/>
      <c r="C905" s="237"/>
      <c r="D905" s="237"/>
      <c r="E905" s="237"/>
      <c r="F905" s="237"/>
      <c r="G905" s="237"/>
      <c r="H905" s="237"/>
      <c r="I905" s="237"/>
      <c r="J905" s="237"/>
      <c r="K905" s="237"/>
      <c r="L905" s="256" t="s">
        <v>35</v>
      </c>
      <c r="M905" s="236"/>
      <c r="N905" s="236"/>
    </row>
    <row r="906" spans="1:14" x14ac:dyDescent="0.2">
      <c r="A906" s="242"/>
      <c r="B906" s="250"/>
      <c r="C906" s="250"/>
      <c r="D906" s="250"/>
      <c r="E906" s="250"/>
      <c r="F906" s="250"/>
      <c r="G906" s="250"/>
      <c r="H906" s="250"/>
      <c r="I906" s="250"/>
      <c r="J906" s="250"/>
      <c r="K906" s="250"/>
      <c r="L906" s="236"/>
      <c r="M906" s="236"/>
      <c r="N906" s="236"/>
    </row>
    <row r="907" spans="1:14" x14ac:dyDescent="0.2">
      <c r="A907" s="241" t="str">
        <f>name!A56</f>
        <v>Architectural and related</v>
      </c>
      <c r="B907" s="372">
        <f>B$6</f>
        <v>2015</v>
      </c>
      <c r="C907" s="372"/>
      <c r="D907" s="372"/>
      <c r="E907" s="253"/>
      <c r="F907" s="372">
        <f>F$6</f>
        <v>2020</v>
      </c>
      <c r="G907" s="372"/>
      <c r="H907" s="372"/>
      <c r="I907" s="253"/>
      <c r="J907" s="372">
        <f>J$6</f>
        <v>2035</v>
      </c>
      <c r="K907" s="372"/>
      <c r="L907" s="372"/>
      <c r="M907" s="236"/>
      <c r="N907" s="236"/>
    </row>
    <row r="908" spans="1:14" x14ac:dyDescent="0.2">
      <c r="A908" s="254"/>
      <c r="B908" s="255" t="s">
        <v>352</v>
      </c>
      <c r="C908" s="255" t="s">
        <v>353</v>
      </c>
      <c r="D908" s="255" t="s">
        <v>32</v>
      </c>
      <c r="E908" s="255"/>
      <c r="F908" s="255" t="s">
        <v>352</v>
      </c>
      <c r="G908" s="255" t="s">
        <v>353</v>
      </c>
      <c r="H908" s="255" t="s">
        <v>32</v>
      </c>
      <c r="I908" s="255"/>
      <c r="J908" s="255" t="s">
        <v>352</v>
      </c>
      <c r="K908" s="255" t="s">
        <v>353</v>
      </c>
      <c r="L908" s="255" t="s">
        <v>32</v>
      </c>
      <c r="M908" s="236"/>
      <c r="N908" s="236"/>
    </row>
    <row r="909" spans="1:14" x14ac:dyDescent="0.2">
      <c r="A909" s="258"/>
      <c r="B909" s="259"/>
      <c r="C909" s="259"/>
      <c r="D909" s="259"/>
      <c r="E909" s="259"/>
      <c r="F909" s="259"/>
      <c r="G909" s="259"/>
      <c r="H909" s="259"/>
      <c r="I909" s="259"/>
      <c r="J909" s="259"/>
      <c r="K909" s="259"/>
      <c r="L909" s="259"/>
      <c r="M909" s="236"/>
      <c r="N909" s="236"/>
    </row>
    <row r="910" spans="1:14" x14ac:dyDescent="0.2">
      <c r="A910" s="237" t="str">
        <f>name!E$4</f>
        <v>Managers, directors and senior officials</v>
      </c>
      <c r="B910" s="302">
        <v>0.56644780008484563</v>
      </c>
      <c r="C910" s="302">
        <v>2.7633997524009084</v>
      </c>
      <c r="D910" s="302">
        <f>SUM(B910:C910)</f>
        <v>3.329847552485754</v>
      </c>
      <c r="E910" s="303"/>
      <c r="F910" s="302">
        <v>0.44011324157386605</v>
      </c>
      <c r="G910" s="302">
        <v>2.2674385997719666</v>
      </c>
      <c r="H910" s="302">
        <f>SUM(F910:G910)</f>
        <v>2.7075518413458326</v>
      </c>
      <c r="I910" s="303"/>
      <c r="J910" s="302">
        <v>0.54625235825749308</v>
      </c>
      <c r="K910" s="302">
        <v>2.0599405341691712</v>
      </c>
      <c r="L910" s="302">
        <f>SUM(J910:K910)</f>
        <v>2.6061928924266642</v>
      </c>
      <c r="M910" s="236"/>
      <c r="N910" s="236"/>
    </row>
    <row r="911" spans="1:14" x14ac:dyDescent="0.2">
      <c r="A911" s="237" t="str">
        <f>name!E$5</f>
        <v>Professional occupations</v>
      </c>
      <c r="B911" s="302">
        <v>1.6690758585761158</v>
      </c>
      <c r="C911" s="302">
        <v>9.6342176101222972</v>
      </c>
      <c r="D911" s="302">
        <f t="shared" ref="D911:D918" si="334">SUM(B911:C911)</f>
        <v>11.303293468698413</v>
      </c>
      <c r="E911" s="303"/>
      <c r="F911" s="302">
        <v>1.5886245859581976</v>
      </c>
      <c r="G911" s="302">
        <v>8.2357149140519184</v>
      </c>
      <c r="H911" s="302">
        <f t="shared" ref="H911:H918" si="335">SUM(F911:G911)</f>
        <v>9.8243395000101152</v>
      </c>
      <c r="I911" s="303"/>
      <c r="J911" s="302">
        <v>2.1678604598817333</v>
      </c>
      <c r="K911" s="302">
        <v>7.8354636048619266</v>
      </c>
      <c r="L911" s="302">
        <f t="shared" ref="L911:L918" si="336">SUM(J911:K911)</f>
        <v>10.00332406474366</v>
      </c>
      <c r="M911" s="236"/>
      <c r="N911" s="236"/>
    </row>
    <row r="912" spans="1:14" x14ac:dyDescent="0.2">
      <c r="A912" s="237" t="str">
        <f>name!E$6</f>
        <v>Associate professional occupations</v>
      </c>
      <c r="B912" s="302">
        <v>1.2632527119208081</v>
      </c>
      <c r="C912" s="302">
        <v>4.2237542837188515</v>
      </c>
      <c r="D912" s="302">
        <f t="shared" si="334"/>
        <v>5.4870069956396597</v>
      </c>
      <c r="E912" s="303"/>
      <c r="F912" s="302">
        <v>0.95982027318004315</v>
      </c>
      <c r="G912" s="302">
        <v>3.4995685712506877</v>
      </c>
      <c r="H912" s="302">
        <f t="shared" si="335"/>
        <v>4.4593888444307304</v>
      </c>
      <c r="I912" s="303"/>
      <c r="J912" s="302">
        <v>1.1415761716560366</v>
      </c>
      <c r="K912" s="302">
        <v>2.7488148946458906</v>
      </c>
      <c r="L912" s="302">
        <f t="shared" si="336"/>
        <v>3.8903910663019272</v>
      </c>
      <c r="M912" s="236"/>
      <c r="N912" s="236"/>
    </row>
    <row r="913" spans="1:14" x14ac:dyDescent="0.2">
      <c r="A913" s="237" t="str">
        <f>name!E$7</f>
        <v>Administrative and secretarial occupations</v>
      </c>
      <c r="B913" s="302">
        <v>4.1823377262452235</v>
      </c>
      <c r="C913" s="302">
        <v>4.2336437680003849</v>
      </c>
      <c r="D913" s="302">
        <f t="shared" si="334"/>
        <v>8.4159814942456084</v>
      </c>
      <c r="E913" s="303"/>
      <c r="F913" s="302">
        <v>2.4481674480784275</v>
      </c>
      <c r="G913" s="302">
        <v>3.2286999606682008</v>
      </c>
      <c r="H913" s="302">
        <f t="shared" si="335"/>
        <v>5.6768674087466282</v>
      </c>
      <c r="I913" s="303"/>
      <c r="J913" s="302">
        <v>1.8339624284719611</v>
      </c>
      <c r="K913" s="302">
        <v>3.642001030826481</v>
      </c>
      <c r="L913" s="302">
        <f t="shared" si="336"/>
        <v>5.4759634592984421</v>
      </c>
      <c r="M913" s="236"/>
      <c r="N913" s="236"/>
    </row>
    <row r="914" spans="1:14" x14ac:dyDescent="0.2">
      <c r="A914" s="237" t="str">
        <f>name!E$8</f>
        <v>Skilled trades occupations</v>
      </c>
      <c r="B914" s="302">
        <v>5.277981067607037E-2</v>
      </c>
      <c r="C914" s="302">
        <v>1.9686888255922155</v>
      </c>
      <c r="D914" s="302">
        <f t="shared" si="334"/>
        <v>2.0214686362682857</v>
      </c>
      <c r="E914" s="303"/>
      <c r="F914" s="302">
        <v>3.1023220429326842E-2</v>
      </c>
      <c r="G914" s="302">
        <v>1.106525424109007</v>
      </c>
      <c r="H914" s="302">
        <f t="shared" si="335"/>
        <v>1.1375486445383338</v>
      </c>
      <c r="I914" s="303"/>
      <c r="J914" s="302">
        <v>7.0440675469311029E-2</v>
      </c>
      <c r="K914" s="302">
        <v>0.77831701194334069</v>
      </c>
      <c r="L914" s="302">
        <f t="shared" si="336"/>
        <v>0.84875768741265167</v>
      </c>
      <c r="M914" s="236"/>
      <c r="N914" s="236"/>
    </row>
    <row r="915" spans="1:14" x14ac:dyDescent="0.2">
      <c r="A915" s="237" t="str">
        <f>name!E$9</f>
        <v>Caring, leisure and other service occupations</v>
      </c>
      <c r="B915" s="302">
        <v>3.2838242505976174E-2</v>
      </c>
      <c r="C915" s="302">
        <v>0.15292379274526771</v>
      </c>
      <c r="D915" s="302">
        <f t="shared" si="334"/>
        <v>0.18576203525124388</v>
      </c>
      <c r="E915" s="303"/>
      <c r="F915" s="302">
        <v>1.7242115044954324E-2</v>
      </c>
      <c r="G915" s="302">
        <v>0.14430023134935546</v>
      </c>
      <c r="H915" s="302">
        <f t="shared" si="335"/>
        <v>0.16154234639430978</v>
      </c>
      <c r="I915" s="303"/>
      <c r="J915" s="302">
        <v>1.8871747092231543E-2</v>
      </c>
      <c r="K915" s="302">
        <v>0.2078317238152671</v>
      </c>
      <c r="L915" s="302">
        <f t="shared" si="336"/>
        <v>0.22670347090749865</v>
      </c>
      <c r="M915" s="236"/>
      <c r="N915" s="236"/>
    </row>
    <row r="916" spans="1:14" x14ac:dyDescent="0.2">
      <c r="A916" s="237" t="str">
        <f>name!E$10</f>
        <v>Sales and customer service occupations</v>
      </c>
      <c r="B916" s="302">
        <v>0.8914958722039662</v>
      </c>
      <c r="C916" s="302">
        <v>0.95469136993984438</v>
      </c>
      <c r="D916" s="302">
        <f t="shared" si="334"/>
        <v>1.8461872421438106</v>
      </c>
      <c r="E916" s="303"/>
      <c r="F916" s="302">
        <v>0.4803170141325071</v>
      </c>
      <c r="G916" s="302">
        <v>0.69236845005547099</v>
      </c>
      <c r="H916" s="302">
        <f t="shared" si="335"/>
        <v>1.172685464187978</v>
      </c>
      <c r="I916" s="303"/>
      <c r="J916" s="302">
        <v>0.49018959656687128</v>
      </c>
      <c r="K916" s="302">
        <v>0.81761667486282219</v>
      </c>
      <c r="L916" s="302">
        <f t="shared" si="336"/>
        <v>1.3078062714296934</v>
      </c>
      <c r="M916" s="236"/>
      <c r="N916" s="236"/>
    </row>
    <row r="917" spans="1:14" x14ac:dyDescent="0.2">
      <c r="A917" s="237" t="str">
        <f>name!E$11</f>
        <v>Process, plant and machine operatives</v>
      </c>
      <c r="B917" s="302">
        <v>2.2932049047521788E-2</v>
      </c>
      <c r="C917" s="302">
        <v>1.0076516574894325</v>
      </c>
      <c r="D917" s="302">
        <f t="shared" si="334"/>
        <v>1.0305837065369543</v>
      </c>
      <c r="E917" s="303"/>
      <c r="F917" s="302">
        <v>1.0311715417385925E-2</v>
      </c>
      <c r="G917" s="302">
        <v>0.55085716888315395</v>
      </c>
      <c r="H917" s="302">
        <f t="shared" si="335"/>
        <v>0.56116888430053991</v>
      </c>
      <c r="I917" s="303"/>
      <c r="J917" s="302">
        <v>1.3519066687477278E-2</v>
      </c>
      <c r="K917" s="302">
        <v>0.50619511278112417</v>
      </c>
      <c r="L917" s="302">
        <f t="shared" si="336"/>
        <v>0.51971417946860143</v>
      </c>
      <c r="M917" s="236"/>
      <c r="N917" s="236"/>
    </row>
    <row r="918" spans="1:14" x14ac:dyDescent="0.2">
      <c r="A918" s="237" t="str">
        <f>name!E$12</f>
        <v>Elementary occupations</v>
      </c>
      <c r="B918" s="302">
        <v>0.15983992866826793</v>
      </c>
      <c r="C918" s="302">
        <v>0.76702893956587537</v>
      </c>
      <c r="D918" s="302">
        <f t="shared" si="334"/>
        <v>0.92686886823414327</v>
      </c>
      <c r="E918" s="303"/>
      <c r="F918" s="302">
        <v>8.3380386183657978E-2</v>
      </c>
      <c r="G918" s="302">
        <v>0.45452667968654531</v>
      </c>
      <c r="H918" s="302">
        <f t="shared" si="335"/>
        <v>0.53790706587020332</v>
      </c>
      <c r="I918" s="303"/>
      <c r="J918" s="302">
        <v>7.0327495934292134E-2</v>
      </c>
      <c r="K918" s="302">
        <v>0.3718194124449386</v>
      </c>
      <c r="L918" s="302">
        <f t="shared" si="336"/>
        <v>0.44214690837923076</v>
      </c>
      <c r="M918" s="236"/>
      <c r="N918" s="236"/>
    </row>
    <row r="919" spans="1:14" x14ac:dyDescent="0.2">
      <c r="A919" s="237"/>
      <c r="B919" s="302"/>
      <c r="C919" s="302"/>
      <c r="D919" s="302"/>
      <c r="E919" s="303"/>
      <c r="F919" s="302"/>
      <c r="G919" s="302"/>
      <c r="H919" s="302"/>
      <c r="I919" s="303"/>
      <c r="J919" s="302"/>
      <c r="K919" s="302"/>
      <c r="L919" s="302"/>
      <c r="M919" s="236"/>
      <c r="N919" s="236"/>
    </row>
    <row r="920" spans="1:14" x14ac:dyDescent="0.2">
      <c r="A920" s="244" t="s">
        <v>32</v>
      </c>
      <c r="B920" s="311">
        <f>SUM(B910:B918)</f>
        <v>8.8409999999287958</v>
      </c>
      <c r="C920" s="311">
        <f t="shared" ref="C920:D920" si="337">SUM(C910:C918)</f>
        <v>25.705999999575077</v>
      </c>
      <c r="D920" s="311">
        <f t="shared" si="337"/>
        <v>34.546999999503868</v>
      </c>
      <c r="E920" s="311"/>
      <c r="F920" s="311">
        <f t="shared" ref="F920:H920" si="338">SUM(F910:F918)</f>
        <v>6.0589999999983659</v>
      </c>
      <c r="G920" s="311">
        <f t="shared" si="338"/>
        <v>20.179999999826311</v>
      </c>
      <c r="H920" s="311">
        <f t="shared" si="338"/>
        <v>26.238999999824671</v>
      </c>
      <c r="I920" s="311"/>
      <c r="J920" s="311">
        <f t="shared" ref="J920:L920" si="339">SUM(J910:J918)</f>
        <v>6.3530000000174081</v>
      </c>
      <c r="K920" s="311">
        <f t="shared" si="339"/>
        <v>18.968000000350962</v>
      </c>
      <c r="L920" s="311">
        <f t="shared" si="339"/>
        <v>25.321000000368368</v>
      </c>
      <c r="M920" s="236"/>
      <c r="N920" s="236"/>
    </row>
    <row r="921" spans="1:14" x14ac:dyDescent="0.2">
      <c r="A921" s="237"/>
      <c r="B921" s="237"/>
      <c r="C921" s="237"/>
      <c r="D921" s="237"/>
      <c r="E921" s="237"/>
      <c r="F921" s="237"/>
      <c r="G921" s="237"/>
      <c r="H921" s="237"/>
      <c r="I921" s="237"/>
      <c r="J921" s="237"/>
      <c r="K921" s="237"/>
      <c r="L921" s="240"/>
      <c r="M921" s="236"/>
      <c r="N921" s="236"/>
    </row>
    <row r="922" spans="1:14" x14ac:dyDescent="0.2">
      <c r="A922" s="237"/>
      <c r="B922" s="237"/>
      <c r="C922" s="237"/>
      <c r="D922" s="237"/>
      <c r="E922" s="237"/>
      <c r="F922" s="237"/>
      <c r="G922" s="237"/>
      <c r="H922" s="237"/>
      <c r="I922" s="237"/>
      <c r="J922" s="237"/>
      <c r="K922" s="237"/>
      <c r="L922" s="256" t="s">
        <v>35</v>
      </c>
      <c r="M922" s="236"/>
      <c r="N922" s="236"/>
    </row>
    <row r="923" spans="1:14" x14ac:dyDescent="0.2">
      <c r="A923" s="242"/>
      <c r="B923" s="250"/>
      <c r="C923" s="250"/>
      <c r="D923" s="250"/>
      <c r="E923" s="250"/>
      <c r="F923" s="250"/>
      <c r="G923" s="250"/>
      <c r="H923" s="250"/>
      <c r="I923" s="250"/>
      <c r="J923" s="250"/>
      <c r="K923" s="250"/>
      <c r="L923" s="236"/>
      <c r="M923" s="236"/>
      <c r="N923" s="236"/>
    </row>
    <row r="924" spans="1:14" x14ac:dyDescent="0.2">
      <c r="A924" s="241" t="str">
        <f>name!A57</f>
        <v>Scientific research and development</v>
      </c>
      <c r="B924" s="372">
        <f>B$6</f>
        <v>2015</v>
      </c>
      <c r="C924" s="372"/>
      <c r="D924" s="372"/>
      <c r="E924" s="253"/>
      <c r="F924" s="372">
        <f>F$6</f>
        <v>2020</v>
      </c>
      <c r="G924" s="372"/>
      <c r="H924" s="372"/>
      <c r="I924" s="253"/>
      <c r="J924" s="372">
        <f>J$6</f>
        <v>2035</v>
      </c>
      <c r="K924" s="372"/>
      <c r="L924" s="372"/>
      <c r="M924" s="236"/>
      <c r="N924" s="236"/>
    </row>
    <row r="925" spans="1:14" x14ac:dyDescent="0.2">
      <c r="A925" s="254"/>
      <c r="B925" s="255" t="s">
        <v>352</v>
      </c>
      <c r="C925" s="255" t="s">
        <v>353</v>
      </c>
      <c r="D925" s="255" t="s">
        <v>32</v>
      </c>
      <c r="E925" s="255"/>
      <c r="F925" s="255" t="s">
        <v>352</v>
      </c>
      <c r="G925" s="255" t="s">
        <v>353</v>
      </c>
      <c r="H925" s="255" t="s">
        <v>32</v>
      </c>
      <c r="I925" s="255"/>
      <c r="J925" s="255" t="s">
        <v>352</v>
      </c>
      <c r="K925" s="255" t="s">
        <v>353</v>
      </c>
      <c r="L925" s="255" t="s">
        <v>32</v>
      </c>
      <c r="M925" s="236"/>
      <c r="N925" s="236"/>
    </row>
    <row r="926" spans="1:14" x14ac:dyDescent="0.2">
      <c r="A926" s="258"/>
      <c r="B926" s="259"/>
      <c r="C926" s="259"/>
      <c r="D926" s="259"/>
      <c r="E926" s="259"/>
      <c r="F926" s="259"/>
      <c r="G926" s="259"/>
      <c r="H926" s="259"/>
      <c r="I926" s="259"/>
      <c r="J926" s="259"/>
      <c r="K926" s="259"/>
      <c r="L926" s="259"/>
      <c r="M926" s="236"/>
      <c r="N926" s="236"/>
    </row>
    <row r="927" spans="1:14" x14ac:dyDescent="0.2">
      <c r="A927" s="237" t="str">
        <f>name!E$4</f>
        <v>Managers, directors and senior officials</v>
      </c>
      <c r="B927" s="302">
        <v>0.1139707726706348</v>
      </c>
      <c r="C927" s="302">
        <v>0.40444752846117388</v>
      </c>
      <c r="D927" s="302">
        <f>SUM(B927:C927)</f>
        <v>0.51841830113180865</v>
      </c>
      <c r="E927" s="303"/>
      <c r="F927" s="302">
        <v>5.1041214582644101E-2</v>
      </c>
      <c r="G927" s="302">
        <v>0.21181671249232734</v>
      </c>
      <c r="H927" s="302">
        <f>SUM(F927:G927)</f>
        <v>0.26285792707497146</v>
      </c>
      <c r="I927" s="303"/>
      <c r="J927" s="302">
        <v>7.5084820672654581E-2</v>
      </c>
      <c r="K927" s="302">
        <v>0.31950149045383058</v>
      </c>
      <c r="L927" s="302">
        <f>SUM(J927:K927)</f>
        <v>0.39458631112648518</v>
      </c>
      <c r="M927" s="236"/>
      <c r="N927" s="236"/>
    </row>
    <row r="928" spans="1:14" x14ac:dyDescent="0.2">
      <c r="A928" s="237" t="str">
        <f>name!E$5</f>
        <v>Professional occupations</v>
      </c>
      <c r="B928" s="302">
        <v>0.54960572689211395</v>
      </c>
      <c r="C928" s="302">
        <v>2.3991052288331618</v>
      </c>
      <c r="D928" s="302">
        <f t="shared" ref="D928:D935" si="340">SUM(B928:C928)</f>
        <v>2.948710955725276</v>
      </c>
      <c r="E928" s="303"/>
      <c r="F928" s="302">
        <v>0.26682000595530214</v>
      </c>
      <c r="G928" s="302">
        <v>1.2359345504900805</v>
      </c>
      <c r="H928" s="302">
        <f t="shared" ref="H928:H935" si="341">SUM(F928:G928)</f>
        <v>1.5027545564453826</v>
      </c>
      <c r="I928" s="303"/>
      <c r="J928" s="302">
        <v>0.4395376596984707</v>
      </c>
      <c r="K928" s="302">
        <v>1.6243876352257451</v>
      </c>
      <c r="L928" s="302">
        <f t="shared" ref="L928:L935" si="342">SUM(J928:K928)</f>
        <v>2.0639252949242159</v>
      </c>
      <c r="M928" s="236"/>
      <c r="N928" s="236"/>
    </row>
    <row r="929" spans="1:14" x14ac:dyDescent="0.2">
      <c r="A929" s="237" t="str">
        <f>name!E$6</f>
        <v>Associate professional occupations</v>
      </c>
      <c r="B929" s="302">
        <v>0.22446915918348698</v>
      </c>
      <c r="C929" s="302">
        <v>0.59443409659024571</v>
      </c>
      <c r="D929" s="302">
        <f t="shared" si="340"/>
        <v>0.81890325577373269</v>
      </c>
      <c r="E929" s="303"/>
      <c r="F929" s="302">
        <v>0.10170740927519228</v>
      </c>
      <c r="G929" s="302">
        <v>0.29113982344209882</v>
      </c>
      <c r="H929" s="302">
        <f t="shared" si="341"/>
        <v>0.39284723271729111</v>
      </c>
      <c r="I929" s="303"/>
      <c r="J929" s="302">
        <v>0.15910108271421755</v>
      </c>
      <c r="K929" s="302">
        <v>0.3646806931870698</v>
      </c>
      <c r="L929" s="302">
        <f t="shared" si="342"/>
        <v>0.52378177590128738</v>
      </c>
      <c r="M929" s="236"/>
      <c r="N929" s="236"/>
    </row>
    <row r="930" spans="1:14" x14ac:dyDescent="0.2">
      <c r="A930" s="237" t="str">
        <f>name!E$7</f>
        <v>Administrative and secretarial occupations</v>
      </c>
      <c r="B930" s="302">
        <v>0.42960232609283866</v>
      </c>
      <c r="C930" s="302">
        <v>0.36699247397626944</v>
      </c>
      <c r="D930" s="302">
        <f t="shared" si="340"/>
        <v>0.7965948000691081</v>
      </c>
      <c r="E930" s="303"/>
      <c r="F930" s="302">
        <v>0.15669993081523231</v>
      </c>
      <c r="G930" s="302">
        <v>0.1611756171164509</v>
      </c>
      <c r="H930" s="302">
        <f t="shared" si="341"/>
        <v>0.31787554793168321</v>
      </c>
      <c r="I930" s="303"/>
      <c r="J930" s="302">
        <v>0.14436965801830159</v>
      </c>
      <c r="K930" s="302">
        <v>0.29667238441741312</v>
      </c>
      <c r="L930" s="302">
        <f t="shared" si="342"/>
        <v>0.44104204243571471</v>
      </c>
      <c r="M930" s="236"/>
      <c r="N930" s="236"/>
    </row>
    <row r="931" spans="1:14" x14ac:dyDescent="0.2">
      <c r="A931" s="237" t="str">
        <f>name!E$8</f>
        <v>Skilled trades occupations</v>
      </c>
      <c r="B931" s="302">
        <v>2.6955000939433395E-2</v>
      </c>
      <c r="C931" s="302">
        <v>0.438475096286294</v>
      </c>
      <c r="D931" s="302">
        <f t="shared" si="340"/>
        <v>0.46543009722572737</v>
      </c>
      <c r="E931" s="303"/>
      <c r="F931" s="302">
        <v>8.1948008350203969E-3</v>
      </c>
      <c r="G931" s="302">
        <v>0.16551035001580755</v>
      </c>
      <c r="H931" s="302">
        <f t="shared" si="341"/>
        <v>0.17370515085082794</v>
      </c>
      <c r="I931" s="303"/>
      <c r="J931" s="302">
        <v>1.6368207053676875E-2</v>
      </c>
      <c r="K931" s="302">
        <v>0.22109914380893436</v>
      </c>
      <c r="L931" s="302">
        <f t="shared" si="342"/>
        <v>0.23746735086261123</v>
      </c>
      <c r="M931" s="236"/>
      <c r="N931" s="236"/>
    </row>
    <row r="932" spans="1:14" x14ac:dyDescent="0.2">
      <c r="A932" s="237" t="str">
        <f>name!E$9</f>
        <v>Caring, leisure and other service occupations</v>
      </c>
      <c r="B932" s="302">
        <v>0.11044668394983359</v>
      </c>
      <c r="C932" s="302">
        <v>0.12329093954113332</v>
      </c>
      <c r="D932" s="302">
        <f t="shared" si="340"/>
        <v>0.23373762349096691</v>
      </c>
      <c r="E932" s="303"/>
      <c r="F932" s="302">
        <v>3.4853852273716394E-2</v>
      </c>
      <c r="G932" s="302">
        <v>5.584419697925927E-2</v>
      </c>
      <c r="H932" s="302">
        <f t="shared" si="341"/>
        <v>9.0698049252975671E-2</v>
      </c>
      <c r="I932" s="303"/>
      <c r="J932" s="302">
        <v>6.6240678292858193E-2</v>
      </c>
      <c r="K932" s="302">
        <v>9.5823417001972278E-2</v>
      </c>
      <c r="L932" s="302">
        <f t="shared" si="342"/>
        <v>0.16206409529483046</v>
      </c>
      <c r="M932" s="236"/>
      <c r="N932" s="236"/>
    </row>
    <row r="933" spans="1:14" x14ac:dyDescent="0.2">
      <c r="A933" s="237" t="str">
        <f>name!E$10</f>
        <v>Sales and customer service occupations</v>
      </c>
      <c r="B933" s="302">
        <v>9.2573717637790209E-2</v>
      </c>
      <c r="C933" s="302">
        <v>0.18293815703725763</v>
      </c>
      <c r="D933" s="302">
        <f t="shared" si="340"/>
        <v>0.27551187467504784</v>
      </c>
      <c r="E933" s="303"/>
      <c r="F933" s="302">
        <v>2.7016318109777754E-2</v>
      </c>
      <c r="G933" s="302">
        <v>7.7052991842977717E-2</v>
      </c>
      <c r="H933" s="302">
        <f t="shared" si="341"/>
        <v>0.10406930995275547</v>
      </c>
      <c r="I933" s="303"/>
      <c r="J933" s="302">
        <v>4.1285336223825041E-2</v>
      </c>
      <c r="K933" s="302">
        <v>0.14285607904019393</v>
      </c>
      <c r="L933" s="302">
        <f t="shared" si="342"/>
        <v>0.18414141526401898</v>
      </c>
      <c r="M933" s="236"/>
      <c r="N933" s="236"/>
    </row>
    <row r="934" spans="1:14" x14ac:dyDescent="0.2">
      <c r="A934" s="237" t="str">
        <f>name!E$11</f>
        <v>Process, plant and machine operatives</v>
      </c>
      <c r="B934" s="302">
        <v>1.4461786831678597E-2</v>
      </c>
      <c r="C934" s="302">
        <v>0.22330974838982201</v>
      </c>
      <c r="D934" s="302">
        <f t="shared" si="340"/>
        <v>0.2377715352215006</v>
      </c>
      <c r="E934" s="303"/>
      <c r="F934" s="302">
        <v>4.5069805740524625E-3</v>
      </c>
      <c r="G934" s="302">
        <v>9.3944561121750036E-2</v>
      </c>
      <c r="H934" s="302">
        <f t="shared" si="341"/>
        <v>9.8451541695802502E-2</v>
      </c>
      <c r="I934" s="303"/>
      <c r="J934" s="302">
        <v>5.9509366990934207E-3</v>
      </c>
      <c r="K934" s="302">
        <v>0.14992697368058719</v>
      </c>
      <c r="L934" s="302">
        <f t="shared" si="342"/>
        <v>0.1558779103796806</v>
      </c>
      <c r="M934" s="236"/>
      <c r="N934" s="236"/>
    </row>
    <row r="935" spans="1:14" x14ac:dyDescent="0.2">
      <c r="A935" s="237" t="str">
        <f>name!E$12</f>
        <v>Elementary occupations</v>
      </c>
      <c r="B935" s="302">
        <v>0.13491482579716063</v>
      </c>
      <c r="C935" s="302">
        <v>0.21500673083867719</v>
      </c>
      <c r="D935" s="302">
        <f t="shared" si="340"/>
        <v>0.34992155663583779</v>
      </c>
      <c r="E935" s="303"/>
      <c r="F935" s="302">
        <v>2.1159487586104447E-2</v>
      </c>
      <c r="G935" s="302">
        <v>8.5581196494513817E-2</v>
      </c>
      <c r="H935" s="302">
        <f t="shared" si="341"/>
        <v>0.10674068408061826</v>
      </c>
      <c r="I935" s="303"/>
      <c r="J935" s="302">
        <v>3.4061620635113886E-2</v>
      </c>
      <c r="K935" s="302">
        <v>0.12705218327577047</v>
      </c>
      <c r="L935" s="302">
        <f t="shared" si="342"/>
        <v>0.16111380391088437</v>
      </c>
      <c r="M935" s="236"/>
      <c r="N935" s="236"/>
    </row>
    <row r="936" spans="1:14" x14ac:dyDescent="0.2">
      <c r="A936" s="237"/>
      <c r="B936" s="302"/>
      <c r="C936" s="302"/>
      <c r="D936" s="302"/>
      <c r="E936" s="303"/>
      <c r="F936" s="302"/>
      <c r="G936" s="302"/>
      <c r="H936" s="302"/>
      <c r="I936" s="303"/>
      <c r="J936" s="302"/>
      <c r="K936" s="302"/>
      <c r="L936" s="302"/>
      <c r="M936" s="236"/>
      <c r="N936" s="236"/>
    </row>
    <row r="937" spans="1:14" x14ac:dyDescent="0.2">
      <c r="A937" s="244" t="s">
        <v>32</v>
      </c>
      <c r="B937" s="311">
        <f>SUM(B927:B935)</f>
        <v>1.696999999994971</v>
      </c>
      <c r="C937" s="311">
        <f t="shared" ref="C937:D937" si="343">SUM(C927:C935)</f>
        <v>4.9479999999540354</v>
      </c>
      <c r="D937" s="311">
        <f t="shared" si="343"/>
        <v>6.6449999999490057</v>
      </c>
      <c r="E937" s="311"/>
      <c r="F937" s="311">
        <f t="shared" ref="F937:H937" si="344">SUM(F927:F935)</f>
        <v>0.6720000000070423</v>
      </c>
      <c r="G937" s="311">
        <f t="shared" si="344"/>
        <v>2.3779999999952657</v>
      </c>
      <c r="H937" s="311">
        <f t="shared" si="344"/>
        <v>3.0500000000023073</v>
      </c>
      <c r="I937" s="311"/>
      <c r="J937" s="311">
        <f t="shared" ref="J937:L937" si="345">SUM(J927:J935)</f>
        <v>0.98200000000821175</v>
      </c>
      <c r="K937" s="311">
        <f t="shared" si="345"/>
        <v>3.3420000000915167</v>
      </c>
      <c r="L937" s="311">
        <f t="shared" si="345"/>
        <v>4.3240000000997281</v>
      </c>
      <c r="M937" s="236"/>
      <c r="N937" s="236"/>
    </row>
    <row r="938" spans="1:14" x14ac:dyDescent="0.2">
      <c r="A938" s="237"/>
      <c r="B938" s="237"/>
      <c r="C938" s="237"/>
      <c r="D938" s="237"/>
      <c r="E938" s="237"/>
      <c r="F938" s="237"/>
      <c r="G938" s="237"/>
      <c r="H938" s="237"/>
      <c r="I938" s="237"/>
      <c r="J938" s="237"/>
      <c r="K938" s="237"/>
      <c r="L938" s="240"/>
      <c r="M938" s="236"/>
      <c r="N938" s="236"/>
    </row>
    <row r="939" spans="1:14" x14ac:dyDescent="0.2">
      <c r="A939" s="237"/>
      <c r="B939" s="237"/>
      <c r="C939" s="237"/>
      <c r="D939" s="237"/>
      <c r="E939" s="237"/>
      <c r="F939" s="237"/>
      <c r="G939" s="237"/>
      <c r="H939" s="237"/>
      <c r="I939" s="237"/>
      <c r="J939" s="237"/>
      <c r="K939" s="237"/>
      <c r="L939" s="256" t="s">
        <v>35</v>
      </c>
      <c r="M939" s="236"/>
      <c r="N939" s="236"/>
    </row>
    <row r="940" spans="1:14" x14ac:dyDescent="0.2">
      <c r="A940" s="242"/>
      <c r="B940" s="250"/>
      <c r="C940" s="250"/>
      <c r="D940" s="250"/>
      <c r="E940" s="250"/>
      <c r="F940" s="250"/>
      <c r="G940" s="250"/>
      <c r="H940" s="250"/>
      <c r="I940" s="250"/>
      <c r="J940" s="250"/>
      <c r="K940" s="250"/>
      <c r="L940" s="236"/>
      <c r="M940" s="236"/>
      <c r="N940" s="236"/>
    </row>
    <row r="941" spans="1:14" x14ac:dyDescent="0.2">
      <c r="A941" s="241" t="str">
        <f>name!A58</f>
        <v>Advertising, etc</v>
      </c>
      <c r="B941" s="372">
        <f>B$6</f>
        <v>2015</v>
      </c>
      <c r="C941" s="372"/>
      <c r="D941" s="372"/>
      <c r="E941" s="253"/>
      <c r="F941" s="372">
        <f>F$6</f>
        <v>2020</v>
      </c>
      <c r="G941" s="372"/>
      <c r="H941" s="372"/>
      <c r="I941" s="253"/>
      <c r="J941" s="372">
        <f>J$6</f>
        <v>2035</v>
      </c>
      <c r="K941" s="372"/>
      <c r="L941" s="372"/>
      <c r="M941" s="236"/>
      <c r="N941" s="236"/>
    </row>
    <row r="942" spans="1:14" x14ac:dyDescent="0.2">
      <c r="A942" s="254"/>
      <c r="B942" s="255" t="s">
        <v>352</v>
      </c>
      <c r="C942" s="255" t="s">
        <v>353</v>
      </c>
      <c r="D942" s="255" t="s">
        <v>32</v>
      </c>
      <c r="E942" s="255"/>
      <c r="F942" s="255" t="s">
        <v>352</v>
      </c>
      <c r="G942" s="255" t="s">
        <v>353</v>
      </c>
      <c r="H942" s="255" t="s">
        <v>32</v>
      </c>
      <c r="I942" s="255"/>
      <c r="J942" s="255" t="s">
        <v>352</v>
      </c>
      <c r="K942" s="255" t="s">
        <v>353</v>
      </c>
      <c r="L942" s="255" t="s">
        <v>32</v>
      </c>
      <c r="M942" s="236"/>
      <c r="N942" s="236"/>
    </row>
    <row r="943" spans="1:14" x14ac:dyDescent="0.2">
      <c r="A943" s="258"/>
      <c r="B943" s="259"/>
      <c r="C943" s="259"/>
      <c r="D943" s="259"/>
      <c r="E943" s="259"/>
      <c r="F943" s="259"/>
      <c r="G943" s="259"/>
      <c r="H943" s="259"/>
      <c r="I943" s="259"/>
      <c r="J943" s="259"/>
      <c r="K943" s="259"/>
      <c r="L943" s="259"/>
      <c r="M943" s="236"/>
      <c r="N943" s="236"/>
    </row>
    <row r="944" spans="1:14" x14ac:dyDescent="0.2">
      <c r="A944" s="237" t="str">
        <f>name!E$4</f>
        <v>Managers, directors and senior officials</v>
      </c>
      <c r="B944" s="302">
        <v>0.1527316845130417</v>
      </c>
      <c r="C944" s="302">
        <v>0.15301153017326316</v>
      </c>
      <c r="D944" s="302">
        <f>SUM(B944:C944)</f>
        <v>0.30574321468630483</v>
      </c>
      <c r="E944" s="303"/>
      <c r="F944" s="302">
        <v>0.11502850839357244</v>
      </c>
      <c r="G944" s="302">
        <v>0.17584753948867143</v>
      </c>
      <c r="H944" s="302">
        <f>SUM(F944:G944)</f>
        <v>0.29087604788224386</v>
      </c>
      <c r="I944" s="303"/>
      <c r="J944" s="302">
        <v>0.18382104301404795</v>
      </c>
      <c r="K944" s="302">
        <v>0.26119637905846604</v>
      </c>
      <c r="L944" s="302">
        <f>SUM(J944:K944)</f>
        <v>0.44501742207251399</v>
      </c>
      <c r="M944" s="236"/>
      <c r="N944" s="236"/>
    </row>
    <row r="945" spans="1:14" x14ac:dyDescent="0.2">
      <c r="A945" s="237" t="str">
        <f>name!E$5</f>
        <v>Professional occupations</v>
      </c>
      <c r="B945" s="302">
        <v>0.36632547489414186</v>
      </c>
      <c r="C945" s="302">
        <v>0.43608741222574438</v>
      </c>
      <c r="D945" s="302">
        <f t="shared" ref="D945:D952" si="346">SUM(B945:C945)</f>
        <v>0.80241288711988623</v>
      </c>
      <c r="E945" s="303"/>
      <c r="F945" s="302">
        <v>0.32148347044121844</v>
      </c>
      <c r="G945" s="302">
        <v>0.54699535992822623</v>
      </c>
      <c r="H945" s="302">
        <f t="shared" ref="H945:H952" si="347">SUM(F945:G945)</f>
        <v>0.86847883036944462</v>
      </c>
      <c r="I945" s="303"/>
      <c r="J945" s="302">
        <v>0.57765693612300173</v>
      </c>
      <c r="K945" s="302">
        <v>0.72828984470188984</v>
      </c>
      <c r="L945" s="302">
        <f t="shared" ref="L945:L952" si="348">SUM(J945:K945)</f>
        <v>1.3059467808248915</v>
      </c>
      <c r="M945" s="236"/>
      <c r="N945" s="236"/>
    </row>
    <row r="946" spans="1:14" x14ac:dyDescent="0.2">
      <c r="A946" s="237" t="str">
        <f>name!E$6</f>
        <v>Associate professional occupations</v>
      </c>
      <c r="B946" s="302">
        <v>0.30820376114748049</v>
      </c>
      <c r="C946" s="302">
        <v>0.21022547809900305</v>
      </c>
      <c r="D946" s="302">
        <f t="shared" si="346"/>
        <v>0.51842923924648354</v>
      </c>
      <c r="E946" s="303"/>
      <c r="F946" s="302">
        <v>0.21086880230345087</v>
      </c>
      <c r="G946" s="302">
        <v>0.24255037203713772</v>
      </c>
      <c r="H946" s="302">
        <f t="shared" si="347"/>
        <v>0.45341917434058859</v>
      </c>
      <c r="I946" s="303"/>
      <c r="J946" s="302">
        <v>0.35359488261690547</v>
      </c>
      <c r="K946" s="302">
        <v>0.29034239988436089</v>
      </c>
      <c r="L946" s="302">
        <f t="shared" si="348"/>
        <v>0.64393728250126636</v>
      </c>
      <c r="M946" s="236"/>
      <c r="N946" s="236"/>
    </row>
    <row r="947" spans="1:14" x14ac:dyDescent="0.2">
      <c r="A947" s="237" t="str">
        <f>name!E$7</f>
        <v>Administrative and secretarial occupations</v>
      </c>
      <c r="B947" s="302">
        <v>0.99280930261595923</v>
      </c>
      <c r="C947" s="302">
        <v>0.23211211138162988</v>
      </c>
      <c r="D947" s="302">
        <f t="shared" si="346"/>
        <v>1.224921413997589</v>
      </c>
      <c r="E947" s="303"/>
      <c r="F947" s="302">
        <v>0.56538622512192571</v>
      </c>
      <c r="G947" s="302">
        <v>0.21050593596212491</v>
      </c>
      <c r="H947" s="302">
        <f t="shared" si="347"/>
        <v>0.77589216108405057</v>
      </c>
      <c r="I947" s="303"/>
      <c r="J947" s="302">
        <v>0.62339458376617285</v>
      </c>
      <c r="K947" s="302">
        <v>0.36150115912608688</v>
      </c>
      <c r="L947" s="302">
        <f t="shared" si="348"/>
        <v>0.98489574289225978</v>
      </c>
      <c r="M947" s="236"/>
      <c r="N947" s="236"/>
    </row>
    <row r="948" spans="1:14" x14ac:dyDescent="0.2">
      <c r="A948" s="237" t="str">
        <f>name!E$8</f>
        <v>Skilled trades occupations</v>
      </c>
      <c r="B948" s="302">
        <v>2.1569212257551498E-2</v>
      </c>
      <c r="C948" s="302">
        <v>0.1058662694200041</v>
      </c>
      <c r="D948" s="302">
        <f t="shared" si="346"/>
        <v>0.12743548167755558</v>
      </c>
      <c r="E948" s="303"/>
      <c r="F948" s="302">
        <v>1.1069296700125275E-2</v>
      </c>
      <c r="G948" s="302">
        <v>8.0533755291728612E-2</v>
      </c>
      <c r="H948" s="302">
        <f t="shared" si="347"/>
        <v>9.1603051991853882E-2</v>
      </c>
      <c r="I948" s="303"/>
      <c r="J948" s="302">
        <v>3.4312259543998309E-2</v>
      </c>
      <c r="K948" s="302">
        <v>9.7974066980921606E-2</v>
      </c>
      <c r="L948" s="302">
        <f t="shared" si="348"/>
        <v>0.13228632652491992</v>
      </c>
      <c r="M948" s="236"/>
      <c r="N948" s="236"/>
    </row>
    <row r="949" spans="1:14" x14ac:dyDescent="0.2">
      <c r="A949" s="237" t="str">
        <f>name!E$9</f>
        <v>Caring, leisure and other service occupations</v>
      </c>
      <c r="B949" s="302">
        <v>1.1305378398790518E-2</v>
      </c>
      <c r="C949" s="302">
        <v>1.4267719807646278E-2</v>
      </c>
      <c r="D949" s="302">
        <f t="shared" si="346"/>
        <v>2.5573098206436794E-2</v>
      </c>
      <c r="E949" s="303"/>
      <c r="F949" s="302">
        <v>5.716115455024001E-3</v>
      </c>
      <c r="G949" s="302">
        <v>1.5397866407221603E-2</v>
      </c>
      <c r="H949" s="302">
        <f t="shared" si="347"/>
        <v>2.1113981862245605E-2</v>
      </c>
      <c r="I949" s="303"/>
      <c r="J949" s="302">
        <v>1.1093866304154494E-2</v>
      </c>
      <c r="K949" s="302">
        <v>3.83418373043133E-2</v>
      </c>
      <c r="L949" s="302">
        <f t="shared" si="348"/>
        <v>4.9435703608467794E-2</v>
      </c>
      <c r="M949" s="236"/>
      <c r="N949" s="236"/>
    </row>
    <row r="950" spans="1:14" x14ac:dyDescent="0.2">
      <c r="A950" s="237" t="str">
        <f>name!E$10</f>
        <v>Sales and customer service occupations</v>
      </c>
      <c r="B950" s="302">
        <v>0.23525712569681514</v>
      </c>
      <c r="C950" s="302">
        <v>7.5258652740989015E-2</v>
      </c>
      <c r="D950" s="302">
        <f t="shared" si="346"/>
        <v>0.31051577843780415</v>
      </c>
      <c r="E950" s="303"/>
      <c r="F950" s="302">
        <v>0.11584923130867557</v>
      </c>
      <c r="G950" s="302">
        <v>5.0327646135561392E-2</v>
      </c>
      <c r="H950" s="302">
        <f t="shared" si="347"/>
        <v>0.16617687744423695</v>
      </c>
      <c r="I950" s="303"/>
      <c r="J950" s="302">
        <v>0.16044699250949648</v>
      </c>
      <c r="K950" s="302">
        <v>8.6868362969406837E-2</v>
      </c>
      <c r="L950" s="302">
        <f t="shared" si="348"/>
        <v>0.24731535547890332</v>
      </c>
      <c r="M950" s="236"/>
      <c r="N950" s="236"/>
    </row>
    <row r="951" spans="1:14" x14ac:dyDescent="0.2">
      <c r="A951" s="237" t="str">
        <f>name!E$11</f>
        <v>Process, plant and machine operatives</v>
      </c>
      <c r="B951" s="302">
        <v>7.8272879667491066E-3</v>
      </c>
      <c r="C951" s="302">
        <v>4.821446278176577E-2</v>
      </c>
      <c r="D951" s="302">
        <f t="shared" si="346"/>
        <v>5.6041750748514876E-2</v>
      </c>
      <c r="E951" s="303"/>
      <c r="F951" s="302">
        <v>3.517477566114393E-3</v>
      </c>
      <c r="G951" s="302">
        <v>3.7118542579446683E-2</v>
      </c>
      <c r="H951" s="302">
        <f t="shared" si="347"/>
        <v>4.0636020145561072E-2</v>
      </c>
      <c r="I951" s="303"/>
      <c r="J951" s="302">
        <v>6.6623836628896295E-3</v>
      </c>
      <c r="K951" s="302">
        <v>5.3969933399497357E-2</v>
      </c>
      <c r="L951" s="302">
        <f t="shared" si="348"/>
        <v>6.0632317062386989E-2</v>
      </c>
      <c r="M951" s="236"/>
      <c r="N951" s="236"/>
    </row>
    <row r="952" spans="1:14" x14ac:dyDescent="0.2">
      <c r="A952" s="237" t="str">
        <f>name!E$12</f>
        <v>Elementary occupations</v>
      </c>
      <c r="B952" s="302">
        <v>4.1970772507855011E-2</v>
      </c>
      <c r="C952" s="302">
        <v>4.1956363357725776E-2</v>
      </c>
      <c r="D952" s="302">
        <f t="shared" si="346"/>
        <v>8.3927135865580788E-2</v>
      </c>
      <c r="E952" s="303"/>
      <c r="F952" s="302">
        <v>1.9080872710670597E-2</v>
      </c>
      <c r="G952" s="302">
        <v>2.9722982162503499E-2</v>
      </c>
      <c r="H952" s="302">
        <f t="shared" si="347"/>
        <v>4.8803854873174096E-2</v>
      </c>
      <c r="I952" s="303"/>
      <c r="J952" s="302">
        <v>2.6017052465856918E-2</v>
      </c>
      <c r="K952" s="302">
        <v>3.8516016619240118E-2</v>
      </c>
      <c r="L952" s="302">
        <f t="shared" si="348"/>
        <v>6.4533069085097039E-2</v>
      </c>
      <c r="M952" s="236"/>
      <c r="N952" s="236"/>
    </row>
    <row r="953" spans="1:14" x14ac:dyDescent="0.2">
      <c r="A953" s="237"/>
      <c r="B953" s="302"/>
      <c r="C953" s="302"/>
      <c r="D953" s="302"/>
      <c r="E953" s="303"/>
      <c r="F953" s="302"/>
      <c r="G953" s="302"/>
      <c r="H953" s="302"/>
      <c r="I953" s="303"/>
      <c r="J953" s="302"/>
      <c r="K953" s="302"/>
      <c r="L953" s="302"/>
      <c r="M953" s="236"/>
      <c r="N953" s="236"/>
    </row>
    <row r="954" spans="1:14" x14ac:dyDescent="0.2">
      <c r="A954" s="244" t="s">
        <v>32</v>
      </c>
      <c r="B954" s="311">
        <f>SUM(B944:B952)</f>
        <v>2.1379999999983843</v>
      </c>
      <c r="C954" s="311">
        <f t="shared" ref="C954:D954" si="349">SUM(C944:C952)</f>
        <v>1.3169999999877713</v>
      </c>
      <c r="D954" s="311">
        <f t="shared" si="349"/>
        <v>3.454999999986156</v>
      </c>
      <c r="E954" s="311"/>
      <c r="F954" s="311">
        <f t="shared" ref="F954:H954" si="350">SUM(F944:F952)</f>
        <v>1.3680000000007775</v>
      </c>
      <c r="G954" s="311">
        <f t="shared" si="350"/>
        <v>1.3889999999926221</v>
      </c>
      <c r="H954" s="311">
        <f t="shared" si="350"/>
        <v>2.7569999999933992</v>
      </c>
      <c r="I954" s="311"/>
      <c r="J954" s="311">
        <f t="shared" ref="J954:L954" si="351">SUM(J944:J952)</f>
        <v>1.9770000000065238</v>
      </c>
      <c r="K954" s="311">
        <f t="shared" si="351"/>
        <v>1.9570000000441832</v>
      </c>
      <c r="L954" s="311">
        <f t="shared" si="351"/>
        <v>3.9340000000507072</v>
      </c>
      <c r="M954" s="236"/>
      <c r="N954" s="236"/>
    </row>
    <row r="955" spans="1:14" x14ac:dyDescent="0.2">
      <c r="A955" s="237"/>
      <c r="B955" s="237"/>
      <c r="C955" s="237"/>
      <c r="D955" s="237"/>
      <c r="E955" s="237"/>
      <c r="F955" s="237"/>
      <c r="G955" s="237"/>
      <c r="H955" s="237"/>
      <c r="I955" s="237"/>
      <c r="J955" s="237"/>
      <c r="K955" s="237"/>
      <c r="L955" s="240"/>
      <c r="M955" s="236"/>
      <c r="N955" s="236"/>
    </row>
    <row r="956" spans="1:14" x14ac:dyDescent="0.2">
      <c r="A956" s="237"/>
      <c r="B956" s="237"/>
      <c r="C956" s="237"/>
      <c r="D956" s="237"/>
      <c r="E956" s="237"/>
      <c r="F956" s="237"/>
      <c r="G956" s="237"/>
      <c r="H956" s="237"/>
      <c r="I956" s="237"/>
      <c r="J956" s="237"/>
      <c r="K956" s="237"/>
      <c r="L956" s="256" t="s">
        <v>35</v>
      </c>
      <c r="M956" s="236"/>
      <c r="N956" s="236"/>
    </row>
    <row r="957" spans="1:14" x14ac:dyDescent="0.2">
      <c r="A957" s="242"/>
      <c r="B957" s="250"/>
      <c r="C957" s="250"/>
      <c r="D957" s="250"/>
      <c r="E957" s="250"/>
      <c r="F957" s="250"/>
      <c r="G957" s="250"/>
      <c r="H957" s="250"/>
      <c r="I957" s="250"/>
      <c r="J957" s="250"/>
      <c r="K957" s="250"/>
      <c r="L957" s="236"/>
      <c r="M957" s="236"/>
      <c r="N957" s="236"/>
    </row>
    <row r="958" spans="1:14" x14ac:dyDescent="0.2">
      <c r="A958" s="241" t="str">
        <f>name!A59</f>
        <v>Other professional</v>
      </c>
      <c r="B958" s="372">
        <f>B$6</f>
        <v>2015</v>
      </c>
      <c r="C958" s="372"/>
      <c r="D958" s="372"/>
      <c r="E958" s="253"/>
      <c r="F958" s="372">
        <f>F$6</f>
        <v>2020</v>
      </c>
      <c r="G958" s="372"/>
      <c r="H958" s="372"/>
      <c r="I958" s="253"/>
      <c r="J958" s="372">
        <f>J$6</f>
        <v>2035</v>
      </c>
      <c r="K958" s="372"/>
      <c r="L958" s="372"/>
      <c r="M958" s="236"/>
      <c r="N958" s="236"/>
    </row>
    <row r="959" spans="1:14" x14ac:dyDescent="0.2">
      <c r="A959" s="254"/>
      <c r="B959" s="255" t="s">
        <v>352</v>
      </c>
      <c r="C959" s="255" t="s">
        <v>353</v>
      </c>
      <c r="D959" s="255" t="s">
        <v>32</v>
      </c>
      <c r="E959" s="255"/>
      <c r="F959" s="255" t="s">
        <v>352</v>
      </c>
      <c r="G959" s="255" t="s">
        <v>353</v>
      </c>
      <c r="H959" s="255" t="s">
        <v>32</v>
      </c>
      <c r="I959" s="255"/>
      <c r="J959" s="255" t="s">
        <v>352</v>
      </c>
      <c r="K959" s="255" t="s">
        <v>353</v>
      </c>
      <c r="L959" s="255" t="s">
        <v>32</v>
      </c>
      <c r="M959" s="236"/>
      <c r="N959" s="236"/>
    </row>
    <row r="960" spans="1:14" x14ac:dyDescent="0.2">
      <c r="A960" s="258"/>
      <c r="B960" s="259"/>
      <c r="C960" s="259"/>
      <c r="D960" s="259"/>
      <c r="E960" s="259"/>
      <c r="F960" s="259"/>
      <c r="G960" s="259"/>
      <c r="H960" s="259"/>
      <c r="I960" s="259"/>
      <c r="J960" s="259"/>
      <c r="K960" s="259"/>
      <c r="L960" s="259"/>
      <c r="M960" s="236"/>
      <c r="N960" s="236"/>
    </row>
    <row r="961" spans="1:14" x14ac:dyDescent="0.2">
      <c r="A961" s="237" t="str">
        <f>name!E$4</f>
        <v>Managers, directors and senior officials</v>
      </c>
      <c r="B961" s="302">
        <v>0.13086974003540888</v>
      </c>
      <c r="C961" s="302">
        <v>0.2227700431517636</v>
      </c>
      <c r="D961" s="302">
        <f>SUM(B961:C961)</f>
        <v>0.35363978318717249</v>
      </c>
      <c r="E961" s="303"/>
      <c r="F961" s="302">
        <v>0.17110259976481923</v>
      </c>
      <c r="G961" s="302">
        <v>0.29216186030130997</v>
      </c>
      <c r="H961" s="302">
        <f>SUM(F961:G961)</f>
        <v>0.4632644600661292</v>
      </c>
      <c r="I961" s="303"/>
      <c r="J961" s="302">
        <v>0.28359057070567767</v>
      </c>
      <c r="K961" s="302">
        <v>0.43771439072609009</v>
      </c>
      <c r="L961" s="302">
        <f>SUM(J961:K961)</f>
        <v>0.7213049614317677</v>
      </c>
      <c r="M961" s="236"/>
      <c r="N961" s="236"/>
    </row>
    <row r="962" spans="1:14" x14ac:dyDescent="0.2">
      <c r="A962" s="237" t="str">
        <f>name!E$5</f>
        <v>Professional occupations</v>
      </c>
      <c r="B962" s="302">
        <v>0.31668675378499783</v>
      </c>
      <c r="C962" s="302">
        <v>0.48515529944732039</v>
      </c>
      <c r="D962" s="302">
        <f t="shared" ref="D962:D969" si="352">SUM(B962:C962)</f>
        <v>0.80184205323231827</v>
      </c>
      <c r="E962" s="303"/>
      <c r="F962" s="302">
        <v>0.50304722864266349</v>
      </c>
      <c r="G962" s="302">
        <v>0.62595987866640368</v>
      </c>
      <c r="H962" s="302">
        <f t="shared" ref="H962:H969" si="353">SUM(F962:G962)</f>
        <v>1.1290071073090671</v>
      </c>
      <c r="I962" s="303"/>
      <c r="J962" s="302">
        <v>0.97631554740894078</v>
      </c>
      <c r="K962" s="302">
        <v>0.71636970402562905</v>
      </c>
      <c r="L962" s="302">
        <f t="shared" ref="L962:L969" si="354">SUM(J962:K962)</f>
        <v>1.6926852514345698</v>
      </c>
      <c r="M962" s="236"/>
      <c r="N962" s="236"/>
    </row>
    <row r="963" spans="1:14" x14ac:dyDescent="0.2">
      <c r="A963" s="237" t="str">
        <f>name!E$6</f>
        <v>Associate professional occupations</v>
      </c>
      <c r="B963" s="302">
        <v>0.2921749091626677</v>
      </c>
      <c r="C963" s="302">
        <v>0.33454258469394255</v>
      </c>
      <c r="D963" s="302">
        <f t="shared" si="352"/>
        <v>0.62671749385661024</v>
      </c>
      <c r="E963" s="303"/>
      <c r="F963" s="302">
        <v>0.38022542987842611</v>
      </c>
      <c r="G963" s="302">
        <v>0.43574308158671704</v>
      </c>
      <c r="H963" s="302">
        <f t="shared" si="353"/>
        <v>0.81596851146514315</v>
      </c>
      <c r="I963" s="303"/>
      <c r="J963" s="302">
        <v>0.62852364197384603</v>
      </c>
      <c r="K963" s="302">
        <v>0.51142279909030008</v>
      </c>
      <c r="L963" s="302">
        <f t="shared" si="354"/>
        <v>1.1399464410641462</v>
      </c>
      <c r="M963" s="236"/>
      <c r="N963" s="236"/>
    </row>
    <row r="964" spans="1:14" x14ac:dyDescent="0.2">
      <c r="A964" s="237" t="str">
        <f>name!E$7</f>
        <v>Administrative and secretarial occupations</v>
      </c>
      <c r="B964" s="302">
        <v>0.73951635504014379</v>
      </c>
      <c r="C964" s="302">
        <v>0.26757131706179832</v>
      </c>
      <c r="D964" s="302">
        <f t="shared" si="352"/>
        <v>1.0070876721019422</v>
      </c>
      <c r="E964" s="303"/>
      <c r="F964" s="302">
        <v>0.91688616700139525</v>
      </c>
      <c r="G964" s="302">
        <v>0.30676069964042108</v>
      </c>
      <c r="H964" s="302">
        <f t="shared" si="353"/>
        <v>1.2236468666418163</v>
      </c>
      <c r="I964" s="303"/>
      <c r="J964" s="302">
        <v>1.0197611098980099</v>
      </c>
      <c r="K964" s="302">
        <v>0.51243536042946114</v>
      </c>
      <c r="L964" s="302">
        <f t="shared" si="354"/>
        <v>1.5321964703274711</v>
      </c>
      <c r="M964" s="236"/>
      <c r="N964" s="236"/>
    </row>
    <row r="965" spans="1:14" x14ac:dyDescent="0.2">
      <c r="A965" s="237" t="str">
        <f>name!E$8</f>
        <v>Skilled trades occupations</v>
      </c>
      <c r="B965" s="302">
        <v>1.7374737768960473E-2</v>
      </c>
      <c r="C965" s="302">
        <v>0.21127883336078201</v>
      </c>
      <c r="D965" s="302">
        <f t="shared" si="352"/>
        <v>0.22865357112974249</v>
      </c>
      <c r="E965" s="303"/>
      <c r="F965" s="302">
        <v>1.8512696140110672E-2</v>
      </c>
      <c r="G965" s="302">
        <v>0.2093483847350788</v>
      </c>
      <c r="H965" s="302">
        <f t="shared" si="353"/>
        <v>0.22786108087518947</v>
      </c>
      <c r="I965" s="303"/>
      <c r="J965" s="302">
        <v>4.7965291923171317E-2</v>
      </c>
      <c r="K965" s="302">
        <v>0.27242911702093453</v>
      </c>
      <c r="L965" s="302">
        <f t="shared" si="354"/>
        <v>0.32039440894410587</v>
      </c>
      <c r="M965" s="236"/>
      <c r="N965" s="236"/>
    </row>
    <row r="966" spans="1:14" x14ac:dyDescent="0.2">
      <c r="A966" s="237" t="str">
        <f>name!E$9</f>
        <v>Caring, leisure and other service occupations</v>
      </c>
      <c r="B966" s="302">
        <v>9.718723231884302E-2</v>
      </c>
      <c r="C966" s="302">
        <v>6.5576910594475846E-2</v>
      </c>
      <c r="D966" s="302">
        <f t="shared" si="352"/>
        <v>0.16276414291331887</v>
      </c>
      <c r="E966" s="303"/>
      <c r="F966" s="302">
        <v>0.11512645982893809</v>
      </c>
      <c r="G966" s="302">
        <v>9.5695231834279276E-2</v>
      </c>
      <c r="H966" s="302">
        <f t="shared" si="353"/>
        <v>0.21082169166321735</v>
      </c>
      <c r="I966" s="303"/>
      <c r="J966" s="302">
        <v>0.14533642215407622</v>
      </c>
      <c r="K966" s="302">
        <v>0.18886589328303871</v>
      </c>
      <c r="L966" s="302">
        <f t="shared" si="354"/>
        <v>0.33420231543711493</v>
      </c>
      <c r="M966" s="236"/>
      <c r="N966" s="236"/>
    </row>
    <row r="967" spans="1:14" x14ac:dyDescent="0.2">
      <c r="A967" s="237" t="str">
        <f>name!E$10</f>
        <v>Sales and customer service occupations</v>
      </c>
      <c r="B967" s="302">
        <v>0.19368557146477408</v>
      </c>
      <c r="C967" s="302">
        <v>0.1450371139293351</v>
      </c>
      <c r="D967" s="302">
        <f t="shared" si="352"/>
        <v>0.33872268539410921</v>
      </c>
      <c r="E967" s="303"/>
      <c r="F967" s="302">
        <v>0.24263064033802109</v>
      </c>
      <c r="G967" s="302">
        <v>0.1574479896866183</v>
      </c>
      <c r="H967" s="302">
        <f t="shared" si="353"/>
        <v>0.40007863002463939</v>
      </c>
      <c r="I967" s="303"/>
      <c r="J967" s="302">
        <v>0.37954623616454186</v>
      </c>
      <c r="K967" s="302">
        <v>0.27676155057101937</v>
      </c>
      <c r="L967" s="302">
        <f t="shared" si="354"/>
        <v>0.65630778673556123</v>
      </c>
      <c r="M967" s="236"/>
      <c r="N967" s="236"/>
    </row>
    <row r="968" spans="1:14" x14ac:dyDescent="0.2">
      <c r="A968" s="237" t="str">
        <f>name!E$11</f>
        <v>Process, plant and machine operatives</v>
      </c>
      <c r="B968" s="302">
        <v>1.664105794235532E-2</v>
      </c>
      <c r="C968" s="302">
        <v>0.11843260397091046</v>
      </c>
      <c r="D968" s="302">
        <f t="shared" si="352"/>
        <v>0.13507366191326578</v>
      </c>
      <c r="E968" s="303"/>
      <c r="F968" s="302">
        <v>1.5423766386359387E-2</v>
      </c>
      <c r="G968" s="302">
        <v>0.11795223227722874</v>
      </c>
      <c r="H968" s="302">
        <f t="shared" si="353"/>
        <v>0.13337599866358812</v>
      </c>
      <c r="I968" s="303"/>
      <c r="J968" s="302">
        <v>2.9661086992397907E-2</v>
      </c>
      <c r="K968" s="302">
        <v>0.16577020904535003</v>
      </c>
      <c r="L968" s="302">
        <f t="shared" si="354"/>
        <v>0.19543129603774795</v>
      </c>
      <c r="M968" s="236"/>
      <c r="N968" s="236"/>
    </row>
    <row r="969" spans="1:14" x14ac:dyDescent="0.2">
      <c r="A969" s="237" t="str">
        <f>name!E$12</f>
        <v>Elementary occupations</v>
      </c>
      <c r="B969" s="302">
        <v>0.28286364246865175</v>
      </c>
      <c r="C969" s="302">
        <v>0.65363529378003948</v>
      </c>
      <c r="D969" s="302">
        <f t="shared" si="352"/>
        <v>0.93649893624869129</v>
      </c>
      <c r="E969" s="303"/>
      <c r="F969" s="302">
        <v>0.29604501201120154</v>
      </c>
      <c r="G969" s="302">
        <v>0.71493064126869621</v>
      </c>
      <c r="H969" s="302">
        <f t="shared" si="353"/>
        <v>1.0109756532798977</v>
      </c>
      <c r="I969" s="303"/>
      <c r="J969" s="302">
        <v>0.30030009278683623</v>
      </c>
      <c r="K969" s="302">
        <v>1.0872309758550511</v>
      </c>
      <c r="L969" s="302">
        <f t="shared" si="354"/>
        <v>1.3875310686418874</v>
      </c>
      <c r="M969" s="236"/>
      <c r="N969" s="236"/>
    </row>
    <row r="970" spans="1:14" x14ac:dyDescent="0.2">
      <c r="A970" s="237"/>
      <c r="B970" s="302"/>
      <c r="C970" s="302"/>
      <c r="D970" s="302"/>
      <c r="E970" s="303"/>
      <c r="F970" s="302"/>
      <c r="G970" s="302"/>
      <c r="H970" s="302"/>
      <c r="I970" s="303"/>
      <c r="J970" s="302"/>
      <c r="K970" s="302"/>
      <c r="L970" s="302"/>
      <c r="M970" s="236"/>
      <c r="N970" s="236"/>
    </row>
    <row r="971" spans="1:14" x14ac:dyDescent="0.2">
      <c r="A971" s="244" t="s">
        <v>32</v>
      </c>
      <c r="B971" s="311">
        <f>SUM(B961:B969)</f>
        <v>2.0869999999868027</v>
      </c>
      <c r="C971" s="311">
        <f t="shared" ref="C971:D971" si="355">SUM(C961:C969)</f>
        <v>2.5039999999903682</v>
      </c>
      <c r="D971" s="311">
        <f t="shared" si="355"/>
        <v>4.5909999999771713</v>
      </c>
      <c r="E971" s="311"/>
      <c r="F971" s="311">
        <f t="shared" ref="F971:H971" si="356">SUM(F961:F969)</f>
        <v>2.6589999999919351</v>
      </c>
      <c r="G971" s="311">
        <f t="shared" si="356"/>
        <v>2.9559999999967532</v>
      </c>
      <c r="H971" s="311">
        <f t="shared" si="356"/>
        <v>5.6149999999886884</v>
      </c>
      <c r="I971" s="311"/>
      <c r="J971" s="311">
        <f t="shared" ref="J971:L971" si="357">SUM(J961:J969)</f>
        <v>3.8110000000074979</v>
      </c>
      <c r="K971" s="311">
        <f t="shared" si="357"/>
        <v>4.1690000000468741</v>
      </c>
      <c r="L971" s="311">
        <f t="shared" si="357"/>
        <v>7.9800000000543729</v>
      </c>
      <c r="M971" s="236"/>
      <c r="N971" s="236"/>
    </row>
    <row r="972" spans="1:14" x14ac:dyDescent="0.2">
      <c r="A972" s="237"/>
      <c r="B972" s="237"/>
      <c r="C972" s="237"/>
      <c r="D972" s="237"/>
      <c r="E972" s="237"/>
      <c r="F972" s="237"/>
      <c r="G972" s="237"/>
      <c r="H972" s="237"/>
      <c r="I972" s="237"/>
      <c r="J972" s="237"/>
      <c r="K972" s="237"/>
      <c r="L972" s="240"/>
      <c r="M972" s="236"/>
      <c r="N972" s="236"/>
    </row>
    <row r="973" spans="1:14" x14ac:dyDescent="0.2">
      <c r="A973" s="237"/>
      <c r="B973" s="237"/>
      <c r="C973" s="237"/>
      <c r="D973" s="237"/>
      <c r="E973" s="237"/>
      <c r="F973" s="237"/>
      <c r="G973" s="237"/>
      <c r="H973" s="237"/>
      <c r="I973" s="237"/>
      <c r="J973" s="237"/>
      <c r="K973" s="237"/>
      <c r="L973" s="256" t="s">
        <v>35</v>
      </c>
      <c r="M973" s="236"/>
      <c r="N973" s="236"/>
    </row>
    <row r="974" spans="1:14" x14ac:dyDescent="0.2">
      <c r="A974" s="242"/>
      <c r="B974" s="250"/>
      <c r="C974" s="250"/>
      <c r="D974" s="250"/>
      <c r="E974" s="250"/>
      <c r="F974" s="250"/>
      <c r="G974" s="250"/>
      <c r="H974" s="250"/>
      <c r="I974" s="250"/>
      <c r="J974" s="250"/>
      <c r="K974" s="250"/>
      <c r="L974" s="236"/>
      <c r="M974" s="236"/>
      <c r="N974" s="236"/>
    </row>
    <row r="975" spans="1:14" x14ac:dyDescent="0.2">
      <c r="A975" s="241" t="str">
        <f>name!A60</f>
        <v>Veterinary</v>
      </c>
      <c r="B975" s="372">
        <f>B$6</f>
        <v>2015</v>
      </c>
      <c r="C975" s="372"/>
      <c r="D975" s="372"/>
      <c r="E975" s="253"/>
      <c r="F975" s="372">
        <f>F$6</f>
        <v>2020</v>
      </c>
      <c r="G975" s="372"/>
      <c r="H975" s="372"/>
      <c r="I975" s="253"/>
      <c r="J975" s="372">
        <f>J$6</f>
        <v>2035</v>
      </c>
      <c r="K975" s="372"/>
      <c r="L975" s="372"/>
      <c r="M975" s="236"/>
      <c r="N975" s="236"/>
    </row>
    <row r="976" spans="1:14" x14ac:dyDescent="0.2">
      <c r="A976" s="254"/>
      <c r="B976" s="255" t="s">
        <v>352</v>
      </c>
      <c r="C976" s="255" t="s">
        <v>353</v>
      </c>
      <c r="D976" s="255" t="s">
        <v>32</v>
      </c>
      <c r="E976" s="255"/>
      <c r="F976" s="255" t="s">
        <v>352</v>
      </c>
      <c r="G976" s="255" t="s">
        <v>353</v>
      </c>
      <c r="H976" s="255" t="s">
        <v>32</v>
      </c>
      <c r="I976" s="255"/>
      <c r="J976" s="255" t="s">
        <v>352</v>
      </c>
      <c r="K976" s="255" t="s">
        <v>353</v>
      </c>
      <c r="L976" s="255" t="s">
        <v>32</v>
      </c>
      <c r="M976" s="236"/>
      <c r="N976" s="236"/>
    </row>
    <row r="977" spans="1:14" x14ac:dyDescent="0.2">
      <c r="A977" s="258"/>
      <c r="B977" s="259"/>
      <c r="C977" s="259"/>
      <c r="D977" s="259"/>
      <c r="E977" s="259"/>
      <c r="F977" s="259"/>
      <c r="G977" s="259"/>
      <c r="H977" s="259"/>
      <c r="I977" s="259"/>
      <c r="J977" s="259"/>
      <c r="K977" s="259"/>
      <c r="L977" s="259"/>
      <c r="M977" s="236"/>
      <c r="N977" s="236"/>
    </row>
    <row r="978" spans="1:14" x14ac:dyDescent="0.2">
      <c r="A978" s="237" t="str">
        <f>name!E$4</f>
        <v>Managers, directors and senior officials</v>
      </c>
      <c r="B978" s="302">
        <v>5.2231966857226968E-2</v>
      </c>
      <c r="C978" s="302">
        <v>4.7527994793899242E-2</v>
      </c>
      <c r="D978" s="302">
        <f>SUM(B978:C978)</f>
        <v>9.9759961651126217E-2</v>
      </c>
      <c r="E978" s="303"/>
      <c r="F978" s="302">
        <v>4.1427388861485774E-2</v>
      </c>
      <c r="G978" s="302">
        <v>5.6348935293070876E-2</v>
      </c>
      <c r="H978" s="302">
        <f>SUM(F978:G978)</f>
        <v>9.7776324154556643E-2</v>
      </c>
      <c r="I978" s="303"/>
      <c r="J978" s="302">
        <v>6.3343059050841713E-2</v>
      </c>
      <c r="K978" s="302">
        <v>7.241813897705085E-2</v>
      </c>
      <c r="L978" s="302">
        <f>SUM(J978:K978)</f>
        <v>0.13576119802789255</v>
      </c>
      <c r="M978" s="236"/>
      <c r="N978" s="236"/>
    </row>
    <row r="979" spans="1:14" x14ac:dyDescent="0.2">
      <c r="A979" s="237" t="str">
        <f>name!E$5</f>
        <v>Professional occupations</v>
      </c>
      <c r="B979" s="302">
        <v>0.37114373945320212</v>
      </c>
      <c r="C979" s="302">
        <v>0.30059143257451237</v>
      </c>
      <c r="D979" s="302">
        <f t="shared" ref="D979:D986" si="358">SUM(B979:C979)</f>
        <v>0.67173517202771449</v>
      </c>
      <c r="E979" s="303"/>
      <c r="F979" s="302">
        <v>0.36394592572655587</v>
      </c>
      <c r="G979" s="302">
        <v>0.3989282982306695</v>
      </c>
      <c r="H979" s="302">
        <f t="shared" ref="H979:H986" si="359">SUM(F979:G979)</f>
        <v>0.76287422395722537</v>
      </c>
      <c r="I979" s="303"/>
      <c r="J979" s="302">
        <v>0.57870090740437119</v>
      </c>
      <c r="K979" s="302">
        <v>0.57196751935119783</v>
      </c>
      <c r="L979" s="302">
        <f t="shared" ref="L979:L986" si="360">SUM(J979:K979)</f>
        <v>1.1506684267555691</v>
      </c>
      <c r="M979" s="236"/>
      <c r="N979" s="236"/>
    </row>
    <row r="980" spans="1:14" x14ac:dyDescent="0.2">
      <c r="A980" s="237" t="str">
        <f>name!E$6</f>
        <v>Associate professional occupations</v>
      </c>
      <c r="B980" s="302">
        <v>0.1453546362541317</v>
      </c>
      <c r="C980" s="302">
        <v>0.12241898187200055</v>
      </c>
      <c r="D980" s="302">
        <f t="shared" si="358"/>
        <v>0.26777361812613226</v>
      </c>
      <c r="E980" s="303"/>
      <c r="F980" s="302">
        <v>0.13047863017401698</v>
      </c>
      <c r="G980" s="302">
        <v>0.13682772582203828</v>
      </c>
      <c r="H980" s="302">
        <f t="shared" si="359"/>
        <v>0.26730635599605523</v>
      </c>
      <c r="I980" s="303"/>
      <c r="J980" s="302">
        <v>0.19192196248329046</v>
      </c>
      <c r="K980" s="302">
        <v>0.17832914387637333</v>
      </c>
      <c r="L980" s="302">
        <f t="shared" si="360"/>
        <v>0.3702511063596638</v>
      </c>
      <c r="M980" s="236"/>
      <c r="N980" s="236"/>
    </row>
    <row r="981" spans="1:14" x14ac:dyDescent="0.2">
      <c r="A981" s="237" t="str">
        <f>name!E$7</f>
        <v>Administrative and secretarial occupations</v>
      </c>
      <c r="B981" s="302">
        <v>9.6087565160771646E-2</v>
      </c>
      <c r="C981" s="302">
        <v>2.5320538528943927E-2</v>
      </c>
      <c r="D981" s="302">
        <f t="shared" si="358"/>
        <v>0.12140810368971558</v>
      </c>
      <c r="E981" s="303"/>
      <c r="F981" s="302">
        <v>8.1514810267814472E-2</v>
      </c>
      <c r="G981" s="302">
        <v>2.4246723051237658E-2</v>
      </c>
      <c r="H981" s="302">
        <f t="shared" si="359"/>
        <v>0.10576153331905214</v>
      </c>
      <c r="I981" s="303"/>
      <c r="J981" s="302">
        <v>4.6130863681683155E-2</v>
      </c>
      <c r="K981" s="302">
        <v>2.4719376330470014E-2</v>
      </c>
      <c r="L981" s="302">
        <f t="shared" si="360"/>
        <v>7.0850240012153176E-2</v>
      </c>
      <c r="M981" s="236"/>
      <c r="N981" s="236"/>
    </row>
    <row r="982" spans="1:14" x14ac:dyDescent="0.2">
      <c r="A982" s="237" t="str">
        <f>name!E$8</f>
        <v>Skilled trades occupations</v>
      </c>
      <c r="B982" s="302">
        <v>1.5511029319800505E-2</v>
      </c>
      <c r="C982" s="302">
        <v>2.0647487528559452E-2</v>
      </c>
      <c r="D982" s="302">
        <f t="shared" si="358"/>
        <v>3.6158516848359953E-2</v>
      </c>
      <c r="E982" s="303"/>
      <c r="F982" s="302">
        <v>9.7008324945801021E-3</v>
      </c>
      <c r="G982" s="302">
        <v>1.6283681695892629E-2</v>
      </c>
      <c r="H982" s="302">
        <f t="shared" si="359"/>
        <v>2.5984514190472732E-2</v>
      </c>
      <c r="I982" s="303"/>
      <c r="J982" s="302">
        <v>7.1819821748068747E-3</v>
      </c>
      <c r="K982" s="302">
        <v>1.4941627787240752E-2</v>
      </c>
      <c r="L982" s="302">
        <f t="shared" si="360"/>
        <v>2.2123609962047628E-2</v>
      </c>
      <c r="M982" s="236"/>
      <c r="N982" s="236"/>
    </row>
    <row r="983" spans="1:14" x14ac:dyDescent="0.2">
      <c r="A983" s="237" t="str">
        <f>name!E$9</f>
        <v>Caring, leisure and other service occupations</v>
      </c>
      <c r="B983" s="302">
        <v>0.41073905417152112</v>
      </c>
      <c r="C983" s="302">
        <v>0.11078684799545872</v>
      </c>
      <c r="D983" s="302">
        <f t="shared" si="358"/>
        <v>0.5215259021669798</v>
      </c>
      <c r="E983" s="303"/>
      <c r="F983" s="302">
        <v>0.32977497185321075</v>
      </c>
      <c r="G983" s="302">
        <v>0.11313288531007969</v>
      </c>
      <c r="H983" s="302">
        <f t="shared" si="359"/>
        <v>0.44290785716329045</v>
      </c>
      <c r="I983" s="303"/>
      <c r="J983" s="302">
        <v>0.4740152139006919</v>
      </c>
      <c r="K983" s="302">
        <v>0.20056179558898124</v>
      </c>
      <c r="L983" s="302">
        <f t="shared" si="360"/>
        <v>0.67457700948967314</v>
      </c>
      <c r="M983" s="236"/>
      <c r="N983" s="236"/>
    </row>
    <row r="984" spans="1:14" x14ac:dyDescent="0.2">
      <c r="A984" s="237" t="str">
        <f>name!E$10</f>
        <v>Sales and customer service occupations</v>
      </c>
      <c r="B984" s="302">
        <v>2.0437145686474964E-2</v>
      </c>
      <c r="C984" s="302">
        <v>7.9472939397472967E-3</v>
      </c>
      <c r="D984" s="302">
        <f t="shared" si="358"/>
        <v>2.8384439626222259E-2</v>
      </c>
      <c r="E984" s="303"/>
      <c r="F984" s="302">
        <v>1.4581977375332655E-2</v>
      </c>
      <c r="G984" s="302">
        <v>7.2738213110637865E-3</v>
      </c>
      <c r="H984" s="302">
        <f t="shared" si="359"/>
        <v>2.1855798686396442E-2</v>
      </c>
      <c r="I984" s="303"/>
      <c r="J984" s="302">
        <v>1.9829836849211063E-2</v>
      </c>
      <c r="K984" s="302">
        <v>8.8689164390276694E-3</v>
      </c>
      <c r="L984" s="302">
        <f t="shared" si="360"/>
        <v>2.8698753288238732E-2</v>
      </c>
      <c r="M984" s="236"/>
      <c r="N984" s="236"/>
    </row>
    <row r="985" spans="1:14" x14ac:dyDescent="0.2">
      <c r="A985" s="237" t="str">
        <f>name!E$11</f>
        <v>Process, plant and machine operatives</v>
      </c>
      <c r="B985" s="302">
        <v>6.2315211261899494E-3</v>
      </c>
      <c r="C985" s="302">
        <v>9.3268437263478703E-3</v>
      </c>
      <c r="D985" s="302">
        <f t="shared" si="358"/>
        <v>1.555836485253782E-2</v>
      </c>
      <c r="E985" s="303"/>
      <c r="F985" s="302">
        <v>3.7345784460271663E-3</v>
      </c>
      <c r="G985" s="302">
        <v>7.2077464024675785E-3</v>
      </c>
      <c r="H985" s="302">
        <f t="shared" si="359"/>
        <v>1.0942324848494745E-2</v>
      </c>
      <c r="I985" s="303"/>
      <c r="J985" s="302">
        <v>1.0491112983507493E-2</v>
      </c>
      <c r="K985" s="302">
        <v>5.3688767559882892E-3</v>
      </c>
      <c r="L985" s="302">
        <f t="shared" si="360"/>
        <v>1.5859989739495782E-2</v>
      </c>
      <c r="M985" s="236"/>
      <c r="N985" s="236"/>
    </row>
    <row r="986" spans="1:14" x14ac:dyDescent="0.2">
      <c r="A986" s="237" t="str">
        <f>name!E$12</f>
        <v>Elementary occupations</v>
      </c>
      <c r="B986" s="302">
        <v>0.12026334192821658</v>
      </c>
      <c r="C986" s="302">
        <v>2.5432579037391875E-2</v>
      </c>
      <c r="D986" s="302">
        <f t="shared" si="358"/>
        <v>0.14569592096560846</v>
      </c>
      <c r="E986" s="303"/>
      <c r="F986" s="302">
        <v>4.7840884810764275E-2</v>
      </c>
      <c r="G986" s="302">
        <v>1.7750182884493638E-2</v>
      </c>
      <c r="H986" s="302">
        <f t="shared" si="359"/>
        <v>6.559106769525791E-2</v>
      </c>
      <c r="I986" s="303"/>
      <c r="J986" s="302">
        <v>9.6385061472516159E-2</v>
      </c>
      <c r="K986" s="302">
        <v>1.7824604920282747E-2</v>
      </c>
      <c r="L986" s="302">
        <f t="shared" si="360"/>
        <v>0.11420966639279891</v>
      </c>
      <c r="M986" s="236"/>
      <c r="N986" s="236"/>
    </row>
    <row r="987" spans="1:14" x14ac:dyDescent="0.2">
      <c r="A987" s="237"/>
      <c r="B987" s="302"/>
      <c r="C987" s="302"/>
      <c r="D987" s="302"/>
      <c r="E987" s="303"/>
      <c r="F987" s="302"/>
      <c r="G987" s="302"/>
      <c r="H987" s="302"/>
      <c r="I987" s="303"/>
      <c r="J987" s="302"/>
      <c r="K987" s="302"/>
      <c r="L987" s="302"/>
      <c r="M987" s="236"/>
      <c r="N987" s="236"/>
    </row>
    <row r="988" spans="1:14" x14ac:dyDescent="0.2">
      <c r="A988" s="244" t="s">
        <v>32</v>
      </c>
      <c r="B988" s="311">
        <f>SUM(B978:B986)</f>
        <v>1.2379999999575355</v>
      </c>
      <c r="C988" s="311">
        <f t="shared" ref="C988:D988" si="361">SUM(C978:C986)</f>
        <v>0.66999999999686122</v>
      </c>
      <c r="D988" s="311">
        <f t="shared" si="361"/>
        <v>1.9079999999543973</v>
      </c>
      <c r="E988" s="311"/>
      <c r="F988" s="311">
        <f t="shared" ref="F988:H988" si="362">SUM(F978:F986)</f>
        <v>1.0230000000097881</v>
      </c>
      <c r="G988" s="311">
        <f t="shared" si="362"/>
        <v>0.77800000000101366</v>
      </c>
      <c r="H988" s="311">
        <f t="shared" si="362"/>
        <v>1.8010000000108017</v>
      </c>
      <c r="I988" s="311"/>
      <c r="J988" s="311">
        <f t="shared" ref="J988:L988" si="363">SUM(J978:J986)</f>
        <v>1.4880000000009199</v>
      </c>
      <c r="K988" s="311">
        <f t="shared" si="363"/>
        <v>1.0950000000266127</v>
      </c>
      <c r="L988" s="311">
        <f t="shared" si="363"/>
        <v>2.5830000000275333</v>
      </c>
      <c r="M988" s="236"/>
      <c r="N988" s="236"/>
    </row>
    <row r="989" spans="1:14" x14ac:dyDescent="0.2">
      <c r="A989" s="237"/>
      <c r="B989" s="237"/>
      <c r="C989" s="237"/>
      <c r="D989" s="237"/>
      <c r="E989" s="237"/>
      <c r="F989" s="237"/>
      <c r="G989" s="237"/>
      <c r="H989" s="237"/>
      <c r="I989" s="237"/>
      <c r="J989" s="237"/>
      <c r="K989" s="237"/>
      <c r="L989" s="240"/>
      <c r="M989" s="236"/>
      <c r="N989" s="236"/>
    </row>
    <row r="990" spans="1:14" x14ac:dyDescent="0.2">
      <c r="A990" s="237"/>
      <c r="B990" s="237"/>
      <c r="C990" s="237"/>
      <c r="D990" s="237"/>
      <c r="E990" s="237"/>
      <c r="F990" s="237"/>
      <c r="G990" s="237"/>
      <c r="H990" s="237"/>
      <c r="I990" s="237"/>
      <c r="J990" s="237"/>
      <c r="K990" s="237"/>
      <c r="L990" s="256" t="s">
        <v>35</v>
      </c>
      <c r="M990" s="236"/>
      <c r="N990" s="236"/>
    </row>
    <row r="991" spans="1:14" x14ac:dyDescent="0.2">
      <c r="A991" s="242"/>
      <c r="B991" s="250"/>
      <c r="C991" s="250"/>
      <c r="D991" s="250"/>
      <c r="E991" s="250"/>
      <c r="F991" s="250"/>
      <c r="G991" s="250"/>
      <c r="H991" s="250"/>
      <c r="I991" s="250"/>
      <c r="J991" s="250"/>
      <c r="K991" s="250"/>
      <c r="L991" s="236"/>
      <c r="M991" s="236"/>
      <c r="N991" s="236"/>
    </row>
    <row r="992" spans="1:14" x14ac:dyDescent="0.2">
      <c r="A992" s="241" t="str">
        <f>name!A61</f>
        <v>Rental and leasing</v>
      </c>
      <c r="B992" s="372">
        <f>B$6</f>
        <v>2015</v>
      </c>
      <c r="C992" s="372"/>
      <c r="D992" s="372"/>
      <c r="E992" s="253"/>
      <c r="F992" s="372">
        <f>F$6</f>
        <v>2020</v>
      </c>
      <c r="G992" s="372"/>
      <c r="H992" s="372"/>
      <c r="I992" s="253"/>
      <c r="J992" s="372">
        <f>J$6</f>
        <v>2035</v>
      </c>
      <c r="K992" s="372"/>
      <c r="L992" s="372"/>
      <c r="M992" s="236"/>
      <c r="N992" s="236"/>
    </row>
    <row r="993" spans="1:14" x14ac:dyDescent="0.2">
      <c r="A993" s="254"/>
      <c r="B993" s="255" t="s">
        <v>352</v>
      </c>
      <c r="C993" s="255" t="s">
        <v>353</v>
      </c>
      <c r="D993" s="255" t="s">
        <v>32</v>
      </c>
      <c r="E993" s="255"/>
      <c r="F993" s="255" t="s">
        <v>352</v>
      </c>
      <c r="G993" s="255" t="s">
        <v>353</v>
      </c>
      <c r="H993" s="255" t="s">
        <v>32</v>
      </c>
      <c r="I993" s="255"/>
      <c r="J993" s="255" t="s">
        <v>352</v>
      </c>
      <c r="K993" s="255" t="s">
        <v>353</v>
      </c>
      <c r="L993" s="255" t="s">
        <v>32</v>
      </c>
      <c r="M993" s="236"/>
      <c r="N993" s="236"/>
    </row>
    <row r="994" spans="1:14" x14ac:dyDescent="0.2">
      <c r="A994" s="258"/>
      <c r="B994" s="259"/>
      <c r="C994" s="259"/>
      <c r="D994" s="259"/>
      <c r="E994" s="259"/>
      <c r="F994" s="259"/>
      <c r="G994" s="259"/>
      <c r="H994" s="259"/>
      <c r="I994" s="259"/>
      <c r="J994" s="259"/>
      <c r="K994" s="259"/>
      <c r="L994" s="259"/>
      <c r="M994" s="236"/>
      <c r="N994" s="236"/>
    </row>
    <row r="995" spans="1:14" x14ac:dyDescent="0.2">
      <c r="A995" s="237" t="str">
        <f>name!E$4</f>
        <v>Managers, directors and senior officials</v>
      </c>
      <c r="B995" s="302">
        <v>4.8105315822860109E-2</v>
      </c>
      <c r="C995" s="302">
        <v>0.23572175923707864</v>
      </c>
      <c r="D995" s="302">
        <f>SUM(B995:C995)</f>
        <v>0.28382707505993876</v>
      </c>
      <c r="E995" s="303"/>
      <c r="F995" s="302">
        <v>7.9804201797778584E-2</v>
      </c>
      <c r="G995" s="302">
        <v>0.55944167166678793</v>
      </c>
      <c r="H995" s="302">
        <f>SUM(F995:G995)</f>
        <v>0.63924587346456652</v>
      </c>
      <c r="I995" s="303"/>
      <c r="J995" s="302">
        <v>8.7407805809438216E-2</v>
      </c>
      <c r="K995" s="302">
        <v>0.6076185119308477</v>
      </c>
      <c r="L995" s="302">
        <f>SUM(J995:K995)</f>
        <v>0.69502631774028589</v>
      </c>
      <c r="M995" s="236"/>
      <c r="N995" s="236"/>
    </row>
    <row r="996" spans="1:14" x14ac:dyDescent="0.2">
      <c r="A996" s="237" t="str">
        <f>name!E$5</f>
        <v>Professional occupations</v>
      </c>
      <c r="B996" s="302">
        <v>6.7518544151329407E-2</v>
      </c>
      <c r="C996" s="302">
        <v>0.24413151268677236</v>
      </c>
      <c r="D996" s="302">
        <f t="shared" ref="D996:D1003" si="364">SUM(B996:C996)</f>
        <v>0.31165005683810176</v>
      </c>
      <c r="E996" s="303"/>
      <c r="F996" s="302">
        <v>0.13414541345117775</v>
      </c>
      <c r="G996" s="302">
        <v>0.59756514283587014</v>
      </c>
      <c r="H996" s="302">
        <f t="shared" ref="H996:H1003" si="365">SUM(F996:G996)</f>
        <v>0.73171055628704784</v>
      </c>
      <c r="I996" s="303"/>
      <c r="J996" s="302">
        <v>0.16351523292091558</v>
      </c>
      <c r="K996" s="302">
        <v>0.72536180342163425</v>
      </c>
      <c r="L996" s="302">
        <f t="shared" ref="L996:L1003" si="366">SUM(J996:K996)</f>
        <v>0.88887703634254978</v>
      </c>
      <c r="M996" s="236"/>
      <c r="N996" s="236"/>
    </row>
    <row r="997" spans="1:14" x14ac:dyDescent="0.2">
      <c r="A997" s="237" t="str">
        <f>name!E$6</f>
        <v>Associate professional occupations</v>
      </c>
      <c r="B997" s="302">
        <v>7.5516360688803519E-2</v>
      </c>
      <c r="C997" s="302">
        <v>0.24958516935505287</v>
      </c>
      <c r="D997" s="302">
        <f t="shared" si="364"/>
        <v>0.32510153004385639</v>
      </c>
      <c r="E997" s="303"/>
      <c r="F997" s="302">
        <v>0.12893985738691255</v>
      </c>
      <c r="G997" s="302">
        <v>0.56312088211899836</v>
      </c>
      <c r="H997" s="302">
        <f t="shared" si="365"/>
        <v>0.69206073950591085</v>
      </c>
      <c r="I997" s="303"/>
      <c r="J997" s="302">
        <v>0.14079059056625828</v>
      </c>
      <c r="K997" s="302">
        <v>0.57271348323269566</v>
      </c>
      <c r="L997" s="302">
        <f t="shared" si="366"/>
        <v>0.71350407379895397</v>
      </c>
      <c r="M997" s="236"/>
      <c r="N997" s="236"/>
    </row>
    <row r="998" spans="1:14" x14ac:dyDescent="0.2">
      <c r="A998" s="237" t="str">
        <f>name!E$7</f>
        <v>Administrative and secretarial occupations</v>
      </c>
      <c r="B998" s="302">
        <v>0.31750233141228523</v>
      </c>
      <c r="C998" s="302">
        <v>0.35042938233760917</v>
      </c>
      <c r="D998" s="302">
        <f t="shared" si="364"/>
        <v>0.66793171374989435</v>
      </c>
      <c r="E998" s="303"/>
      <c r="F998" s="302">
        <v>0.436318791898125</v>
      </c>
      <c r="G998" s="302">
        <v>0.74688723267579771</v>
      </c>
      <c r="H998" s="302">
        <f t="shared" si="365"/>
        <v>1.1832060245739227</v>
      </c>
      <c r="I998" s="303"/>
      <c r="J998" s="302">
        <v>0.37838023621838929</v>
      </c>
      <c r="K998" s="302">
        <v>0.9127863395426955</v>
      </c>
      <c r="L998" s="302">
        <f t="shared" si="366"/>
        <v>1.2911665757610848</v>
      </c>
      <c r="M998" s="236"/>
      <c r="N998" s="236"/>
    </row>
    <row r="999" spans="1:14" x14ac:dyDescent="0.2">
      <c r="A999" s="237" t="str">
        <f>name!E$8</f>
        <v>Skilled trades occupations</v>
      </c>
      <c r="B999" s="302">
        <v>1.2967887401664756E-2</v>
      </c>
      <c r="C999" s="302">
        <v>0.42563524223739807</v>
      </c>
      <c r="D999" s="302">
        <f t="shared" si="364"/>
        <v>0.43860312963906284</v>
      </c>
      <c r="E999" s="303"/>
      <c r="F999" s="302">
        <v>1.8146243628589534E-2</v>
      </c>
      <c r="G999" s="302">
        <v>0.6834045844125195</v>
      </c>
      <c r="H999" s="302">
        <f t="shared" si="365"/>
        <v>0.70155082804110902</v>
      </c>
      <c r="I999" s="303"/>
      <c r="J999" s="302">
        <v>3.3517450152636054E-2</v>
      </c>
      <c r="K999" s="302">
        <v>0.60128616504318599</v>
      </c>
      <c r="L999" s="302">
        <f t="shared" si="366"/>
        <v>0.63480361519582207</v>
      </c>
      <c r="M999" s="236"/>
      <c r="N999" s="236"/>
    </row>
    <row r="1000" spans="1:14" x14ac:dyDescent="0.2">
      <c r="A1000" s="237" t="str">
        <f>name!E$9</f>
        <v>Caring, leisure and other service occupations</v>
      </c>
      <c r="B1000" s="302">
        <v>1.5738062974677464E-2</v>
      </c>
      <c r="C1000" s="302">
        <v>9.020708919979098E-2</v>
      </c>
      <c r="D1000" s="302">
        <f t="shared" si="364"/>
        <v>0.10594515217446844</v>
      </c>
      <c r="E1000" s="303"/>
      <c r="F1000" s="302">
        <v>1.9977862639466555E-2</v>
      </c>
      <c r="G1000" s="302">
        <v>0.17023014461495917</v>
      </c>
      <c r="H1000" s="302">
        <f t="shared" si="365"/>
        <v>0.19020800725442571</v>
      </c>
      <c r="I1000" s="303"/>
      <c r="J1000" s="302">
        <v>1.9835403170401462E-2</v>
      </c>
      <c r="K1000" s="302">
        <v>0.25945453445894251</v>
      </c>
      <c r="L1000" s="302">
        <f t="shared" si="366"/>
        <v>0.27928993762934395</v>
      </c>
      <c r="M1000" s="236"/>
      <c r="N1000" s="236"/>
    </row>
    <row r="1001" spans="1:14" x14ac:dyDescent="0.2">
      <c r="A1001" s="237" t="str">
        <f>name!E$10</f>
        <v>Sales and customer service occupations</v>
      </c>
      <c r="B1001" s="302">
        <v>0.34785311023000803</v>
      </c>
      <c r="C1001" s="302">
        <v>0.30346745573961803</v>
      </c>
      <c r="D1001" s="302">
        <f t="shared" si="364"/>
        <v>0.65132056596962606</v>
      </c>
      <c r="E1001" s="303"/>
      <c r="F1001" s="302">
        <v>0.43004222269421816</v>
      </c>
      <c r="G1001" s="302">
        <v>0.43130855313234667</v>
      </c>
      <c r="H1001" s="302">
        <f t="shared" si="365"/>
        <v>0.86135077582656483</v>
      </c>
      <c r="I1001" s="303"/>
      <c r="J1001" s="302">
        <v>0.50130800252685592</v>
      </c>
      <c r="K1001" s="302">
        <v>0.41770711131517912</v>
      </c>
      <c r="L1001" s="302">
        <f t="shared" si="366"/>
        <v>0.91901511384203505</v>
      </c>
      <c r="M1001" s="236"/>
      <c r="N1001" s="236"/>
    </row>
    <row r="1002" spans="1:14" x14ac:dyDescent="0.2">
      <c r="A1002" s="237" t="str">
        <f>name!E$11</f>
        <v>Process, plant and machine operatives</v>
      </c>
      <c r="B1002" s="302">
        <v>1.0265328583974054E-2</v>
      </c>
      <c r="C1002" s="302">
        <v>0.73262767438424925</v>
      </c>
      <c r="D1002" s="302">
        <f t="shared" si="364"/>
        <v>0.74289300296822325</v>
      </c>
      <c r="E1002" s="303"/>
      <c r="F1002" s="302">
        <v>1.1887317635201526E-2</v>
      </c>
      <c r="G1002" s="302">
        <v>1.158727635902941</v>
      </c>
      <c r="H1002" s="302">
        <f t="shared" si="365"/>
        <v>1.1706149535381425</v>
      </c>
      <c r="I1002" s="303"/>
      <c r="J1002" s="302">
        <v>2.0028300665346447E-2</v>
      </c>
      <c r="K1002" s="302">
        <v>1.1272712329459889</v>
      </c>
      <c r="L1002" s="302">
        <f t="shared" si="366"/>
        <v>1.1472995336113354</v>
      </c>
      <c r="M1002" s="236"/>
      <c r="N1002" s="236"/>
    </row>
    <row r="1003" spans="1:14" x14ac:dyDescent="0.2">
      <c r="A1003" s="237" t="str">
        <f>name!E$12</f>
        <v>Elementary occupations</v>
      </c>
      <c r="B1003" s="302">
        <v>3.3533058742336648E-2</v>
      </c>
      <c r="C1003" s="302">
        <v>0.15619471483500802</v>
      </c>
      <c r="D1003" s="302">
        <f t="shared" si="364"/>
        <v>0.18972777357734466</v>
      </c>
      <c r="E1003" s="303"/>
      <c r="F1003" s="302">
        <v>3.4738088868390402E-2</v>
      </c>
      <c r="G1003" s="302">
        <v>0.21631415264286011</v>
      </c>
      <c r="H1003" s="302">
        <f t="shared" si="365"/>
        <v>0.2510522415112505</v>
      </c>
      <c r="I1003" s="303"/>
      <c r="J1003" s="302">
        <v>3.8216977965247548E-2</v>
      </c>
      <c r="K1003" s="302">
        <v>0.20580081809296366</v>
      </c>
      <c r="L1003" s="302">
        <f t="shared" si="366"/>
        <v>0.24401779605821122</v>
      </c>
      <c r="M1003" s="236"/>
      <c r="N1003" s="236"/>
    </row>
    <row r="1004" spans="1:14" x14ac:dyDescent="0.2">
      <c r="A1004" s="237"/>
      <c r="B1004" s="302"/>
      <c r="C1004" s="302"/>
      <c r="D1004" s="302"/>
      <c r="E1004" s="303"/>
      <c r="F1004" s="302"/>
      <c r="G1004" s="302"/>
      <c r="H1004" s="302"/>
      <c r="I1004" s="303"/>
      <c r="J1004" s="302"/>
      <c r="K1004" s="302"/>
      <c r="L1004" s="302"/>
      <c r="M1004" s="236"/>
      <c r="N1004" s="236"/>
    </row>
    <row r="1005" spans="1:14" x14ac:dyDescent="0.2">
      <c r="A1005" s="244" t="s">
        <v>32</v>
      </c>
      <c r="B1005" s="311">
        <f>SUM(B995:B1003)</f>
        <v>0.92900000000793914</v>
      </c>
      <c r="C1005" s="311">
        <f t="shared" ref="C1005:D1005" si="367">SUM(C995:C1003)</f>
        <v>2.7880000000125778</v>
      </c>
      <c r="D1005" s="311">
        <f t="shared" si="367"/>
        <v>3.7170000000205166</v>
      </c>
      <c r="E1005" s="311"/>
      <c r="F1005" s="311">
        <f t="shared" ref="F1005:H1005" si="368">SUM(F995:F1003)</f>
        <v>1.2939999999998599</v>
      </c>
      <c r="G1005" s="311">
        <f t="shared" si="368"/>
        <v>5.1270000000030809</v>
      </c>
      <c r="H1005" s="311">
        <f t="shared" si="368"/>
        <v>6.4210000000029401</v>
      </c>
      <c r="I1005" s="311"/>
      <c r="J1005" s="311">
        <f t="shared" ref="J1005:L1005" si="369">SUM(J995:J1003)</f>
        <v>1.3829999999954889</v>
      </c>
      <c r="K1005" s="311">
        <f t="shared" si="369"/>
        <v>5.4299999999841342</v>
      </c>
      <c r="L1005" s="311">
        <f t="shared" si="369"/>
        <v>6.8129999999796222</v>
      </c>
      <c r="M1005" s="236"/>
      <c r="N1005" s="236"/>
    </row>
    <row r="1006" spans="1:14" x14ac:dyDescent="0.2">
      <c r="A1006" s="237"/>
      <c r="B1006" s="237"/>
      <c r="C1006" s="237"/>
      <c r="D1006" s="237"/>
      <c r="E1006" s="237"/>
      <c r="F1006" s="237"/>
      <c r="G1006" s="237"/>
      <c r="H1006" s="237"/>
      <c r="I1006" s="237"/>
      <c r="J1006" s="237"/>
      <c r="K1006" s="237"/>
      <c r="L1006" s="240"/>
      <c r="M1006" s="236"/>
      <c r="N1006" s="236"/>
    </row>
    <row r="1007" spans="1:14" x14ac:dyDescent="0.2">
      <c r="A1007" s="237"/>
      <c r="B1007" s="237"/>
      <c r="C1007" s="237"/>
      <c r="D1007" s="237"/>
      <c r="E1007" s="237"/>
      <c r="F1007" s="237"/>
      <c r="G1007" s="237"/>
      <c r="H1007" s="237"/>
      <c r="I1007" s="237"/>
      <c r="J1007" s="237"/>
      <c r="K1007" s="237"/>
      <c r="L1007" s="256" t="s">
        <v>35</v>
      </c>
      <c r="M1007" s="236"/>
      <c r="N1007" s="236"/>
    </row>
    <row r="1008" spans="1:14" x14ac:dyDescent="0.2">
      <c r="A1008" s="242"/>
      <c r="B1008" s="250"/>
      <c r="C1008" s="250"/>
      <c r="D1008" s="250"/>
      <c r="E1008" s="250"/>
      <c r="F1008" s="250"/>
      <c r="G1008" s="250"/>
      <c r="H1008" s="250"/>
      <c r="I1008" s="250"/>
      <c r="J1008" s="250"/>
      <c r="K1008" s="250"/>
      <c r="L1008" s="236"/>
      <c r="M1008" s="236"/>
      <c r="N1008" s="236"/>
    </row>
    <row r="1009" spans="1:14" x14ac:dyDescent="0.2">
      <c r="A1009" s="241" t="str">
        <f>name!A62</f>
        <v>Employment activities</v>
      </c>
      <c r="B1009" s="372">
        <f>B$6</f>
        <v>2015</v>
      </c>
      <c r="C1009" s="372"/>
      <c r="D1009" s="372"/>
      <c r="E1009" s="253"/>
      <c r="F1009" s="372">
        <f>F$6</f>
        <v>2020</v>
      </c>
      <c r="G1009" s="372"/>
      <c r="H1009" s="372"/>
      <c r="I1009" s="253"/>
      <c r="J1009" s="372">
        <f>J$6</f>
        <v>2035</v>
      </c>
      <c r="K1009" s="372"/>
      <c r="L1009" s="372"/>
      <c r="M1009" s="236"/>
      <c r="N1009" s="236"/>
    </row>
    <row r="1010" spans="1:14" x14ac:dyDescent="0.2">
      <c r="A1010" s="254"/>
      <c r="B1010" s="255" t="s">
        <v>352</v>
      </c>
      <c r="C1010" s="255" t="s">
        <v>353</v>
      </c>
      <c r="D1010" s="255" t="s">
        <v>32</v>
      </c>
      <c r="E1010" s="255"/>
      <c r="F1010" s="255" t="s">
        <v>352</v>
      </c>
      <c r="G1010" s="255" t="s">
        <v>353</v>
      </c>
      <c r="H1010" s="255" t="s">
        <v>32</v>
      </c>
      <c r="I1010" s="255"/>
      <c r="J1010" s="255" t="s">
        <v>352</v>
      </c>
      <c r="K1010" s="255" t="s">
        <v>353</v>
      </c>
      <c r="L1010" s="255" t="s">
        <v>32</v>
      </c>
      <c r="M1010" s="236"/>
      <c r="N1010" s="236"/>
    </row>
    <row r="1011" spans="1:14" x14ac:dyDescent="0.2">
      <c r="A1011" s="258"/>
      <c r="B1011" s="259"/>
      <c r="C1011" s="259"/>
      <c r="D1011" s="259"/>
      <c r="E1011" s="259"/>
      <c r="F1011" s="259"/>
      <c r="G1011" s="259"/>
      <c r="H1011" s="259"/>
      <c r="I1011" s="259"/>
      <c r="J1011" s="259"/>
      <c r="K1011" s="259"/>
      <c r="L1011" s="259"/>
      <c r="M1011" s="236"/>
      <c r="N1011" s="236"/>
    </row>
    <row r="1012" spans="1:14" x14ac:dyDescent="0.2">
      <c r="A1012" s="237" t="str">
        <f>name!E$4</f>
        <v>Managers, directors and senior officials</v>
      </c>
      <c r="B1012" s="302">
        <v>0.46396623139607923</v>
      </c>
      <c r="C1012" s="302">
        <v>0.53728569604627385</v>
      </c>
      <c r="D1012" s="302">
        <f>SUM(B1012:C1012)</f>
        <v>1.001251927442353</v>
      </c>
      <c r="E1012" s="303"/>
      <c r="F1012" s="302">
        <v>0.50155563602660846</v>
      </c>
      <c r="G1012" s="302">
        <v>0.73577731877619268</v>
      </c>
      <c r="H1012" s="302">
        <f>SUM(F1012:G1012)</f>
        <v>1.2373329548028011</v>
      </c>
      <c r="I1012" s="303"/>
      <c r="J1012" s="302">
        <v>0.57259300765307408</v>
      </c>
      <c r="K1012" s="302">
        <v>0.7503748097265025</v>
      </c>
      <c r="L1012" s="302">
        <f>SUM(J1012:K1012)</f>
        <v>1.3229678173795767</v>
      </c>
      <c r="M1012" s="236"/>
      <c r="N1012" s="236"/>
    </row>
    <row r="1013" spans="1:14" x14ac:dyDescent="0.2">
      <c r="A1013" s="237" t="str">
        <f>name!E$5</f>
        <v>Professional occupations</v>
      </c>
      <c r="B1013" s="302">
        <v>0.88836952416692538</v>
      </c>
      <c r="C1013" s="302">
        <v>0.56883006262409352</v>
      </c>
      <c r="D1013" s="302">
        <f t="shared" ref="D1013:D1020" si="370">SUM(B1013:C1013)</f>
        <v>1.457199586791019</v>
      </c>
      <c r="E1013" s="303"/>
      <c r="F1013" s="302">
        <v>1.0957312114498463</v>
      </c>
      <c r="G1013" s="302">
        <v>0.81614307232207561</v>
      </c>
      <c r="H1013" s="302">
        <f t="shared" ref="H1013:H1020" si="371">SUM(F1013:G1013)</f>
        <v>1.911874283771922</v>
      </c>
      <c r="I1013" s="303"/>
      <c r="J1013" s="302">
        <v>1.4700965363586855</v>
      </c>
      <c r="K1013" s="302">
        <v>0.83727102281280052</v>
      </c>
      <c r="L1013" s="302">
        <f t="shared" ref="L1013:L1020" si="372">SUM(J1013:K1013)</f>
        <v>2.3073675591714862</v>
      </c>
      <c r="M1013" s="236"/>
      <c r="N1013" s="236"/>
    </row>
    <row r="1014" spans="1:14" x14ac:dyDescent="0.2">
      <c r="A1014" s="237" t="str">
        <f>name!E$6</f>
        <v>Associate professional occupations</v>
      </c>
      <c r="B1014" s="302">
        <v>1.315512177041986</v>
      </c>
      <c r="C1014" s="302">
        <v>1.0411181890801349</v>
      </c>
      <c r="D1014" s="302">
        <f t="shared" si="370"/>
        <v>2.3566303661221211</v>
      </c>
      <c r="E1014" s="303"/>
      <c r="F1014" s="302">
        <v>1.3751256139401744</v>
      </c>
      <c r="G1014" s="302">
        <v>1.3662155054765777</v>
      </c>
      <c r="H1014" s="302">
        <f t="shared" si="371"/>
        <v>2.7413411194167523</v>
      </c>
      <c r="I1014" s="303"/>
      <c r="J1014" s="302">
        <v>1.5918976720174518</v>
      </c>
      <c r="K1014" s="302">
        <v>1.1584813347860086</v>
      </c>
      <c r="L1014" s="302">
        <f t="shared" si="372"/>
        <v>2.7503790068034606</v>
      </c>
      <c r="M1014" s="236"/>
      <c r="N1014" s="236"/>
    </row>
    <row r="1015" spans="1:14" x14ac:dyDescent="0.2">
      <c r="A1015" s="237" t="str">
        <f>name!E$7</f>
        <v>Administrative and secretarial occupations</v>
      </c>
      <c r="B1015" s="302">
        <v>3.3347042346891635</v>
      </c>
      <c r="C1015" s="302">
        <v>1.2854463279638966</v>
      </c>
      <c r="D1015" s="302">
        <f t="shared" si="370"/>
        <v>4.6201505626530599</v>
      </c>
      <c r="E1015" s="303"/>
      <c r="F1015" s="302">
        <v>2.9436080954691155</v>
      </c>
      <c r="G1015" s="302">
        <v>1.592946425130531</v>
      </c>
      <c r="H1015" s="302">
        <f t="shared" si="371"/>
        <v>4.5365545205996467</v>
      </c>
      <c r="I1015" s="303"/>
      <c r="J1015" s="302">
        <v>2.6200671448608355</v>
      </c>
      <c r="K1015" s="302">
        <v>1.8286812875278975</v>
      </c>
      <c r="L1015" s="302">
        <f t="shared" si="372"/>
        <v>4.448748432388733</v>
      </c>
      <c r="M1015" s="236"/>
      <c r="N1015" s="236"/>
    </row>
    <row r="1016" spans="1:14" x14ac:dyDescent="0.2">
      <c r="A1016" s="237" t="str">
        <f>name!E$8</f>
        <v>Skilled trades occupations</v>
      </c>
      <c r="B1016" s="302">
        <v>0.10795133746342808</v>
      </c>
      <c r="C1016" s="302">
        <v>0.73178679296669358</v>
      </c>
      <c r="D1016" s="302">
        <f t="shared" si="370"/>
        <v>0.83973813043012169</v>
      </c>
      <c r="E1016" s="303"/>
      <c r="F1016" s="302">
        <v>9.8145304395455865E-2</v>
      </c>
      <c r="G1016" s="302">
        <v>0.67567059985698197</v>
      </c>
      <c r="H1016" s="302">
        <f t="shared" si="371"/>
        <v>0.77381590425243785</v>
      </c>
      <c r="I1016" s="303"/>
      <c r="J1016" s="302">
        <v>0.15326692141774215</v>
      </c>
      <c r="K1016" s="302">
        <v>0.51736695102762276</v>
      </c>
      <c r="L1016" s="302">
        <f t="shared" si="372"/>
        <v>0.67063387244536488</v>
      </c>
      <c r="M1016" s="236"/>
      <c r="N1016" s="236"/>
    </row>
    <row r="1017" spans="1:14" x14ac:dyDescent="0.2">
      <c r="A1017" s="237" t="str">
        <f>name!E$9</f>
        <v>Caring, leisure and other service occupations</v>
      </c>
      <c r="B1017" s="302">
        <v>1.0256955448212028</v>
      </c>
      <c r="C1017" s="302">
        <v>0.5751771021605685</v>
      </c>
      <c r="D1017" s="302">
        <f t="shared" si="370"/>
        <v>1.6008726469817713</v>
      </c>
      <c r="E1017" s="303"/>
      <c r="F1017" s="302">
        <v>0.91989193376740952</v>
      </c>
      <c r="G1017" s="302">
        <v>0.72787447963536922</v>
      </c>
      <c r="H1017" s="302">
        <f t="shared" si="371"/>
        <v>1.6477664134027787</v>
      </c>
      <c r="I1017" s="303"/>
      <c r="J1017" s="302">
        <v>1.0379874967593707</v>
      </c>
      <c r="K1017" s="302">
        <v>0.80383230500430991</v>
      </c>
      <c r="L1017" s="302">
        <f t="shared" si="372"/>
        <v>1.8418198017636807</v>
      </c>
      <c r="M1017" s="236"/>
      <c r="N1017" s="236"/>
    </row>
    <row r="1018" spans="1:14" x14ac:dyDescent="0.2">
      <c r="A1018" s="237" t="str">
        <f>name!E$10</f>
        <v>Sales and customer service occupations</v>
      </c>
      <c r="B1018" s="302">
        <v>1.1877049853002828</v>
      </c>
      <c r="C1018" s="302">
        <v>1.4780160802631692</v>
      </c>
      <c r="D1018" s="302">
        <f t="shared" si="370"/>
        <v>2.665721065563452</v>
      </c>
      <c r="E1018" s="303"/>
      <c r="F1018" s="302">
        <v>1.1135180875924748</v>
      </c>
      <c r="G1018" s="302">
        <v>1.58088388899626</v>
      </c>
      <c r="H1018" s="302">
        <f t="shared" si="371"/>
        <v>2.6944019765887348</v>
      </c>
      <c r="I1018" s="303"/>
      <c r="J1018" s="302">
        <v>1.5303399891875851</v>
      </c>
      <c r="K1018" s="302">
        <v>1.9625306346853755</v>
      </c>
      <c r="L1018" s="302">
        <f t="shared" si="372"/>
        <v>3.4928706238729603</v>
      </c>
      <c r="M1018" s="236"/>
      <c r="N1018" s="236"/>
    </row>
    <row r="1019" spans="1:14" x14ac:dyDescent="0.2">
      <c r="A1019" s="237" t="str">
        <f>name!E$11</f>
        <v>Process, plant and machine operatives</v>
      </c>
      <c r="B1019" s="302">
        <v>0.14578155904864995</v>
      </c>
      <c r="C1019" s="302">
        <v>1.0135227690415027</v>
      </c>
      <c r="D1019" s="302">
        <f t="shared" si="370"/>
        <v>1.1593043280901527</v>
      </c>
      <c r="E1019" s="303"/>
      <c r="F1019" s="302">
        <v>0.10385354254945246</v>
      </c>
      <c r="G1019" s="302">
        <v>0.98641717205434776</v>
      </c>
      <c r="H1019" s="302">
        <f t="shared" si="371"/>
        <v>1.0902707146038002</v>
      </c>
      <c r="I1019" s="303"/>
      <c r="J1019" s="302">
        <v>0.17803003404576867</v>
      </c>
      <c r="K1019" s="302">
        <v>0.9417616363645871</v>
      </c>
      <c r="L1019" s="302">
        <f t="shared" si="372"/>
        <v>1.1197916704103559</v>
      </c>
      <c r="M1019" s="236"/>
      <c r="N1019" s="236"/>
    </row>
    <row r="1020" spans="1:14" ht="13.5" customHeight="1" x14ac:dyDescent="0.2">
      <c r="A1020" s="237" t="str">
        <f>name!E$12</f>
        <v>Elementary occupations</v>
      </c>
      <c r="B1020" s="302">
        <v>2.8173144061019881</v>
      </c>
      <c r="C1020" s="302">
        <v>8.0978169799970452</v>
      </c>
      <c r="D1020" s="302">
        <f t="shared" si="370"/>
        <v>10.915131386099034</v>
      </c>
      <c r="E1020" s="303"/>
      <c r="F1020" s="302">
        <v>2.1745705747164941</v>
      </c>
      <c r="G1020" s="302">
        <v>7.6220715377711334</v>
      </c>
      <c r="H1020" s="302">
        <f t="shared" si="371"/>
        <v>9.7966421124876284</v>
      </c>
      <c r="I1020" s="303"/>
      <c r="J1020" s="302">
        <v>1.9047211976690179</v>
      </c>
      <c r="K1020" s="302">
        <v>8.2207000179708025</v>
      </c>
      <c r="L1020" s="302">
        <f t="shared" si="372"/>
        <v>10.12542121563982</v>
      </c>
      <c r="M1020" s="236"/>
      <c r="N1020" s="236"/>
    </row>
    <row r="1021" spans="1:14" ht="13.5" customHeight="1" x14ac:dyDescent="0.2">
      <c r="A1021" s="237"/>
      <c r="B1021" s="302"/>
      <c r="C1021" s="302"/>
      <c r="D1021" s="302"/>
      <c r="E1021" s="303"/>
      <c r="F1021" s="302"/>
      <c r="G1021" s="302"/>
      <c r="H1021" s="302"/>
      <c r="I1021" s="303"/>
      <c r="J1021" s="302"/>
      <c r="K1021" s="302"/>
      <c r="L1021" s="302"/>
      <c r="M1021" s="236"/>
      <c r="N1021" s="236"/>
    </row>
    <row r="1022" spans="1:14" x14ac:dyDescent="0.2">
      <c r="A1022" s="244" t="s">
        <v>32</v>
      </c>
      <c r="B1022" s="311">
        <f>SUM(B1012:B1020)</f>
        <v>11.287000000029707</v>
      </c>
      <c r="C1022" s="311">
        <f t="shared" ref="C1022:D1022" si="373">SUM(C1012:C1020)</f>
        <v>15.329000000143377</v>
      </c>
      <c r="D1022" s="311">
        <f t="shared" si="373"/>
        <v>26.616000000173088</v>
      </c>
      <c r="E1022" s="311"/>
      <c r="F1022" s="311">
        <f t="shared" ref="F1022:H1022" si="374">SUM(F1012:F1020)</f>
        <v>10.325999999907033</v>
      </c>
      <c r="G1022" s="311">
        <f t="shared" si="374"/>
        <v>16.104000000019468</v>
      </c>
      <c r="H1022" s="311">
        <f t="shared" si="374"/>
        <v>26.429999999926501</v>
      </c>
      <c r="I1022" s="311"/>
      <c r="J1022" s="311">
        <f t="shared" ref="J1022:L1022" si="375">SUM(J1012:J1020)</f>
        <v>11.058999999969531</v>
      </c>
      <c r="K1022" s="311">
        <f t="shared" si="375"/>
        <v>17.020999999905904</v>
      </c>
      <c r="L1022" s="311">
        <f t="shared" si="375"/>
        <v>28.079999999875433</v>
      </c>
      <c r="M1022" s="236"/>
      <c r="N1022" s="236"/>
    </row>
    <row r="1023" spans="1:14" x14ac:dyDescent="0.2">
      <c r="A1023" s="237"/>
      <c r="B1023" s="237"/>
      <c r="C1023" s="237"/>
      <c r="D1023" s="237"/>
      <c r="E1023" s="237"/>
      <c r="F1023" s="237"/>
      <c r="G1023" s="237"/>
      <c r="H1023" s="237"/>
      <c r="I1023" s="237"/>
      <c r="J1023" s="237"/>
      <c r="K1023" s="237"/>
      <c r="L1023" s="240"/>
      <c r="M1023" s="236"/>
      <c r="N1023" s="236"/>
    </row>
    <row r="1024" spans="1:14" x14ac:dyDescent="0.2">
      <c r="A1024" s="237"/>
      <c r="B1024" s="237"/>
      <c r="C1024" s="237"/>
      <c r="D1024" s="237"/>
      <c r="E1024" s="237"/>
      <c r="F1024" s="237"/>
      <c r="G1024" s="237"/>
      <c r="H1024" s="237"/>
      <c r="I1024" s="237"/>
      <c r="J1024" s="237"/>
      <c r="K1024" s="237"/>
      <c r="L1024" s="256" t="s">
        <v>35</v>
      </c>
      <c r="M1024" s="236"/>
      <c r="N1024" s="236"/>
    </row>
    <row r="1025" spans="1:14" x14ac:dyDescent="0.2">
      <c r="A1025" s="242"/>
      <c r="B1025" s="250"/>
      <c r="C1025" s="250"/>
      <c r="D1025" s="250"/>
      <c r="E1025" s="250"/>
      <c r="F1025" s="250"/>
      <c r="G1025" s="250"/>
      <c r="H1025" s="250"/>
      <c r="I1025" s="250"/>
      <c r="J1025" s="250"/>
      <c r="K1025" s="250"/>
      <c r="L1025" s="236"/>
      <c r="M1025" s="236"/>
      <c r="N1025" s="236"/>
    </row>
    <row r="1026" spans="1:14" x14ac:dyDescent="0.2">
      <c r="A1026" s="241" t="str">
        <f>name!A63</f>
        <v>Travel, etc</v>
      </c>
      <c r="B1026" s="372">
        <f>B$6</f>
        <v>2015</v>
      </c>
      <c r="C1026" s="372"/>
      <c r="D1026" s="372"/>
      <c r="E1026" s="253"/>
      <c r="F1026" s="372">
        <f>F$6</f>
        <v>2020</v>
      </c>
      <c r="G1026" s="372"/>
      <c r="H1026" s="372"/>
      <c r="I1026" s="253"/>
      <c r="J1026" s="372">
        <f>J$6</f>
        <v>2035</v>
      </c>
      <c r="K1026" s="372"/>
      <c r="L1026" s="372"/>
      <c r="M1026" s="236"/>
      <c r="N1026" s="236"/>
    </row>
    <row r="1027" spans="1:14" x14ac:dyDescent="0.2">
      <c r="A1027" s="254"/>
      <c r="B1027" s="255" t="s">
        <v>352</v>
      </c>
      <c r="C1027" s="255" t="s">
        <v>353</v>
      </c>
      <c r="D1027" s="255" t="s">
        <v>32</v>
      </c>
      <c r="E1027" s="255"/>
      <c r="F1027" s="255" t="s">
        <v>352</v>
      </c>
      <c r="G1027" s="255" t="s">
        <v>353</v>
      </c>
      <c r="H1027" s="255" t="s">
        <v>32</v>
      </c>
      <c r="I1027" s="255"/>
      <c r="J1027" s="255" t="s">
        <v>352</v>
      </c>
      <c r="K1027" s="255" t="s">
        <v>353</v>
      </c>
      <c r="L1027" s="255" t="s">
        <v>32</v>
      </c>
      <c r="M1027" s="236"/>
      <c r="N1027" s="236"/>
    </row>
    <row r="1028" spans="1:14" x14ac:dyDescent="0.2">
      <c r="A1028" s="258"/>
      <c r="B1028" s="259"/>
      <c r="C1028" s="259"/>
      <c r="D1028" s="259"/>
      <c r="E1028" s="259"/>
      <c r="F1028" s="259"/>
      <c r="G1028" s="259"/>
      <c r="H1028" s="259"/>
      <c r="I1028" s="259"/>
      <c r="J1028" s="259"/>
      <c r="K1028" s="259"/>
      <c r="L1028" s="259"/>
      <c r="M1028" s="236"/>
      <c r="N1028" s="236"/>
    </row>
    <row r="1029" spans="1:14" x14ac:dyDescent="0.2">
      <c r="A1029" s="237" t="str">
        <f>name!E$4</f>
        <v>Managers, directors and senior officials</v>
      </c>
      <c r="B1029" s="302">
        <v>6.380055589878296E-2</v>
      </c>
      <c r="C1029" s="302">
        <v>0.13347489934986201</v>
      </c>
      <c r="D1029" s="302">
        <f>SUM(B1029:C1029)</f>
        <v>0.19727545524864498</v>
      </c>
      <c r="E1029" s="303"/>
      <c r="F1029" s="302">
        <v>5.9194953342660214E-2</v>
      </c>
      <c r="G1029" s="302">
        <v>0.13935430867943513</v>
      </c>
      <c r="H1029" s="302">
        <f>SUM(F1029:G1029)</f>
        <v>0.19854926202209533</v>
      </c>
      <c r="I1029" s="303"/>
      <c r="J1029" s="302">
        <v>7.1503153134732697E-2</v>
      </c>
      <c r="K1029" s="302">
        <v>0.15402482109368146</v>
      </c>
      <c r="L1029" s="302">
        <f>SUM(J1029:K1029)</f>
        <v>0.22552797422841414</v>
      </c>
      <c r="M1029" s="236"/>
      <c r="N1029" s="236"/>
    </row>
    <row r="1030" spans="1:14" x14ac:dyDescent="0.2">
      <c r="A1030" s="237" t="str">
        <f>name!E$5</f>
        <v>Professional occupations</v>
      </c>
      <c r="B1030" s="302">
        <v>4.0638116267359553E-2</v>
      </c>
      <c r="C1030" s="302">
        <v>8.2145299213187001E-2</v>
      </c>
      <c r="D1030" s="302">
        <f t="shared" ref="D1030:D1037" si="376">SUM(B1030:C1030)</f>
        <v>0.12278341548054655</v>
      </c>
      <c r="E1030" s="303"/>
      <c r="F1030" s="302">
        <v>4.3922703086575615E-2</v>
      </c>
      <c r="G1030" s="302">
        <v>9.3310101216643293E-2</v>
      </c>
      <c r="H1030" s="302">
        <f t="shared" ref="H1030:H1037" si="377">SUM(F1030:G1030)</f>
        <v>0.13723280430321891</v>
      </c>
      <c r="I1030" s="303"/>
      <c r="J1030" s="302">
        <v>6.0111354024740722E-2</v>
      </c>
      <c r="K1030" s="302">
        <v>0.1272490353366808</v>
      </c>
      <c r="L1030" s="302">
        <f t="shared" ref="L1030:L1037" si="378">SUM(J1030:K1030)</f>
        <v>0.18736038936142152</v>
      </c>
      <c r="M1030" s="236"/>
      <c r="N1030" s="236"/>
    </row>
    <row r="1031" spans="1:14" x14ac:dyDescent="0.2">
      <c r="A1031" s="237" t="str">
        <f>name!E$6</f>
        <v>Associate professional occupations</v>
      </c>
      <c r="B1031" s="302">
        <v>5.6213203820536184E-2</v>
      </c>
      <c r="C1031" s="302">
        <v>6.6293158978235914E-2</v>
      </c>
      <c r="D1031" s="302">
        <f t="shared" si="376"/>
        <v>0.1225063627987721</v>
      </c>
      <c r="E1031" s="303"/>
      <c r="F1031" s="302">
        <v>5.2003728404409401E-2</v>
      </c>
      <c r="G1031" s="302">
        <v>6.7393796258936919E-2</v>
      </c>
      <c r="H1031" s="302">
        <f t="shared" si="377"/>
        <v>0.11939752466334633</v>
      </c>
      <c r="I1031" s="303"/>
      <c r="J1031" s="302">
        <v>6.5847671093125254E-2</v>
      </c>
      <c r="K1031" s="302">
        <v>6.7116418002570885E-2</v>
      </c>
      <c r="L1031" s="302">
        <f t="shared" si="378"/>
        <v>0.13296408909569613</v>
      </c>
      <c r="M1031" s="236"/>
      <c r="N1031" s="236"/>
    </row>
    <row r="1032" spans="1:14" x14ac:dyDescent="0.2">
      <c r="A1032" s="237" t="str">
        <f>name!E$7</f>
        <v>Administrative and secretarial occupations</v>
      </c>
      <c r="B1032" s="302">
        <v>0.26635918876819131</v>
      </c>
      <c r="C1032" s="302">
        <v>0.1008052512592553</v>
      </c>
      <c r="D1032" s="302">
        <f t="shared" si="376"/>
        <v>0.36716444002744664</v>
      </c>
      <c r="E1032" s="303"/>
      <c r="F1032" s="302">
        <v>0.20147493807377187</v>
      </c>
      <c r="G1032" s="302">
        <v>9.8020734563012316E-2</v>
      </c>
      <c r="H1032" s="302">
        <f t="shared" si="377"/>
        <v>0.29949567263678417</v>
      </c>
      <c r="I1032" s="303"/>
      <c r="J1032" s="302">
        <v>0.1797892635245868</v>
      </c>
      <c r="K1032" s="302">
        <v>0.10198850144353197</v>
      </c>
      <c r="L1032" s="302">
        <f t="shared" si="378"/>
        <v>0.28177776496811879</v>
      </c>
      <c r="M1032" s="236"/>
      <c r="N1032" s="236"/>
    </row>
    <row r="1033" spans="1:14" x14ac:dyDescent="0.2">
      <c r="A1033" s="237" t="str">
        <f>name!E$8</f>
        <v>Skilled trades occupations</v>
      </c>
      <c r="B1033" s="302">
        <v>9.3107137966172739E-3</v>
      </c>
      <c r="C1033" s="302">
        <v>6.5015681988018048E-2</v>
      </c>
      <c r="D1033" s="302">
        <f t="shared" si="376"/>
        <v>7.4326395784635318E-2</v>
      </c>
      <c r="E1033" s="303"/>
      <c r="F1033" s="302">
        <v>6.5521738508415566E-3</v>
      </c>
      <c r="G1033" s="302">
        <v>3.8694300117437755E-2</v>
      </c>
      <c r="H1033" s="302">
        <f t="shared" si="377"/>
        <v>4.5246473968279313E-2</v>
      </c>
      <c r="I1033" s="303"/>
      <c r="J1033" s="302">
        <v>1.0809742818402721E-2</v>
      </c>
      <c r="K1033" s="302">
        <v>4.4284720948276783E-2</v>
      </c>
      <c r="L1033" s="302">
        <f t="shared" si="378"/>
        <v>5.5094463766679508E-2</v>
      </c>
      <c r="M1033" s="236"/>
      <c r="N1033" s="236"/>
    </row>
    <row r="1034" spans="1:14" x14ac:dyDescent="0.2">
      <c r="A1034" s="237" t="str">
        <f>name!E$9</f>
        <v>Caring, leisure and other service occupations</v>
      </c>
      <c r="B1034" s="302">
        <v>0.70036725131977451</v>
      </c>
      <c r="C1034" s="302">
        <v>0.11374854309253045</v>
      </c>
      <c r="D1034" s="302">
        <f t="shared" si="376"/>
        <v>0.81411579441230497</v>
      </c>
      <c r="E1034" s="303"/>
      <c r="F1034" s="302">
        <v>0.40940176778306359</v>
      </c>
      <c r="G1034" s="302">
        <v>9.4603099516095746E-2</v>
      </c>
      <c r="H1034" s="302">
        <f t="shared" si="377"/>
        <v>0.50400486729915928</v>
      </c>
      <c r="I1034" s="303"/>
      <c r="J1034" s="302">
        <v>0.41419429970433475</v>
      </c>
      <c r="K1034" s="302">
        <v>0.11220289013698072</v>
      </c>
      <c r="L1034" s="302">
        <f t="shared" si="378"/>
        <v>0.52639718984131545</v>
      </c>
      <c r="M1034" s="236"/>
      <c r="N1034" s="236"/>
    </row>
    <row r="1035" spans="1:14" x14ac:dyDescent="0.2">
      <c r="A1035" s="237" t="str">
        <f>name!E$10</f>
        <v>Sales and customer service occupations</v>
      </c>
      <c r="B1035" s="302">
        <v>0.15767062693839523</v>
      </c>
      <c r="C1035" s="302">
        <v>9.6113978576570613E-2</v>
      </c>
      <c r="D1035" s="302">
        <f t="shared" si="376"/>
        <v>0.25378460551496584</v>
      </c>
      <c r="E1035" s="303"/>
      <c r="F1035" s="302">
        <v>0.11202616572068348</v>
      </c>
      <c r="G1035" s="302">
        <v>7.0113509702786972E-2</v>
      </c>
      <c r="H1035" s="302">
        <f t="shared" si="377"/>
        <v>0.18213967542347045</v>
      </c>
      <c r="I1035" s="303"/>
      <c r="J1035" s="302">
        <v>0.14035115868651904</v>
      </c>
      <c r="K1035" s="302">
        <v>8.2749948086013339E-2</v>
      </c>
      <c r="L1035" s="302">
        <f t="shared" si="378"/>
        <v>0.22310110677253236</v>
      </c>
      <c r="M1035" s="236"/>
      <c r="N1035" s="236"/>
    </row>
    <row r="1036" spans="1:14" x14ac:dyDescent="0.2">
      <c r="A1036" s="237" t="str">
        <f>name!E$11</f>
        <v>Process, plant and machine operatives</v>
      </c>
      <c r="B1036" s="302">
        <v>2.1903439380428019E-2</v>
      </c>
      <c r="C1036" s="302">
        <v>0.5226170682938186</v>
      </c>
      <c r="D1036" s="302">
        <f t="shared" si="376"/>
        <v>0.54452050767424665</v>
      </c>
      <c r="E1036" s="303"/>
      <c r="F1036" s="302">
        <v>1.4820892004761995E-2</v>
      </c>
      <c r="G1036" s="302">
        <v>0.39425861535851764</v>
      </c>
      <c r="H1036" s="302">
        <f t="shared" si="377"/>
        <v>0.40907950736327964</v>
      </c>
      <c r="I1036" s="303"/>
      <c r="J1036" s="302">
        <v>3.2540608862170972E-2</v>
      </c>
      <c r="K1036" s="302">
        <v>0.43045928297998709</v>
      </c>
      <c r="L1036" s="302">
        <f t="shared" si="378"/>
        <v>0.46299989184215806</v>
      </c>
      <c r="M1036" s="236"/>
      <c r="N1036" s="236"/>
    </row>
    <row r="1037" spans="1:14" x14ac:dyDescent="0.2">
      <c r="A1037" s="237" t="str">
        <f>name!E$12</f>
        <v>Elementary occupations</v>
      </c>
      <c r="B1037" s="302">
        <v>8.6736903816476724E-2</v>
      </c>
      <c r="C1037" s="302">
        <v>0.53378611926322661</v>
      </c>
      <c r="D1037" s="302">
        <f t="shared" si="376"/>
        <v>0.62052302307970331</v>
      </c>
      <c r="E1037" s="303"/>
      <c r="F1037" s="302">
        <v>5.4602677720869706E-2</v>
      </c>
      <c r="G1037" s="302">
        <v>0.34925153458874658</v>
      </c>
      <c r="H1037" s="302">
        <f t="shared" si="377"/>
        <v>0.40385421230961627</v>
      </c>
      <c r="I1037" s="303"/>
      <c r="J1037" s="302">
        <v>5.0852748149163775E-2</v>
      </c>
      <c r="K1037" s="302">
        <v>0.30292438196343457</v>
      </c>
      <c r="L1037" s="302">
        <f t="shared" si="378"/>
        <v>0.35377713011259837</v>
      </c>
      <c r="M1037" s="236"/>
      <c r="N1037" s="236"/>
    </row>
    <row r="1038" spans="1:14" x14ac:dyDescent="0.2">
      <c r="A1038" s="237"/>
      <c r="B1038" s="302"/>
      <c r="C1038" s="302"/>
      <c r="D1038" s="302"/>
      <c r="E1038" s="303"/>
      <c r="F1038" s="302"/>
      <c r="G1038" s="302"/>
      <c r="H1038" s="302"/>
      <c r="I1038" s="303"/>
      <c r="J1038" s="302"/>
      <c r="K1038" s="302"/>
      <c r="L1038" s="302"/>
      <c r="M1038" s="236"/>
      <c r="N1038" s="236"/>
    </row>
    <row r="1039" spans="1:14" x14ac:dyDescent="0.2">
      <c r="A1039" s="244" t="s">
        <v>32</v>
      </c>
      <c r="B1039" s="311">
        <f>SUM(B1029:B1037)</f>
        <v>1.4030000000065617</v>
      </c>
      <c r="C1039" s="311">
        <f t="shared" ref="C1039:D1039" si="379">SUM(C1029:C1037)</f>
        <v>1.7140000000147042</v>
      </c>
      <c r="D1039" s="311">
        <f t="shared" si="379"/>
        <v>3.1170000000212661</v>
      </c>
      <c r="E1039" s="311"/>
      <c r="F1039" s="311">
        <f t="shared" ref="F1039:H1039" si="380">SUM(F1029:F1037)</f>
        <v>0.9539999999876374</v>
      </c>
      <c r="G1039" s="311">
        <f t="shared" si="380"/>
        <v>1.3450000000016122</v>
      </c>
      <c r="H1039" s="311">
        <f t="shared" si="380"/>
        <v>2.2989999999892499</v>
      </c>
      <c r="I1039" s="311"/>
      <c r="J1039" s="311">
        <f t="shared" ref="J1039:L1039" si="381">SUM(J1029:J1037)</f>
        <v>1.0259999999977769</v>
      </c>
      <c r="K1039" s="311">
        <f t="shared" si="381"/>
        <v>1.4229999999911578</v>
      </c>
      <c r="L1039" s="311">
        <f t="shared" si="381"/>
        <v>2.4489999999889345</v>
      </c>
      <c r="M1039" s="236"/>
      <c r="N1039" s="236"/>
    </row>
    <row r="1040" spans="1:14" x14ac:dyDescent="0.2">
      <c r="A1040" s="237"/>
      <c r="B1040" s="237"/>
      <c r="C1040" s="237"/>
      <c r="D1040" s="237"/>
      <c r="E1040" s="237"/>
      <c r="F1040" s="237"/>
      <c r="G1040" s="237"/>
      <c r="H1040" s="237"/>
      <c r="I1040" s="237"/>
      <c r="J1040" s="237"/>
      <c r="K1040" s="237"/>
      <c r="L1040" s="240"/>
      <c r="M1040" s="236"/>
      <c r="N1040" s="236"/>
    </row>
    <row r="1041" spans="1:14" x14ac:dyDescent="0.2">
      <c r="A1041" s="237"/>
      <c r="B1041" s="237"/>
      <c r="C1041" s="237"/>
      <c r="D1041" s="237"/>
      <c r="E1041" s="237"/>
      <c r="F1041" s="237"/>
      <c r="G1041" s="237"/>
      <c r="H1041" s="237"/>
      <c r="I1041" s="237"/>
      <c r="J1041" s="237"/>
      <c r="K1041" s="237"/>
      <c r="L1041" s="256" t="s">
        <v>35</v>
      </c>
      <c r="M1041" s="236"/>
      <c r="N1041" s="236"/>
    </row>
    <row r="1042" spans="1:14" x14ac:dyDescent="0.2">
      <c r="A1042" s="242"/>
      <c r="B1042" s="250"/>
      <c r="C1042" s="250"/>
      <c r="D1042" s="250"/>
      <c r="E1042" s="250"/>
      <c r="F1042" s="250"/>
      <c r="G1042" s="250"/>
      <c r="H1042" s="250"/>
      <c r="I1042" s="250"/>
      <c r="J1042" s="250"/>
      <c r="K1042" s="250"/>
      <c r="L1042" s="236"/>
      <c r="M1042" s="236"/>
      <c r="N1042" s="236"/>
    </row>
    <row r="1043" spans="1:14" x14ac:dyDescent="0.2">
      <c r="A1043" s="241" t="str">
        <f>name!A64</f>
        <v>Security, etc</v>
      </c>
      <c r="B1043" s="372">
        <f>B$6</f>
        <v>2015</v>
      </c>
      <c r="C1043" s="372"/>
      <c r="D1043" s="372"/>
      <c r="E1043" s="253"/>
      <c r="F1043" s="372">
        <f>F$6</f>
        <v>2020</v>
      </c>
      <c r="G1043" s="372"/>
      <c r="H1043" s="372"/>
      <c r="I1043" s="253"/>
      <c r="J1043" s="372">
        <f>J$6</f>
        <v>2035</v>
      </c>
      <c r="K1043" s="372"/>
      <c r="L1043" s="372"/>
      <c r="M1043" s="236"/>
      <c r="N1043" s="236"/>
    </row>
    <row r="1044" spans="1:14" x14ac:dyDescent="0.2">
      <c r="A1044" s="254"/>
      <c r="B1044" s="255" t="s">
        <v>352</v>
      </c>
      <c r="C1044" s="255" t="s">
        <v>353</v>
      </c>
      <c r="D1044" s="255" t="s">
        <v>32</v>
      </c>
      <c r="E1044" s="255"/>
      <c r="F1044" s="255" t="s">
        <v>352</v>
      </c>
      <c r="G1044" s="255" t="s">
        <v>353</v>
      </c>
      <c r="H1044" s="255" t="s">
        <v>32</v>
      </c>
      <c r="I1044" s="255"/>
      <c r="J1044" s="255" t="s">
        <v>352</v>
      </c>
      <c r="K1044" s="255" t="s">
        <v>353</v>
      </c>
      <c r="L1044" s="255" t="s">
        <v>32</v>
      </c>
      <c r="M1044" s="236"/>
      <c r="N1044" s="236"/>
    </row>
    <row r="1045" spans="1:14" x14ac:dyDescent="0.2">
      <c r="A1045" s="258"/>
      <c r="B1045" s="259"/>
      <c r="C1045" s="259"/>
      <c r="D1045" s="259"/>
      <c r="E1045" s="259"/>
      <c r="F1045" s="259"/>
      <c r="G1045" s="259"/>
      <c r="H1045" s="259"/>
      <c r="I1045" s="259"/>
      <c r="J1045" s="259"/>
      <c r="K1045" s="259"/>
      <c r="L1045" s="259"/>
      <c r="M1045" s="236"/>
      <c r="N1045" s="236"/>
    </row>
    <row r="1046" spans="1:14" x14ac:dyDescent="0.2">
      <c r="A1046" s="237" t="str">
        <f>name!E$4</f>
        <v>Managers, directors and senior officials</v>
      </c>
      <c r="B1046" s="302">
        <v>7.8247103128297524E-2</v>
      </c>
      <c r="C1046" s="302">
        <v>0.12212916202285942</v>
      </c>
      <c r="D1046" s="302">
        <f>SUM(B1046:C1046)</f>
        <v>0.20037626515115695</v>
      </c>
      <c r="E1046" s="303"/>
      <c r="F1046" s="302">
        <v>0.14643397777778178</v>
      </c>
      <c r="G1046" s="302">
        <v>0.26709313891867059</v>
      </c>
      <c r="H1046" s="302">
        <f>SUM(F1046:G1046)</f>
        <v>0.41352711669645237</v>
      </c>
      <c r="I1046" s="303"/>
      <c r="J1046" s="302">
        <v>0.16335280205348135</v>
      </c>
      <c r="K1046" s="302">
        <v>0.27491098946930115</v>
      </c>
      <c r="L1046" s="302">
        <f>SUM(J1046:K1046)</f>
        <v>0.4382637915227825</v>
      </c>
      <c r="M1046" s="236"/>
      <c r="N1046" s="236"/>
    </row>
    <row r="1047" spans="1:14" x14ac:dyDescent="0.2">
      <c r="A1047" s="237" t="str">
        <f>name!E$5</f>
        <v>Professional occupations</v>
      </c>
      <c r="B1047" s="302">
        <v>0.13853247786853043</v>
      </c>
      <c r="C1047" s="302">
        <v>0.12450678002586781</v>
      </c>
      <c r="D1047" s="302">
        <f t="shared" ref="D1047:D1054" si="382">SUM(B1047:C1047)</f>
        <v>0.26303925789439825</v>
      </c>
      <c r="E1047" s="303"/>
      <c r="F1047" s="302">
        <v>0.28002118508828294</v>
      </c>
      <c r="G1047" s="302">
        <v>0.27000946722123037</v>
      </c>
      <c r="H1047" s="302">
        <f t="shared" ref="H1047:H1054" si="383">SUM(F1047:G1047)</f>
        <v>0.55003065230951331</v>
      </c>
      <c r="I1047" s="303"/>
      <c r="J1047" s="302">
        <v>0.3526966929842314</v>
      </c>
      <c r="K1047" s="302">
        <v>0.27292423689118117</v>
      </c>
      <c r="L1047" s="302">
        <f t="shared" ref="L1047:L1054" si="384">SUM(J1047:K1047)</f>
        <v>0.62562092987541251</v>
      </c>
      <c r="M1047" s="236"/>
      <c r="N1047" s="236"/>
    </row>
    <row r="1048" spans="1:14" x14ac:dyDescent="0.2">
      <c r="A1048" s="237" t="str">
        <f>name!E$6</f>
        <v>Associate professional occupations</v>
      </c>
      <c r="B1048" s="302">
        <v>0.21800541082967734</v>
      </c>
      <c r="C1048" s="302">
        <v>0.22755817565697031</v>
      </c>
      <c r="D1048" s="302">
        <f t="shared" si="382"/>
        <v>0.44556358648664762</v>
      </c>
      <c r="E1048" s="303"/>
      <c r="F1048" s="302">
        <v>0.40408048772588734</v>
      </c>
      <c r="G1048" s="302">
        <v>0.45970650182727846</v>
      </c>
      <c r="H1048" s="302">
        <f t="shared" si="383"/>
        <v>0.8637869895531658</v>
      </c>
      <c r="I1048" s="303"/>
      <c r="J1048" s="302">
        <v>0.45723400998248748</v>
      </c>
      <c r="K1048" s="302">
        <v>0.3961415830475869</v>
      </c>
      <c r="L1048" s="302">
        <f t="shared" si="384"/>
        <v>0.85337559303007438</v>
      </c>
      <c r="M1048" s="236"/>
      <c r="N1048" s="236"/>
    </row>
    <row r="1049" spans="1:14" x14ac:dyDescent="0.2">
      <c r="A1049" s="237" t="str">
        <f>name!E$7</f>
        <v>Administrative and secretarial occupations</v>
      </c>
      <c r="B1049" s="302">
        <v>0.6909987458018686</v>
      </c>
      <c r="C1049" s="302">
        <v>0.27326387147129522</v>
      </c>
      <c r="D1049" s="302">
        <f t="shared" si="382"/>
        <v>0.96426261727316387</v>
      </c>
      <c r="E1049" s="303"/>
      <c r="F1049" s="302">
        <v>1.072537115726504</v>
      </c>
      <c r="G1049" s="302">
        <v>0.51202014476247304</v>
      </c>
      <c r="H1049" s="302">
        <f t="shared" si="383"/>
        <v>1.584557260488977</v>
      </c>
      <c r="I1049" s="303"/>
      <c r="J1049" s="302">
        <v>1.0323104075701919</v>
      </c>
      <c r="K1049" s="302">
        <v>0.58298095167280561</v>
      </c>
      <c r="L1049" s="302">
        <f t="shared" si="384"/>
        <v>1.6152913592429976</v>
      </c>
      <c r="M1049" s="236"/>
      <c r="N1049" s="236"/>
    </row>
    <row r="1050" spans="1:14" x14ac:dyDescent="0.2">
      <c r="A1050" s="237" t="str">
        <f>name!E$8</f>
        <v>Skilled trades occupations</v>
      </c>
      <c r="B1050" s="302">
        <v>1.5987285164729505E-2</v>
      </c>
      <c r="C1050" s="302">
        <v>0.1521359528129495</v>
      </c>
      <c r="D1050" s="302">
        <f t="shared" si="382"/>
        <v>0.168123237977679</v>
      </c>
      <c r="E1050" s="303"/>
      <c r="F1050" s="302">
        <v>2.6276849678648472E-2</v>
      </c>
      <c r="G1050" s="302">
        <v>0.23305151158615195</v>
      </c>
      <c r="H1050" s="302">
        <f t="shared" si="383"/>
        <v>0.25932836126480041</v>
      </c>
      <c r="I1050" s="303"/>
      <c r="J1050" s="302">
        <v>3.8761069809860868E-2</v>
      </c>
      <c r="K1050" s="302">
        <v>0.18283957306965357</v>
      </c>
      <c r="L1050" s="302">
        <f t="shared" si="384"/>
        <v>0.22160064287951442</v>
      </c>
      <c r="M1050" s="236"/>
      <c r="N1050" s="236"/>
    </row>
    <row r="1051" spans="1:14" x14ac:dyDescent="0.2">
      <c r="A1051" s="237" t="str">
        <f>name!E$9</f>
        <v>Caring, leisure and other service occupations</v>
      </c>
      <c r="B1051" s="302">
        <v>0.20812511644844531</v>
      </c>
      <c r="C1051" s="302">
        <v>0.11548764807850992</v>
      </c>
      <c r="D1051" s="302">
        <f t="shared" si="382"/>
        <v>0.3236127645269552</v>
      </c>
      <c r="E1051" s="303"/>
      <c r="F1051" s="302">
        <v>0.34171733770253415</v>
      </c>
      <c r="G1051" s="302">
        <v>0.25350433134418043</v>
      </c>
      <c r="H1051" s="302">
        <f t="shared" si="383"/>
        <v>0.59522166904671459</v>
      </c>
      <c r="I1051" s="303"/>
      <c r="J1051" s="302">
        <v>0.38067751197587257</v>
      </c>
      <c r="K1051" s="302">
        <v>0.29056545682421309</v>
      </c>
      <c r="L1051" s="302">
        <f t="shared" si="384"/>
        <v>0.6712429688000856</v>
      </c>
      <c r="M1051" s="236"/>
      <c r="N1051" s="236"/>
    </row>
    <row r="1052" spans="1:14" x14ac:dyDescent="0.2">
      <c r="A1052" s="237" t="str">
        <f>name!E$10</f>
        <v>Sales and customer service occupations</v>
      </c>
      <c r="B1052" s="302">
        <v>0.24278837900494274</v>
      </c>
      <c r="C1052" s="302">
        <v>0.31536862990290182</v>
      </c>
      <c r="D1052" s="302">
        <f t="shared" si="382"/>
        <v>0.55815700890784459</v>
      </c>
      <c r="E1052" s="303"/>
      <c r="F1052" s="302">
        <v>0.41760587430062712</v>
      </c>
      <c r="G1052" s="302">
        <v>0.53379616350130055</v>
      </c>
      <c r="H1052" s="302">
        <f t="shared" si="383"/>
        <v>0.95140203780192767</v>
      </c>
      <c r="I1052" s="303"/>
      <c r="J1052" s="302">
        <v>0.6300605255930033</v>
      </c>
      <c r="K1052" s="302">
        <v>0.65847090086952786</v>
      </c>
      <c r="L1052" s="302">
        <f t="shared" si="384"/>
        <v>1.2885314264625312</v>
      </c>
      <c r="M1052" s="236"/>
      <c r="N1052" s="236"/>
    </row>
    <row r="1053" spans="1:14" x14ac:dyDescent="0.2">
      <c r="A1053" s="237" t="str">
        <f>name!E$11</f>
        <v>Process, plant and machine operatives</v>
      </c>
      <c r="B1053" s="302">
        <v>3.0460321712504311E-2</v>
      </c>
      <c r="C1053" s="302">
        <v>0.22076916406799182</v>
      </c>
      <c r="D1053" s="302">
        <f t="shared" si="382"/>
        <v>0.25122948578049614</v>
      </c>
      <c r="E1053" s="303"/>
      <c r="F1053" s="302">
        <v>3.7177919979295225E-2</v>
      </c>
      <c r="G1053" s="302">
        <v>0.34785594131157938</v>
      </c>
      <c r="H1053" s="302">
        <f t="shared" si="383"/>
        <v>0.38503386129087458</v>
      </c>
      <c r="I1053" s="303"/>
      <c r="J1053" s="302">
        <v>7.8110248712568581E-2</v>
      </c>
      <c r="K1053" s="302">
        <v>0.33150464167960719</v>
      </c>
      <c r="L1053" s="302">
        <f t="shared" si="384"/>
        <v>0.4096148903921758</v>
      </c>
      <c r="M1053" s="236"/>
      <c r="N1053" s="236"/>
    </row>
    <row r="1054" spans="1:14" x14ac:dyDescent="0.2">
      <c r="A1054" s="237" t="str">
        <f>name!E$12</f>
        <v>Elementary occupations</v>
      </c>
      <c r="B1054" s="302">
        <v>0.65185516005103872</v>
      </c>
      <c r="C1054" s="302">
        <v>1.7607806159909791</v>
      </c>
      <c r="D1054" s="302">
        <f t="shared" si="382"/>
        <v>2.4126357760420181</v>
      </c>
      <c r="E1054" s="303"/>
      <c r="F1054" s="302">
        <v>0.9581492519969238</v>
      </c>
      <c r="G1054" s="302">
        <v>2.6979627995343174</v>
      </c>
      <c r="H1054" s="302">
        <f t="shared" si="383"/>
        <v>3.6561120515312413</v>
      </c>
      <c r="I1054" s="303"/>
      <c r="J1054" s="302">
        <v>0.72979673131209111</v>
      </c>
      <c r="K1054" s="302">
        <v>2.896661666445969</v>
      </c>
      <c r="L1054" s="302">
        <f t="shared" si="384"/>
        <v>3.6264583977580602</v>
      </c>
      <c r="M1054" s="236"/>
      <c r="N1054" s="236"/>
    </row>
    <row r="1055" spans="1:14" x14ac:dyDescent="0.2">
      <c r="A1055" s="237"/>
      <c r="B1055" s="302"/>
      <c r="C1055" s="302"/>
      <c r="D1055" s="302"/>
      <c r="E1055" s="303"/>
      <c r="F1055" s="302"/>
      <c r="G1055" s="302"/>
      <c r="H1055" s="302"/>
      <c r="I1055" s="303"/>
      <c r="J1055" s="302"/>
      <c r="K1055" s="302"/>
      <c r="L1055" s="302"/>
      <c r="M1055" s="236"/>
      <c r="N1055" s="236"/>
    </row>
    <row r="1056" spans="1:14" x14ac:dyDescent="0.2">
      <c r="A1056" s="244" t="s">
        <v>32</v>
      </c>
      <c r="B1056" s="311">
        <f>SUM(B1046:B1054)</f>
        <v>2.2750000000100346</v>
      </c>
      <c r="C1056" s="311">
        <f t="shared" ref="C1056:D1056" si="385">SUM(C1046:C1054)</f>
        <v>3.3120000000303249</v>
      </c>
      <c r="D1056" s="311">
        <f t="shared" si="385"/>
        <v>5.5870000000403603</v>
      </c>
      <c r="E1056" s="311"/>
      <c r="F1056" s="311">
        <f t="shared" ref="F1056:H1056" si="386">SUM(F1046:F1054)</f>
        <v>3.6839999999764848</v>
      </c>
      <c r="G1056" s="311">
        <f t="shared" si="386"/>
        <v>5.575000000007182</v>
      </c>
      <c r="H1056" s="311">
        <f t="shared" si="386"/>
        <v>9.2589999999836667</v>
      </c>
      <c r="I1056" s="311"/>
      <c r="J1056" s="311">
        <f t="shared" ref="J1056:L1056" si="387">SUM(J1046:J1054)</f>
        <v>3.8629999999937885</v>
      </c>
      <c r="K1056" s="311">
        <f t="shared" si="387"/>
        <v>5.886999999969845</v>
      </c>
      <c r="L1056" s="311">
        <f t="shared" si="387"/>
        <v>9.7499999999636344</v>
      </c>
      <c r="M1056" s="236"/>
      <c r="N1056" s="236"/>
    </row>
    <row r="1057" spans="1:14" x14ac:dyDescent="0.2">
      <c r="A1057" s="237"/>
      <c r="B1057" s="237"/>
      <c r="C1057" s="237"/>
      <c r="D1057" s="237"/>
      <c r="E1057" s="237"/>
      <c r="F1057" s="237"/>
      <c r="G1057" s="237"/>
      <c r="H1057" s="237"/>
      <c r="I1057" s="237"/>
      <c r="J1057" s="237"/>
      <c r="K1057" s="237"/>
      <c r="L1057" s="240"/>
      <c r="M1057" s="236"/>
      <c r="N1057" s="236"/>
    </row>
    <row r="1058" spans="1:14" x14ac:dyDescent="0.2">
      <c r="A1058" s="237"/>
      <c r="B1058" s="237"/>
      <c r="C1058" s="237"/>
      <c r="D1058" s="237"/>
      <c r="E1058" s="237"/>
      <c r="F1058" s="237"/>
      <c r="G1058" s="237"/>
      <c r="H1058" s="237"/>
      <c r="I1058" s="237"/>
      <c r="J1058" s="237"/>
      <c r="K1058" s="237"/>
      <c r="L1058" s="256" t="s">
        <v>35</v>
      </c>
      <c r="M1058" s="236"/>
      <c r="N1058" s="236"/>
    </row>
    <row r="1059" spans="1:14" x14ac:dyDescent="0.2">
      <c r="A1059" s="242"/>
      <c r="B1059" s="250"/>
      <c r="C1059" s="250"/>
      <c r="D1059" s="250"/>
      <c r="E1059" s="250"/>
      <c r="F1059" s="250"/>
      <c r="G1059" s="250"/>
      <c r="H1059" s="250"/>
      <c r="I1059" s="250"/>
      <c r="J1059" s="250"/>
      <c r="K1059" s="250"/>
      <c r="L1059" s="236"/>
      <c r="M1059" s="236"/>
      <c r="N1059" s="236"/>
    </row>
    <row r="1060" spans="1:14" x14ac:dyDescent="0.2">
      <c r="A1060" s="241" t="str">
        <f>name!A65</f>
        <v>Services to buildings</v>
      </c>
      <c r="B1060" s="372">
        <f>B$6</f>
        <v>2015</v>
      </c>
      <c r="C1060" s="372"/>
      <c r="D1060" s="372"/>
      <c r="E1060" s="253"/>
      <c r="F1060" s="372">
        <f>F$6</f>
        <v>2020</v>
      </c>
      <c r="G1060" s="372"/>
      <c r="H1060" s="372"/>
      <c r="I1060" s="253"/>
      <c r="J1060" s="372">
        <f>J$6</f>
        <v>2035</v>
      </c>
      <c r="K1060" s="372"/>
      <c r="L1060" s="372"/>
      <c r="M1060" s="236"/>
      <c r="N1060" s="236"/>
    </row>
    <row r="1061" spans="1:14" x14ac:dyDescent="0.2">
      <c r="A1061" s="254"/>
      <c r="B1061" s="255" t="s">
        <v>352</v>
      </c>
      <c r="C1061" s="255" t="s">
        <v>353</v>
      </c>
      <c r="D1061" s="255" t="s">
        <v>32</v>
      </c>
      <c r="E1061" s="255"/>
      <c r="F1061" s="255" t="s">
        <v>352</v>
      </c>
      <c r="G1061" s="255" t="s">
        <v>353</v>
      </c>
      <c r="H1061" s="255" t="s">
        <v>32</v>
      </c>
      <c r="I1061" s="255"/>
      <c r="J1061" s="255" t="s">
        <v>352</v>
      </c>
      <c r="K1061" s="255" t="s">
        <v>353</v>
      </c>
      <c r="L1061" s="255" t="s">
        <v>32</v>
      </c>
      <c r="M1061" s="236"/>
      <c r="N1061" s="236"/>
    </row>
    <row r="1062" spans="1:14" x14ac:dyDescent="0.2">
      <c r="A1062" s="258"/>
      <c r="B1062" s="259"/>
      <c r="C1062" s="259"/>
      <c r="D1062" s="259"/>
      <c r="E1062" s="259"/>
      <c r="F1062" s="259"/>
      <c r="G1062" s="259"/>
      <c r="H1062" s="259"/>
      <c r="I1062" s="259"/>
      <c r="J1062" s="259"/>
      <c r="K1062" s="259"/>
      <c r="L1062" s="259"/>
      <c r="M1062" s="236"/>
      <c r="N1062" s="236"/>
    </row>
    <row r="1063" spans="1:14" x14ac:dyDescent="0.2">
      <c r="A1063" s="237" t="str">
        <f>name!E$4</f>
        <v>Managers, directors and senior officials</v>
      </c>
      <c r="B1063" s="302">
        <v>0.90410435186280125</v>
      </c>
      <c r="C1063" s="302">
        <v>0.44568348759209203</v>
      </c>
      <c r="D1063" s="302">
        <f>SUM(B1063:C1063)</f>
        <v>1.3497878394548932</v>
      </c>
      <c r="E1063" s="303"/>
      <c r="F1063" s="302">
        <v>0.93929373446763276</v>
      </c>
      <c r="G1063" s="302">
        <v>0.63179265051541256</v>
      </c>
      <c r="H1063" s="302">
        <f>SUM(F1063:G1063)</f>
        <v>1.5710863849830452</v>
      </c>
      <c r="I1063" s="303"/>
      <c r="J1063" s="302">
        <v>1.1064293381737544</v>
      </c>
      <c r="K1063" s="302">
        <v>0.7376773511343746</v>
      </c>
      <c r="L1063" s="302">
        <f>SUM(J1063:K1063)</f>
        <v>1.844106689308129</v>
      </c>
      <c r="M1063" s="236"/>
      <c r="N1063" s="236"/>
    </row>
    <row r="1064" spans="1:14" x14ac:dyDescent="0.2">
      <c r="A1064" s="237" t="str">
        <f>name!E$5</f>
        <v>Professional occupations</v>
      </c>
      <c r="B1064" s="302">
        <v>1.7054553239739005</v>
      </c>
      <c r="C1064" s="302">
        <v>0.45522343363165563</v>
      </c>
      <c r="D1064" s="302">
        <f t="shared" ref="D1064:D1071" si="388">SUM(B1064:C1064)</f>
        <v>2.1606787576055559</v>
      </c>
      <c r="E1064" s="303"/>
      <c r="F1064" s="302">
        <v>1.8462675683026177</v>
      </c>
      <c r="G1064" s="302">
        <v>0.68884310792261205</v>
      </c>
      <c r="H1064" s="302">
        <f t="shared" ref="H1064:H1071" si="389">SUM(F1064:G1064)</f>
        <v>2.53511067622523</v>
      </c>
      <c r="I1064" s="303"/>
      <c r="J1064" s="302">
        <v>2.1458317327364531</v>
      </c>
      <c r="K1064" s="302">
        <v>0.7951502726027796</v>
      </c>
      <c r="L1064" s="302">
        <f t="shared" ref="L1064:L1071" si="390">SUM(J1064:K1064)</f>
        <v>2.9409820053392326</v>
      </c>
      <c r="M1064" s="236"/>
      <c r="N1064" s="236"/>
    </row>
    <row r="1065" spans="1:14" x14ac:dyDescent="0.2">
      <c r="A1065" s="237" t="str">
        <f>name!E$6</f>
        <v>Associate professional occupations</v>
      </c>
      <c r="B1065" s="302">
        <v>1.9146380211501814</v>
      </c>
      <c r="C1065" s="302">
        <v>0.59639614121942863</v>
      </c>
      <c r="D1065" s="302">
        <f t="shared" si="388"/>
        <v>2.5110341623696102</v>
      </c>
      <c r="E1065" s="303"/>
      <c r="F1065" s="302">
        <v>1.9022111557524062</v>
      </c>
      <c r="G1065" s="302">
        <v>0.78465012533367007</v>
      </c>
      <c r="H1065" s="302">
        <f t="shared" si="389"/>
        <v>2.6868612810860761</v>
      </c>
      <c r="I1065" s="303"/>
      <c r="J1065" s="302">
        <v>2.0600370326658615</v>
      </c>
      <c r="K1065" s="302">
        <v>0.66359462694604798</v>
      </c>
      <c r="L1065" s="302">
        <f t="shared" si="390"/>
        <v>2.7236316596119092</v>
      </c>
      <c r="M1065" s="236"/>
      <c r="N1065" s="236"/>
    </row>
    <row r="1066" spans="1:14" x14ac:dyDescent="0.2">
      <c r="A1066" s="237" t="str">
        <f>name!E$7</f>
        <v>Administrative and secretarial occupations</v>
      </c>
      <c r="B1066" s="302">
        <v>5.7587131916519931</v>
      </c>
      <c r="C1066" s="302">
        <v>0.73464812627298792</v>
      </c>
      <c r="D1066" s="302">
        <f t="shared" si="388"/>
        <v>6.4933613179249807</v>
      </c>
      <c r="E1066" s="303"/>
      <c r="F1066" s="302">
        <v>4.9702228015013405</v>
      </c>
      <c r="G1066" s="302">
        <v>0.9130470035776288</v>
      </c>
      <c r="H1066" s="302">
        <f t="shared" si="389"/>
        <v>5.8832698050789691</v>
      </c>
      <c r="I1066" s="303"/>
      <c r="J1066" s="302">
        <v>5.0663923030143518</v>
      </c>
      <c r="K1066" s="302">
        <v>1.0907110813136431</v>
      </c>
      <c r="L1066" s="302">
        <f t="shared" si="390"/>
        <v>6.1571033843279945</v>
      </c>
      <c r="M1066" s="236"/>
      <c r="N1066" s="236"/>
    </row>
    <row r="1067" spans="1:14" x14ac:dyDescent="0.2">
      <c r="A1067" s="237" t="str">
        <f>name!E$8</f>
        <v>Skilled trades occupations</v>
      </c>
      <c r="B1067" s="302">
        <v>0.22821069627400956</v>
      </c>
      <c r="C1067" s="302">
        <v>0.51063742183363448</v>
      </c>
      <c r="D1067" s="302">
        <f t="shared" si="388"/>
        <v>0.73884811810764406</v>
      </c>
      <c r="E1067" s="303"/>
      <c r="F1067" s="302">
        <v>0.18558815787923533</v>
      </c>
      <c r="G1067" s="302">
        <v>0.49470754760474517</v>
      </c>
      <c r="H1067" s="302">
        <f t="shared" si="389"/>
        <v>0.68029570548398044</v>
      </c>
      <c r="I1067" s="303"/>
      <c r="J1067" s="302">
        <v>0.31603372329120827</v>
      </c>
      <c r="K1067" s="302">
        <v>0.44691634442506917</v>
      </c>
      <c r="L1067" s="302">
        <f t="shared" si="390"/>
        <v>0.76295006771627749</v>
      </c>
      <c r="M1067" s="236"/>
      <c r="N1067" s="236"/>
    </row>
    <row r="1068" spans="1:14" x14ac:dyDescent="0.2">
      <c r="A1068" s="237" t="str">
        <f>name!E$9</f>
        <v>Caring, leisure and other service occupations</v>
      </c>
      <c r="B1068" s="302">
        <v>2.087651809206299</v>
      </c>
      <c r="C1068" s="302">
        <v>0.32702674313525171</v>
      </c>
      <c r="D1068" s="302">
        <f t="shared" si="388"/>
        <v>2.4146785523415506</v>
      </c>
      <c r="E1068" s="303"/>
      <c r="F1068" s="302">
        <v>1.6531893620908251</v>
      </c>
      <c r="G1068" s="302">
        <v>0.38661227318373759</v>
      </c>
      <c r="H1068" s="302">
        <f t="shared" si="389"/>
        <v>2.0398016352745625</v>
      </c>
      <c r="I1068" s="303"/>
      <c r="J1068" s="302">
        <v>1.576277892333469</v>
      </c>
      <c r="K1068" s="302">
        <v>0.43901725643262618</v>
      </c>
      <c r="L1068" s="302">
        <f t="shared" si="390"/>
        <v>2.0152951487660951</v>
      </c>
      <c r="M1068" s="236"/>
      <c r="N1068" s="236"/>
    </row>
    <row r="1069" spans="1:14" x14ac:dyDescent="0.2">
      <c r="A1069" s="237" t="str">
        <f>name!E$10</f>
        <v>Sales and customer service occupations</v>
      </c>
      <c r="B1069" s="302">
        <v>2.455138661119725</v>
      </c>
      <c r="C1069" s="302">
        <v>0.86766073697346924</v>
      </c>
      <c r="D1069" s="302">
        <f t="shared" si="388"/>
        <v>3.3227993980931942</v>
      </c>
      <c r="E1069" s="303"/>
      <c r="F1069" s="302">
        <v>2.2482293187193947</v>
      </c>
      <c r="G1069" s="302">
        <v>0.87882238570941251</v>
      </c>
      <c r="H1069" s="302">
        <f t="shared" si="389"/>
        <v>3.1270517044288071</v>
      </c>
      <c r="I1069" s="303"/>
      <c r="J1069" s="302">
        <v>3.3291029026981152</v>
      </c>
      <c r="K1069" s="302">
        <v>1.0325959204402553</v>
      </c>
      <c r="L1069" s="302">
        <f t="shared" si="390"/>
        <v>4.3616988231383704</v>
      </c>
      <c r="M1069" s="236"/>
      <c r="N1069" s="236"/>
    </row>
    <row r="1070" spans="1:14" x14ac:dyDescent="0.2">
      <c r="A1070" s="237" t="str">
        <f>name!E$11</f>
        <v>Process, plant and machine operatives</v>
      </c>
      <c r="B1070" s="302">
        <v>0.17343284765734671</v>
      </c>
      <c r="C1070" s="302">
        <v>0.55026138353005238</v>
      </c>
      <c r="D1070" s="302">
        <f t="shared" si="388"/>
        <v>0.72369423118739906</v>
      </c>
      <c r="E1070" s="303"/>
      <c r="F1070" s="302">
        <v>0.12399272952054742</v>
      </c>
      <c r="G1070" s="302">
        <v>0.50476168332405369</v>
      </c>
      <c r="H1070" s="302">
        <f t="shared" si="389"/>
        <v>0.6287544128446011</v>
      </c>
      <c r="I1070" s="303"/>
      <c r="J1070" s="302">
        <v>0.23405686399387868</v>
      </c>
      <c r="K1070" s="302">
        <v>0.48470629857689956</v>
      </c>
      <c r="L1070" s="302">
        <f t="shared" si="390"/>
        <v>0.71876316257077821</v>
      </c>
      <c r="M1070" s="236"/>
      <c r="N1070" s="236"/>
    </row>
    <row r="1071" spans="1:14" x14ac:dyDescent="0.2">
      <c r="A1071" s="237" t="str">
        <f>name!E$12</f>
        <v>Elementary occupations</v>
      </c>
      <c r="B1071" s="302">
        <v>4.8606550972204401</v>
      </c>
      <c r="C1071" s="302">
        <v>3.9174625258783671</v>
      </c>
      <c r="D1071" s="302">
        <f t="shared" si="388"/>
        <v>8.7781176230988081</v>
      </c>
      <c r="E1071" s="303"/>
      <c r="F1071" s="302">
        <v>3.2570051716800386</v>
      </c>
      <c r="G1071" s="302">
        <v>3.3467632228313797</v>
      </c>
      <c r="H1071" s="302">
        <f t="shared" si="389"/>
        <v>6.6037683945114178</v>
      </c>
      <c r="I1071" s="303"/>
      <c r="J1071" s="302">
        <v>2.1088382110719457</v>
      </c>
      <c r="K1071" s="302">
        <v>3.4366308480877703</v>
      </c>
      <c r="L1071" s="302">
        <f t="shared" si="390"/>
        <v>5.545469059159716</v>
      </c>
      <c r="M1071" s="236"/>
      <c r="N1071" s="236"/>
    </row>
    <row r="1072" spans="1:14" x14ac:dyDescent="0.2">
      <c r="A1072" s="237"/>
      <c r="B1072" s="302"/>
      <c r="C1072" s="302"/>
      <c r="D1072" s="302"/>
      <c r="E1072" s="303"/>
      <c r="F1072" s="302"/>
      <c r="G1072" s="302"/>
      <c r="H1072" s="302"/>
      <c r="I1072" s="303"/>
      <c r="J1072" s="302"/>
      <c r="K1072" s="302"/>
      <c r="L1072" s="302"/>
      <c r="M1072" s="236"/>
      <c r="N1072" s="236"/>
    </row>
    <row r="1073" spans="1:14" x14ac:dyDescent="0.2">
      <c r="A1073" s="244" t="s">
        <v>32</v>
      </c>
      <c r="B1073" s="311">
        <f>SUM(B1063:B1071)</f>
        <v>20.088000000116697</v>
      </c>
      <c r="C1073" s="311">
        <f t="shared" ref="C1073:D1073" si="391">SUM(C1063:C1071)</f>
        <v>8.4050000000669378</v>
      </c>
      <c r="D1073" s="311">
        <f t="shared" si="391"/>
        <v>28.493000000183635</v>
      </c>
      <c r="E1073" s="311"/>
      <c r="F1073" s="311">
        <f t="shared" ref="F1073:H1073" si="392">SUM(F1063:F1071)</f>
        <v>17.125999999914043</v>
      </c>
      <c r="G1073" s="311">
        <f t="shared" si="392"/>
        <v>8.6300000000026529</v>
      </c>
      <c r="H1073" s="311">
        <f t="shared" si="392"/>
        <v>25.755999999916689</v>
      </c>
      <c r="I1073" s="311"/>
      <c r="J1073" s="311">
        <f t="shared" ref="J1073:L1073" si="393">SUM(J1063:J1071)</f>
        <v>17.942999999979033</v>
      </c>
      <c r="K1073" s="311">
        <f t="shared" si="393"/>
        <v>9.126999999959466</v>
      </c>
      <c r="L1073" s="311">
        <f t="shared" si="393"/>
        <v>27.069999999938503</v>
      </c>
      <c r="M1073" s="236"/>
      <c r="N1073" s="236"/>
    </row>
    <row r="1074" spans="1:14" x14ac:dyDescent="0.2">
      <c r="A1074" s="237"/>
      <c r="B1074" s="237"/>
      <c r="C1074" s="237"/>
      <c r="D1074" s="237"/>
      <c r="E1074" s="237"/>
      <c r="F1074" s="237"/>
      <c r="G1074" s="237"/>
      <c r="H1074" s="237"/>
      <c r="I1074" s="237"/>
      <c r="J1074" s="237"/>
      <c r="K1074" s="237"/>
      <c r="L1074" s="240"/>
      <c r="M1074" s="236"/>
      <c r="N1074" s="236"/>
    </row>
    <row r="1075" spans="1:14" x14ac:dyDescent="0.2">
      <c r="A1075" s="237"/>
      <c r="B1075" s="237"/>
      <c r="C1075" s="237"/>
      <c r="D1075" s="237"/>
      <c r="E1075" s="237"/>
      <c r="F1075" s="237"/>
      <c r="G1075" s="237"/>
      <c r="H1075" s="237"/>
      <c r="I1075" s="237"/>
      <c r="J1075" s="237"/>
      <c r="K1075" s="237"/>
      <c r="L1075" s="256" t="s">
        <v>35</v>
      </c>
      <c r="M1075" s="236"/>
      <c r="N1075" s="236"/>
    </row>
    <row r="1076" spans="1:14" x14ac:dyDescent="0.2">
      <c r="A1076" s="242"/>
      <c r="B1076" s="250"/>
      <c r="C1076" s="250"/>
      <c r="D1076" s="250"/>
      <c r="E1076" s="250"/>
      <c r="F1076" s="250"/>
      <c r="G1076" s="250"/>
      <c r="H1076" s="250"/>
      <c r="I1076" s="250"/>
      <c r="J1076" s="250"/>
      <c r="K1076" s="250"/>
      <c r="L1076" s="236"/>
      <c r="M1076" s="236"/>
      <c r="N1076" s="236"/>
    </row>
    <row r="1077" spans="1:14" x14ac:dyDescent="0.2">
      <c r="A1077" s="241" t="str">
        <f>name!A66</f>
        <v>Office administrative</v>
      </c>
      <c r="B1077" s="372">
        <f>B$6</f>
        <v>2015</v>
      </c>
      <c r="C1077" s="372"/>
      <c r="D1077" s="372"/>
      <c r="E1077" s="253"/>
      <c r="F1077" s="372">
        <f>F$6</f>
        <v>2020</v>
      </c>
      <c r="G1077" s="372"/>
      <c r="H1077" s="372"/>
      <c r="I1077" s="253"/>
      <c r="J1077" s="372">
        <f>J$6</f>
        <v>2035</v>
      </c>
      <c r="K1077" s="372"/>
      <c r="L1077" s="372"/>
      <c r="M1077" s="236"/>
      <c r="N1077" s="236"/>
    </row>
    <row r="1078" spans="1:14" x14ac:dyDescent="0.2">
      <c r="A1078" s="254"/>
      <c r="B1078" s="255" t="s">
        <v>352</v>
      </c>
      <c r="C1078" s="255" t="s">
        <v>353</v>
      </c>
      <c r="D1078" s="255" t="s">
        <v>32</v>
      </c>
      <c r="E1078" s="255"/>
      <c r="F1078" s="255" t="s">
        <v>352</v>
      </c>
      <c r="G1078" s="255" t="s">
        <v>353</v>
      </c>
      <c r="H1078" s="255" t="s">
        <v>32</v>
      </c>
      <c r="I1078" s="255"/>
      <c r="J1078" s="255" t="s">
        <v>352</v>
      </c>
      <c r="K1078" s="255" t="s">
        <v>353</v>
      </c>
      <c r="L1078" s="255" t="s">
        <v>32</v>
      </c>
      <c r="M1078" s="236"/>
      <c r="N1078" s="236"/>
    </row>
    <row r="1079" spans="1:14" x14ac:dyDescent="0.2">
      <c r="A1079" s="258"/>
      <c r="B1079" s="259"/>
      <c r="C1079" s="259"/>
      <c r="D1079" s="259"/>
      <c r="E1079" s="259"/>
      <c r="F1079" s="259"/>
      <c r="G1079" s="259"/>
      <c r="H1079" s="259"/>
      <c r="I1079" s="259"/>
      <c r="J1079" s="259"/>
      <c r="K1079" s="259"/>
      <c r="L1079" s="259"/>
      <c r="M1079" s="236"/>
      <c r="N1079" s="236"/>
    </row>
    <row r="1080" spans="1:14" x14ac:dyDescent="0.2">
      <c r="A1080" s="237" t="str">
        <f>name!E$4</f>
        <v>Managers, directors and senior officials</v>
      </c>
      <c r="B1080" s="302">
        <v>0.159377382003484</v>
      </c>
      <c r="C1080" s="302">
        <v>0.51209666571493673</v>
      </c>
      <c r="D1080" s="302">
        <f>SUM(B1080:C1080)</f>
        <v>0.67147404771842067</v>
      </c>
      <c r="E1080" s="303"/>
      <c r="F1080" s="302">
        <v>0.15895496352846919</v>
      </c>
      <c r="G1080" s="302">
        <v>0.6544172021980349</v>
      </c>
      <c r="H1080" s="302">
        <f>SUM(F1080:G1080)</f>
        <v>0.81337216572650406</v>
      </c>
      <c r="I1080" s="303"/>
      <c r="J1080" s="302">
        <v>0.16646872225018067</v>
      </c>
      <c r="K1080" s="302">
        <v>0.65679649971713372</v>
      </c>
      <c r="L1080" s="302">
        <f>SUM(J1080:K1080)</f>
        <v>0.82326522196731444</v>
      </c>
      <c r="M1080" s="236"/>
      <c r="N1080" s="236"/>
    </row>
    <row r="1081" spans="1:14" x14ac:dyDescent="0.2">
      <c r="A1081" s="237" t="str">
        <f>name!E$5</f>
        <v>Professional occupations</v>
      </c>
      <c r="B1081" s="302">
        <v>0.23458209386919851</v>
      </c>
      <c r="C1081" s="302">
        <v>0.58490509912733546</v>
      </c>
      <c r="D1081" s="302">
        <f t="shared" ref="D1081:D1088" si="394">SUM(B1081:C1081)</f>
        <v>0.81948719299653394</v>
      </c>
      <c r="E1081" s="303"/>
      <c r="F1081" s="302">
        <v>0.25678357952757674</v>
      </c>
      <c r="G1081" s="302">
        <v>0.80014822699970756</v>
      </c>
      <c r="H1081" s="302">
        <f t="shared" ref="H1081:H1088" si="395">SUM(F1081:G1081)</f>
        <v>1.0569318065272844</v>
      </c>
      <c r="I1081" s="303"/>
      <c r="J1081" s="302">
        <v>0.3158069058101497</v>
      </c>
      <c r="K1081" s="302">
        <v>0.85009348799382567</v>
      </c>
      <c r="L1081" s="302">
        <f t="shared" ref="L1081:L1088" si="396">SUM(J1081:K1081)</f>
        <v>1.1659003938039754</v>
      </c>
      <c r="M1081" s="236"/>
      <c r="N1081" s="236"/>
    </row>
    <row r="1082" spans="1:14" x14ac:dyDescent="0.2">
      <c r="A1082" s="237" t="str">
        <f>name!E$6</f>
        <v>Associate professional occupations</v>
      </c>
      <c r="B1082" s="302">
        <v>0.43236445120634304</v>
      </c>
      <c r="C1082" s="302">
        <v>1.0320857317981591</v>
      </c>
      <c r="D1082" s="302">
        <f t="shared" si="394"/>
        <v>1.464450183004502</v>
      </c>
      <c r="E1082" s="303"/>
      <c r="F1082" s="302">
        <v>0.39379430118137859</v>
      </c>
      <c r="G1082" s="302">
        <v>1.2848390474508113</v>
      </c>
      <c r="H1082" s="302">
        <f t="shared" si="395"/>
        <v>1.6786333486321898</v>
      </c>
      <c r="I1082" s="303"/>
      <c r="J1082" s="302">
        <v>0.42758517890110681</v>
      </c>
      <c r="K1082" s="302">
        <v>1.072178926181238</v>
      </c>
      <c r="L1082" s="302">
        <f t="shared" si="396"/>
        <v>1.4997641050823449</v>
      </c>
      <c r="M1082" s="236"/>
      <c r="N1082" s="236"/>
    </row>
    <row r="1083" spans="1:14" x14ac:dyDescent="0.2">
      <c r="A1083" s="237" t="str">
        <f>name!E$7</f>
        <v>Administrative and secretarial occupations</v>
      </c>
      <c r="B1083" s="302">
        <v>1.0233675775812341</v>
      </c>
      <c r="C1083" s="302">
        <v>1.3054620567586279</v>
      </c>
      <c r="D1083" s="302">
        <f t="shared" si="394"/>
        <v>2.3288296343398622</v>
      </c>
      <c r="E1083" s="303"/>
      <c r="F1083" s="302">
        <v>0.84203889521258268</v>
      </c>
      <c r="G1083" s="302">
        <v>1.5762250071313761</v>
      </c>
      <c r="H1083" s="302">
        <f t="shared" si="395"/>
        <v>2.4182639023439587</v>
      </c>
      <c r="I1083" s="303"/>
      <c r="J1083" s="302">
        <v>0.77296850391677674</v>
      </c>
      <c r="K1083" s="302">
        <v>1.8720219005938463</v>
      </c>
      <c r="L1083" s="302">
        <f t="shared" si="396"/>
        <v>2.6449904045106232</v>
      </c>
      <c r="M1083" s="236"/>
      <c r="N1083" s="236"/>
    </row>
    <row r="1084" spans="1:14" x14ac:dyDescent="0.2">
      <c r="A1084" s="237" t="str">
        <f>name!E$8</f>
        <v>Skilled trades occupations</v>
      </c>
      <c r="B1084" s="302">
        <v>3.6870372885631865E-2</v>
      </c>
      <c r="C1084" s="302">
        <v>0.58715134786405132</v>
      </c>
      <c r="D1084" s="302">
        <f t="shared" si="394"/>
        <v>0.62402172074968321</v>
      </c>
      <c r="E1084" s="303"/>
      <c r="F1084" s="302">
        <v>3.0069392633995152E-2</v>
      </c>
      <c r="G1084" s="302">
        <v>0.51500663098391808</v>
      </c>
      <c r="H1084" s="302">
        <f t="shared" si="395"/>
        <v>0.54507602361791319</v>
      </c>
      <c r="I1084" s="303"/>
      <c r="J1084" s="302">
        <v>4.32222557762331E-2</v>
      </c>
      <c r="K1084" s="302">
        <v>0.39014717014478223</v>
      </c>
      <c r="L1084" s="302">
        <f t="shared" si="396"/>
        <v>0.43336942592101535</v>
      </c>
      <c r="M1084" s="236"/>
      <c r="N1084" s="236"/>
    </row>
    <row r="1085" spans="1:14" x14ac:dyDescent="0.2">
      <c r="A1085" s="237" t="str">
        <f>name!E$9</f>
        <v>Caring, leisure and other service occupations</v>
      </c>
      <c r="B1085" s="302">
        <v>0.37974071691117905</v>
      </c>
      <c r="C1085" s="302">
        <v>0.43269717981603817</v>
      </c>
      <c r="D1085" s="302">
        <f t="shared" si="394"/>
        <v>0.81243789672721722</v>
      </c>
      <c r="E1085" s="303"/>
      <c r="F1085" s="302">
        <v>0.3108219413758837</v>
      </c>
      <c r="G1085" s="302">
        <v>0.51859372798363634</v>
      </c>
      <c r="H1085" s="302">
        <f t="shared" si="395"/>
        <v>0.82941566935952005</v>
      </c>
      <c r="I1085" s="303"/>
      <c r="J1085" s="302">
        <v>0.3529412473148284</v>
      </c>
      <c r="K1085" s="302">
        <v>0.57203502465951372</v>
      </c>
      <c r="L1085" s="302">
        <f t="shared" si="396"/>
        <v>0.92497627197434218</v>
      </c>
      <c r="M1085" s="236"/>
      <c r="N1085" s="236"/>
    </row>
    <row r="1086" spans="1:14" x14ac:dyDescent="0.2">
      <c r="A1086" s="237" t="str">
        <f>name!E$10</f>
        <v>Sales and customer service occupations</v>
      </c>
      <c r="B1086" s="302">
        <v>0.36289725502679754</v>
      </c>
      <c r="C1086" s="302">
        <v>1.3655520205515403</v>
      </c>
      <c r="D1086" s="302">
        <f t="shared" si="394"/>
        <v>1.7284492755783378</v>
      </c>
      <c r="E1086" s="303"/>
      <c r="F1086" s="302">
        <v>0.31564966129131095</v>
      </c>
      <c r="G1086" s="302">
        <v>1.4331076022706597</v>
      </c>
      <c r="H1086" s="302">
        <f t="shared" si="395"/>
        <v>1.7487572635619706</v>
      </c>
      <c r="I1086" s="303"/>
      <c r="J1086" s="302">
        <v>0.4401190619597829</v>
      </c>
      <c r="K1086" s="302">
        <v>1.809098157749881</v>
      </c>
      <c r="L1086" s="302">
        <f t="shared" si="396"/>
        <v>2.249217219709664</v>
      </c>
      <c r="M1086" s="236"/>
      <c r="N1086" s="236"/>
    </row>
    <row r="1087" spans="1:14" x14ac:dyDescent="0.2">
      <c r="A1087" s="237" t="str">
        <f>name!E$11</f>
        <v>Process, plant and machine operatives</v>
      </c>
      <c r="B1087" s="302">
        <v>4.7744060490495163E-2</v>
      </c>
      <c r="C1087" s="302">
        <v>0.95747374338017299</v>
      </c>
      <c r="D1087" s="302">
        <f t="shared" si="394"/>
        <v>1.0052178038706681</v>
      </c>
      <c r="E1087" s="303"/>
      <c r="F1087" s="302">
        <v>3.3348780832712546E-2</v>
      </c>
      <c r="G1087" s="302">
        <v>0.84664723609885029</v>
      </c>
      <c r="H1087" s="302">
        <f t="shared" si="395"/>
        <v>0.87999601693156282</v>
      </c>
      <c r="I1087" s="303"/>
      <c r="J1087" s="302">
        <v>6.2427294024567578E-2</v>
      </c>
      <c r="K1087" s="302">
        <v>0.7630053879964066</v>
      </c>
      <c r="L1087" s="302">
        <f t="shared" si="396"/>
        <v>0.8254326820209742</v>
      </c>
      <c r="M1087" s="236"/>
      <c r="N1087" s="236"/>
    </row>
    <row r="1088" spans="1:14" x14ac:dyDescent="0.2">
      <c r="A1088" s="237" t="str">
        <f>name!E$12</f>
        <v>Elementary occupations</v>
      </c>
      <c r="B1088" s="302">
        <v>1.2760560900530498</v>
      </c>
      <c r="C1088" s="302">
        <v>7.2355761550914295</v>
      </c>
      <c r="D1088" s="302">
        <f t="shared" si="394"/>
        <v>8.5116322451444795</v>
      </c>
      <c r="E1088" s="303"/>
      <c r="F1088" s="302">
        <v>0.81653848438108345</v>
      </c>
      <c r="G1088" s="302">
        <v>6.5580153188999022</v>
      </c>
      <c r="H1088" s="302">
        <f t="shared" si="395"/>
        <v>7.3745538032809854</v>
      </c>
      <c r="I1088" s="303"/>
      <c r="J1088" s="302">
        <v>0.79146083003578871</v>
      </c>
      <c r="K1088" s="302">
        <v>7.0456234448669921</v>
      </c>
      <c r="L1088" s="302">
        <f t="shared" si="396"/>
        <v>7.8370842749027805</v>
      </c>
      <c r="M1088" s="236"/>
      <c r="N1088" s="236"/>
    </row>
    <row r="1089" spans="1:14" x14ac:dyDescent="0.2">
      <c r="A1089" s="237"/>
      <c r="B1089" s="302"/>
      <c r="C1089" s="302"/>
      <c r="D1089" s="302"/>
      <c r="E1089" s="303"/>
      <c r="F1089" s="302"/>
      <c r="G1089" s="302"/>
      <c r="H1089" s="302"/>
      <c r="I1089" s="303"/>
      <c r="J1089" s="302"/>
      <c r="K1089" s="302"/>
      <c r="L1089" s="302"/>
      <c r="M1089" s="236"/>
      <c r="N1089" s="236"/>
    </row>
    <row r="1090" spans="1:14" x14ac:dyDescent="0.2">
      <c r="A1090" s="244" t="s">
        <v>32</v>
      </c>
      <c r="B1090" s="311">
        <f>SUM(B1080:B1088)</f>
        <v>3.953000000027413</v>
      </c>
      <c r="C1090" s="311">
        <f t="shared" ref="C1090:D1090" si="397">SUM(C1080:C1088)</f>
        <v>14.013000000102291</v>
      </c>
      <c r="D1090" s="311">
        <f t="shared" si="397"/>
        <v>17.966000000129704</v>
      </c>
      <c r="E1090" s="311"/>
      <c r="F1090" s="311">
        <f t="shared" ref="F1090:H1090" si="398">SUM(F1080:F1088)</f>
        <v>3.1579999999649928</v>
      </c>
      <c r="G1090" s="311">
        <f t="shared" si="398"/>
        <v>14.187000000016898</v>
      </c>
      <c r="H1090" s="311">
        <f t="shared" si="398"/>
        <v>17.344999999981887</v>
      </c>
      <c r="I1090" s="311"/>
      <c r="J1090" s="311">
        <f t="shared" ref="J1090:L1090" si="399">SUM(J1080:J1088)</f>
        <v>3.3729999999894145</v>
      </c>
      <c r="K1090" s="311">
        <f t="shared" si="399"/>
        <v>15.030999999903621</v>
      </c>
      <c r="L1090" s="311">
        <f t="shared" si="399"/>
        <v>18.403999999893031</v>
      </c>
      <c r="M1090" s="236"/>
      <c r="N1090" s="236"/>
    </row>
    <row r="1091" spans="1:14" x14ac:dyDescent="0.2">
      <c r="A1091" s="237"/>
      <c r="B1091" s="237"/>
      <c r="C1091" s="237"/>
      <c r="D1091" s="237"/>
      <c r="E1091" s="237"/>
      <c r="F1091" s="237"/>
      <c r="G1091" s="237"/>
      <c r="H1091" s="237"/>
      <c r="I1091" s="237"/>
      <c r="J1091" s="237"/>
      <c r="K1091" s="237"/>
      <c r="L1091" s="240"/>
      <c r="M1091" s="236"/>
      <c r="N1091" s="236"/>
    </row>
    <row r="1092" spans="1:14" x14ac:dyDescent="0.2">
      <c r="A1092" s="237"/>
      <c r="B1092" s="237"/>
      <c r="C1092" s="237"/>
      <c r="D1092" s="237"/>
      <c r="E1092" s="237"/>
      <c r="F1092" s="237"/>
      <c r="G1092" s="237"/>
      <c r="H1092" s="237"/>
      <c r="I1092" s="237"/>
      <c r="J1092" s="237"/>
      <c r="K1092" s="237"/>
      <c r="L1092" s="256" t="s">
        <v>35</v>
      </c>
      <c r="M1092" s="236"/>
      <c r="N1092" s="236"/>
    </row>
    <row r="1093" spans="1:14" x14ac:dyDescent="0.2">
      <c r="A1093" s="242"/>
      <c r="B1093" s="250"/>
      <c r="C1093" s="250"/>
      <c r="D1093" s="250"/>
      <c r="E1093" s="250"/>
      <c r="F1093" s="250"/>
      <c r="G1093" s="250"/>
      <c r="H1093" s="250"/>
      <c r="I1093" s="250"/>
      <c r="J1093" s="250"/>
      <c r="K1093" s="250"/>
      <c r="L1093" s="236"/>
      <c r="M1093" s="236"/>
      <c r="N1093" s="236"/>
    </row>
    <row r="1094" spans="1:14" x14ac:dyDescent="0.2">
      <c r="A1094" s="241" t="str">
        <f>name!A67</f>
        <v>Public administration and defence</v>
      </c>
      <c r="B1094" s="372">
        <f>B$6</f>
        <v>2015</v>
      </c>
      <c r="C1094" s="372"/>
      <c r="D1094" s="372"/>
      <c r="E1094" s="253"/>
      <c r="F1094" s="372">
        <f>F$6</f>
        <v>2020</v>
      </c>
      <c r="G1094" s="372"/>
      <c r="H1094" s="372"/>
      <c r="I1094" s="253"/>
      <c r="J1094" s="372">
        <f>J$6</f>
        <v>2035</v>
      </c>
      <c r="K1094" s="372"/>
      <c r="L1094" s="372"/>
      <c r="M1094" s="236"/>
      <c r="N1094" s="236"/>
    </row>
    <row r="1095" spans="1:14" x14ac:dyDescent="0.2">
      <c r="A1095" s="254"/>
      <c r="B1095" s="255" t="s">
        <v>352</v>
      </c>
      <c r="C1095" s="255" t="s">
        <v>353</v>
      </c>
      <c r="D1095" s="255" t="s">
        <v>32</v>
      </c>
      <c r="E1095" s="255"/>
      <c r="F1095" s="255" t="s">
        <v>352</v>
      </c>
      <c r="G1095" s="255" t="s">
        <v>353</v>
      </c>
      <c r="H1095" s="255" t="s">
        <v>32</v>
      </c>
      <c r="I1095" s="255"/>
      <c r="J1095" s="255" t="s">
        <v>352</v>
      </c>
      <c r="K1095" s="255" t="s">
        <v>353</v>
      </c>
      <c r="L1095" s="255" t="s">
        <v>32</v>
      </c>
      <c r="M1095" s="236"/>
      <c r="N1095" s="236"/>
    </row>
    <row r="1096" spans="1:14" x14ac:dyDescent="0.2">
      <c r="A1096" s="258"/>
      <c r="B1096" s="259"/>
      <c r="C1096" s="259"/>
      <c r="D1096" s="259"/>
      <c r="E1096" s="259"/>
      <c r="F1096" s="259"/>
      <c r="G1096" s="259"/>
      <c r="H1096" s="259"/>
      <c r="I1096" s="259"/>
      <c r="J1096" s="259"/>
      <c r="K1096" s="259"/>
      <c r="L1096" s="259"/>
      <c r="M1096" s="236"/>
      <c r="N1096" s="236"/>
    </row>
    <row r="1097" spans="1:14" x14ac:dyDescent="0.2">
      <c r="A1097" s="237" t="str">
        <f>name!E$4</f>
        <v>Managers, directors and senior officials</v>
      </c>
      <c r="B1097" s="302">
        <v>1.9899627022666069</v>
      </c>
      <c r="C1097" s="302">
        <v>2.8931399382692664</v>
      </c>
      <c r="D1097" s="302">
        <f>SUM(B1097:C1097)</f>
        <v>4.8831026405358733</v>
      </c>
      <c r="E1097" s="303"/>
      <c r="F1097" s="302">
        <v>2.6247005694611354</v>
      </c>
      <c r="G1097" s="302">
        <v>2.9831991853789539</v>
      </c>
      <c r="H1097" s="302">
        <f>SUM(F1097:G1097)</f>
        <v>5.6078997548400888</v>
      </c>
      <c r="I1097" s="303"/>
      <c r="J1097" s="302">
        <v>2.9611791929372906</v>
      </c>
      <c r="K1097" s="302">
        <v>2.7870909496800693</v>
      </c>
      <c r="L1097" s="302">
        <f>SUM(J1097:K1097)</f>
        <v>5.7482701426173595</v>
      </c>
      <c r="M1097" s="236"/>
      <c r="N1097" s="236"/>
    </row>
    <row r="1098" spans="1:14" x14ac:dyDescent="0.2">
      <c r="A1098" s="237" t="str">
        <f>name!E$5</f>
        <v>Professional occupations</v>
      </c>
      <c r="B1098" s="302">
        <v>7.8963625520624534</v>
      </c>
      <c r="C1098" s="302">
        <v>5.0742288203511379</v>
      </c>
      <c r="D1098" s="302">
        <f t="shared" ref="D1098:D1105" si="400">SUM(B1098:C1098)</f>
        <v>12.97059137241359</v>
      </c>
      <c r="E1098" s="303"/>
      <c r="F1098" s="302">
        <v>10.701947012892761</v>
      </c>
      <c r="G1098" s="302">
        <v>5.8933551273721427</v>
      </c>
      <c r="H1098" s="302">
        <f t="shared" ref="H1098:H1105" si="401">SUM(F1098:G1098)</f>
        <v>16.595302140264906</v>
      </c>
      <c r="I1098" s="303"/>
      <c r="J1098" s="302">
        <v>12.237329203508471</v>
      </c>
      <c r="K1098" s="302">
        <v>6.6800377459352749</v>
      </c>
      <c r="L1098" s="302">
        <f t="shared" ref="L1098:L1105" si="402">SUM(J1098:K1098)</f>
        <v>18.917366949443746</v>
      </c>
      <c r="M1098" s="236"/>
      <c r="N1098" s="236"/>
    </row>
    <row r="1099" spans="1:14" x14ac:dyDescent="0.2">
      <c r="A1099" s="237" t="str">
        <f>name!E$6</f>
        <v>Associate professional occupations</v>
      </c>
      <c r="B1099" s="302">
        <v>8.2176658727656822</v>
      </c>
      <c r="C1099" s="302">
        <v>10.915153795668882</v>
      </c>
      <c r="D1099" s="302">
        <f t="shared" si="400"/>
        <v>19.132819668434564</v>
      </c>
      <c r="E1099" s="303"/>
      <c r="F1099" s="302">
        <v>9.6696570614064878</v>
      </c>
      <c r="G1099" s="302">
        <v>11.408701593146395</v>
      </c>
      <c r="H1099" s="302">
        <f t="shared" si="401"/>
        <v>21.078358654552883</v>
      </c>
      <c r="I1099" s="303"/>
      <c r="J1099" s="302">
        <v>12.014222585870607</v>
      </c>
      <c r="K1099" s="302">
        <v>10.893913089679703</v>
      </c>
      <c r="L1099" s="302">
        <f t="shared" si="402"/>
        <v>22.908135675550312</v>
      </c>
      <c r="M1099" s="236"/>
      <c r="N1099" s="236"/>
    </row>
    <row r="1100" spans="1:14" x14ac:dyDescent="0.2">
      <c r="A1100" s="237" t="str">
        <f>name!E$7</f>
        <v>Administrative and secretarial occupations</v>
      </c>
      <c r="B1100" s="302">
        <v>17.059971074043531</v>
      </c>
      <c r="C1100" s="302">
        <v>4.2105085026043199</v>
      </c>
      <c r="D1100" s="302">
        <f t="shared" si="400"/>
        <v>21.270479576647851</v>
      </c>
      <c r="E1100" s="303"/>
      <c r="F1100" s="302">
        <v>15.198944261019374</v>
      </c>
      <c r="G1100" s="302">
        <v>4.1878519060978103</v>
      </c>
      <c r="H1100" s="302">
        <f t="shared" si="401"/>
        <v>19.386796167117183</v>
      </c>
      <c r="I1100" s="303"/>
      <c r="J1100" s="302">
        <v>10.668963442384765</v>
      </c>
      <c r="K1100" s="302">
        <v>3.3807617211645948</v>
      </c>
      <c r="L1100" s="302">
        <f t="shared" si="402"/>
        <v>14.049725163549359</v>
      </c>
      <c r="M1100" s="236"/>
      <c r="N1100" s="236"/>
    </row>
    <row r="1101" spans="1:14" x14ac:dyDescent="0.2">
      <c r="A1101" s="237" t="str">
        <f>name!E$8</f>
        <v>Skilled trades occupations</v>
      </c>
      <c r="B1101" s="302">
        <v>0.15784548131420564</v>
      </c>
      <c r="C1101" s="302">
        <v>0.88274791981379908</v>
      </c>
      <c r="D1101" s="302">
        <f t="shared" si="400"/>
        <v>1.0405934011280047</v>
      </c>
      <c r="E1101" s="303"/>
      <c r="F1101" s="302">
        <v>0.1875946559319234</v>
      </c>
      <c r="G1101" s="302">
        <v>0.54898747675742932</v>
      </c>
      <c r="H1101" s="302">
        <f t="shared" si="401"/>
        <v>0.73658213268935269</v>
      </c>
      <c r="I1101" s="303"/>
      <c r="J1101" s="302">
        <v>0.40932805179089909</v>
      </c>
      <c r="K1101" s="302">
        <v>0.44824956591560089</v>
      </c>
      <c r="L1101" s="302">
        <f t="shared" si="402"/>
        <v>0.85757761770649998</v>
      </c>
      <c r="M1101" s="236"/>
      <c r="N1101" s="236"/>
    </row>
    <row r="1102" spans="1:14" x14ac:dyDescent="0.2">
      <c r="A1102" s="237" t="str">
        <f>name!E$9</f>
        <v>Caring, leisure and other service occupations</v>
      </c>
      <c r="B1102" s="302">
        <v>2.0196361569567345</v>
      </c>
      <c r="C1102" s="302">
        <v>0.71598089396423981</v>
      </c>
      <c r="D1102" s="302">
        <f t="shared" si="400"/>
        <v>2.7356170509209745</v>
      </c>
      <c r="E1102" s="303"/>
      <c r="F1102" s="302">
        <v>1.9810203613784554</v>
      </c>
      <c r="G1102" s="302">
        <v>0.67889394421181881</v>
      </c>
      <c r="H1102" s="302">
        <f t="shared" si="401"/>
        <v>2.6599143055902741</v>
      </c>
      <c r="I1102" s="303"/>
      <c r="J1102" s="302">
        <v>2.0248599345682758</v>
      </c>
      <c r="K1102" s="302">
        <v>0.6863113413213825</v>
      </c>
      <c r="L1102" s="302">
        <f t="shared" si="402"/>
        <v>2.7111712758896584</v>
      </c>
      <c r="M1102" s="236"/>
      <c r="N1102" s="236"/>
    </row>
    <row r="1103" spans="1:14" x14ac:dyDescent="0.2">
      <c r="A1103" s="237" t="str">
        <f>name!E$10</f>
        <v>Sales and customer service occupations</v>
      </c>
      <c r="B1103" s="302">
        <v>1.5515046183586061</v>
      </c>
      <c r="C1103" s="302">
        <v>0.49245071647933497</v>
      </c>
      <c r="D1103" s="302">
        <f t="shared" si="400"/>
        <v>2.0439553348379409</v>
      </c>
      <c r="E1103" s="303"/>
      <c r="F1103" s="302">
        <v>1.5033765475983605</v>
      </c>
      <c r="G1103" s="302">
        <v>0.42024243254029398</v>
      </c>
      <c r="H1103" s="302">
        <f t="shared" si="401"/>
        <v>1.9236189801386545</v>
      </c>
      <c r="I1103" s="303"/>
      <c r="J1103" s="302">
        <v>1.6842914827482334</v>
      </c>
      <c r="K1103" s="302">
        <v>0.52379391960029698</v>
      </c>
      <c r="L1103" s="302">
        <f t="shared" si="402"/>
        <v>2.2080854023485301</v>
      </c>
      <c r="M1103" s="236"/>
      <c r="N1103" s="236"/>
    </row>
    <row r="1104" spans="1:14" x14ac:dyDescent="0.2">
      <c r="A1104" s="237" t="str">
        <f>name!E$11</f>
        <v>Process, plant and machine operatives</v>
      </c>
      <c r="B1104" s="302">
        <v>0.15409846305403618</v>
      </c>
      <c r="C1104" s="302">
        <v>0.64415343047868923</v>
      </c>
      <c r="D1104" s="302">
        <f t="shared" si="400"/>
        <v>0.79825189353272541</v>
      </c>
      <c r="E1104" s="303"/>
      <c r="F1104" s="302">
        <v>0.11954333799421329</v>
      </c>
      <c r="G1104" s="302">
        <v>0.46579549796575204</v>
      </c>
      <c r="H1104" s="302">
        <f t="shared" si="401"/>
        <v>0.58533883595996539</v>
      </c>
      <c r="I1104" s="303"/>
      <c r="J1104" s="302">
        <v>0.18101779824643069</v>
      </c>
      <c r="K1104" s="302">
        <v>0.44266651612542363</v>
      </c>
      <c r="L1104" s="302">
        <f t="shared" si="402"/>
        <v>0.62368431437185434</v>
      </c>
      <c r="M1104" s="236"/>
      <c r="N1104" s="236"/>
    </row>
    <row r="1105" spans="1:14" x14ac:dyDescent="0.2">
      <c r="A1105" s="237" t="str">
        <f>name!E$12</f>
        <v>Elementary occupations</v>
      </c>
      <c r="B1105" s="302">
        <v>1.3169530788513895</v>
      </c>
      <c r="C1105" s="302">
        <v>1.2656359821622449</v>
      </c>
      <c r="D1105" s="302">
        <f t="shared" si="400"/>
        <v>2.5825890610136346</v>
      </c>
      <c r="E1105" s="303"/>
      <c r="F1105" s="302">
        <v>0.99121619240756043</v>
      </c>
      <c r="G1105" s="302">
        <v>0.92697283639606898</v>
      </c>
      <c r="H1105" s="302">
        <f t="shared" si="401"/>
        <v>1.9181890288036294</v>
      </c>
      <c r="I1105" s="303"/>
      <c r="J1105" s="302">
        <v>0.73880830800942465</v>
      </c>
      <c r="K1105" s="302">
        <v>0.73617515077889628</v>
      </c>
      <c r="L1105" s="302">
        <f t="shared" si="402"/>
        <v>1.474983458788321</v>
      </c>
      <c r="M1105" s="236"/>
      <c r="N1105" s="236"/>
    </row>
    <row r="1106" spans="1:14" x14ac:dyDescent="0.2">
      <c r="A1106" s="237"/>
      <c r="B1106" s="302"/>
      <c r="C1106" s="302"/>
      <c r="D1106" s="302"/>
      <c r="E1106" s="303"/>
      <c r="F1106" s="302"/>
      <c r="G1106" s="302"/>
      <c r="H1106" s="302"/>
      <c r="I1106" s="303"/>
      <c r="J1106" s="302"/>
      <c r="K1106" s="302"/>
      <c r="L1106" s="302"/>
      <c r="M1106" s="236"/>
      <c r="N1106" s="236"/>
    </row>
    <row r="1107" spans="1:14" x14ac:dyDescent="0.2">
      <c r="A1107" s="244" t="s">
        <v>32</v>
      </c>
      <c r="B1107" s="311">
        <f>SUM(B1097:B1105)</f>
        <v>40.363999999673247</v>
      </c>
      <c r="C1107" s="311">
        <f t="shared" ref="C1107:D1107" si="403">SUM(C1097:C1105)</f>
        <v>27.093999999791915</v>
      </c>
      <c r="D1107" s="311">
        <f t="shared" si="403"/>
        <v>67.457999999465159</v>
      </c>
      <c r="E1107" s="311"/>
      <c r="F1107" s="311">
        <f t="shared" ref="F1107:H1107" si="404">SUM(F1097:F1105)</f>
        <v>42.978000000090276</v>
      </c>
      <c r="G1107" s="311">
        <f t="shared" si="404"/>
        <v>27.513999999866666</v>
      </c>
      <c r="H1107" s="311">
        <f t="shared" si="404"/>
        <v>70.491999999956931</v>
      </c>
      <c r="I1107" s="311"/>
      <c r="J1107" s="311">
        <f t="shared" ref="J1107:L1107" si="405">SUM(J1097:J1105)</f>
        <v>42.920000000064405</v>
      </c>
      <c r="K1107" s="311">
        <f t="shared" si="405"/>
        <v>26.579000000201241</v>
      </c>
      <c r="L1107" s="311">
        <f t="shared" si="405"/>
        <v>69.499000000265639</v>
      </c>
      <c r="M1107" s="236"/>
      <c r="N1107" s="236"/>
    </row>
    <row r="1108" spans="1:14" x14ac:dyDescent="0.2">
      <c r="A1108" s="237"/>
      <c r="B1108" s="237"/>
      <c r="C1108" s="237"/>
      <c r="D1108" s="237"/>
      <c r="E1108" s="237"/>
      <c r="F1108" s="237"/>
      <c r="G1108" s="237"/>
      <c r="H1108" s="237"/>
      <c r="I1108" s="237"/>
      <c r="J1108" s="237"/>
      <c r="K1108" s="237"/>
      <c r="L1108" s="240"/>
      <c r="M1108" s="236"/>
      <c r="N1108" s="236"/>
    </row>
    <row r="1109" spans="1:14" x14ac:dyDescent="0.2">
      <c r="A1109" s="237"/>
      <c r="B1109" s="237"/>
      <c r="C1109" s="237"/>
      <c r="D1109" s="237"/>
      <c r="E1109" s="237"/>
      <c r="F1109" s="237"/>
      <c r="G1109" s="237"/>
      <c r="H1109" s="237"/>
      <c r="I1109" s="237"/>
      <c r="J1109" s="237"/>
      <c r="K1109" s="237"/>
      <c r="L1109" s="256" t="s">
        <v>35</v>
      </c>
      <c r="M1109" s="236"/>
      <c r="N1109" s="236"/>
    </row>
    <row r="1110" spans="1:14" x14ac:dyDescent="0.2">
      <c r="A1110" s="242"/>
      <c r="B1110" s="250"/>
      <c r="C1110" s="250"/>
      <c r="D1110" s="250"/>
      <c r="E1110" s="250"/>
      <c r="F1110" s="250"/>
      <c r="G1110" s="250"/>
      <c r="H1110" s="250"/>
      <c r="I1110" s="250"/>
      <c r="J1110" s="250"/>
      <c r="K1110" s="250"/>
      <c r="L1110" s="236"/>
      <c r="M1110" s="236"/>
      <c r="N1110" s="236"/>
    </row>
    <row r="1111" spans="1:14" x14ac:dyDescent="0.2">
      <c r="A1111" s="241" t="str">
        <f>name!A68</f>
        <v xml:space="preserve">Education </v>
      </c>
      <c r="B1111" s="372">
        <f>B$6</f>
        <v>2015</v>
      </c>
      <c r="C1111" s="372"/>
      <c r="D1111" s="372"/>
      <c r="E1111" s="253"/>
      <c r="F1111" s="372">
        <f>F$6</f>
        <v>2020</v>
      </c>
      <c r="G1111" s="372"/>
      <c r="H1111" s="372"/>
      <c r="I1111" s="253"/>
      <c r="J1111" s="372">
        <f>J$6</f>
        <v>2035</v>
      </c>
      <c r="K1111" s="372"/>
      <c r="L1111" s="372"/>
      <c r="M1111" s="236"/>
      <c r="N1111" s="236"/>
    </row>
    <row r="1112" spans="1:14" x14ac:dyDescent="0.2">
      <c r="A1112" s="254"/>
      <c r="B1112" s="255" t="s">
        <v>352</v>
      </c>
      <c r="C1112" s="255" t="s">
        <v>353</v>
      </c>
      <c r="D1112" s="255" t="s">
        <v>32</v>
      </c>
      <c r="E1112" s="255"/>
      <c r="F1112" s="255" t="s">
        <v>352</v>
      </c>
      <c r="G1112" s="255" t="s">
        <v>353</v>
      </c>
      <c r="H1112" s="255" t="s">
        <v>32</v>
      </c>
      <c r="I1112" s="255"/>
      <c r="J1112" s="255" t="s">
        <v>352</v>
      </c>
      <c r="K1112" s="255" t="s">
        <v>353</v>
      </c>
      <c r="L1112" s="255" t="s">
        <v>32</v>
      </c>
      <c r="M1112" s="236"/>
      <c r="N1112" s="236"/>
    </row>
    <row r="1113" spans="1:14" x14ac:dyDescent="0.2">
      <c r="A1113" s="258"/>
      <c r="B1113" s="259"/>
      <c r="C1113" s="259"/>
      <c r="D1113" s="259"/>
      <c r="E1113" s="259"/>
      <c r="F1113" s="259"/>
      <c r="G1113" s="259"/>
      <c r="H1113" s="259"/>
      <c r="I1113" s="259"/>
      <c r="J1113" s="259"/>
      <c r="K1113" s="259"/>
      <c r="L1113" s="259"/>
      <c r="M1113" s="236"/>
      <c r="N1113" s="236"/>
    </row>
    <row r="1114" spans="1:14" x14ac:dyDescent="0.2">
      <c r="A1114" s="237" t="str">
        <f>name!E$4</f>
        <v>Managers, directors and senior officials</v>
      </c>
      <c r="B1114" s="302">
        <v>1.2004295036599204</v>
      </c>
      <c r="C1114" s="302">
        <v>1.5257042015326023</v>
      </c>
      <c r="D1114" s="302">
        <f>SUM(B1114:C1114)</f>
        <v>2.726133705192523</v>
      </c>
      <c r="E1114" s="303"/>
      <c r="F1114" s="302">
        <v>1.2981187689819631</v>
      </c>
      <c r="G1114" s="302">
        <v>1.2128268291565878</v>
      </c>
      <c r="H1114" s="302">
        <f>SUM(F1114:G1114)</f>
        <v>2.5109455981385507</v>
      </c>
      <c r="I1114" s="303"/>
      <c r="J1114" s="302">
        <v>1.5833357125032299</v>
      </c>
      <c r="K1114" s="302">
        <v>1.0715158716622515</v>
      </c>
      <c r="L1114" s="302">
        <f>SUM(J1114:K1114)</f>
        <v>2.6548515841654812</v>
      </c>
      <c r="M1114" s="236"/>
      <c r="N1114" s="236"/>
    </row>
    <row r="1115" spans="1:14" x14ac:dyDescent="0.2">
      <c r="A1115" s="237" t="str">
        <f>name!E$5</f>
        <v>Professional occupations</v>
      </c>
      <c r="B1115" s="302">
        <v>28.567216253686691</v>
      </c>
      <c r="C1115" s="302">
        <v>24.111167890191119</v>
      </c>
      <c r="D1115" s="302">
        <f t="shared" ref="D1115:D1122" si="406">SUM(B1115:C1115)</f>
        <v>52.678384143877807</v>
      </c>
      <c r="E1115" s="303"/>
      <c r="F1115" s="302">
        <v>34.751184251626228</v>
      </c>
      <c r="G1115" s="302">
        <v>19.1420963610855</v>
      </c>
      <c r="H1115" s="302">
        <f t="shared" ref="H1115:H1122" si="407">SUM(F1115:G1115)</f>
        <v>53.893280612711727</v>
      </c>
      <c r="I1115" s="303"/>
      <c r="J1115" s="302">
        <v>42.198758515274015</v>
      </c>
      <c r="K1115" s="302">
        <v>22.103340121483793</v>
      </c>
      <c r="L1115" s="302">
        <f t="shared" ref="L1115:L1122" si="408">SUM(J1115:K1115)</f>
        <v>64.302098636757805</v>
      </c>
      <c r="M1115" s="236"/>
      <c r="N1115" s="236"/>
    </row>
    <row r="1116" spans="1:14" x14ac:dyDescent="0.2">
      <c r="A1116" s="237" t="str">
        <f>name!E$6</f>
        <v>Associate professional occupations</v>
      </c>
      <c r="B1116" s="302">
        <v>3.8176945357137284</v>
      </c>
      <c r="C1116" s="302">
        <v>4.0625939492258318</v>
      </c>
      <c r="D1116" s="302">
        <f t="shared" si="406"/>
        <v>7.8802884849395607</v>
      </c>
      <c r="E1116" s="303"/>
      <c r="F1116" s="302">
        <v>4.3769017508134054</v>
      </c>
      <c r="G1116" s="302">
        <v>3.2416525564511547</v>
      </c>
      <c r="H1116" s="302">
        <f t="shared" si="407"/>
        <v>7.6185543072645601</v>
      </c>
      <c r="I1116" s="303"/>
      <c r="J1116" s="302">
        <v>5.0210267361496657</v>
      </c>
      <c r="K1116" s="302">
        <v>2.4801533954119734</v>
      </c>
      <c r="L1116" s="302">
        <f t="shared" si="408"/>
        <v>7.5011801315616395</v>
      </c>
      <c r="M1116" s="236"/>
      <c r="N1116" s="236"/>
    </row>
    <row r="1117" spans="1:14" x14ac:dyDescent="0.2">
      <c r="A1117" s="237" t="str">
        <f>name!E$7</f>
        <v>Administrative and secretarial occupations</v>
      </c>
      <c r="B1117" s="302">
        <v>6.1993926841841764</v>
      </c>
      <c r="C1117" s="302">
        <v>1.1150754439925907</v>
      </c>
      <c r="D1117" s="302">
        <f t="shared" si="406"/>
        <v>7.3144681281767667</v>
      </c>
      <c r="E1117" s="303"/>
      <c r="F1117" s="302">
        <v>5.6660604344010848</v>
      </c>
      <c r="G1117" s="302">
        <v>0.80080916216225928</v>
      </c>
      <c r="H1117" s="302">
        <f t="shared" si="407"/>
        <v>6.4668695965633436</v>
      </c>
      <c r="I1117" s="303"/>
      <c r="J1117" s="302">
        <v>3.7259272466105768</v>
      </c>
      <c r="K1117" s="302">
        <v>0.75800868538955213</v>
      </c>
      <c r="L1117" s="302">
        <f t="shared" si="408"/>
        <v>4.4839359320001293</v>
      </c>
      <c r="M1117" s="236"/>
      <c r="N1117" s="236"/>
    </row>
    <row r="1118" spans="1:14" x14ac:dyDescent="0.2">
      <c r="A1118" s="237" t="str">
        <f>name!E$8</f>
        <v>Skilled trades occupations</v>
      </c>
      <c r="B1118" s="302">
        <v>1.2293532590512404</v>
      </c>
      <c r="C1118" s="302">
        <v>1.4341296879817218</v>
      </c>
      <c r="D1118" s="302">
        <f t="shared" si="406"/>
        <v>2.6634829470329624</v>
      </c>
      <c r="E1118" s="303"/>
      <c r="F1118" s="302">
        <v>0.87655530428678108</v>
      </c>
      <c r="G1118" s="302">
        <v>1.0370999255542457</v>
      </c>
      <c r="H1118" s="302">
        <f t="shared" si="407"/>
        <v>1.9136552298410268</v>
      </c>
      <c r="I1118" s="303"/>
      <c r="J1118" s="302">
        <v>0.83133877486515961</v>
      </c>
      <c r="K1118" s="302">
        <v>1.1550024053669539</v>
      </c>
      <c r="L1118" s="302">
        <f t="shared" si="408"/>
        <v>1.9863411802321136</v>
      </c>
      <c r="M1118" s="236"/>
      <c r="N1118" s="236"/>
    </row>
    <row r="1119" spans="1:14" x14ac:dyDescent="0.2">
      <c r="A1119" s="237" t="str">
        <f>name!E$9</f>
        <v>Caring, leisure and other service occupations</v>
      </c>
      <c r="B1119" s="302">
        <v>22.406447924384661</v>
      </c>
      <c r="C1119" s="302">
        <v>2.9828258004507502</v>
      </c>
      <c r="D1119" s="302">
        <f t="shared" si="406"/>
        <v>25.389273724835412</v>
      </c>
      <c r="E1119" s="303"/>
      <c r="F1119" s="302">
        <v>21.534468113772366</v>
      </c>
      <c r="G1119" s="302">
        <v>2.0684506043999353</v>
      </c>
      <c r="H1119" s="302">
        <f t="shared" si="407"/>
        <v>23.602918718172301</v>
      </c>
      <c r="I1119" s="303"/>
      <c r="J1119" s="302">
        <v>25.580383378883553</v>
      </c>
      <c r="K1119" s="302">
        <v>2.2538081418339471</v>
      </c>
      <c r="L1119" s="302">
        <f t="shared" si="408"/>
        <v>27.8341915207175</v>
      </c>
      <c r="M1119" s="236"/>
      <c r="N1119" s="236"/>
    </row>
    <row r="1120" spans="1:14" x14ac:dyDescent="0.2">
      <c r="A1120" s="237" t="str">
        <f>name!E$10</f>
        <v>Sales and customer service occupations</v>
      </c>
      <c r="B1120" s="302">
        <v>0.75531461172672898</v>
      </c>
      <c r="C1120" s="302">
        <v>0.37115858000721069</v>
      </c>
      <c r="D1120" s="302">
        <f t="shared" si="406"/>
        <v>1.1264731917339397</v>
      </c>
      <c r="E1120" s="303"/>
      <c r="F1120" s="302">
        <v>0.5694635010791379</v>
      </c>
      <c r="G1120" s="302">
        <v>0.34815217717807462</v>
      </c>
      <c r="H1120" s="302">
        <f t="shared" si="407"/>
        <v>0.91761567825721246</v>
      </c>
      <c r="I1120" s="303"/>
      <c r="J1120" s="302">
        <v>0.59330465883646666</v>
      </c>
      <c r="K1120" s="302">
        <v>0.40507032942075522</v>
      </c>
      <c r="L1120" s="302">
        <f t="shared" si="408"/>
        <v>0.99837498825722193</v>
      </c>
      <c r="M1120" s="236"/>
      <c r="N1120" s="236"/>
    </row>
    <row r="1121" spans="1:14" x14ac:dyDescent="0.2">
      <c r="A1121" s="237" t="str">
        <f>name!E$11</f>
        <v>Process, plant and machine operatives</v>
      </c>
      <c r="B1121" s="302">
        <v>0.45895587155448453</v>
      </c>
      <c r="C1121" s="302">
        <v>1.6487192058918927</v>
      </c>
      <c r="D1121" s="302">
        <f t="shared" si="406"/>
        <v>2.1076750774463773</v>
      </c>
      <c r="E1121" s="303"/>
      <c r="F1121" s="302">
        <v>0.3401125124546131</v>
      </c>
      <c r="G1121" s="302">
        <v>2.1653019700344558</v>
      </c>
      <c r="H1121" s="302">
        <f t="shared" si="407"/>
        <v>2.5054144824890687</v>
      </c>
      <c r="I1121" s="303"/>
      <c r="J1121" s="302">
        <v>0.40124639267958673</v>
      </c>
      <c r="K1121" s="302">
        <v>2.1325444838125325</v>
      </c>
      <c r="L1121" s="302">
        <f t="shared" si="408"/>
        <v>2.5337908764921191</v>
      </c>
      <c r="M1121" s="236"/>
      <c r="N1121" s="236"/>
    </row>
    <row r="1122" spans="1:14" x14ac:dyDescent="0.2">
      <c r="A1122" s="237" t="str">
        <f>name!E$12</f>
        <v>Elementary occupations</v>
      </c>
      <c r="B1122" s="302">
        <v>5.3871953557548951</v>
      </c>
      <c r="C1122" s="302">
        <v>1.1436252409356971</v>
      </c>
      <c r="D1122" s="302">
        <f t="shared" si="406"/>
        <v>6.5308205966905923</v>
      </c>
      <c r="E1122" s="303"/>
      <c r="F1122" s="302">
        <v>3.8771353637886161</v>
      </c>
      <c r="G1122" s="302">
        <v>0.93661041468755413</v>
      </c>
      <c r="H1122" s="302">
        <f t="shared" si="407"/>
        <v>4.8137457784761706</v>
      </c>
      <c r="I1122" s="303"/>
      <c r="J1122" s="302">
        <v>1.3206785853097158</v>
      </c>
      <c r="K1122" s="302">
        <v>1.1515565664723659</v>
      </c>
      <c r="L1122" s="302">
        <f t="shared" si="408"/>
        <v>2.4722351517820815</v>
      </c>
      <c r="M1122" s="236"/>
      <c r="N1122" s="236"/>
    </row>
    <row r="1123" spans="1:14" x14ac:dyDescent="0.2">
      <c r="A1123" s="237"/>
      <c r="B1123" s="302"/>
      <c r="C1123" s="302"/>
      <c r="D1123" s="302"/>
      <c r="E1123" s="303"/>
      <c r="F1123" s="302"/>
      <c r="G1123" s="302"/>
      <c r="H1123" s="302"/>
      <c r="I1123" s="303"/>
      <c r="J1123" s="302"/>
      <c r="K1123" s="302"/>
      <c r="L1123" s="302"/>
      <c r="M1123" s="236"/>
      <c r="N1123" s="236"/>
    </row>
    <row r="1124" spans="1:14" x14ac:dyDescent="0.2">
      <c r="A1124" s="244" t="s">
        <v>32</v>
      </c>
      <c r="B1124" s="311">
        <f>SUM(B1114:B1122)</f>
        <v>70.021999999716527</v>
      </c>
      <c r="C1124" s="311">
        <f t="shared" ref="C1124:D1124" si="409">SUM(C1114:C1122)</f>
        <v>38.395000000209414</v>
      </c>
      <c r="D1124" s="311">
        <f t="shared" si="409"/>
        <v>108.41699999992592</v>
      </c>
      <c r="E1124" s="311"/>
      <c r="F1124" s="311">
        <f t="shared" ref="F1124:H1124" si="410">SUM(F1114:F1122)</f>
        <v>73.290000001204191</v>
      </c>
      <c r="G1124" s="311">
        <f t="shared" si="410"/>
        <v>30.953000000709764</v>
      </c>
      <c r="H1124" s="311">
        <f t="shared" si="410"/>
        <v>104.24300000191397</v>
      </c>
      <c r="I1124" s="311"/>
      <c r="J1124" s="311">
        <f t="shared" ref="J1124:L1124" si="411">SUM(J1114:J1122)</f>
        <v>81.256000001111971</v>
      </c>
      <c r="K1124" s="311">
        <f t="shared" si="411"/>
        <v>33.511000000854125</v>
      </c>
      <c r="L1124" s="311">
        <f t="shared" si="411"/>
        <v>114.76700000196611</v>
      </c>
      <c r="M1124" s="236"/>
      <c r="N1124" s="236"/>
    </row>
    <row r="1125" spans="1:14" x14ac:dyDescent="0.2">
      <c r="A1125" s="237"/>
      <c r="B1125" s="237"/>
      <c r="C1125" s="237"/>
      <c r="D1125" s="237"/>
      <c r="E1125" s="237"/>
      <c r="F1125" s="237"/>
      <c r="G1125" s="237"/>
      <c r="H1125" s="237"/>
      <c r="I1125" s="237"/>
      <c r="J1125" s="237"/>
      <c r="K1125" s="237"/>
      <c r="L1125" s="240"/>
      <c r="M1125" s="236"/>
      <c r="N1125" s="236"/>
    </row>
    <row r="1126" spans="1:14" x14ac:dyDescent="0.2">
      <c r="A1126" s="237"/>
      <c r="B1126" s="237"/>
      <c r="C1126" s="237"/>
      <c r="D1126" s="237"/>
      <c r="E1126" s="237"/>
      <c r="F1126" s="237"/>
      <c r="G1126" s="237"/>
      <c r="H1126" s="237"/>
      <c r="I1126" s="237"/>
      <c r="J1126" s="237"/>
      <c r="K1126" s="237"/>
      <c r="L1126" s="256" t="s">
        <v>35</v>
      </c>
      <c r="M1126" s="236"/>
      <c r="N1126" s="236"/>
    </row>
    <row r="1127" spans="1:14" x14ac:dyDescent="0.2">
      <c r="A1127" s="242"/>
      <c r="B1127" s="250"/>
      <c r="C1127" s="250"/>
      <c r="D1127" s="250"/>
      <c r="E1127" s="250"/>
      <c r="F1127" s="250"/>
      <c r="G1127" s="250"/>
      <c r="H1127" s="250"/>
      <c r="I1127" s="250"/>
      <c r="J1127" s="250"/>
      <c r="K1127" s="250"/>
      <c r="L1127" s="236"/>
      <c r="M1127" s="236"/>
      <c r="N1127" s="236"/>
    </row>
    <row r="1128" spans="1:14" x14ac:dyDescent="0.2">
      <c r="A1128" s="241" t="str">
        <f>name!A69</f>
        <v>Health</v>
      </c>
      <c r="B1128" s="372">
        <f>B$6</f>
        <v>2015</v>
      </c>
      <c r="C1128" s="372"/>
      <c r="D1128" s="372"/>
      <c r="E1128" s="253"/>
      <c r="F1128" s="372">
        <f>F$6</f>
        <v>2020</v>
      </c>
      <c r="G1128" s="372"/>
      <c r="H1128" s="372"/>
      <c r="I1128" s="253"/>
      <c r="J1128" s="372">
        <f>J$6</f>
        <v>2035</v>
      </c>
      <c r="K1128" s="372"/>
      <c r="L1128" s="372"/>
      <c r="M1128" s="236"/>
      <c r="N1128" s="236"/>
    </row>
    <row r="1129" spans="1:14" x14ac:dyDescent="0.2">
      <c r="A1129" s="254"/>
      <c r="B1129" s="255" t="s">
        <v>352</v>
      </c>
      <c r="C1129" s="255" t="s">
        <v>353</v>
      </c>
      <c r="D1129" s="255" t="s">
        <v>32</v>
      </c>
      <c r="E1129" s="255"/>
      <c r="F1129" s="255" t="s">
        <v>352</v>
      </c>
      <c r="G1129" s="255" t="s">
        <v>353</v>
      </c>
      <c r="H1129" s="255" t="s">
        <v>32</v>
      </c>
      <c r="I1129" s="255"/>
      <c r="J1129" s="255" t="s">
        <v>352</v>
      </c>
      <c r="K1129" s="255" t="s">
        <v>353</v>
      </c>
      <c r="L1129" s="255" t="s">
        <v>32</v>
      </c>
      <c r="M1129" s="236"/>
      <c r="N1129" s="236"/>
    </row>
    <row r="1130" spans="1:14" x14ac:dyDescent="0.2">
      <c r="A1130" s="258"/>
      <c r="B1130" s="259"/>
      <c r="C1130" s="259"/>
      <c r="D1130" s="259"/>
      <c r="E1130" s="259"/>
      <c r="F1130" s="259"/>
      <c r="G1130" s="259"/>
      <c r="H1130" s="259"/>
      <c r="I1130" s="259"/>
      <c r="J1130" s="259"/>
      <c r="K1130" s="259"/>
      <c r="L1130" s="259"/>
      <c r="M1130" s="236"/>
      <c r="N1130" s="236"/>
    </row>
    <row r="1131" spans="1:14" x14ac:dyDescent="0.2">
      <c r="A1131" s="237" t="str">
        <f>name!E$4</f>
        <v>Managers, directors and senior officials</v>
      </c>
      <c r="B1131" s="302">
        <v>3.353361450718956</v>
      </c>
      <c r="C1131" s="302">
        <v>1.5420181961106132</v>
      </c>
      <c r="D1131" s="302">
        <f>SUM(B1131:C1131)</f>
        <v>4.8953796468295696</v>
      </c>
      <c r="E1131" s="303"/>
      <c r="F1131" s="302">
        <v>3.8871648921876343</v>
      </c>
      <c r="G1131" s="302">
        <v>1.6387355416992722</v>
      </c>
      <c r="H1131" s="302">
        <f>SUM(F1131:G1131)</f>
        <v>5.5259004338869069</v>
      </c>
      <c r="I1131" s="303"/>
      <c r="J1131" s="302">
        <v>5.3030729092248166</v>
      </c>
      <c r="K1131" s="302">
        <v>1.8701182007501878</v>
      </c>
      <c r="L1131" s="302">
        <f>SUM(J1131:K1131)</f>
        <v>7.1731911099750043</v>
      </c>
      <c r="M1131" s="236"/>
      <c r="N1131" s="236"/>
    </row>
    <row r="1132" spans="1:14" x14ac:dyDescent="0.2">
      <c r="A1132" s="237" t="str">
        <f>name!E$5</f>
        <v>Professional occupations</v>
      </c>
      <c r="B1132" s="302">
        <v>31.280935778601812</v>
      </c>
      <c r="C1132" s="302">
        <v>9.7499882345612274</v>
      </c>
      <c r="D1132" s="302">
        <f t="shared" ref="D1132:D1139" si="412">SUM(B1132:C1132)</f>
        <v>41.030924013163038</v>
      </c>
      <c r="E1132" s="303"/>
      <c r="F1132" s="302">
        <v>35.164487848781626</v>
      </c>
      <c r="G1132" s="302">
        <v>11.609668685078134</v>
      </c>
      <c r="H1132" s="302">
        <f t="shared" ref="H1132:H1139" si="413">SUM(F1132:G1132)</f>
        <v>46.77415653385976</v>
      </c>
      <c r="I1132" s="303"/>
      <c r="J1132" s="302">
        <v>47.005759496542538</v>
      </c>
      <c r="K1132" s="302">
        <v>14.499859525975914</v>
      </c>
      <c r="L1132" s="302">
        <f t="shared" ref="L1132:L1139" si="414">SUM(J1132:K1132)</f>
        <v>61.505619022518452</v>
      </c>
      <c r="M1132" s="236"/>
      <c r="N1132" s="236"/>
    </row>
    <row r="1133" spans="1:14" x14ac:dyDescent="0.2">
      <c r="A1133" s="237" t="str">
        <f>name!E$6</f>
        <v>Associate professional occupations</v>
      </c>
      <c r="B1133" s="302">
        <v>11.19362866315476</v>
      </c>
      <c r="C1133" s="302">
        <v>3.8027836464063811</v>
      </c>
      <c r="D1133" s="302">
        <f t="shared" si="412"/>
        <v>14.996412309561141</v>
      </c>
      <c r="E1133" s="303"/>
      <c r="F1133" s="302">
        <v>12.823634295390347</v>
      </c>
      <c r="G1133" s="302">
        <v>4.2626201354146476</v>
      </c>
      <c r="H1133" s="302">
        <f t="shared" si="413"/>
        <v>17.086254430804996</v>
      </c>
      <c r="I1133" s="303"/>
      <c r="J1133" s="302">
        <v>15.46662061133085</v>
      </c>
      <c r="K1133" s="302">
        <v>4.464868936565483</v>
      </c>
      <c r="L1133" s="302">
        <f t="shared" si="414"/>
        <v>19.931489547896334</v>
      </c>
      <c r="M1133" s="236"/>
      <c r="N1133" s="236"/>
    </row>
    <row r="1134" spans="1:14" x14ac:dyDescent="0.2">
      <c r="A1134" s="237" t="str">
        <f>name!E$7</f>
        <v>Administrative and secretarial occupations</v>
      </c>
      <c r="B1134" s="302">
        <v>8.726948294922634</v>
      </c>
      <c r="C1134" s="302">
        <v>0.72488442107913698</v>
      </c>
      <c r="D1134" s="302">
        <f t="shared" si="412"/>
        <v>9.4518327160017712</v>
      </c>
      <c r="E1134" s="303"/>
      <c r="F1134" s="302">
        <v>8.1639803090702454</v>
      </c>
      <c r="G1134" s="302">
        <v>0.79676200238260331</v>
      </c>
      <c r="H1134" s="302">
        <f t="shared" si="413"/>
        <v>8.9607423114528491</v>
      </c>
      <c r="I1134" s="303"/>
      <c r="J1134" s="302">
        <v>4.9891340347212152</v>
      </c>
      <c r="K1134" s="302">
        <v>0.62648202981167223</v>
      </c>
      <c r="L1134" s="302">
        <f t="shared" si="414"/>
        <v>5.6156160645328876</v>
      </c>
      <c r="M1134" s="236"/>
      <c r="N1134" s="236"/>
    </row>
    <row r="1135" spans="1:14" x14ac:dyDescent="0.2">
      <c r="A1135" s="237" t="str">
        <f>name!E$8</f>
        <v>Skilled trades occupations</v>
      </c>
      <c r="B1135" s="302">
        <v>0.9548484091141638</v>
      </c>
      <c r="C1135" s="302">
        <v>0.69023723157999528</v>
      </c>
      <c r="D1135" s="302">
        <f t="shared" si="412"/>
        <v>1.645085640694159</v>
      </c>
      <c r="E1135" s="303"/>
      <c r="F1135" s="302">
        <v>0.8098779684748606</v>
      </c>
      <c r="G1135" s="302">
        <v>0.50994722822631033</v>
      </c>
      <c r="H1135" s="302">
        <f t="shared" si="413"/>
        <v>1.3198251967011709</v>
      </c>
      <c r="I1135" s="303"/>
      <c r="J1135" s="302">
        <v>0.58438629724577951</v>
      </c>
      <c r="K1135" s="302">
        <v>0.42665400634099188</v>
      </c>
      <c r="L1135" s="302">
        <f t="shared" si="414"/>
        <v>1.0110403035867714</v>
      </c>
      <c r="M1135" s="236"/>
      <c r="N1135" s="236"/>
    </row>
    <row r="1136" spans="1:14" x14ac:dyDescent="0.2">
      <c r="A1136" s="237" t="str">
        <f>name!E$9</f>
        <v>Caring, leisure and other service occupations</v>
      </c>
      <c r="B1136" s="302">
        <v>29.768541365963458</v>
      </c>
      <c r="C1136" s="302">
        <v>3.2635110547575539</v>
      </c>
      <c r="D1136" s="302">
        <f t="shared" si="412"/>
        <v>33.032052420721008</v>
      </c>
      <c r="E1136" s="303"/>
      <c r="F1136" s="302">
        <v>29.1734951070937</v>
      </c>
      <c r="G1136" s="302">
        <v>3.6674418558271182</v>
      </c>
      <c r="H1136" s="302">
        <f t="shared" si="413"/>
        <v>32.840936962920821</v>
      </c>
      <c r="I1136" s="303"/>
      <c r="J1136" s="302">
        <v>31.793622499672651</v>
      </c>
      <c r="K1136" s="302">
        <v>5.2432162951854657</v>
      </c>
      <c r="L1136" s="302">
        <f t="shared" si="414"/>
        <v>37.036838794858113</v>
      </c>
      <c r="M1136" s="236"/>
      <c r="N1136" s="236"/>
    </row>
    <row r="1137" spans="1:14" x14ac:dyDescent="0.2">
      <c r="A1137" s="237" t="str">
        <f>name!E$10</f>
        <v>Sales and customer service occupations</v>
      </c>
      <c r="B1137" s="302">
        <v>1.4654343226045992</v>
      </c>
      <c r="C1137" s="302">
        <v>0.23363631558166589</v>
      </c>
      <c r="D1137" s="302">
        <f t="shared" si="412"/>
        <v>1.699070638186265</v>
      </c>
      <c r="E1137" s="303"/>
      <c r="F1137" s="302">
        <v>1.3548293489747538</v>
      </c>
      <c r="G1137" s="302">
        <v>0.21472994244479854</v>
      </c>
      <c r="H1137" s="302">
        <f t="shared" si="413"/>
        <v>1.5695592914195524</v>
      </c>
      <c r="I1137" s="303"/>
      <c r="J1137" s="302">
        <v>1.5855465215793192</v>
      </c>
      <c r="K1137" s="302">
        <v>0.21594898910673885</v>
      </c>
      <c r="L1137" s="302">
        <f t="shared" si="414"/>
        <v>1.801495510686058</v>
      </c>
      <c r="M1137" s="236"/>
      <c r="N1137" s="236"/>
    </row>
    <row r="1138" spans="1:14" x14ac:dyDescent="0.2">
      <c r="A1138" s="237" t="str">
        <f>name!E$11</f>
        <v>Process, plant and machine operatives</v>
      </c>
      <c r="B1138" s="302">
        <v>0.43478784943172311</v>
      </c>
      <c r="C1138" s="302">
        <v>0.25214809394712678</v>
      </c>
      <c r="D1138" s="302">
        <f t="shared" si="412"/>
        <v>0.68693594337884989</v>
      </c>
      <c r="E1138" s="303"/>
      <c r="F1138" s="302">
        <v>0.34922877139947078</v>
      </c>
      <c r="G1138" s="302">
        <v>0.24280245911086509</v>
      </c>
      <c r="H1138" s="302">
        <f t="shared" si="413"/>
        <v>0.5920312305103359</v>
      </c>
      <c r="I1138" s="303"/>
      <c r="J1138" s="302">
        <v>0.24693216035993856</v>
      </c>
      <c r="K1138" s="302">
        <v>0.17879457982844066</v>
      </c>
      <c r="L1138" s="302">
        <f t="shared" si="414"/>
        <v>0.42572674018837919</v>
      </c>
      <c r="M1138" s="236"/>
      <c r="N1138" s="236"/>
    </row>
    <row r="1139" spans="1:14" x14ac:dyDescent="0.2">
      <c r="A1139" s="237" t="str">
        <f>name!E$12</f>
        <v>Elementary occupations</v>
      </c>
      <c r="B1139" s="302">
        <v>4.7345138641585072</v>
      </c>
      <c r="C1139" s="302">
        <v>0.67979280581505874</v>
      </c>
      <c r="D1139" s="302">
        <f t="shared" si="412"/>
        <v>5.4143066699735662</v>
      </c>
      <c r="E1139" s="303"/>
      <c r="F1139" s="302">
        <v>3.5823014583052695</v>
      </c>
      <c r="G1139" s="302">
        <v>0.61329214973679769</v>
      </c>
      <c r="H1139" s="302">
        <f t="shared" si="413"/>
        <v>4.195593608042067</v>
      </c>
      <c r="I1139" s="303"/>
      <c r="J1139" s="302">
        <v>4.662925469125514</v>
      </c>
      <c r="K1139" s="302">
        <v>0.38305743706356798</v>
      </c>
      <c r="L1139" s="302">
        <f t="shared" si="414"/>
        <v>5.0459829061890815</v>
      </c>
      <c r="M1139" s="236"/>
      <c r="N1139" s="236"/>
    </row>
    <row r="1140" spans="1:14" x14ac:dyDescent="0.2">
      <c r="A1140" s="237"/>
      <c r="B1140" s="302"/>
      <c r="C1140" s="302"/>
      <c r="D1140" s="302"/>
      <c r="E1140" s="303"/>
      <c r="F1140" s="302"/>
      <c r="G1140" s="302"/>
      <c r="H1140" s="302"/>
      <c r="I1140" s="303"/>
      <c r="J1140" s="302"/>
      <c r="K1140" s="302"/>
      <c r="L1140" s="302"/>
      <c r="M1140" s="236"/>
      <c r="N1140" s="236"/>
    </row>
    <row r="1141" spans="1:14" x14ac:dyDescent="0.2">
      <c r="A1141" s="244" t="s">
        <v>32</v>
      </c>
      <c r="B1141" s="311">
        <f>SUM(B1131:B1139)</f>
        <v>91.912999998670614</v>
      </c>
      <c r="C1141" s="311">
        <f t="shared" ref="C1141:D1141" si="415">SUM(C1131:C1139)</f>
        <v>20.93899999983876</v>
      </c>
      <c r="D1141" s="311">
        <f t="shared" si="415"/>
        <v>112.85199999850938</v>
      </c>
      <c r="E1141" s="311"/>
      <c r="F1141" s="311">
        <f t="shared" ref="F1141:H1141" si="416">SUM(F1131:F1139)</f>
        <v>95.308999999677908</v>
      </c>
      <c r="G1141" s="311">
        <f t="shared" si="416"/>
        <v>23.555999999920544</v>
      </c>
      <c r="H1141" s="311">
        <f t="shared" si="416"/>
        <v>118.86499999959847</v>
      </c>
      <c r="I1141" s="311"/>
      <c r="J1141" s="311">
        <f t="shared" ref="J1141:L1141" si="417">SUM(J1131:J1139)</f>
        <v>111.63799999980262</v>
      </c>
      <c r="K1141" s="311">
        <f t="shared" si="417"/>
        <v>27.909000000628463</v>
      </c>
      <c r="L1141" s="311">
        <f t="shared" si="417"/>
        <v>139.54700000043107</v>
      </c>
      <c r="M1141" s="236"/>
      <c r="N1141" s="236"/>
    </row>
    <row r="1142" spans="1:14" x14ac:dyDescent="0.2">
      <c r="A1142" s="237"/>
      <c r="B1142" s="237"/>
      <c r="C1142" s="237"/>
      <c r="D1142" s="237"/>
      <c r="E1142" s="237"/>
      <c r="F1142" s="237"/>
      <c r="G1142" s="237"/>
      <c r="H1142" s="237"/>
      <c r="I1142" s="237"/>
      <c r="J1142" s="237"/>
      <c r="K1142" s="237"/>
      <c r="L1142" s="240"/>
      <c r="M1142" s="236"/>
      <c r="N1142" s="236"/>
    </row>
    <row r="1143" spans="1:14" x14ac:dyDescent="0.2">
      <c r="A1143" s="237"/>
      <c r="B1143" s="237"/>
      <c r="C1143" s="237"/>
      <c r="D1143" s="237"/>
      <c r="E1143" s="237"/>
      <c r="F1143" s="237"/>
      <c r="G1143" s="237"/>
      <c r="H1143" s="237"/>
      <c r="I1143" s="237"/>
      <c r="J1143" s="237"/>
      <c r="K1143" s="237"/>
      <c r="L1143" s="256" t="s">
        <v>35</v>
      </c>
      <c r="M1143" s="236"/>
      <c r="N1143" s="236"/>
    </row>
    <row r="1144" spans="1:14" x14ac:dyDescent="0.2">
      <c r="A1144" s="242"/>
      <c r="B1144" s="250"/>
      <c r="C1144" s="250"/>
      <c r="D1144" s="250"/>
      <c r="E1144" s="250"/>
      <c r="F1144" s="250"/>
      <c r="G1144" s="250"/>
      <c r="H1144" s="250"/>
      <c r="I1144" s="250"/>
      <c r="J1144" s="250"/>
      <c r="K1144" s="250"/>
      <c r="L1144" s="236"/>
      <c r="M1144" s="236"/>
      <c r="N1144" s="236"/>
    </row>
    <row r="1145" spans="1:14" x14ac:dyDescent="0.2">
      <c r="A1145" s="241" t="str">
        <f>name!A70</f>
        <v>Residential care</v>
      </c>
      <c r="B1145" s="372">
        <f>B$6</f>
        <v>2015</v>
      </c>
      <c r="C1145" s="372"/>
      <c r="D1145" s="372"/>
      <c r="E1145" s="253"/>
      <c r="F1145" s="372">
        <f>F$6</f>
        <v>2020</v>
      </c>
      <c r="G1145" s="372"/>
      <c r="H1145" s="372"/>
      <c r="I1145" s="253"/>
      <c r="J1145" s="372">
        <f>J$6</f>
        <v>2035</v>
      </c>
      <c r="K1145" s="372"/>
      <c r="L1145" s="372"/>
      <c r="M1145" s="236"/>
      <c r="N1145" s="236"/>
    </row>
    <row r="1146" spans="1:14" x14ac:dyDescent="0.2">
      <c r="A1146" s="254"/>
      <c r="B1146" s="255" t="s">
        <v>352</v>
      </c>
      <c r="C1146" s="255" t="s">
        <v>353</v>
      </c>
      <c r="D1146" s="255" t="s">
        <v>32</v>
      </c>
      <c r="E1146" s="255"/>
      <c r="F1146" s="255" t="s">
        <v>352</v>
      </c>
      <c r="G1146" s="255" t="s">
        <v>353</v>
      </c>
      <c r="H1146" s="255" t="s">
        <v>32</v>
      </c>
      <c r="I1146" s="255"/>
      <c r="J1146" s="255" t="s">
        <v>352</v>
      </c>
      <c r="K1146" s="255" t="s">
        <v>353</v>
      </c>
      <c r="L1146" s="255" t="s">
        <v>32</v>
      </c>
      <c r="M1146" s="236"/>
      <c r="N1146" s="236"/>
    </row>
    <row r="1147" spans="1:14" x14ac:dyDescent="0.2">
      <c r="A1147" s="258"/>
      <c r="B1147" s="259"/>
      <c r="C1147" s="259"/>
      <c r="D1147" s="259"/>
      <c r="E1147" s="259"/>
      <c r="F1147" s="259"/>
      <c r="G1147" s="259"/>
      <c r="H1147" s="259"/>
      <c r="I1147" s="259"/>
      <c r="J1147" s="259"/>
      <c r="K1147" s="259"/>
      <c r="L1147" s="259"/>
      <c r="M1147" s="236"/>
      <c r="N1147" s="236"/>
    </row>
    <row r="1148" spans="1:14" x14ac:dyDescent="0.2">
      <c r="A1148" s="237" t="str">
        <f>name!E$4</f>
        <v>Managers, directors and senior officials</v>
      </c>
      <c r="B1148" s="302">
        <v>1.1573558749535866</v>
      </c>
      <c r="C1148" s="302">
        <v>0.46757298390116026</v>
      </c>
      <c r="D1148" s="302">
        <f>SUM(B1148:C1148)</f>
        <v>1.6249288588547468</v>
      </c>
      <c r="E1148" s="303"/>
      <c r="F1148" s="302">
        <v>1.2400752050463273</v>
      </c>
      <c r="G1148" s="302">
        <v>0.42774025361144846</v>
      </c>
      <c r="H1148" s="302">
        <f>SUM(F1148:G1148)</f>
        <v>1.6678154586577758</v>
      </c>
      <c r="I1148" s="303"/>
      <c r="J1148" s="302">
        <v>1.634791821253307</v>
      </c>
      <c r="K1148" s="302">
        <v>0.46345577886726397</v>
      </c>
      <c r="L1148" s="302">
        <f>SUM(J1148:K1148)</f>
        <v>2.0982476001205708</v>
      </c>
      <c r="M1148" s="236"/>
      <c r="N1148" s="236"/>
    </row>
    <row r="1149" spans="1:14" x14ac:dyDescent="0.2">
      <c r="A1149" s="237" t="str">
        <f>name!E$5</f>
        <v>Professional occupations</v>
      </c>
      <c r="B1149" s="302">
        <v>10.521942480535609</v>
      </c>
      <c r="C1149" s="302">
        <v>2.8631517612160131</v>
      </c>
      <c r="D1149" s="302">
        <f t="shared" ref="D1149:D1156" si="418">SUM(B1149:C1149)</f>
        <v>13.385094241751622</v>
      </c>
      <c r="E1149" s="303"/>
      <c r="F1149" s="302">
        <v>10.880818570740443</v>
      </c>
      <c r="G1149" s="302">
        <v>3.0969051038390081</v>
      </c>
      <c r="H1149" s="302">
        <f t="shared" ref="H1149:H1156" si="419">SUM(F1149:G1149)</f>
        <v>13.977723674579451</v>
      </c>
      <c r="I1149" s="303"/>
      <c r="J1149" s="302">
        <v>13.724340909099393</v>
      </c>
      <c r="K1149" s="302">
        <v>3.684274114171612</v>
      </c>
      <c r="L1149" s="302">
        <f t="shared" ref="L1149:L1156" si="420">SUM(J1149:K1149)</f>
        <v>17.408615023271004</v>
      </c>
      <c r="M1149" s="236"/>
      <c r="N1149" s="236"/>
    </row>
    <row r="1150" spans="1:14" x14ac:dyDescent="0.2">
      <c r="A1150" s="237" t="str">
        <f>name!E$6</f>
        <v>Associate professional occupations</v>
      </c>
      <c r="B1150" s="302">
        <v>3.7438889365552912</v>
      </c>
      <c r="C1150" s="302">
        <v>1.2599316704027921</v>
      </c>
      <c r="D1150" s="302">
        <f t="shared" si="418"/>
        <v>5.0038206069580831</v>
      </c>
      <c r="E1150" s="303"/>
      <c r="F1150" s="302">
        <v>3.8981655697349988</v>
      </c>
      <c r="G1150" s="302">
        <v>1.2411689313207772</v>
      </c>
      <c r="H1150" s="302">
        <f t="shared" si="419"/>
        <v>5.1393345010557763</v>
      </c>
      <c r="I1150" s="303"/>
      <c r="J1150" s="302">
        <v>4.4312921662048579</v>
      </c>
      <c r="K1150" s="302">
        <v>1.1872404323974635</v>
      </c>
      <c r="L1150" s="302">
        <f t="shared" si="420"/>
        <v>5.6185325986023216</v>
      </c>
      <c r="M1150" s="236"/>
      <c r="N1150" s="236"/>
    </row>
    <row r="1151" spans="1:14" x14ac:dyDescent="0.2">
      <c r="A1151" s="237" t="str">
        <f>name!E$7</f>
        <v>Administrative and secretarial occupations</v>
      </c>
      <c r="B1151" s="302">
        <v>2.8312440723354149</v>
      </c>
      <c r="C1151" s="302">
        <v>0.30050084465888721</v>
      </c>
      <c r="D1151" s="302">
        <f t="shared" si="418"/>
        <v>3.1317449169943021</v>
      </c>
      <c r="E1151" s="303"/>
      <c r="F1151" s="302">
        <v>2.367811655304402</v>
      </c>
      <c r="G1151" s="302">
        <v>0.28172683244639846</v>
      </c>
      <c r="H1151" s="302">
        <f t="shared" si="419"/>
        <v>2.6495384877508004</v>
      </c>
      <c r="I1151" s="303"/>
      <c r="J1151" s="302">
        <v>1.3992991543422255</v>
      </c>
      <c r="K1151" s="302">
        <v>0.20205941277954809</v>
      </c>
      <c r="L1151" s="302">
        <f t="shared" si="420"/>
        <v>1.6013585671217736</v>
      </c>
      <c r="M1151" s="236"/>
      <c r="N1151" s="236"/>
    </row>
    <row r="1152" spans="1:14" x14ac:dyDescent="0.2">
      <c r="A1152" s="237" t="str">
        <f>name!E$8</f>
        <v>Skilled trades occupations</v>
      </c>
      <c r="B1152" s="302">
        <v>0.31736018691552553</v>
      </c>
      <c r="C1152" s="302">
        <v>0.21456470432617131</v>
      </c>
      <c r="D1152" s="302">
        <f t="shared" si="418"/>
        <v>0.53192489124169684</v>
      </c>
      <c r="E1152" s="303"/>
      <c r="F1152" s="302">
        <v>0.24433495782888359</v>
      </c>
      <c r="G1152" s="302">
        <v>0.1301271766672317</v>
      </c>
      <c r="H1152" s="302">
        <f t="shared" si="419"/>
        <v>0.37446213449611532</v>
      </c>
      <c r="I1152" s="303"/>
      <c r="J1152" s="302">
        <v>0.15838968212202098</v>
      </c>
      <c r="K1152" s="302">
        <v>9.8427940103675851E-2</v>
      </c>
      <c r="L1152" s="302">
        <f t="shared" si="420"/>
        <v>0.25681762222569682</v>
      </c>
      <c r="M1152" s="236"/>
      <c r="N1152" s="236"/>
    </row>
    <row r="1153" spans="1:14" x14ac:dyDescent="0.2">
      <c r="A1153" s="237" t="str">
        <f>name!E$9</f>
        <v>Caring, leisure and other service occupations</v>
      </c>
      <c r="B1153" s="302">
        <v>9.8994572676303783</v>
      </c>
      <c r="C1153" s="302">
        <v>1.2441914903089524</v>
      </c>
      <c r="D1153" s="302">
        <f t="shared" si="418"/>
        <v>11.143648757939332</v>
      </c>
      <c r="E1153" s="303"/>
      <c r="F1153" s="302">
        <v>8.8435014054592553</v>
      </c>
      <c r="G1153" s="302">
        <v>1.2387634515778518</v>
      </c>
      <c r="H1153" s="302">
        <f t="shared" si="419"/>
        <v>10.082264857037107</v>
      </c>
      <c r="I1153" s="303"/>
      <c r="J1153" s="302">
        <v>8.9062479519200615</v>
      </c>
      <c r="K1153" s="302">
        <v>1.5857391142933697</v>
      </c>
      <c r="L1153" s="302">
        <f t="shared" si="420"/>
        <v>10.491987066213431</v>
      </c>
      <c r="M1153" s="236"/>
      <c r="N1153" s="236"/>
    </row>
    <row r="1154" spans="1:14" x14ac:dyDescent="0.2">
      <c r="A1154" s="237" t="str">
        <f>name!E$10</f>
        <v>Sales and customer service occupations</v>
      </c>
      <c r="B1154" s="302">
        <v>0.48530073750594427</v>
      </c>
      <c r="C1154" s="302">
        <v>8.5288563077854457E-2</v>
      </c>
      <c r="D1154" s="302">
        <f t="shared" si="418"/>
        <v>0.57058930058379875</v>
      </c>
      <c r="E1154" s="303"/>
      <c r="F1154" s="302">
        <v>0.40131320258394854</v>
      </c>
      <c r="G1154" s="302">
        <v>6.6784462829789115E-2</v>
      </c>
      <c r="H1154" s="302">
        <f t="shared" si="419"/>
        <v>0.46809766541373765</v>
      </c>
      <c r="I1154" s="303"/>
      <c r="J1154" s="302">
        <v>0.44022756715278444</v>
      </c>
      <c r="K1154" s="302">
        <v>6.2059224953208279E-2</v>
      </c>
      <c r="L1154" s="302">
        <f t="shared" si="420"/>
        <v>0.5022867921059927</v>
      </c>
      <c r="M1154" s="236"/>
      <c r="N1154" s="236"/>
    </row>
    <row r="1155" spans="1:14" x14ac:dyDescent="0.2">
      <c r="A1155" s="237" t="str">
        <f>name!E$11</f>
        <v>Process, plant and machine operatives</v>
      </c>
      <c r="B1155" s="302">
        <v>0.14585148097713777</v>
      </c>
      <c r="C1155" s="302">
        <v>0.12507842268560845</v>
      </c>
      <c r="D1155" s="302">
        <f t="shared" si="418"/>
        <v>0.27092990366274622</v>
      </c>
      <c r="E1155" s="303"/>
      <c r="F1155" s="302">
        <v>0.10587806035849887</v>
      </c>
      <c r="G1155" s="302">
        <v>0.10221653208823543</v>
      </c>
      <c r="H1155" s="302">
        <f t="shared" si="419"/>
        <v>0.20809459244673428</v>
      </c>
      <c r="I1155" s="303"/>
      <c r="J1155" s="302">
        <v>7.3462462235842019E-2</v>
      </c>
      <c r="K1155" s="302">
        <v>6.8896145506550141E-2</v>
      </c>
      <c r="L1155" s="302">
        <f t="shared" si="420"/>
        <v>0.14235860774239217</v>
      </c>
      <c r="M1155" s="236"/>
      <c r="N1155" s="236"/>
    </row>
    <row r="1156" spans="1:14" x14ac:dyDescent="0.2">
      <c r="A1156" s="237" t="str">
        <f>name!E$12</f>
        <v>Elementary occupations</v>
      </c>
      <c r="B1156" s="302">
        <v>1.644598962134012</v>
      </c>
      <c r="C1156" s="302">
        <v>0.32171955934532898</v>
      </c>
      <c r="D1156" s="302">
        <f t="shared" si="418"/>
        <v>1.9663185214793411</v>
      </c>
      <c r="E1156" s="303"/>
      <c r="F1156" s="302">
        <v>1.129101372913365</v>
      </c>
      <c r="G1156" s="302">
        <v>0.23356725558902397</v>
      </c>
      <c r="H1156" s="302">
        <f t="shared" si="419"/>
        <v>1.362668628502389</v>
      </c>
      <c r="I1156" s="303"/>
      <c r="J1156" s="302">
        <v>1.6189482856117707</v>
      </c>
      <c r="K1156" s="302">
        <v>0.13384783703781422</v>
      </c>
      <c r="L1156" s="302">
        <f t="shared" si="420"/>
        <v>1.752796122649585</v>
      </c>
      <c r="M1156" s="236"/>
      <c r="N1156" s="236"/>
    </row>
    <row r="1157" spans="1:14" x14ac:dyDescent="0.2">
      <c r="A1157" s="237"/>
      <c r="B1157" s="302"/>
      <c r="C1157" s="302"/>
      <c r="D1157" s="302"/>
      <c r="E1157" s="303"/>
      <c r="F1157" s="302"/>
      <c r="G1157" s="302"/>
      <c r="H1157" s="302"/>
      <c r="I1157" s="303"/>
      <c r="J1157" s="302"/>
      <c r="K1157" s="302"/>
      <c r="L1157" s="302"/>
      <c r="M1157" s="236"/>
      <c r="N1157" s="236"/>
    </row>
    <row r="1158" spans="1:14" x14ac:dyDescent="0.2">
      <c r="A1158" s="244" t="s">
        <v>32</v>
      </c>
      <c r="B1158" s="311">
        <f>SUM(B1148:B1156)</f>
        <v>30.746999999542901</v>
      </c>
      <c r="C1158" s="311">
        <f t="shared" ref="C1158:D1158" si="421">SUM(C1148:C1156)</f>
        <v>6.8819999999227681</v>
      </c>
      <c r="D1158" s="311">
        <f t="shared" si="421"/>
        <v>37.628999999465677</v>
      </c>
      <c r="E1158" s="311"/>
      <c r="F1158" s="311">
        <f t="shared" ref="F1158:H1158" si="422">SUM(F1148:F1156)</f>
        <v>29.110999999970122</v>
      </c>
      <c r="G1158" s="311">
        <f t="shared" si="422"/>
        <v>6.8189999999697637</v>
      </c>
      <c r="H1158" s="311">
        <f t="shared" si="422"/>
        <v>35.929999999939888</v>
      </c>
      <c r="I1158" s="311"/>
      <c r="J1158" s="311">
        <f t="shared" ref="J1158:L1158" si="423">SUM(J1148:J1156)</f>
        <v>32.386999999942262</v>
      </c>
      <c r="K1158" s="311">
        <f t="shared" si="423"/>
        <v>7.486000000110506</v>
      </c>
      <c r="L1158" s="311">
        <f t="shared" si="423"/>
        <v>39.87300000005277</v>
      </c>
      <c r="M1158" s="236"/>
      <c r="N1158" s="236"/>
    </row>
    <row r="1159" spans="1:14" x14ac:dyDescent="0.2">
      <c r="A1159" s="237"/>
      <c r="B1159" s="237"/>
      <c r="C1159" s="237"/>
      <c r="D1159" s="237"/>
      <c r="E1159" s="237"/>
      <c r="F1159" s="237"/>
      <c r="G1159" s="237"/>
      <c r="H1159" s="237"/>
      <c r="I1159" s="237"/>
      <c r="J1159" s="237"/>
      <c r="K1159" s="237"/>
      <c r="L1159" s="240"/>
      <c r="M1159" s="236"/>
      <c r="N1159" s="236"/>
    </row>
    <row r="1160" spans="1:14" x14ac:dyDescent="0.2">
      <c r="A1160" s="237"/>
      <c r="B1160" s="237"/>
      <c r="C1160" s="237"/>
      <c r="D1160" s="237"/>
      <c r="E1160" s="237"/>
      <c r="F1160" s="237"/>
      <c r="G1160" s="237"/>
      <c r="H1160" s="237"/>
      <c r="I1160" s="237"/>
      <c r="J1160" s="237"/>
      <c r="K1160" s="237"/>
      <c r="L1160" s="256" t="s">
        <v>35</v>
      </c>
      <c r="M1160" s="236"/>
      <c r="N1160" s="236"/>
    </row>
    <row r="1161" spans="1:14" x14ac:dyDescent="0.2">
      <c r="A1161" s="242"/>
      <c r="B1161" s="250"/>
      <c r="C1161" s="250"/>
      <c r="D1161" s="250"/>
      <c r="E1161" s="250"/>
      <c r="F1161" s="250"/>
      <c r="G1161" s="250"/>
      <c r="H1161" s="250"/>
      <c r="I1161" s="250"/>
      <c r="J1161" s="250"/>
      <c r="K1161" s="250"/>
      <c r="L1161" s="236"/>
      <c r="M1161" s="236"/>
      <c r="N1161" s="236"/>
    </row>
    <row r="1162" spans="1:14" x14ac:dyDescent="0.2">
      <c r="A1162" s="241" t="str">
        <f>name!A71</f>
        <v>Social work</v>
      </c>
      <c r="B1162" s="372">
        <f>B$6</f>
        <v>2015</v>
      </c>
      <c r="C1162" s="372"/>
      <c r="D1162" s="372"/>
      <c r="E1162" s="253"/>
      <c r="F1162" s="372">
        <f>F$6</f>
        <v>2020</v>
      </c>
      <c r="G1162" s="372"/>
      <c r="H1162" s="372"/>
      <c r="I1162" s="253"/>
      <c r="J1162" s="372">
        <f>J$6</f>
        <v>2035</v>
      </c>
      <c r="K1162" s="372"/>
      <c r="L1162" s="372"/>
      <c r="M1162" s="236"/>
      <c r="N1162" s="236"/>
    </row>
    <row r="1163" spans="1:14" x14ac:dyDescent="0.2">
      <c r="A1163" s="254"/>
      <c r="B1163" s="255" t="s">
        <v>352</v>
      </c>
      <c r="C1163" s="255" t="s">
        <v>353</v>
      </c>
      <c r="D1163" s="255" t="s">
        <v>32</v>
      </c>
      <c r="E1163" s="255"/>
      <c r="F1163" s="255" t="s">
        <v>352</v>
      </c>
      <c r="G1163" s="255" t="s">
        <v>353</v>
      </c>
      <c r="H1163" s="255" t="s">
        <v>32</v>
      </c>
      <c r="I1163" s="255"/>
      <c r="J1163" s="255" t="s">
        <v>352</v>
      </c>
      <c r="K1163" s="255" t="s">
        <v>353</v>
      </c>
      <c r="L1163" s="255" t="s">
        <v>32</v>
      </c>
      <c r="M1163" s="236"/>
      <c r="N1163" s="236"/>
    </row>
    <row r="1164" spans="1:14" x14ac:dyDescent="0.2">
      <c r="A1164" s="258"/>
      <c r="B1164" s="259"/>
      <c r="C1164" s="259"/>
      <c r="D1164" s="259"/>
      <c r="E1164" s="259"/>
      <c r="F1164" s="259"/>
      <c r="G1164" s="259"/>
      <c r="H1164" s="259"/>
      <c r="I1164" s="259"/>
      <c r="J1164" s="259"/>
      <c r="K1164" s="259"/>
      <c r="L1164" s="259"/>
      <c r="M1164" s="236"/>
      <c r="N1164" s="236"/>
    </row>
    <row r="1165" spans="1:14" x14ac:dyDescent="0.2">
      <c r="A1165" s="237" t="str">
        <f>name!E$4</f>
        <v>Managers, directors and senior officials</v>
      </c>
      <c r="B1165" s="302">
        <v>1.1668038983901843</v>
      </c>
      <c r="C1165" s="302">
        <v>0.56427715825350411</v>
      </c>
      <c r="D1165" s="302">
        <f>SUM(B1165:C1165)</f>
        <v>1.7310810566436885</v>
      </c>
      <c r="E1165" s="303"/>
      <c r="F1165" s="302">
        <v>1.1625473706381193</v>
      </c>
      <c r="G1165" s="302">
        <v>0.47669462271255791</v>
      </c>
      <c r="H1165" s="302">
        <f>SUM(F1165:G1165)</f>
        <v>1.6392419933506772</v>
      </c>
      <c r="I1165" s="303"/>
      <c r="J1165" s="302">
        <v>1.4959760360698977</v>
      </c>
      <c r="K1165" s="302">
        <v>0.51603349194045456</v>
      </c>
      <c r="L1165" s="302">
        <f>SUM(J1165:K1165)</f>
        <v>2.0120095280103523</v>
      </c>
      <c r="M1165" s="236"/>
      <c r="N1165" s="236"/>
    </row>
    <row r="1166" spans="1:14" x14ac:dyDescent="0.2">
      <c r="A1166" s="237" t="str">
        <f>name!E$5</f>
        <v>Professional occupations</v>
      </c>
      <c r="B1166" s="302">
        <v>11.104567392231006</v>
      </c>
      <c r="C1166" s="302">
        <v>3.4435764737831631</v>
      </c>
      <c r="D1166" s="302">
        <f t="shared" ref="D1166:D1173" si="424">SUM(B1166:C1166)</f>
        <v>14.548143866014168</v>
      </c>
      <c r="E1166" s="303"/>
      <c r="F1166" s="302">
        <v>10.764830195428086</v>
      </c>
      <c r="G1166" s="302">
        <v>3.3909973263009432</v>
      </c>
      <c r="H1166" s="302">
        <f t="shared" ref="H1166:H1173" si="425">SUM(F1166:G1166)</f>
        <v>14.15582752172903</v>
      </c>
      <c r="I1166" s="303"/>
      <c r="J1166" s="302">
        <v>13.269702344249799</v>
      </c>
      <c r="K1166" s="302">
        <v>4.0468380867311051</v>
      </c>
      <c r="L1166" s="302">
        <f t="shared" ref="L1166:L1173" si="426">SUM(J1166:K1166)</f>
        <v>17.316540430980904</v>
      </c>
      <c r="M1166" s="236"/>
      <c r="N1166" s="236"/>
    </row>
    <row r="1167" spans="1:14" x14ac:dyDescent="0.2">
      <c r="A1167" s="237" t="str">
        <f>name!E$6</f>
        <v>Associate professional occupations</v>
      </c>
      <c r="B1167" s="302">
        <v>4.0373598329034746</v>
      </c>
      <c r="C1167" s="302">
        <v>1.514894385435517</v>
      </c>
      <c r="D1167" s="302">
        <f t="shared" si="424"/>
        <v>5.5522542183389918</v>
      </c>
      <c r="E1167" s="303"/>
      <c r="F1167" s="302">
        <v>3.9540560849584621</v>
      </c>
      <c r="G1167" s="302">
        <v>1.367845601585437</v>
      </c>
      <c r="H1167" s="302">
        <f t="shared" si="425"/>
        <v>5.3219016865438995</v>
      </c>
      <c r="I1167" s="303"/>
      <c r="J1167" s="302">
        <v>4.354473039520113</v>
      </c>
      <c r="K1167" s="302">
        <v>1.306549965065696</v>
      </c>
      <c r="L1167" s="302">
        <f t="shared" si="426"/>
        <v>5.6610230045858092</v>
      </c>
      <c r="M1167" s="236"/>
      <c r="N1167" s="236"/>
    </row>
    <row r="1168" spans="1:14" x14ac:dyDescent="0.2">
      <c r="A1168" s="237" t="str">
        <f>name!E$7</f>
        <v>Administrative and secretarial occupations</v>
      </c>
      <c r="B1168" s="302">
        <v>3.2253614720863162</v>
      </c>
      <c r="C1168" s="302">
        <v>0.36631697087442894</v>
      </c>
      <c r="D1168" s="302">
        <f t="shared" si="424"/>
        <v>3.5916784429607453</v>
      </c>
      <c r="E1168" s="303"/>
      <c r="F1168" s="302">
        <v>2.5743669623351644</v>
      </c>
      <c r="G1168" s="302">
        <v>0.32552643827281053</v>
      </c>
      <c r="H1168" s="302">
        <f t="shared" si="425"/>
        <v>2.8998934006079748</v>
      </c>
      <c r="I1168" s="303"/>
      <c r="J1168" s="302">
        <v>1.3943988211166474</v>
      </c>
      <c r="K1168" s="302">
        <v>0.23486549832735362</v>
      </c>
      <c r="L1168" s="302">
        <f t="shared" si="426"/>
        <v>1.6292643194440011</v>
      </c>
      <c r="M1168" s="236"/>
      <c r="N1168" s="236"/>
    </row>
    <row r="1169" spans="1:14" x14ac:dyDescent="0.2">
      <c r="A1169" s="237" t="str">
        <f>name!E$8</f>
        <v>Skilled trades occupations</v>
      </c>
      <c r="B1169" s="302">
        <v>0.3536407185617067</v>
      </c>
      <c r="C1169" s="302">
        <v>0.26070828736868951</v>
      </c>
      <c r="D1169" s="302">
        <f t="shared" si="424"/>
        <v>0.61434900593039621</v>
      </c>
      <c r="E1169" s="303"/>
      <c r="F1169" s="302">
        <v>0.25699093489303065</v>
      </c>
      <c r="G1169" s="302">
        <v>0.14633312151545497</v>
      </c>
      <c r="H1169" s="302">
        <f t="shared" si="425"/>
        <v>0.40332405640848562</v>
      </c>
      <c r="I1169" s="303"/>
      <c r="J1169" s="302">
        <v>0.16776617528025731</v>
      </c>
      <c r="K1169" s="302">
        <v>0.11164332375765229</v>
      </c>
      <c r="L1169" s="302">
        <f t="shared" si="426"/>
        <v>0.27940949903790957</v>
      </c>
      <c r="M1169" s="236"/>
      <c r="N1169" s="236"/>
    </row>
    <row r="1170" spans="1:14" x14ac:dyDescent="0.2">
      <c r="A1170" s="237" t="str">
        <f>name!E$9</f>
        <v>Caring, leisure and other service occupations</v>
      </c>
      <c r="B1170" s="302">
        <v>10.829163166593407</v>
      </c>
      <c r="C1170" s="302">
        <v>1.5073831874576631</v>
      </c>
      <c r="D1170" s="302">
        <f t="shared" si="424"/>
        <v>12.33654635405107</v>
      </c>
      <c r="E1170" s="303"/>
      <c r="F1170" s="302">
        <v>9.0977868822572994</v>
      </c>
      <c r="G1170" s="302">
        <v>1.4142136028194694</v>
      </c>
      <c r="H1170" s="302">
        <f t="shared" si="425"/>
        <v>10.512000485076769</v>
      </c>
      <c r="I1170" s="303"/>
      <c r="J1170" s="302">
        <v>9.0145783087632783</v>
      </c>
      <c r="K1170" s="302">
        <v>1.8061654592408942</v>
      </c>
      <c r="L1170" s="302">
        <f t="shared" si="426"/>
        <v>10.820743768004172</v>
      </c>
      <c r="M1170" s="236"/>
      <c r="N1170" s="236"/>
    </row>
    <row r="1171" spans="1:14" x14ac:dyDescent="0.2">
      <c r="A1171" s="237" t="str">
        <f>name!E$10</f>
        <v>Sales and customer service occupations</v>
      </c>
      <c r="B1171" s="302">
        <v>0.54167142806913904</v>
      </c>
      <c r="C1171" s="302">
        <v>0.10375767513847428</v>
      </c>
      <c r="D1171" s="302">
        <f t="shared" si="424"/>
        <v>0.64542910320761337</v>
      </c>
      <c r="E1171" s="303"/>
      <c r="F1171" s="302">
        <v>0.42467128445687558</v>
      </c>
      <c r="G1171" s="302">
        <v>7.5998907606435129E-2</v>
      </c>
      <c r="H1171" s="302">
        <f t="shared" si="425"/>
        <v>0.50067019206331076</v>
      </c>
      <c r="I1171" s="303"/>
      <c r="J1171" s="302">
        <v>0.44700646565329327</v>
      </c>
      <c r="K1171" s="302">
        <v>7.0544120121344922E-2</v>
      </c>
      <c r="L1171" s="302">
        <f t="shared" si="426"/>
        <v>0.51755058577463819</v>
      </c>
      <c r="M1171" s="236"/>
      <c r="N1171" s="236"/>
    </row>
    <row r="1172" spans="1:14" x14ac:dyDescent="0.2">
      <c r="A1172" s="237" t="str">
        <f>name!E$11</f>
        <v>Process, plant and machine operatives</v>
      </c>
      <c r="B1172" s="302">
        <v>0.15685978231042799</v>
      </c>
      <c r="C1172" s="302">
        <v>0.15439487599406215</v>
      </c>
      <c r="D1172" s="302">
        <f t="shared" si="424"/>
        <v>0.31125465830449017</v>
      </c>
      <c r="E1172" s="303"/>
      <c r="F1172" s="302">
        <v>0.1090638039907301</v>
      </c>
      <c r="G1172" s="302">
        <v>0.12302432350793405</v>
      </c>
      <c r="H1172" s="302">
        <f t="shared" si="425"/>
        <v>0.23208812749866414</v>
      </c>
      <c r="I1172" s="303"/>
      <c r="J1172" s="302">
        <v>7.9624762622447415E-2</v>
      </c>
      <c r="K1172" s="302">
        <v>8.3551431183695513E-2</v>
      </c>
      <c r="L1172" s="302">
        <f t="shared" si="426"/>
        <v>0.16317619380614293</v>
      </c>
      <c r="M1172" s="236"/>
      <c r="N1172" s="236"/>
    </row>
    <row r="1173" spans="1:14" x14ac:dyDescent="0.2">
      <c r="A1173" s="237" t="str">
        <f>name!E$12</f>
        <v>Elementary occupations</v>
      </c>
      <c r="B1173" s="302">
        <v>1.7745723083124971</v>
      </c>
      <c r="C1173" s="302">
        <v>0.39469098560274885</v>
      </c>
      <c r="D1173" s="302">
        <f t="shared" si="424"/>
        <v>2.1692632939152459</v>
      </c>
      <c r="E1173" s="303"/>
      <c r="F1173" s="302">
        <v>1.129686480956521</v>
      </c>
      <c r="G1173" s="302">
        <v>0.27336605564886512</v>
      </c>
      <c r="H1173" s="302">
        <f t="shared" si="425"/>
        <v>1.4030525366053861</v>
      </c>
      <c r="I1173" s="303"/>
      <c r="J1173" s="302">
        <v>1.3874740466687803</v>
      </c>
      <c r="K1173" s="302">
        <v>0.15780862374996707</v>
      </c>
      <c r="L1173" s="302">
        <f t="shared" si="426"/>
        <v>1.5452826704187475</v>
      </c>
      <c r="M1173" s="236"/>
      <c r="N1173" s="236"/>
    </row>
    <row r="1174" spans="1:14" x14ac:dyDescent="0.2">
      <c r="A1174" s="237"/>
      <c r="B1174" s="302"/>
      <c r="C1174" s="302"/>
      <c r="D1174" s="302"/>
      <c r="E1174" s="303"/>
      <c r="F1174" s="302"/>
      <c r="G1174" s="302"/>
      <c r="H1174" s="302"/>
      <c r="I1174" s="303"/>
      <c r="J1174" s="302"/>
      <c r="K1174" s="302"/>
      <c r="L1174" s="302"/>
      <c r="M1174" s="236"/>
      <c r="N1174" s="236"/>
    </row>
    <row r="1175" spans="1:14" x14ac:dyDescent="0.2">
      <c r="A1175" s="244" t="s">
        <v>32</v>
      </c>
      <c r="B1175" s="311">
        <f>SUM(B1165:B1173)</f>
        <v>33.189999999458159</v>
      </c>
      <c r="C1175" s="311">
        <f t="shared" ref="C1175:D1175" si="427">SUM(C1165:C1173)</f>
        <v>8.3099999999082517</v>
      </c>
      <c r="D1175" s="311">
        <f t="shared" si="427"/>
        <v>41.499999999366409</v>
      </c>
      <c r="E1175" s="311"/>
      <c r="F1175" s="311">
        <f t="shared" ref="F1175:H1175" si="428">SUM(F1165:F1173)</f>
        <v>29.473999999914291</v>
      </c>
      <c r="G1175" s="311">
        <f t="shared" si="428"/>
        <v>7.593999999969907</v>
      </c>
      <c r="H1175" s="311">
        <f t="shared" si="428"/>
        <v>37.067999999884201</v>
      </c>
      <c r="I1175" s="311"/>
      <c r="J1175" s="311">
        <f t="shared" ref="J1175:L1175" si="429">SUM(J1165:J1173)</f>
        <v>31.610999999944514</v>
      </c>
      <c r="K1175" s="311">
        <f t="shared" si="429"/>
        <v>8.3340000001181647</v>
      </c>
      <c r="L1175" s="311">
        <f t="shared" si="429"/>
        <v>39.945000000062684</v>
      </c>
      <c r="M1175" s="236"/>
      <c r="N1175" s="236"/>
    </row>
    <row r="1176" spans="1:14" x14ac:dyDescent="0.2">
      <c r="A1176" s="237"/>
      <c r="B1176" s="237"/>
      <c r="C1176" s="237"/>
      <c r="D1176" s="237"/>
      <c r="E1176" s="237"/>
      <c r="F1176" s="237"/>
      <c r="G1176" s="237"/>
      <c r="H1176" s="237"/>
      <c r="I1176" s="237"/>
      <c r="J1176" s="237"/>
      <c r="K1176" s="237"/>
      <c r="L1176" s="240"/>
      <c r="M1176" s="236"/>
      <c r="N1176" s="236"/>
    </row>
    <row r="1177" spans="1:14" x14ac:dyDescent="0.2">
      <c r="A1177" s="237"/>
      <c r="B1177" s="237"/>
      <c r="C1177" s="237"/>
      <c r="D1177" s="237"/>
      <c r="E1177" s="237"/>
      <c r="F1177" s="237"/>
      <c r="G1177" s="237"/>
      <c r="H1177" s="237"/>
      <c r="I1177" s="237"/>
      <c r="J1177" s="237"/>
      <c r="K1177" s="237"/>
      <c r="L1177" s="256" t="s">
        <v>35</v>
      </c>
      <c r="M1177" s="236"/>
      <c r="N1177" s="236"/>
    </row>
    <row r="1178" spans="1:14" x14ac:dyDescent="0.2">
      <c r="A1178" s="242"/>
      <c r="B1178" s="250"/>
      <c r="C1178" s="250"/>
      <c r="D1178" s="250"/>
      <c r="E1178" s="250"/>
      <c r="F1178" s="250"/>
      <c r="G1178" s="250"/>
      <c r="H1178" s="250"/>
      <c r="I1178" s="250"/>
      <c r="J1178" s="250"/>
      <c r="K1178" s="250"/>
      <c r="L1178" s="236"/>
      <c r="M1178" s="236"/>
      <c r="N1178" s="236"/>
    </row>
    <row r="1179" spans="1:14" x14ac:dyDescent="0.2">
      <c r="A1179" s="241" t="str">
        <f>name!A72</f>
        <v>Arts and entertainment</v>
      </c>
      <c r="B1179" s="372">
        <f>B$6</f>
        <v>2015</v>
      </c>
      <c r="C1179" s="372"/>
      <c r="D1179" s="372"/>
      <c r="E1179" s="253"/>
      <c r="F1179" s="372">
        <f>F$6</f>
        <v>2020</v>
      </c>
      <c r="G1179" s="372"/>
      <c r="H1179" s="372"/>
      <c r="I1179" s="253"/>
      <c r="J1179" s="372">
        <f>J$6</f>
        <v>2035</v>
      </c>
      <c r="K1179" s="372"/>
      <c r="L1179" s="372"/>
      <c r="M1179" s="236"/>
      <c r="N1179" s="236"/>
    </row>
    <row r="1180" spans="1:14" x14ac:dyDescent="0.2">
      <c r="A1180" s="254"/>
      <c r="B1180" s="255" t="s">
        <v>352</v>
      </c>
      <c r="C1180" s="255" t="s">
        <v>353</v>
      </c>
      <c r="D1180" s="255" t="s">
        <v>32</v>
      </c>
      <c r="E1180" s="255"/>
      <c r="F1180" s="255" t="s">
        <v>352</v>
      </c>
      <c r="G1180" s="255" t="s">
        <v>353</v>
      </c>
      <c r="H1180" s="255" t="s">
        <v>32</v>
      </c>
      <c r="I1180" s="255"/>
      <c r="J1180" s="255" t="s">
        <v>352</v>
      </c>
      <c r="K1180" s="255" t="s">
        <v>353</v>
      </c>
      <c r="L1180" s="255" t="s">
        <v>32</v>
      </c>
      <c r="M1180" s="236"/>
      <c r="N1180" s="236"/>
    </row>
    <row r="1181" spans="1:14" x14ac:dyDescent="0.2">
      <c r="A1181" s="258"/>
      <c r="B1181" s="259"/>
      <c r="C1181" s="259"/>
      <c r="D1181" s="259"/>
      <c r="E1181" s="259"/>
      <c r="F1181" s="259"/>
      <c r="G1181" s="259"/>
      <c r="H1181" s="259"/>
      <c r="I1181" s="259"/>
      <c r="J1181" s="259"/>
      <c r="K1181" s="259"/>
      <c r="L1181" s="259"/>
      <c r="M1181" s="236"/>
      <c r="N1181" s="236"/>
    </row>
    <row r="1182" spans="1:14" x14ac:dyDescent="0.2">
      <c r="A1182" s="237" t="str">
        <f>name!E$4</f>
        <v>Managers, directors and senior officials</v>
      </c>
      <c r="B1182" s="302">
        <v>0.13918327756531851</v>
      </c>
      <c r="C1182" s="302">
        <v>0.17498425004399074</v>
      </c>
      <c r="D1182" s="302">
        <f>SUM(B1182:C1182)</f>
        <v>0.31416752760930922</v>
      </c>
      <c r="E1182" s="303"/>
      <c r="F1182" s="302">
        <v>9.1371786227781235E-2</v>
      </c>
      <c r="G1182" s="302">
        <v>0.16650163859249251</v>
      </c>
      <c r="H1182" s="302">
        <f>SUM(F1182:G1182)</f>
        <v>0.25787342482027376</v>
      </c>
      <c r="I1182" s="303"/>
      <c r="J1182" s="302">
        <v>0.11489950188948174</v>
      </c>
      <c r="K1182" s="302">
        <v>0.15860470633279494</v>
      </c>
      <c r="L1182" s="302">
        <f>SUM(J1182:K1182)</f>
        <v>0.27350420822227667</v>
      </c>
      <c r="M1182" s="236"/>
      <c r="N1182" s="236"/>
    </row>
    <row r="1183" spans="1:14" x14ac:dyDescent="0.2">
      <c r="A1183" s="237" t="str">
        <f>name!E$5</f>
        <v>Professional occupations</v>
      </c>
      <c r="B1183" s="302">
        <v>0.380515397164428</v>
      </c>
      <c r="C1183" s="302">
        <v>0.42129084591800242</v>
      </c>
      <c r="D1183" s="302">
        <f t="shared" ref="D1183:D1190" si="430">SUM(B1183:C1183)</f>
        <v>0.80180624308243043</v>
      </c>
      <c r="E1183" s="303"/>
      <c r="F1183" s="302">
        <v>0.27759219699435422</v>
      </c>
      <c r="G1183" s="302">
        <v>0.41655788770092739</v>
      </c>
      <c r="H1183" s="302">
        <f t="shared" ref="H1183:H1190" si="431">SUM(F1183:G1183)</f>
        <v>0.69415008469528161</v>
      </c>
      <c r="I1183" s="303"/>
      <c r="J1183" s="302">
        <v>0.34282124523588525</v>
      </c>
      <c r="K1183" s="302">
        <v>0.38582407936398877</v>
      </c>
      <c r="L1183" s="302">
        <f t="shared" ref="L1183:L1190" si="432">SUM(J1183:K1183)</f>
        <v>0.72864532459987408</v>
      </c>
      <c r="M1183" s="236"/>
      <c r="N1183" s="236"/>
    </row>
    <row r="1184" spans="1:14" x14ac:dyDescent="0.2">
      <c r="A1184" s="237" t="str">
        <f>name!E$6</f>
        <v>Associate professional occupations</v>
      </c>
      <c r="B1184" s="302">
        <v>0.90666610296385175</v>
      </c>
      <c r="C1184" s="302">
        <v>0.96465839180757529</v>
      </c>
      <c r="D1184" s="302">
        <f t="shared" si="430"/>
        <v>1.8713244947714269</v>
      </c>
      <c r="E1184" s="303"/>
      <c r="F1184" s="302">
        <v>0.44156790937233681</v>
      </c>
      <c r="G1184" s="302">
        <v>1.0358138384223983</v>
      </c>
      <c r="H1184" s="302">
        <f t="shared" si="431"/>
        <v>1.4773817477947351</v>
      </c>
      <c r="I1184" s="303"/>
      <c r="J1184" s="302">
        <v>0.53493272343692366</v>
      </c>
      <c r="K1184" s="302">
        <v>0.97986733827604511</v>
      </c>
      <c r="L1184" s="302">
        <f t="shared" si="432"/>
        <v>1.5148000617129687</v>
      </c>
      <c r="M1184" s="236"/>
      <c r="N1184" s="236"/>
    </row>
    <row r="1185" spans="1:14" x14ac:dyDescent="0.2">
      <c r="A1185" s="237" t="str">
        <f>name!E$7</f>
        <v>Administrative and secretarial occupations</v>
      </c>
      <c r="B1185" s="302">
        <v>0.70945169529607</v>
      </c>
      <c r="C1185" s="302">
        <v>0.13406834211519783</v>
      </c>
      <c r="D1185" s="302">
        <f t="shared" si="430"/>
        <v>0.8435200374112678</v>
      </c>
      <c r="E1185" s="303"/>
      <c r="F1185" s="302">
        <v>0.47726670286360579</v>
      </c>
      <c r="G1185" s="302">
        <v>9.1563704586876016E-2</v>
      </c>
      <c r="H1185" s="302">
        <f t="shared" si="431"/>
        <v>0.56883040745048175</v>
      </c>
      <c r="I1185" s="303"/>
      <c r="J1185" s="302">
        <v>0.49459780352950411</v>
      </c>
      <c r="K1185" s="302">
        <v>0.11120312835079736</v>
      </c>
      <c r="L1185" s="302">
        <f t="shared" si="432"/>
        <v>0.60580093188030149</v>
      </c>
      <c r="M1185" s="236"/>
      <c r="N1185" s="236"/>
    </row>
    <row r="1186" spans="1:14" x14ac:dyDescent="0.2">
      <c r="A1186" s="237" t="str">
        <f>name!E$8</f>
        <v>Skilled trades occupations</v>
      </c>
      <c r="B1186" s="302">
        <v>0.10156451392620049</v>
      </c>
      <c r="C1186" s="302">
        <v>0.49529372402989374</v>
      </c>
      <c r="D1186" s="302">
        <f t="shared" si="430"/>
        <v>0.59685823795609427</v>
      </c>
      <c r="E1186" s="303"/>
      <c r="F1186" s="302">
        <v>4.538559153969584E-2</v>
      </c>
      <c r="G1186" s="302">
        <v>0.36567086341714539</v>
      </c>
      <c r="H1186" s="302">
        <f t="shared" si="431"/>
        <v>0.41105645495684123</v>
      </c>
      <c r="I1186" s="303"/>
      <c r="J1186" s="302">
        <v>5.5006030122587056E-2</v>
      </c>
      <c r="K1186" s="302">
        <v>0.33357073677099147</v>
      </c>
      <c r="L1186" s="302">
        <f t="shared" si="432"/>
        <v>0.38857676689357851</v>
      </c>
      <c r="M1186" s="236"/>
      <c r="N1186" s="236"/>
    </row>
    <row r="1187" spans="1:14" x14ac:dyDescent="0.2">
      <c r="A1187" s="237" t="str">
        <f>name!E$9</f>
        <v>Caring, leisure and other service occupations</v>
      </c>
      <c r="B1187" s="302">
        <v>0.24116350817026116</v>
      </c>
      <c r="C1187" s="302">
        <v>0.12756451214969225</v>
      </c>
      <c r="D1187" s="302">
        <f t="shared" si="430"/>
        <v>0.36872802031995344</v>
      </c>
      <c r="E1187" s="303"/>
      <c r="F1187" s="302">
        <v>0.14743600399180001</v>
      </c>
      <c r="G1187" s="302">
        <v>9.4615937466089858E-2</v>
      </c>
      <c r="H1187" s="302">
        <f t="shared" si="431"/>
        <v>0.24205194145788989</v>
      </c>
      <c r="I1187" s="303"/>
      <c r="J1187" s="302">
        <v>0.15545936268339128</v>
      </c>
      <c r="K1187" s="302">
        <v>0.11010186713180457</v>
      </c>
      <c r="L1187" s="302">
        <f t="shared" si="432"/>
        <v>0.26556122981519587</v>
      </c>
      <c r="M1187" s="236"/>
      <c r="N1187" s="236"/>
    </row>
    <row r="1188" spans="1:14" x14ac:dyDescent="0.2">
      <c r="A1188" s="237" t="str">
        <f>name!E$10</f>
        <v>Sales and customer service occupations</v>
      </c>
      <c r="B1188" s="302">
        <v>0.2398083583419045</v>
      </c>
      <c r="C1188" s="302">
        <v>0.10796888448623128</v>
      </c>
      <c r="D1188" s="302">
        <f t="shared" si="430"/>
        <v>0.34777724282813577</v>
      </c>
      <c r="E1188" s="303"/>
      <c r="F1188" s="302">
        <v>0.15307259664134351</v>
      </c>
      <c r="G1188" s="302">
        <v>7.6049955880684222E-2</v>
      </c>
      <c r="H1188" s="302">
        <f t="shared" si="431"/>
        <v>0.22912255252202773</v>
      </c>
      <c r="I1188" s="303"/>
      <c r="J1188" s="302">
        <v>0.17032611848156484</v>
      </c>
      <c r="K1188" s="302">
        <v>9.1755905312465899E-2</v>
      </c>
      <c r="L1188" s="302">
        <f t="shared" si="432"/>
        <v>0.26208202379403073</v>
      </c>
      <c r="M1188" s="236"/>
      <c r="N1188" s="236"/>
    </row>
    <row r="1189" spans="1:14" x14ac:dyDescent="0.2">
      <c r="A1189" s="237" t="str">
        <f>name!E$11</f>
        <v>Process, plant and machine operatives</v>
      </c>
      <c r="B1189" s="302">
        <v>7.6621771319087071E-3</v>
      </c>
      <c r="C1189" s="302">
        <v>5.5888796101386279E-2</v>
      </c>
      <c r="D1189" s="302">
        <f t="shared" si="430"/>
        <v>6.3550973233294991E-2</v>
      </c>
      <c r="E1189" s="303"/>
      <c r="F1189" s="302">
        <v>4.0890749686736429E-3</v>
      </c>
      <c r="G1189" s="302">
        <v>3.5639216061920269E-2</v>
      </c>
      <c r="H1189" s="302">
        <f t="shared" si="431"/>
        <v>3.9728291030593915E-2</v>
      </c>
      <c r="I1189" s="303"/>
      <c r="J1189" s="302">
        <v>1.1246508500852338E-2</v>
      </c>
      <c r="K1189" s="302">
        <v>4.0203193910728414E-2</v>
      </c>
      <c r="L1189" s="302">
        <f t="shared" si="432"/>
        <v>5.1449702411580756E-2</v>
      </c>
      <c r="M1189" s="236"/>
      <c r="N1189" s="236"/>
    </row>
    <row r="1190" spans="1:14" x14ac:dyDescent="0.2">
      <c r="A1190" s="237" t="str">
        <f>name!E$12</f>
        <v>Elementary occupations</v>
      </c>
      <c r="B1190" s="302">
        <v>0.38198496945561217</v>
      </c>
      <c r="C1190" s="302">
        <v>0.24228225339110476</v>
      </c>
      <c r="D1190" s="302">
        <f t="shared" si="430"/>
        <v>0.62426722284671698</v>
      </c>
      <c r="E1190" s="303"/>
      <c r="F1190" s="302">
        <v>0.2092181374003671</v>
      </c>
      <c r="G1190" s="302">
        <v>0.1335869579180276</v>
      </c>
      <c r="H1190" s="302">
        <f t="shared" si="431"/>
        <v>0.3428050953183947</v>
      </c>
      <c r="I1190" s="303"/>
      <c r="J1190" s="302">
        <v>0.18771070612016089</v>
      </c>
      <c r="K1190" s="302">
        <v>0.12386904465176965</v>
      </c>
      <c r="L1190" s="302">
        <f t="shared" si="432"/>
        <v>0.31157975077193056</v>
      </c>
      <c r="M1190" s="236"/>
      <c r="N1190" s="236"/>
    </row>
    <row r="1191" spans="1:14" x14ac:dyDescent="0.2">
      <c r="A1191" s="237"/>
      <c r="B1191" s="302"/>
      <c r="C1191" s="302"/>
      <c r="D1191" s="302"/>
      <c r="E1191" s="303"/>
      <c r="F1191" s="302"/>
      <c r="G1191" s="302"/>
      <c r="H1191" s="302"/>
      <c r="I1191" s="303"/>
      <c r="J1191" s="302"/>
      <c r="K1191" s="302"/>
      <c r="L1191" s="302"/>
      <c r="M1191" s="236"/>
      <c r="N1191" s="236"/>
    </row>
    <row r="1192" spans="1:14" x14ac:dyDescent="0.2">
      <c r="A1192" s="244" t="s">
        <v>32</v>
      </c>
      <c r="B1192" s="311">
        <f>SUM(B1182:B1190)</f>
        <v>3.1080000000155557</v>
      </c>
      <c r="C1192" s="311">
        <f t="shared" ref="C1192:D1192" si="433">SUM(C1182:C1190)</f>
        <v>2.7240000000430746</v>
      </c>
      <c r="D1192" s="311">
        <f t="shared" si="433"/>
        <v>5.8320000000586303</v>
      </c>
      <c r="E1192" s="311"/>
      <c r="F1192" s="311">
        <f t="shared" ref="F1192:H1192" si="434">SUM(F1182:F1190)</f>
        <v>1.8469999999999582</v>
      </c>
      <c r="G1192" s="311">
        <f t="shared" si="434"/>
        <v>2.4160000000465613</v>
      </c>
      <c r="H1192" s="311">
        <f t="shared" si="434"/>
        <v>4.26300000004652</v>
      </c>
      <c r="I1192" s="311"/>
      <c r="J1192" s="311">
        <f t="shared" ref="J1192:L1192" si="435">SUM(J1182:J1190)</f>
        <v>2.067000000000351</v>
      </c>
      <c r="K1192" s="311">
        <f t="shared" si="435"/>
        <v>2.3350000001013864</v>
      </c>
      <c r="L1192" s="311">
        <f t="shared" si="435"/>
        <v>4.4020000001017374</v>
      </c>
      <c r="M1192" s="236"/>
      <c r="N1192" s="236"/>
    </row>
    <row r="1193" spans="1:14" x14ac:dyDescent="0.2">
      <c r="A1193" s="237"/>
      <c r="B1193" s="237"/>
      <c r="C1193" s="237"/>
      <c r="D1193" s="237"/>
      <c r="E1193" s="237"/>
      <c r="F1193" s="237"/>
      <c r="G1193" s="237"/>
      <c r="H1193" s="237"/>
      <c r="I1193" s="237"/>
      <c r="J1193" s="237"/>
      <c r="K1193" s="237"/>
      <c r="L1193" s="240"/>
      <c r="M1193" s="236"/>
      <c r="N1193" s="236"/>
    </row>
    <row r="1194" spans="1:14" x14ac:dyDescent="0.2">
      <c r="A1194" s="237"/>
      <c r="B1194" s="237"/>
      <c r="C1194" s="237"/>
      <c r="D1194" s="237"/>
      <c r="E1194" s="237"/>
      <c r="F1194" s="237"/>
      <c r="G1194" s="237"/>
      <c r="H1194" s="237"/>
      <c r="I1194" s="237"/>
      <c r="J1194" s="237"/>
      <c r="K1194" s="237"/>
      <c r="L1194" s="256" t="s">
        <v>35</v>
      </c>
      <c r="M1194" s="236"/>
      <c r="N1194" s="236"/>
    </row>
    <row r="1195" spans="1:14" x14ac:dyDescent="0.2">
      <c r="A1195" s="242"/>
      <c r="B1195" s="250"/>
      <c r="C1195" s="250"/>
      <c r="D1195" s="250"/>
      <c r="E1195" s="250"/>
      <c r="F1195" s="250"/>
      <c r="G1195" s="250"/>
      <c r="H1195" s="250"/>
      <c r="I1195" s="250"/>
      <c r="J1195" s="250"/>
      <c r="K1195" s="250"/>
      <c r="L1195" s="236"/>
      <c r="M1195" s="236"/>
      <c r="N1195" s="236"/>
    </row>
    <row r="1196" spans="1:14" x14ac:dyDescent="0.2">
      <c r="A1196" s="241" t="str">
        <f>name!A73</f>
        <v>Libraries, etc</v>
      </c>
      <c r="B1196" s="372">
        <f>B$6</f>
        <v>2015</v>
      </c>
      <c r="C1196" s="372"/>
      <c r="D1196" s="372"/>
      <c r="E1196" s="253"/>
      <c r="F1196" s="372">
        <f>F$6</f>
        <v>2020</v>
      </c>
      <c r="G1196" s="372"/>
      <c r="H1196" s="372"/>
      <c r="I1196" s="253"/>
      <c r="J1196" s="372">
        <f>J$6</f>
        <v>2035</v>
      </c>
      <c r="K1196" s="372"/>
      <c r="L1196" s="372"/>
      <c r="M1196" s="236"/>
      <c r="N1196" s="236"/>
    </row>
    <row r="1197" spans="1:14" x14ac:dyDescent="0.2">
      <c r="A1197" s="254"/>
      <c r="B1197" s="255" t="s">
        <v>352</v>
      </c>
      <c r="C1197" s="255" t="s">
        <v>353</v>
      </c>
      <c r="D1197" s="255" t="s">
        <v>32</v>
      </c>
      <c r="E1197" s="255"/>
      <c r="F1197" s="255" t="s">
        <v>352</v>
      </c>
      <c r="G1197" s="255" t="s">
        <v>353</v>
      </c>
      <c r="H1197" s="255" t="s">
        <v>32</v>
      </c>
      <c r="I1197" s="255"/>
      <c r="J1197" s="255" t="s">
        <v>352</v>
      </c>
      <c r="K1197" s="255" t="s">
        <v>353</v>
      </c>
      <c r="L1197" s="255" t="s">
        <v>32</v>
      </c>
      <c r="M1197" s="236"/>
      <c r="N1197" s="236"/>
    </row>
    <row r="1198" spans="1:14" x14ac:dyDescent="0.2">
      <c r="A1198" s="258"/>
      <c r="B1198" s="259"/>
      <c r="C1198" s="259"/>
      <c r="D1198" s="259"/>
      <c r="E1198" s="259"/>
      <c r="F1198" s="259"/>
      <c r="G1198" s="259"/>
      <c r="H1198" s="259"/>
      <c r="I1198" s="259"/>
      <c r="J1198" s="259"/>
      <c r="K1198" s="259"/>
      <c r="L1198" s="259"/>
      <c r="M1198" s="236"/>
      <c r="N1198" s="236"/>
    </row>
    <row r="1199" spans="1:14" x14ac:dyDescent="0.2">
      <c r="A1199" s="237" t="str">
        <f>name!E$4</f>
        <v>Managers, directors and senior officials</v>
      </c>
      <c r="B1199" s="302">
        <v>0.27863635339110665</v>
      </c>
      <c r="C1199" s="302">
        <v>0.28578868709367655</v>
      </c>
      <c r="D1199" s="302">
        <f>SUM(B1199:C1199)</f>
        <v>0.56442504048478326</v>
      </c>
      <c r="E1199" s="303"/>
      <c r="F1199" s="302">
        <v>0.14166367778395006</v>
      </c>
      <c r="G1199" s="302">
        <v>0.20182863164691411</v>
      </c>
      <c r="H1199" s="302">
        <f>SUM(F1199:G1199)</f>
        <v>0.34349230943086417</v>
      </c>
      <c r="I1199" s="303"/>
      <c r="J1199" s="302">
        <v>0.17664698570930162</v>
      </c>
      <c r="K1199" s="302">
        <v>0.20550830468679157</v>
      </c>
      <c r="L1199" s="302">
        <f>SUM(J1199:K1199)</f>
        <v>0.38215529039609319</v>
      </c>
      <c r="M1199" s="236"/>
      <c r="N1199" s="236"/>
    </row>
    <row r="1200" spans="1:14" x14ac:dyDescent="0.2">
      <c r="A1200" s="237" t="str">
        <f>name!E$5</f>
        <v>Professional occupations</v>
      </c>
      <c r="B1200" s="302">
        <v>0.7282996998925908</v>
      </c>
      <c r="C1200" s="302">
        <v>0.59921256072737061</v>
      </c>
      <c r="D1200" s="302">
        <f t="shared" ref="D1200:D1207" si="436">SUM(B1200:C1200)</f>
        <v>1.3275122606199614</v>
      </c>
      <c r="E1200" s="303"/>
      <c r="F1200" s="302">
        <v>0.42231811058042096</v>
      </c>
      <c r="G1200" s="302">
        <v>0.47904039258148134</v>
      </c>
      <c r="H1200" s="302">
        <f t="shared" ref="H1200:H1207" si="437">SUM(F1200:G1200)</f>
        <v>0.90135850316190225</v>
      </c>
      <c r="I1200" s="303"/>
      <c r="J1200" s="302">
        <v>0.51525932947387509</v>
      </c>
      <c r="K1200" s="302">
        <v>0.44084229777459588</v>
      </c>
      <c r="L1200" s="302">
        <f t="shared" ref="L1200:L1207" si="438">SUM(J1200:K1200)</f>
        <v>0.95610162724847103</v>
      </c>
      <c r="M1200" s="236"/>
      <c r="N1200" s="236"/>
    </row>
    <row r="1201" spans="1:14" x14ac:dyDescent="0.2">
      <c r="A1201" s="237" t="str">
        <f>name!E$6</f>
        <v>Associate professional occupations</v>
      </c>
      <c r="B1201" s="302">
        <v>1.6487445294225977</v>
      </c>
      <c r="C1201" s="302">
        <v>1.3615137349684794</v>
      </c>
      <c r="D1201" s="302">
        <f t="shared" si="436"/>
        <v>3.0102582643910774</v>
      </c>
      <c r="E1201" s="303"/>
      <c r="F1201" s="302">
        <v>0.69034803872274908</v>
      </c>
      <c r="G1201" s="302">
        <v>1.1846700514429913</v>
      </c>
      <c r="H1201" s="302">
        <f t="shared" si="437"/>
        <v>1.8750180901657405</v>
      </c>
      <c r="I1201" s="303"/>
      <c r="J1201" s="302">
        <v>0.83061847061210192</v>
      </c>
      <c r="K1201" s="302">
        <v>1.113279760935463</v>
      </c>
      <c r="L1201" s="302">
        <f t="shared" si="438"/>
        <v>1.943898231547565</v>
      </c>
      <c r="M1201" s="236"/>
      <c r="N1201" s="236"/>
    </row>
    <row r="1202" spans="1:14" x14ac:dyDescent="0.2">
      <c r="A1202" s="237" t="str">
        <f>name!E$7</f>
        <v>Administrative and secretarial occupations</v>
      </c>
      <c r="B1202" s="302">
        <v>0.8876896912948774</v>
      </c>
      <c r="C1202" s="302">
        <v>0.29772270080993424</v>
      </c>
      <c r="D1202" s="302">
        <f t="shared" si="436"/>
        <v>1.1854123921048116</v>
      </c>
      <c r="E1202" s="303"/>
      <c r="F1202" s="302">
        <v>0.67454454375731965</v>
      </c>
      <c r="G1202" s="302">
        <v>0.15868931751116125</v>
      </c>
      <c r="H1202" s="302">
        <f t="shared" si="437"/>
        <v>0.83323386126848087</v>
      </c>
      <c r="I1202" s="303"/>
      <c r="J1202" s="302">
        <v>0.69261662198818785</v>
      </c>
      <c r="K1202" s="302">
        <v>0.17159894380933066</v>
      </c>
      <c r="L1202" s="302">
        <f t="shared" si="438"/>
        <v>0.86421556579751857</v>
      </c>
      <c r="M1202" s="236"/>
      <c r="N1202" s="236"/>
    </row>
    <row r="1203" spans="1:14" x14ac:dyDescent="0.2">
      <c r="A1203" s="237" t="str">
        <f>name!E$8</f>
        <v>Skilled trades occupations</v>
      </c>
      <c r="B1203" s="302">
        <v>0.19646171779627464</v>
      </c>
      <c r="C1203" s="302">
        <v>0.84821611897276572</v>
      </c>
      <c r="D1203" s="302">
        <f t="shared" si="436"/>
        <v>1.0446778367690404</v>
      </c>
      <c r="E1203" s="303"/>
      <c r="F1203" s="302">
        <v>7.2805104137965038E-2</v>
      </c>
      <c r="G1203" s="302">
        <v>0.4493491682874507</v>
      </c>
      <c r="H1203" s="302">
        <f t="shared" si="437"/>
        <v>0.52215427242541579</v>
      </c>
      <c r="I1203" s="303"/>
      <c r="J1203" s="302">
        <v>8.6649379187172859E-2</v>
      </c>
      <c r="K1203" s="302">
        <v>0.42853466996404266</v>
      </c>
      <c r="L1203" s="302">
        <f t="shared" si="438"/>
        <v>0.51518404915121552</v>
      </c>
      <c r="M1203" s="236"/>
      <c r="N1203" s="236"/>
    </row>
    <row r="1204" spans="1:14" x14ac:dyDescent="0.2">
      <c r="A1204" s="237" t="str">
        <f>name!E$9</f>
        <v>Caring, leisure and other service occupations</v>
      </c>
      <c r="B1204" s="302">
        <v>0.34900735660220783</v>
      </c>
      <c r="C1204" s="302">
        <v>0.2930886522841501</v>
      </c>
      <c r="D1204" s="302">
        <f t="shared" si="436"/>
        <v>0.64209600888635787</v>
      </c>
      <c r="E1204" s="303"/>
      <c r="F1204" s="302">
        <v>0.21315380591440244</v>
      </c>
      <c r="G1204" s="302">
        <v>0.19998773711323023</v>
      </c>
      <c r="H1204" s="302">
        <f t="shared" si="437"/>
        <v>0.41314154302763267</v>
      </c>
      <c r="I1204" s="303"/>
      <c r="J1204" s="302">
        <v>0.2238080665220171</v>
      </c>
      <c r="K1204" s="302">
        <v>0.23322235293243401</v>
      </c>
      <c r="L1204" s="302">
        <f t="shared" si="438"/>
        <v>0.45703041945445111</v>
      </c>
      <c r="M1204" s="236"/>
      <c r="N1204" s="236"/>
    </row>
    <row r="1205" spans="1:14" x14ac:dyDescent="0.2">
      <c r="A1205" s="237" t="str">
        <f>name!E$10</f>
        <v>Sales and customer service occupations</v>
      </c>
      <c r="B1205" s="302">
        <v>0.33245500437580089</v>
      </c>
      <c r="C1205" s="302">
        <v>0.25319419954608013</v>
      </c>
      <c r="D1205" s="302">
        <f t="shared" si="436"/>
        <v>0.58564920392188102</v>
      </c>
      <c r="E1205" s="303"/>
      <c r="F1205" s="302">
        <v>0.21864992125603119</v>
      </c>
      <c r="G1205" s="302">
        <v>0.18639403607667446</v>
      </c>
      <c r="H1205" s="302">
        <f t="shared" si="437"/>
        <v>0.40504395733270565</v>
      </c>
      <c r="I1205" s="303"/>
      <c r="J1205" s="302">
        <v>0.24045531816028207</v>
      </c>
      <c r="K1205" s="302">
        <v>0.22021405864035848</v>
      </c>
      <c r="L1205" s="302">
        <f t="shared" si="438"/>
        <v>0.46066937680064057</v>
      </c>
      <c r="M1205" s="236"/>
      <c r="N1205" s="236"/>
    </row>
    <row r="1206" spans="1:14" x14ac:dyDescent="0.2">
      <c r="A1206" s="237" t="str">
        <f>name!E$11</f>
        <v>Process, plant and machine operatives</v>
      </c>
      <c r="B1206" s="302">
        <v>1.2002341700996299E-2</v>
      </c>
      <c r="C1206" s="302">
        <v>0.11725861910140024</v>
      </c>
      <c r="D1206" s="302">
        <f t="shared" si="436"/>
        <v>0.12926096080239655</v>
      </c>
      <c r="E1206" s="303"/>
      <c r="F1206" s="302">
        <v>6.0585158225377293E-3</v>
      </c>
      <c r="G1206" s="302">
        <v>5.794504686289733E-2</v>
      </c>
      <c r="H1206" s="302">
        <f t="shared" si="437"/>
        <v>6.4003562685435056E-2</v>
      </c>
      <c r="I1206" s="303"/>
      <c r="J1206" s="302">
        <v>1.5932072569866212E-2</v>
      </c>
      <c r="K1206" s="302">
        <v>6.9361830350926246E-2</v>
      </c>
      <c r="L1206" s="302">
        <f t="shared" si="438"/>
        <v>8.5293902920792461E-2</v>
      </c>
      <c r="M1206" s="236"/>
      <c r="N1206" s="236"/>
    </row>
    <row r="1207" spans="1:14" ht="13.5" customHeight="1" x14ac:dyDescent="0.2">
      <c r="A1207" s="237" t="str">
        <f>name!E$12</f>
        <v>Elementary occupations</v>
      </c>
      <c r="B1207" s="302">
        <v>0.36070330553245672</v>
      </c>
      <c r="C1207" s="302">
        <v>0.60900472655783877</v>
      </c>
      <c r="D1207" s="302">
        <f t="shared" si="436"/>
        <v>0.96970803209029555</v>
      </c>
      <c r="E1207" s="303"/>
      <c r="F1207" s="302">
        <v>0.28845828202369528</v>
      </c>
      <c r="G1207" s="302">
        <v>0.36409561852923539</v>
      </c>
      <c r="H1207" s="302">
        <f t="shared" si="437"/>
        <v>0.65255390055293061</v>
      </c>
      <c r="I1207" s="303"/>
      <c r="J1207" s="302">
        <v>0.25901375577879016</v>
      </c>
      <c r="K1207" s="302">
        <v>0.32743778101574694</v>
      </c>
      <c r="L1207" s="302">
        <f t="shared" si="438"/>
        <v>0.5864515367945371</v>
      </c>
      <c r="M1207" s="236"/>
      <c r="N1207" s="236"/>
    </row>
    <row r="1208" spans="1:14" ht="13.5" customHeight="1" x14ac:dyDescent="0.2">
      <c r="A1208" s="237"/>
      <c r="B1208" s="302"/>
      <c r="C1208" s="302"/>
      <c r="D1208" s="302"/>
      <c r="E1208" s="303"/>
      <c r="F1208" s="302"/>
      <c r="G1208" s="302"/>
      <c r="H1208" s="302"/>
      <c r="I1208" s="303"/>
      <c r="J1208" s="302"/>
      <c r="K1208" s="302"/>
      <c r="L1208" s="302"/>
      <c r="M1208" s="236"/>
      <c r="N1208" s="236"/>
    </row>
    <row r="1209" spans="1:14" x14ac:dyDescent="0.2">
      <c r="A1209" s="244" t="s">
        <v>32</v>
      </c>
      <c r="B1209" s="311">
        <f>SUM(B1199:B1207)</f>
        <v>4.7940000000089089</v>
      </c>
      <c r="C1209" s="311">
        <f t="shared" ref="C1209:D1209" si="439">SUM(C1199:C1207)</f>
        <v>4.6650000000616956</v>
      </c>
      <c r="D1209" s="311">
        <f t="shared" si="439"/>
        <v>9.4590000000706045</v>
      </c>
      <c r="E1209" s="311"/>
      <c r="F1209" s="311">
        <f t="shared" ref="F1209:H1209" si="440">SUM(F1199:F1207)</f>
        <v>2.7279999999990716</v>
      </c>
      <c r="G1209" s="311">
        <f t="shared" si="440"/>
        <v>3.2820000000520362</v>
      </c>
      <c r="H1209" s="311">
        <f t="shared" si="440"/>
        <v>6.0100000000511073</v>
      </c>
      <c r="I1209" s="311"/>
      <c r="J1209" s="311">
        <f t="shared" ref="J1209:L1209" si="441">SUM(J1199:J1207)</f>
        <v>3.0410000000015951</v>
      </c>
      <c r="K1209" s="311">
        <f t="shared" si="441"/>
        <v>3.21000000010969</v>
      </c>
      <c r="L1209" s="311">
        <f t="shared" si="441"/>
        <v>6.2510000001112846</v>
      </c>
      <c r="M1209" s="236"/>
      <c r="N1209" s="236"/>
    </row>
    <row r="1210" spans="1:14" x14ac:dyDescent="0.2">
      <c r="A1210" s="237"/>
      <c r="B1210" s="237"/>
      <c r="C1210" s="237"/>
      <c r="D1210" s="237"/>
      <c r="E1210" s="237"/>
      <c r="F1210" s="237"/>
      <c r="G1210" s="237"/>
      <c r="H1210" s="237"/>
      <c r="I1210" s="237"/>
      <c r="J1210" s="237"/>
      <c r="K1210" s="237"/>
      <c r="L1210" s="240"/>
      <c r="M1210" s="236"/>
      <c r="N1210" s="236"/>
    </row>
    <row r="1211" spans="1:14" x14ac:dyDescent="0.2">
      <c r="A1211" s="237"/>
      <c r="B1211" s="237"/>
      <c r="C1211" s="237"/>
      <c r="D1211" s="237"/>
      <c r="E1211" s="237"/>
      <c r="F1211" s="237"/>
      <c r="G1211" s="237"/>
      <c r="H1211" s="237"/>
      <c r="I1211" s="237"/>
      <c r="J1211" s="237"/>
      <c r="K1211" s="237"/>
      <c r="L1211" s="256" t="s">
        <v>35</v>
      </c>
      <c r="M1211" s="236"/>
      <c r="N1211" s="236"/>
    </row>
    <row r="1212" spans="1:14" x14ac:dyDescent="0.2">
      <c r="A1212" s="242"/>
      <c r="B1212" s="250"/>
      <c r="C1212" s="250"/>
      <c r="D1212" s="250"/>
      <c r="E1212" s="250"/>
      <c r="F1212" s="250"/>
      <c r="G1212" s="250"/>
      <c r="H1212" s="250"/>
      <c r="I1212" s="250"/>
      <c r="J1212" s="250"/>
      <c r="K1212" s="250"/>
      <c r="L1212" s="236"/>
      <c r="M1212" s="236"/>
      <c r="N1212" s="236"/>
    </row>
    <row r="1213" spans="1:14" x14ac:dyDescent="0.2">
      <c r="A1213" s="241" t="str">
        <f>name!A74</f>
        <v>Gambling and betting</v>
      </c>
      <c r="B1213" s="372">
        <f>B$6</f>
        <v>2015</v>
      </c>
      <c r="C1213" s="372"/>
      <c r="D1213" s="372"/>
      <c r="E1213" s="253"/>
      <c r="F1213" s="372">
        <f>F$6</f>
        <v>2020</v>
      </c>
      <c r="G1213" s="372"/>
      <c r="H1213" s="372"/>
      <c r="I1213" s="253"/>
      <c r="J1213" s="372">
        <f>J$6</f>
        <v>2035</v>
      </c>
      <c r="K1213" s="372"/>
      <c r="L1213" s="372"/>
      <c r="M1213" s="236"/>
      <c r="N1213" s="236"/>
    </row>
    <row r="1214" spans="1:14" x14ac:dyDescent="0.2">
      <c r="A1214" s="254"/>
      <c r="B1214" s="255" t="s">
        <v>352</v>
      </c>
      <c r="C1214" s="255" t="s">
        <v>353</v>
      </c>
      <c r="D1214" s="255" t="s">
        <v>32</v>
      </c>
      <c r="E1214" s="255"/>
      <c r="F1214" s="255" t="s">
        <v>352</v>
      </c>
      <c r="G1214" s="255" t="s">
        <v>353</v>
      </c>
      <c r="H1214" s="255" t="s">
        <v>32</v>
      </c>
      <c r="I1214" s="255"/>
      <c r="J1214" s="255" t="s">
        <v>352</v>
      </c>
      <c r="K1214" s="255" t="s">
        <v>353</v>
      </c>
      <c r="L1214" s="255" t="s">
        <v>32</v>
      </c>
      <c r="M1214" s="236"/>
      <c r="N1214" s="236"/>
    </row>
    <row r="1215" spans="1:14" x14ac:dyDescent="0.2">
      <c r="A1215" s="258"/>
      <c r="B1215" s="259"/>
      <c r="C1215" s="259"/>
      <c r="D1215" s="259"/>
      <c r="E1215" s="259"/>
      <c r="F1215" s="259"/>
      <c r="G1215" s="259"/>
      <c r="H1215" s="259"/>
      <c r="I1215" s="259"/>
      <c r="J1215" s="259"/>
      <c r="K1215" s="259"/>
      <c r="L1215" s="259"/>
      <c r="M1215" s="236"/>
      <c r="N1215" s="236"/>
    </row>
    <row r="1216" spans="1:14" x14ac:dyDescent="0.2">
      <c r="A1216" s="237" t="str">
        <f>name!E$4</f>
        <v>Managers, directors and senior officials</v>
      </c>
      <c r="B1216" s="302">
        <v>0.14855820050926413</v>
      </c>
      <c r="C1216" s="302">
        <v>0.17692405250393414</v>
      </c>
      <c r="D1216" s="302">
        <f>SUM(B1216:C1216)</f>
        <v>0.32548225301319827</v>
      </c>
      <c r="E1216" s="303"/>
      <c r="F1216" s="302">
        <v>8.0076318718736356E-2</v>
      </c>
      <c r="G1216" s="302">
        <v>0.1672756018588141</v>
      </c>
      <c r="H1216" s="302">
        <f>SUM(F1216:G1216)</f>
        <v>0.24735192057755045</v>
      </c>
      <c r="I1216" s="303"/>
      <c r="J1216" s="302">
        <v>0.1037224647370964</v>
      </c>
      <c r="K1216" s="302">
        <v>0.23525921554703397</v>
      </c>
      <c r="L1216" s="302">
        <f>SUM(J1216:K1216)</f>
        <v>0.33898168028413034</v>
      </c>
      <c r="M1216" s="236"/>
      <c r="N1216" s="236"/>
    </row>
    <row r="1217" spans="1:14" x14ac:dyDescent="0.2">
      <c r="A1217" s="237" t="str">
        <f>name!E$5</f>
        <v>Professional occupations</v>
      </c>
      <c r="B1217" s="302">
        <v>0.44649233699226931</v>
      </c>
      <c r="C1217" s="302">
        <v>0.17960468845615252</v>
      </c>
      <c r="D1217" s="302">
        <f t="shared" ref="D1217:D1224" si="442">SUM(B1217:C1217)</f>
        <v>0.62609702544842183</v>
      </c>
      <c r="E1217" s="303"/>
      <c r="F1217" s="302">
        <v>0.29423769537636441</v>
      </c>
      <c r="G1217" s="302">
        <v>0.18931248286857272</v>
      </c>
      <c r="H1217" s="302">
        <f t="shared" ref="H1217:H1224" si="443">SUM(F1217:G1217)</f>
        <v>0.48355017824493712</v>
      </c>
      <c r="I1217" s="303"/>
      <c r="J1217" s="302">
        <v>0.38141333725044974</v>
      </c>
      <c r="K1217" s="302">
        <v>0.2392164351570516</v>
      </c>
      <c r="L1217" s="302">
        <f t="shared" ref="L1217:L1224" si="444">SUM(J1217:K1217)</f>
        <v>0.62062977240750139</v>
      </c>
      <c r="M1217" s="236"/>
      <c r="N1217" s="236"/>
    </row>
    <row r="1218" spans="1:14" x14ac:dyDescent="0.2">
      <c r="A1218" s="237" t="str">
        <f>name!E$6</f>
        <v>Associate professional occupations</v>
      </c>
      <c r="B1218" s="302">
        <v>0.66189411185914082</v>
      </c>
      <c r="C1218" s="302">
        <v>0.38737496138603822</v>
      </c>
      <c r="D1218" s="302">
        <f t="shared" si="442"/>
        <v>1.049269073245179</v>
      </c>
      <c r="E1218" s="303"/>
      <c r="F1218" s="302">
        <v>0.29672895766704382</v>
      </c>
      <c r="G1218" s="302">
        <v>0.38019892053522475</v>
      </c>
      <c r="H1218" s="302">
        <f t="shared" si="443"/>
        <v>0.67692787820226852</v>
      </c>
      <c r="I1218" s="303"/>
      <c r="J1218" s="302">
        <v>0.35447417566177108</v>
      </c>
      <c r="K1218" s="302">
        <v>0.45579184655534227</v>
      </c>
      <c r="L1218" s="302">
        <f t="shared" si="444"/>
        <v>0.81026602221711341</v>
      </c>
      <c r="M1218" s="236"/>
      <c r="N1218" s="236"/>
    </row>
    <row r="1219" spans="1:14" x14ac:dyDescent="0.2">
      <c r="A1219" s="237" t="str">
        <f>name!E$7</f>
        <v>Administrative and secretarial occupations</v>
      </c>
      <c r="B1219" s="302">
        <v>0.78966473977427165</v>
      </c>
      <c r="C1219" s="302">
        <v>0.37732664344981848</v>
      </c>
      <c r="D1219" s="302">
        <f t="shared" si="442"/>
        <v>1.1669913832240901</v>
      </c>
      <c r="E1219" s="303"/>
      <c r="F1219" s="302">
        <v>0.52411336959468036</v>
      </c>
      <c r="G1219" s="302">
        <v>0.31724916710035944</v>
      </c>
      <c r="H1219" s="302">
        <f t="shared" si="443"/>
        <v>0.8413625366950398</v>
      </c>
      <c r="I1219" s="303"/>
      <c r="J1219" s="302">
        <v>0.53092368747655083</v>
      </c>
      <c r="K1219" s="302">
        <v>0.40131739600092953</v>
      </c>
      <c r="L1219" s="302">
        <f t="shared" si="444"/>
        <v>0.93224108347748036</v>
      </c>
      <c r="M1219" s="236"/>
      <c r="N1219" s="236"/>
    </row>
    <row r="1220" spans="1:14" x14ac:dyDescent="0.2">
      <c r="A1220" s="237" t="str">
        <f>name!E$8</f>
        <v>Skilled trades occupations</v>
      </c>
      <c r="B1220" s="302">
        <v>7.5709360722776148E-2</v>
      </c>
      <c r="C1220" s="302">
        <v>0.62989188786123629</v>
      </c>
      <c r="D1220" s="302">
        <f t="shared" si="442"/>
        <v>0.70560124858401241</v>
      </c>
      <c r="E1220" s="303"/>
      <c r="F1220" s="302">
        <v>2.5099798496807896E-2</v>
      </c>
      <c r="G1220" s="302">
        <v>0.41793899849747562</v>
      </c>
      <c r="H1220" s="302">
        <f t="shared" si="443"/>
        <v>0.4430387969942835</v>
      </c>
      <c r="I1220" s="303"/>
      <c r="J1220" s="302">
        <v>3.2755632632323832E-2</v>
      </c>
      <c r="K1220" s="302">
        <v>0.4359699975437637</v>
      </c>
      <c r="L1220" s="302">
        <f t="shared" si="444"/>
        <v>0.46872563017608754</v>
      </c>
      <c r="M1220" s="236"/>
      <c r="N1220" s="236"/>
    </row>
    <row r="1221" spans="1:14" x14ac:dyDescent="0.2">
      <c r="A1221" s="237" t="str">
        <f>name!E$9</f>
        <v>Caring, leisure and other service occupations</v>
      </c>
      <c r="B1221" s="302">
        <v>0.27941031607829558</v>
      </c>
      <c r="C1221" s="302">
        <v>0.44772424050285542</v>
      </c>
      <c r="D1221" s="302">
        <f t="shared" si="442"/>
        <v>0.727134556581151</v>
      </c>
      <c r="E1221" s="303"/>
      <c r="F1221" s="302">
        <v>0.15675262246219934</v>
      </c>
      <c r="G1221" s="302">
        <v>0.31467184346929356</v>
      </c>
      <c r="H1221" s="302">
        <f t="shared" si="443"/>
        <v>0.4714244659314929</v>
      </c>
      <c r="I1221" s="303"/>
      <c r="J1221" s="302">
        <v>0.16124391053030973</v>
      </c>
      <c r="K1221" s="302">
        <v>0.42050378892161755</v>
      </c>
      <c r="L1221" s="302">
        <f t="shared" si="444"/>
        <v>0.58174769945192728</v>
      </c>
      <c r="M1221" s="236"/>
      <c r="N1221" s="236"/>
    </row>
    <row r="1222" spans="1:14" x14ac:dyDescent="0.2">
      <c r="A1222" s="237" t="str">
        <f>name!E$10</f>
        <v>Sales and customer service occupations</v>
      </c>
      <c r="B1222" s="302">
        <v>0.27847296102782371</v>
      </c>
      <c r="C1222" s="302">
        <v>0.41223992098205164</v>
      </c>
      <c r="D1222" s="302">
        <f t="shared" si="442"/>
        <v>0.69071288200987535</v>
      </c>
      <c r="E1222" s="303"/>
      <c r="F1222" s="302">
        <v>0.16982550143469655</v>
      </c>
      <c r="G1222" s="302">
        <v>0.29520700989476217</v>
      </c>
      <c r="H1222" s="302">
        <f t="shared" si="443"/>
        <v>0.46503251132945872</v>
      </c>
      <c r="I1222" s="303"/>
      <c r="J1222" s="302">
        <v>0.18358669373379685</v>
      </c>
      <c r="K1222" s="302">
        <v>0.4415618221239932</v>
      </c>
      <c r="L1222" s="302">
        <f t="shared" si="444"/>
        <v>0.62514851585779008</v>
      </c>
      <c r="M1222" s="236"/>
      <c r="N1222" s="236"/>
    </row>
    <row r="1223" spans="1:14" x14ac:dyDescent="0.2">
      <c r="A1223" s="237" t="str">
        <f>name!E$11</f>
        <v>Process, plant and machine operatives</v>
      </c>
      <c r="B1223" s="302">
        <v>7.9420827098134299E-3</v>
      </c>
      <c r="C1223" s="302">
        <v>0.13895527154505369</v>
      </c>
      <c r="D1223" s="302">
        <f t="shared" si="442"/>
        <v>0.14689735425486711</v>
      </c>
      <c r="E1223" s="303"/>
      <c r="F1223" s="302">
        <v>3.8089687257240584E-3</v>
      </c>
      <c r="G1223" s="302">
        <v>9.1197562615205785E-2</v>
      </c>
      <c r="H1223" s="302">
        <f t="shared" si="443"/>
        <v>9.5006531340929845E-2</v>
      </c>
      <c r="I1223" s="303"/>
      <c r="J1223" s="302">
        <v>1.0609918537416007E-2</v>
      </c>
      <c r="K1223" s="302">
        <v>0.12495424191393019</v>
      </c>
      <c r="L1223" s="302">
        <f t="shared" si="444"/>
        <v>0.1355641604513462</v>
      </c>
      <c r="M1223" s="236"/>
      <c r="N1223" s="236"/>
    </row>
    <row r="1224" spans="1:14" x14ac:dyDescent="0.2">
      <c r="A1224" s="237" t="str">
        <f>name!E$12</f>
        <v>Elementary occupations</v>
      </c>
      <c r="B1224" s="302">
        <v>0.31785589032545064</v>
      </c>
      <c r="C1224" s="302">
        <v>1.0709583333414197</v>
      </c>
      <c r="D1224" s="302">
        <f t="shared" si="442"/>
        <v>1.3888142236668704</v>
      </c>
      <c r="E1224" s="303"/>
      <c r="F1224" s="302">
        <v>0.21135676752580687</v>
      </c>
      <c r="G1224" s="302">
        <v>0.61894841316401639</v>
      </c>
      <c r="H1224" s="302">
        <f t="shared" si="443"/>
        <v>0.83030518068982329</v>
      </c>
      <c r="I1224" s="303"/>
      <c r="J1224" s="302">
        <v>0.18427017943910096</v>
      </c>
      <c r="K1224" s="302">
        <v>0.64342525623900781</v>
      </c>
      <c r="L1224" s="302">
        <f t="shared" si="444"/>
        <v>0.82769543567810877</v>
      </c>
      <c r="M1224" s="236"/>
      <c r="N1224" s="236"/>
    </row>
    <row r="1225" spans="1:14" x14ac:dyDescent="0.2">
      <c r="A1225" s="237"/>
      <c r="B1225" s="302"/>
      <c r="C1225" s="302"/>
      <c r="D1225" s="302"/>
      <c r="E1225" s="303"/>
      <c r="F1225" s="302"/>
      <c r="G1225" s="302"/>
      <c r="H1225" s="302"/>
      <c r="I1225" s="303"/>
      <c r="J1225" s="302"/>
      <c r="K1225" s="302"/>
      <c r="L1225" s="302"/>
      <c r="M1225" s="236"/>
      <c r="N1225" s="236"/>
    </row>
    <row r="1226" spans="1:14" x14ac:dyDescent="0.2">
      <c r="A1226" s="244" t="s">
        <v>32</v>
      </c>
      <c r="B1226" s="311">
        <f>SUM(B1216:B1224)</f>
        <v>3.0059999999991058</v>
      </c>
      <c r="C1226" s="311">
        <f t="shared" ref="C1226:D1226" si="445">SUM(C1216:C1224)</f>
        <v>3.82100000002856</v>
      </c>
      <c r="D1226" s="311">
        <f t="shared" si="445"/>
        <v>6.8270000000276667</v>
      </c>
      <c r="E1226" s="311"/>
      <c r="F1226" s="311">
        <f t="shared" ref="F1226:H1226" si="446">SUM(F1216:F1224)</f>
        <v>1.7620000000020597</v>
      </c>
      <c r="G1226" s="311">
        <f t="shared" si="446"/>
        <v>2.7920000000037248</v>
      </c>
      <c r="H1226" s="311">
        <f t="shared" si="446"/>
        <v>4.5540000000057841</v>
      </c>
      <c r="I1226" s="311"/>
      <c r="J1226" s="311">
        <f t="shared" ref="J1226:L1226" si="447">SUM(J1216:J1224)</f>
        <v>1.9429999999988152</v>
      </c>
      <c r="K1226" s="311">
        <f t="shared" si="447"/>
        <v>3.3980000000026696</v>
      </c>
      <c r="L1226" s="311">
        <f t="shared" si="447"/>
        <v>5.3410000000014852</v>
      </c>
      <c r="M1226" s="236"/>
      <c r="N1226" s="236"/>
    </row>
    <row r="1227" spans="1:14" x14ac:dyDescent="0.2">
      <c r="A1227" s="237"/>
      <c r="B1227" s="237"/>
      <c r="C1227" s="237"/>
      <c r="D1227" s="237"/>
      <c r="E1227" s="237"/>
      <c r="F1227" s="237"/>
      <c r="G1227" s="237"/>
      <c r="H1227" s="237"/>
      <c r="I1227" s="237"/>
      <c r="J1227" s="237"/>
      <c r="K1227" s="237"/>
      <c r="L1227" s="240"/>
      <c r="M1227" s="236"/>
      <c r="N1227" s="236"/>
    </row>
    <row r="1228" spans="1:14" x14ac:dyDescent="0.2">
      <c r="A1228" s="237"/>
      <c r="B1228" s="237"/>
      <c r="C1228" s="237"/>
      <c r="D1228" s="237"/>
      <c r="E1228" s="237"/>
      <c r="F1228" s="237"/>
      <c r="G1228" s="237"/>
      <c r="H1228" s="237"/>
      <c r="I1228" s="237"/>
      <c r="J1228" s="237"/>
      <c r="K1228" s="237"/>
      <c r="L1228" s="256" t="s">
        <v>35</v>
      </c>
      <c r="M1228" s="236"/>
      <c r="N1228" s="236"/>
    </row>
    <row r="1229" spans="1:14" x14ac:dyDescent="0.2">
      <c r="A1229" s="242"/>
      <c r="B1229" s="250"/>
      <c r="C1229" s="250"/>
      <c r="D1229" s="250"/>
      <c r="E1229" s="250"/>
      <c r="F1229" s="250"/>
      <c r="G1229" s="250"/>
      <c r="H1229" s="250"/>
      <c r="I1229" s="250"/>
      <c r="J1229" s="250"/>
      <c r="K1229" s="250"/>
      <c r="L1229" s="236"/>
      <c r="M1229" s="236"/>
      <c r="N1229" s="236"/>
    </row>
    <row r="1230" spans="1:14" x14ac:dyDescent="0.2">
      <c r="A1230" s="241" t="str">
        <f>name!A75</f>
        <v>Sport and recreation</v>
      </c>
      <c r="B1230" s="372">
        <f>B$6</f>
        <v>2015</v>
      </c>
      <c r="C1230" s="372"/>
      <c r="D1230" s="372"/>
      <c r="E1230" s="253"/>
      <c r="F1230" s="372">
        <f>F$6</f>
        <v>2020</v>
      </c>
      <c r="G1230" s="372"/>
      <c r="H1230" s="372"/>
      <c r="I1230" s="253"/>
      <c r="J1230" s="372">
        <f>J$6</f>
        <v>2035</v>
      </c>
      <c r="K1230" s="372"/>
      <c r="L1230" s="372"/>
      <c r="M1230" s="236"/>
      <c r="N1230" s="236"/>
    </row>
    <row r="1231" spans="1:14" x14ac:dyDescent="0.2">
      <c r="A1231" s="254"/>
      <c r="B1231" s="255" t="s">
        <v>352</v>
      </c>
      <c r="C1231" s="255" t="s">
        <v>353</v>
      </c>
      <c r="D1231" s="255" t="s">
        <v>32</v>
      </c>
      <c r="E1231" s="255"/>
      <c r="F1231" s="255" t="s">
        <v>352</v>
      </c>
      <c r="G1231" s="255" t="s">
        <v>353</v>
      </c>
      <c r="H1231" s="255" t="s">
        <v>32</v>
      </c>
      <c r="I1231" s="255"/>
      <c r="J1231" s="255" t="s">
        <v>352</v>
      </c>
      <c r="K1231" s="255" t="s">
        <v>353</v>
      </c>
      <c r="L1231" s="255" t="s">
        <v>32</v>
      </c>
      <c r="M1231" s="236"/>
      <c r="N1231" s="236"/>
    </row>
    <row r="1232" spans="1:14" x14ac:dyDescent="0.2">
      <c r="A1232" s="258"/>
      <c r="B1232" s="259"/>
      <c r="C1232" s="259"/>
      <c r="D1232" s="259"/>
      <c r="E1232" s="259"/>
      <c r="F1232" s="259"/>
      <c r="G1232" s="259"/>
      <c r="H1232" s="259"/>
      <c r="I1232" s="259"/>
      <c r="J1232" s="259"/>
      <c r="K1232" s="259"/>
      <c r="L1232" s="259"/>
      <c r="M1232" s="236"/>
      <c r="N1232" s="236"/>
    </row>
    <row r="1233" spans="1:14" x14ac:dyDescent="0.2">
      <c r="A1233" s="237" t="str">
        <f>name!E$4</f>
        <v>Managers, directors and senior officials</v>
      </c>
      <c r="B1233" s="302">
        <v>0.26760170075990308</v>
      </c>
      <c r="C1233" s="302">
        <v>0.2231671108566419</v>
      </c>
      <c r="D1233" s="302">
        <f>SUM(B1233:C1233)</f>
        <v>0.49076881161654495</v>
      </c>
      <c r="E1233" s="303"/>
      <c r="F1233" s="302">
        <v>0.39529384254794464</v>
      </c>
      <c r="G1233" s="302">
        <v>0.52840443393163694</v>
      </c>
      <c r="H1233" s="302">
        <f>SUM(F1233:G1233)</f>
        <v>0.92369827647958158</v>
      </c>
      <c r="I1233" s="303"/>
      <c r="J1233" s="302">
        <v>0.51580009198755217</v>
      </c>
      <c r="K1233" s="302">
        <v>0.75715009097595209</v>
      </c>
      <c r="L1233" s="302">
        <f>SUM(J1233:K1233)</f>
        <v>1.2729501829635042</v>
      </c>
      <c r="M1233" s="236"/>
      <c r="N1233" s="236"/>
    </row>
    <row r="1234" spans="1:14" x14ac:dyDescent="0.2">
      <c r="A1234" s="237" t="str">
        <f>name!E$5</f>
        <v>Professional occupations</v>
      </c>
      <c r="B1234" s="302">
        <v>0.83284792881741032</v>
      </c>
      <c r="C1234" s="302">
        <v>0.28191826012190435</v>
      </c>
      <c r="D1234" s="302">
        <f t="shared" ref="D1234:D1241" si="448">SUM(B1234:C1234)</f>
        <v>1.1147661889393148</v>
      </c>
      <c r="E1234" s="303"/>
      <c r="F1234" s="302">
        <v>1.478870746631219</v>
      </c>
      <c r="G1234" s="302">
        <v>0.71805596355201018</v>
      </c>
      <c r="H1234" s="302">
        <f t="shared" ref="H1234:H1241" si="449">SUM(F1234:G1234)</f>
        <v>2.196926710183229</v>
      </c>
      <c r="I1234" s="303"/>
      <c r="J1234" s="302">
        <v>1.9353803265949723</v>
      </c>
      <c r="K1234" s="302">
        <v>0.9249133062116669</v>
      </c>
      <c r="L1234" s="302">
        <f t="shared" ref="L1234:L1241" si="450">SUM(J1234:K1234)</f>
        <v>2.8602936328066391</v>
      </c>
      <c r="M1234" s="236"/>
      <c r="N1234" s="236"/>
    </row>
    <row r="1235" spans="1:14" x14ac:dyDescent="0.2">
      <c r="A1235" s="237" t="str">
        <f>name!E$6</f>
        <v>Associate professional occupations</v>
      </c>
      <c r="B1235" s="302">
        <v>1.0505953604170033</v>
      </c>
      <c r="C1235" s="302">
        <v>0.62610135004692125</v>
      </c>
      <c r="D1235" s="302">
        <f t="shared" si="448"/>
        <v>1.6766967104639245</v>
      </c>
      <c r="E1235" s="303"/>
      <c r="F1235" s="302">
        <v>1.3738040468354058</v>
      </c>
      <c r="G1235" s="302">
        <v>1.5498041322802492</v>
      </c>
      <c r="H1235" s="302">
        <f t="shared" si="449"/>
        <v>2.923608179115655</v>
      </c>
      <c r="I1235" s="303"/>
      <c r="J1235" s="302">
        <v>1.6529427809620045</v>
      </c>
      <c r="K1235" s="302">
        <v>1.9822049259618255</v>
      </c>
      <c r="L1235" s="302">
        <f t="shared" si="450"/>
        <v>3.63514770692383</v>
      </c>
      <c r="M1235" s="236"/>
      <c r="N1235" s="236"/>
    </row>
    <row r="1236" spans="1:14" x14ac:dyDescent="0.2">
      <c r="A1236" s="237" t="str">
        <f>name!E$7</f>
        <v>Administrative and secretarial occupations</v>
      </c>
      <c r="B1236" s="302">
        <v>1.6655125643801671</v>
      </c>
      <c r="C1236" s="302">
        <v>0.45298075521781289</v>
      </c>
      <c r="D1236" s="302">
        <f t="shared" si="448"/>
        <v>2.11849331959798</v>
      </c>
      <c r="E1236" s="303"/>
      <c r="F1236" s="302">
        <v>2.58016737860481</v>
      </c>
      <c r="G1236" s="302">
        <v>0.91463796309574874</v>
      </c>
      <c r="H1236" s="302">
        <f t="shared" si="449"/>
        <v>3.4948053417005589</v>
      </c>
      <c r="I1236" s="303"/>
      <c r="J1236" s="302">
        <v>2.6412518565668606</v>
      </c>
      <c r="K1236" s="302">
        <v>1.1589470487804052</v>
      </c>
      <c r="L1236" s="302">
        <f t="shared" si="450"/>
        <v>3.8001989053472656</v>
      </c>
      <c r="M1236" s="236"/>
      <c r="N1236" s="236"/>
    </row>
    <row r="1237" spans="1:14" x14ac:dyDescent="0.2">
      <c r="A1237" s="237" t="str">
        <f>name!E$8</f>
        <v>Skilled trades occupations</v>
      </c>
      <c r="B1237" s="302">
        <v>0.1160566627164847</v>
      </c>
      <c r="C1237" s="302">
        <v>0.79168744787074186</v>
      </c>
      <c r="D1237" s="302">
        <f t="shared" si="448"/>
        <v>0.90774411058722659</v>
      </c>
      <c r="E1237" s="303"/>
      <c r="F1237" s="302">
        <v>0.11268162279673057</v>
      </c>
      <c r="G1237" s="302">
        <v>1.2901189351542772</v>
      </c>
      <c r="H1237" s="302">
        <f t="shared" si="449"/>
        <v>1.4028005579510079</v>
      </c>
      <c r="I1237" s="303"/>
      <c r="J1237" s="302">
        <v>0.15190590012606267</v>
      </c>
      <c r="K1237" s="302">
        <v>1.4510834564909882</v>
      </c>
      <c r="L1237" s="302">
        <f t="shared" si="450"/>
        <v>1.602989356617051</v>
      </c>
      <c r="M1237" s="236"/>
      <c r="N1237" s="236"/>
    </row>
    <row r="1238" spans="1:14" x14ac:dyDescent="0.2">
      <c r="A1238" s="237" t="str">
        <f>name!E$9</f>
        <v>Caring, leisure and other service occupations</v>
      </c>
      <c r="B1238" s="302">
        <v>0.74562802428116493</v>
      </c>
      <c r="C1238" s="302">
        <v>0.63686734286581148</v>
      </c>
      <c r="D1238" s="302">
        <f t="shared" si="448"/>
        <v>1.3824953671469764</v>
      </c>
      <c r="E1238" s="303"/>
      <c r="F1238" s="302">
        <v>0.90432296128411682</v>
      </c>
      <c r="G1238" s="302">
        <v>0.99387665843366946</v>
      </c>
      <c r="H1238" s="302">
        <f t="shared" si="449"/>
        <v>1.8981996197177864</v>
      </c>
      <c r="I1238" s="303"/>
      <c r="J1238" s="302">
        <v>0.85756442764157248</v>
      </c>
      <c r="K1238" s="302">
        <v>1.2830190703398825</v>
      </c>
      <c r="L1238" s="302">
        <f t="shared" si="450"/>
        <v>2.1405834979814551</v>
      </c>
      <c r="M1238" s="236"/>
      <c r="N1238" s="236"/>
    </row>
    <row r="1239" spans="1:14" x14ac:dyDescent="0.2">
      <c r="A1239" s="237" t="str">
        <f>name!E$10</f>
        <v>Sales and customer service occupations</v>
      </c>
      <c r="B1239" s="302">
        <v>0.57851577562795176</v>
      </c>
      <c r="C1239" s="302">
        <v>0.58544212590902101</v>
      </c>
      <c r="D1239" s="302">
        <f t="shared" si="448"/>
        <v>1.1639579015369728</v>
      </c>
      <c r="E1239" s="303"/>
      <c r="F1239" s="302">
        <v>0.84217218359156565</v>
      </c>
      <c r="G1239" s="302">
        <v>0.9251080126387432</v>
      </c>
      <c r="H1239" s="302">
        <f t="shared" si="449"/>
        <v>1.7672801962303089</v>
      </c>
      <c r="I1239" s="303"/>
      <c r="J1239" s="302">
        <v>0.89961165189744219</v>
      </c>
      <c r="K1239" s="302">
        <v>1.3792541079490912</v>
      </c>
      <c r="L1239" s="302">
        <f t="shared" si="450"/>
        <v>2.2788657598465334</v>
      </c>
      <c r="M1239" s="236"/>
      <c r="N1239" s="236"/>
    </row>
    <row r="1240" spans="1:14" x14ac:dyDescent="0.2">
      <c r="A1240" s="237" t="str">
        <f>name!E$11</f>
        <v>Process, plant and machine operatives</v>
      </c>
      <c r="B1240" s="302">
        <v>1.7305332594666028E-2</v>
      </c>
      <c r="C1240" s="302">
        <v>0.17958264397838031</v>
      </c>
      <c r="D1240" s="302">
        <f t="shared" si="448"/>
        <v>0.19688797657304632</v>
      </c>
      <c r="E1240" s="303"/>
      <c r="F1240" s="302">
        <v>2.0105934198706769E-2</v>
      </c>
      <c r="G1240" s="302">
        <v>0.27817604296644394</v>
      </c>
      <c r="H1240" s="302">
        <f t="shared" si="449"/>
        <v>0.2982819771651507</v>
      </c>
      <c r="I1240" s="303"/>
      <c r="J1240" s="302">
        <v>4.8679530215629811E-2</v>
      </c>
      <c r="K1240" s="302">
        <v>0.36517804705447665</v>
      </c>
      <c r="L1240" s="302">
        <f t="shared" si="450"/>
        <v>0.41385757727010647</v>
      </c>
      <c r="M1240" s="236"/>
      <c r="N1240" s="236"/>
    </row>
    <row r="1241" spans="1:14" x14ac:dyDescent="0.2">
      <c r="A1241" s="237" t="str">
        <f>name!E$12</f>
        <v>Elementary occupations</v>
      </c>
      <c r="B1241" s="302">
        <v>0.69493665040339392</v>
      </c>
      <c r="C1241" s="302">
        <v>1.5222529631860795</v>
      </c>
      <c r="D1241" s="302">
        <f t="shared" si="448"/>
        <v>2.2171896135894733</v>
      </c>
      <c r="E1241" s="303"/>
      <c r="F1241" s="302">
        <v>1.0145812835190924</v>
      </c>
      <c r="G1241" s="302">
        <v>1.9358178579825192</v>
      </c>
      <c r="H1241" s="302">
        <f t="shared" si="449"/>
        <v>2.9503991415016113</v>
      </c>
      <c r="I1241" s="303"/>
      <c r="J1241" s="302">
        <v>0.89486343400182833</v>
      </c>
      <c r="K1241" s="302">
        <v>2.0192499463225388</v>
      </c>
      <c r="L1241" s="302">
        <f t="shared" si="450"/>
        <v>2.9141133803243671</v>
      </c>
      <c r="M1241" s="236"/>
      <c r="N1241" s="236"/>
    </row>
    <row r="1242" spans="1:14" x14ac:dyDescent="0.2">
      <c r="A1242" s="237"/>
      <c r="B1242" s="302"/>
      <c r="C1242" s="302"/>
      <c r="D1242" s="302"/>
      <c r="E1242" s="303"/>
      <c r="F1242" s="302"/>
      <c r="G1242" s="302"/>
      <c r="H1242" s="302"/>
      <c r="I1242" s="303"/>
      <c r="J1242" s="302"/>
      <c r="K1242" s="302"/>
      <c r="L1242" s="302"/>
      <c r="M1242" s="236"/>
      <c r="N1242" s="236"/>
    </row>
    <row r="1243" spans="1:14" x14ac:dyDescent="0.2">
      <c r="A1243" s="244" t="s">
        <v>32</v>
      </c>
      <c r="B1243" s="311">
        <f>SUM(B1233:B1241)</f>
        <v>5.968999999998144</v>
      </c>
      <c r="C1243" s="311">
        <f t="shared" ref="C1243:D1243" si="451">SUM(C1233:C1241)</f>
        <v>5.3000000000533145</v>
      </c>
      <c r="D1243" s="311">
        <f t="shared" si="451"/>
        <v>11.269000000051459</v>
      </c>
      <c r="E1243" s="311"/>
      <c r="F1243" s="311">
        <f t="shared" ref="F1243:H1243" si="452">SUM(F1233:F1241)</f>
        <v>8.7220000000095919</v>
      </c>
      <c r="G1243" s="311">
        <f t="shared" si="452"/>
        <v>9.1340000000352983</v>
      </c>
      <c r="H1243" s="311">
        <f t="shared" si="452"/>
        <v>17.856000000044887</v>
      </c>
      <c r="I1243" s="311"/>
      <c r="J1243" s="311">
        <f t="shared" ref="J1243:L1243" si="453">SUM(J1233:J1241)</f>
        <v>9.5979999999939256</v>
      </c>
      <c r="K1243" s="311">
        <f t="shared" si="453"/>
        <v>11.321000000086826</v>
      </c>
      <c r="L1243" s="311">
        <f t="shared" si="453"/>
        <v>20.91900000008075</v>
      </c>
      <c r="M1243" s="236"/>
      <c r="N1243" s="236"/>
    </row>
    <row r="1244" spans="1:14" x14ac:dyDescent="0.2">
      <c r="A1244" s="237"/>
      <c r="B1244" s="237"/>
      <c r="C1244" s="237"/>
      <c r="D1244" s="237"/>
      <c r="E1244" s="237"/>
      <c r="F1244" s="237"/>
      <c r="G1244" s="237"/>
      <c r="H1244" s="237"/>
      <c r="I1244" s="237"/>
      <c r="J1244" s="237"/>
      <c r="K1244" s="237"/>
      <c r="L1244" s="240"/>
      <c r="M1244" s="236"/>
      <c r="N1244" s="236"/>
    </row>
    <row r="1245" spans="1:14" x14ac:dyDescent="0.2">
      <c r="A1245" s="237"/>
      <c r="B1245" s="237"/>
      <c r="C1245" s="237"/>
      <c r="D1245" s="237"/>
      <c r="E1245" s="237"/>
      <c r="F1245" s="237"/>
      <c r="G1245" s="237"/>
      <c r="H1245" s="237"/>
      <c r="I1245" s="237"/>
      <c r="J1245" s="237"/>
      <c r="K1245" s="237"/>
      <c r="L1245" s="256" t="s">
        <v>35</v>
      </c>
      <c r="M1245" s="236"/>
      <c r="N1245" s="236"/>
    </row>
    <row r="1246" spans="1:14" x14ac:dyDescent="0.2">
      <c r="A1246" s="242"/>
      <c r="B1246" s="250"/>
      <c r="C1246" s="250"/>
      <c r="D1246" s="250"/>
      <c r="E1246" s="250"/>
      <c r="F1246" s="250"/>
      <c r="G1246" s="250"/>
      <c r="H1246" s="250"/>
      <c r="I1246" s="250"/>
      <c r="J1246" s="250"/>
      <c r="K1246" s="250"/>
      <c r="L1246" s="236"/>
      <c r="M1246" s="236"/>
      <c r="N1246" s="236"/>
    </row>
    <row r="1247" spans="1:14" x14ac:dyDescent="0.2">
      <c r="A1247" s="241" t="str">
        <f>name!A76</f>
        <v>Membership organisations</v>
      </c>
      <c r="B1247" s="372">
        <f>B$6</f>
        <v>2015</v>
      </c>
      <c r="C1247" s="372"/>
      <c r="D1247" s="372"/>
      <c r="E1247" s="253"/>
      <c r="F1247" s="372">
        <f>F$6</f>
        <v>2020</v>
      </c>
      <c r="G1247" s="372"/>
      <c r="H1247" s="372"/>
      <c r="I1247" s="253"/>
      <c r="J1247" s="372">
        <f>J$6</f>
        <v>2035</v>
      </c>
      <c r="K1247" s="372"/>
      <c r="L1247" s="372"/>
      <c r="M1247" s="236"/>
      <c r="N1247" s="236"/>
    </row>
    <row r="1248" spans="1:14" x14ac:dyDescent="0.2">
      <c r="A1248" s="254"/>
      <c r="B1248" s="255" t="s">
        <v>352</v>
      </c>
      <c r="C1248" s="255" t="s">
        <v>353</v>
      </c>
      <c r="D1248" s="255" t="s">
        <v>32</v>
      </c>
      <c r="E1248" s="255"/>
      <c r="F1248" s="255" t="s">
        <v>352</v>
      </c>
      <c r="G1248" s="255" t="s">
        <v>353</v>
      </c>
      <c r="H1248" s="255" t="s">
        <v>32</v>
      </c>
      <c r="I1248" s="255"/>
      <c r="J1248" s="255" t="s">
        <v>352</v>
      </c>
      <c r="K1248" s="255" t="s">
        <v>353</v>
      </c>
      <c r="L1248" s="255" t="s">
        <v>32</v>
      </c>
      <c r="M1248" s="236"/>
      <c r="N1248" s="236"/>
    </row>
    <row r="1249" spans="1:14" x14ac:dyDescent="0.2">
      <c r="A1249" s="258"/>
      <c r="B1249" s="259"/>
      <c r="C1249" s="259"/>
      <c r="D1249" s="259"/>
      <c r="E1249" s="259"/>
      <c r="F1249" s="259"/>
      <c r="G1249" s="259"/>
      <c r="H1249" s="259"/>
      <c r="I1249" s="259"/>
      <c r="J1249" s="259"/>
      <c r="K1249" s="259"/>
      <c r="L1249" s="259"/>
      <c r="M1249" s="236"/>
      <c r="N1249" s="236"/>
    </row>
    <row r="1250" spans="1:14" x14ac:dyDescent="0.2">
      <c r="A1250" s="237" t="str">
        <f>name!E$4</f>
        <v>Managers, directors and senior officials</v>
      </c>
      <c r="B1250" s="302">
        <v>0.74696000742869906</v>
      </c>
      <c r="C1250" s="302">
        <v>0.54084155934672518</v>
      </c>
      <c r="D1250" s="302">
        <f>SUM(B1250:C1250)</f>
        <v>1.2878015667754243</v>
      </c>
      <c r="E1250" s="303"/>
      <c r="F1250" s="302">
        <v>0.8389646229339689</v>
      </c>
      <c r="G1250" s="302">
        <v>0.2493470004035335</v>
      </c>
      <c r="H1250" s="302">
        <f>SUM(F1250:G1250)</f>
        <v>1.0883116233375023</v>
      </c>
      <c r="I1250" s="303"/>
      <c r="J1250" s="302">
        <v>0.64771014809556615</v>
      </c>
      <c r="K1250" s="302">
        <v>0.24172354796098972</v>
      </c>
      <c r="L1250" s="302">
        <f>SUM(J1250:K1250)</f>
        <v>0.88943369605655587</v>
      </c>
      <c r="M1250" s="236"/>
      <c r="N1250" s="236"/>
    </row>
    <row r="1251" spans="1:14" x14ac:dyDescent="0.2">
      <c r="A1251" s="237" t="str">
        <f>name!E$5</f>
        <v>Professional occupations</v>
      </c>
      <c r="B1251" s="302">
        <v>4.4843343385925802</v>
      </c>
      <c r="C1251" s="302">
        <v>2.4212196302764428</v>
      </c>
      <c r="D1251" s="302">
        <f t="shared" ref="D1251:D1258" si="454">SUM(B1251:C1251)</f>
        <v>6.9055539688690235</v>
      </c>
      <c r="E1251" s="303"/>
      <c r="F1251" s="302">
        <v>4.0237113062508083</v>
      </c>
      <c r="G1251" s="302">
        <v>1.211476609832282</v>
      </c>
      <c r="H1251" s="302">
        <f t="shared" ref="H1251:H1258" si="455">SUM(F1251:G1251)</f>
        <v>5.2351879160830901</v>
      </c>
      <c r="I1251" s="303"/>
      <c r="J1251" s="302">
        <v>3.4774975201866054</v>
      </c>
      <c r="K1251" s="302">
        <v>1.1169237733353865</v>
      </c>
      <c r="L1251" s="302">
        <f t="shared" ref="L1251:L1258" si="456">SUM(J1251:K1251)</f>
        <v>4.5944212935219921</v>
      </c>
      <c r="M1251" s="236"/>
      <c r="N1251" s="236"/>
    </row>
    <row r="1252" spans="1:14" x14ac:dyDescent="0.2">
      <c r="A1252" s="237" t="str">
        <f>name!E$6</f>
        <v>Associate professional occupations</v>
      </c>
      <c r="B1252" s="302">
        <v>2.3952662286532598</v>
      </c>
      <c r="C1252" s="302">
        <v>1.0062261349280253</v>
      </c>
      <c r="D1252" s="302">
        <f t="shared" si="454"/>
        <v>3.4014923635812853</v>
      </c>
      <c r="E1252" s="303"/>
      <c r="F1252" s="302">
        <v>2.1934989849736692</v>
      </c>
      <c r="G1252" s="302">
        <v>0.53050856944105829</v>
      </c>
      <c r="H1252" s="302">
        <f t="shared" si="455"/>
        <v>2.7240075544147277</v>
      </c>
      <c r="I1252" s="303"/>
      <c r="J1252" s="302">
        <v>1.9358307069856242</v>
      </c>
      <c r="K1252" s="302">
        <v>0.3810924953254608</v>
      </c>
      <c r="L1252" s="302">
        <f t="shared" si="456"/>
        <v>2.3169232023110848</v>
      </c>
      <c r="M1252" s="236"/>
      <c r="N1252" s="236"/>
    </row>
    <row r="1253" spans="1:14" x14ac:dyDescent="0.2">
      <c r="A1253" s="237" t="str">
        <f>name!E$7</f>
        <v>Administrative and secretarial occupations</v>
      </c>
      <c r="B1253" s="302">
        <v>3.2425784309360512</v>
      </c>
      <c r="C1253" s="302">
        <v>0.91635034661090864</v>
      </c>
      <c r="D1253" s="302">
        <f t="shared" si="454"/>
        <v>4.1589287775469597</v>
      </c>
      <c r="E1253" s="303"/>
      <c r="F1253" s="302">
        <v>2.0018788060584267</v>
      </c>
      <c r="G1253" s="302">
        <v>0.66693009864082864</v>
      </c>
      <c r="H1253" s="302">
        <f t="shared" si="455"/>
        <v>2.6688089046992554</v>
      </c>
      <c r="I1253" s="303"/>
      <c r="J1253" s="302">
        <v>1.1247117016295007</v>
      </c>
      <c r="K1253" s="302">
        <v>0.58515802425294416</v>
      </c>
      <c r="L1253" s="302">
        <f t="shared" si="456"/>
        <v>1.7098697258824449</v>
      </c>
      <c r="M1253" s="236"/>
      <c r="N1253" s="236"/>
    </row>
    <row r="1254" spans="1:14" x14ac:dyDescent="0.2">
      <c r="A1254" s="237" t="str">
        <f>name!E$8</f>
        <v>Skilled trades occupations</v>
      </c>
      <c r="B1254" s="302">
        <v>0.1579374645289856</v>
      </c>
      <c r="C1254" s="302">
        <v>1.1505275034895421</v>
      </c>
      <c r="D1254" s="302">
        <f t="shared" si="454"/>
        <v>1.3084649680185279</v>
      </c>
      <c r="E1254" s="303"/>
      <c r="F1254" s="302">
        <v>0.16256228678532103</v>
      </c>
      <c r="G1254" s="302">
        <v>0.17923438985833826</v>
      </c>
      <c r="H1254" s="302">
        <f t="shared" si="455"/>
        <v>0.34179667664365931</v>
      </c>
      <c r="I1254" s="303"/>
      <c r="J1254" s="302">
        <v>0.20858782912477611</v>
      </c>
      <c r="K1254" s="302">
        <v>0.14054833951635873</v>
      </c>
      <c r="L1254" s="302">
        <f t="shared" si="456"/>
        <v>0.34913616864113484</v>
      </c>
      <c r="M1254" s="236"/>
      <c r="N1254" s="236"/>
    </row>
    <row r="1255" spans="1:14" x14ac:dyDescent="0.2">
      <c r="A1255" s="237" t="str">
        <f>name!E$9</f>
        <v>Caring, leisure and other service occupations</v>
      </c>
      <c r="B1255" s="302">
        <v>1.2224026429049033</v>
      </c>
      <c r="C1255" s="302">
        <v>0.35761431744319905</v>
      </c>
      <c r="D1255" s="302">
        <f t="shared" si="454"/>
        <v>1.5800169603481025</v>
      </c>
      <c r="E1255" s="303"/>
      <c r="F1255" s="302">
        <v>0.86767760740723587</v>
      </c>
      <c r="G1255" s="302">
        <v>0.17367921239719825</v>
      </c>
      <c r="H1255" s="302">
        <f t="shared" si="455"/>
        <v>1.0413568198044341</v>
      </c>
      <c r="I1255" s="303"/>
      <c r="J1255" s="302">
        <v>0.70877517027968395</v>
      </c>
      <c r="K1255" s="302">
        <v>0.16516657106437452</v>
      </c>
      <c r="L1255" s="302">
        <f t="shared" si="456"/>
        <v>0.87394174134405844</v>
      </c>
      <c r="M1255" s="236"/>
      <c r="N1255" s="236"/>
    </row>
    <row r="1256" spans="1:14" x14ac:dyDescent="0.2">
      <c r="A1256" s="237" t="str">
        <f>name!E$10</f>
        <v>Sales and customer service occupations</v>
      </c>
      <c r="B1256" s="302">
        <v>0.42577952636924693</v>
      </c>
      <c r="C1256" s="302">
        <v>0.1972236428213586</v>
      </c>
      <c r="D1256" s="302">
        <f t="shared" si="454"/>
        <v>0.6230031691906055</v>
      </c>
      <c r="E1256" s="303"/>
      <c r="F1256" s="302">
        <v>0.27909933808666559</v>
      </c>
      <c r="G1256" s="302">
        <v>9.0914898147594861E-2</v>
      </c>
      <c r="H1256" s="302">
        <f t="shared" si="455"/>
        <v>0.37001423623426044</v>
      </c>
      <c r="I1256" s="303"/>
      <c r="J1256" s="302">
        <v>0.20349689870206225</v>
      </c>
      <c r="K1256" s="302">
        <v>0.10498738227740051</v>
      </c>
      <c r="L1256" s="302">
        <f t="shared" si="456"/>
        <v>0.30848428097946279</v>
      </c>
      <c r="M1256" s="236"/>
      <c r="N1256" s="236"/>
    </row>
    <row r="1257" spans="1:14" x14ac:dyDescent="0.2">
      <c r="A1257" s="237" t="str">
        <f>name!E$11</f>
        <v>Process, plant and machine operatives</v>
      </c>
      <c r="B1257" s="302">
        <v>0.16940298856656424</v>
      </c>
      <c r="C1257" s="302">
        <v>0.31731301418638441</v>
      </c>
      <c r="D1257" s="302">
        <f t="shared" si="454"/>
        <v>0.48671600275294868</v>
      </c>
      <c r="E1257" s="303"/>
      <c r="F1257" s="302">
        <v>0.14750609697337819</v>
      </c>
      <c r="G1257" s="302">
        <v>0.12595114634808732</v>
      </c>
      <c r="H1257" s="302">
        <f t="shared" si="455"/>
        <v>0.27345724332146548</v>
      </c>
      <c r="I1257" s="303"/>
      <c r="J1257" s="302">
        <v>0.11784863073571179</v>
      </c>
      <c r="K1257" s="302">
        <v>0.10281783417747797</v>
      </c>
      <c r="L1257" s="302">
        <f t="shared" si="456"/>
        <v>0.22066646491318975</v>
      </c>
      <c r="M1257" s="236"/>
      <c r="N1257" s="236"/>
    </row>
    <row r="1258" spans="1:14" x14ac:dyDescent="0.2">
      <c r="A1258" s="237" t="str">
        <f>name!E$12</f>
        <v>Elementary occupations</v>
      </c>
      <c r="B1258" s="302">
        <v>1.412338371941805</v>
      </c>
      <c r="C1258" s="302">
        <v>0.63868385089739987</v>
      </c>
      <c r="D1258" s="302">
        <f t="shared" si="454"/>
        <v>2.051022222839205</v>
      </c>
      <c r="E1258" s="303"/>
      <c r="F1258" s="302">
        <v>0.87910095054571058</v>
      </c>
      <c r="G1258" s="302">
        <v>0.35395807490841841</v>
      </c>
      <c r="H1258" s="302">
        <f t="shared" si="455"/>
        <v>1.2330590254541289</v>
      </c>
      <c r="I1258" s="303"/>
      <c r="J1258" s="302">
        <v>0.52854139431395386</v>
      </c>
      <c r="K1258" s="302">
        <v>0.25158203210359148</v>
      </c>
      <c r="L1258" s="302">
        <f t="shared" si="456"/>
        <v>0.7801234264175454</v>
      </c>
      <c r="M1258" s="236"/>
      <c r="N1258" s="236"/>
    </row>
    <row r="1259" spans="1:14" x14ac:dyDescent="0.2">
      <c r="A1259" s="237"/>
      <c r="B1259" s="302"/>
      <c r="C1259" s="302"/>
      <c r="D1259" s="302"/>
      <c r="E1259" s="303"/>
      <c r="F1259" s="302"/>
      <c r="G1259" s="302"/>
      <c r="H1259" s="302"/>
      <c r="I1259" s="303"/>
      <c r="J1259" s="302"/>
      <c r="K1259" s="302"/>
      <c r="L1259" s="302"/>
      <c r="M1259" s="236"/>
      <c r="N1259" s="236"/>
    </row>
    <row r="1260" spans="1:14" x14ac:dyDescent="0.2">
      <c r="A1260" s="244" t="s">
        <v>32</v>
      </c>
      <c r="B1260" s="311">
        <f>SUM(B1250:B1258)</f>
        <v>14.256999999922096</v>
      </c>
      <c r="C1260" s="311">
        <f t="shared" ref="C1260:D1260" si="457">SUM(C1250:C1258)</f>
        <v>7.5459999999999852</v>
      </c>
      <c r="D1260" s="311">
        <f t="shared" si="457"/>
        <v>21.802999999922086</v>
      </c>
      <c r="E1260" s="311"/>
      <c r="F1260" s="311">
        <f t="shared" ref="F1260:H1260" si="458">SUM(F1250:F1258)</f>
        <v>11.394000000015184</v>
      </c>
      <c r="G1260" s="311">
        <f t="shared" si="458"/>
        <v>3.5819999999773393</v>
      </c>
      <c r="H1260" s="311">
        <f t="shared" si="458"/>
        <v>14.975999999992522</v>
      </c>
      <c r="I1260" s="311"/>
      <c r="J1260" s="311">
        <f t="shared" ref="J1260:L1260" si="459">SUM(J1250:J1258)</f>
        <v>8.9530000000534837</v>
      </c>
      <c r="K1260" s="311">
        <f t="shared" si="459"/>
        <v>3.0900000000139847</v>
      </c>
      <c r="L1260" s="311">
        <f t="shared" si="459"/>
        <v>12.043000000067469</v>
      </c>
      <c r="M1260" s="236"/>
      <c r="N1260" s="236"/>
    </row>
    <row r="1261" spans="1:14" x14ac:dyDescent="0.2">
      <c r="A1261" s="237"/>
      <c r="B1261" s="237"/>
      <c r="C1261" s="237"/>
      <c r="D1261" s="237"/>
      <c r="E1261" s="237"/>
      <c r="F1261" s="237"/>
      <c r="G1261" s="237"/>
      <c r="H1261" s="237"/>
      <c r="I1261" s="237"/>
      <c r="J1261" s="237"/>
      <c r="K1261" s="237"/>
      <c r="L1261" s="240"/>
      <c r="M1261" s="236"/>
      <c r="N1261" s="236"/>
    </row>
    <row r="1262" spans="1:14" x14ac:dyDescent="0.2">
      <c r="A1262" s="237"/>
      <c r="B1262" s="237"/>
      <c r="C1262" s="237"/>
      <c r="D1262" s="237"/>
      <c r="E1262" s="237"/>
      <c r="F1262" s="237"/>
      <c r="G1262" s="237"/>
      <c r="H1262" s="237"/>
      <c r="I1262" s="237"/>
      <c r="J1262" s="237"/>
      <c r="K1262" s="237"/>
      <c r="L1262" s="256" t="s">
        <v>35</v>
      </c>
      <c r="M1262" s="236"/>
      <c r="N1262" s="236"/>
    </row>
    <row r="1263" spans="1:14" x14ac:dyDescent="0.2">
      <c r="A1263" s="242"/>
      <c r="B1263" s="250"/>
      <c r="C1263" s="250"/>
      <c r="D1263" s="250"/>
      <c r="E1263" s="250"/>
      <c r="F1263" s="250"/>
      <c r="G1263" s="250"/>
      <c r="H1263" s="250"/>
      <c r="I1263" s="250"/>
      <c r="J1263" s="250"/>
      <c r="K1263" s="250"/>
      <c r="L1263" s="236"/>
      <c r="M1263" s="236"/>
      <c r="N1263" s="236"/>
    </row>
    <row r="1264" spans="1:14" x14ac:dyDescent="0.2">
      <c r="A1264" s="241" t="str">
        <f>name!A77</f>
        <v>Repair of goods</v>
      </c>
      <c r="B1264" s="372">
        <f>B$6</f>
        <v>2015</v>
      </c>
      <c r="C1264" s="372"/>
      <c r="D1264" s="372"/>
      <c r="E1264" s="253"/>
      <c r="F1264" s="372">
        <f>F$6</f>
        <v>2020</v>
      </c>
      <c r="G1264" s="372"/>
      <c r="H1264" s="372"/>
      <c r="I1264" s="253"/>
      <c r="J1264" s="372">
        <f>J$6</f>
        <v>2035</v>
      </c>
      <c r="K1264" s="372"/>
      <c r="L1264" s="372"/>
      <c r="M1264" s="236"/>
      <c r="N1264" s="236"/>
    </row>
    <row r="1265" spans="1:14" x14ac:dyDescent="0.2">
      <c r="A1265" s="254"/>
      <c r="B1265" s="255" t="s">
        <v>352</v>
      </c>
      <c r="C1265" s="255" t="s">
        <v>353</v>
      </c>
      <c r="D1265" s="255" t="s">
        <v>32</v>
      </c>
      <c r="E1265" s="255"/>
      <c r="F1265" s="255" t="s">
        <v>352</v>
      </c>
      <c r="G1265" s="255" t="s">
        <v>353</v>
      </c>
      <c r="H1265" s="255" t="s">
        <v>32</v>
      </c>
      <c r="I1265" s="255"/>
      <c r="J1265" s="255" t="s">
        <v>352</v>
      </c>
      <c r="K1265" s="255" t="s">
        <v>353</v>
      </c>
      <c r="L1265" s="255" t="s">
        <v>32</v>
      </c>
      <c r="M1265" s="236"/>
      <c r="N1265" s="236"/>
    </row>
    <row r="1266" spans="1:14" x14ac:dyDescent="0.2">
      <c r="A1266" s="258"/>
      <c r="B1266" s="259"/>
      <c r="C1266" s="259"/>
      <c r="D1266" s="259"/>
      <c r="E1266" s="259"/>
      <c r="F1266" s="259"/>
      <c r="G1266" s="259"/>
      <c r="H1266" s="259"/>
      <c r="I1266" s="259"/>
      <c r="J1266" s="259"/>
      <c r="K1266" s="259"/>
      <c r="L1266" s="259"/>
      <c r="M1266" s="236"/>
      <c r="N1266" s="236"/>
    </row>
    <row r="1267" spans="1:14" x14ac:dyDescent="0.2">
      <c r="A1267" s="237" t="str">
        <f>name!E$4</f>
        <v>Managers, directors and senior officials</v>
      </c>
      <c r="B1267" s="302">
        <v>0.14367431893686924</v>
      </c>
      <c r="C1267" s="302">
        <v>0.33924682156629921</v>
      </c>
      <c r="D1267" s="302">
        <f>SUM(B1267:C1267)</f>
        <v>0.48292114050316848</v>
      </c>
      <c r="E1267" s="303"/>
      <c r="F1267" s="302">
        <v>0.27147454765726875</v>
      </c>
      <c r="G1267" s="302">
        <v>0.22155152061360056</v>
      </c>
      <c r="H1267" s="302">
        <f>SUM(F1267:G1267)</f>
        <v>0.49302606827086931</v>
      </c>
      <c r="I1267" s="303"/>
      <c r="J1267" s="302">
        <v>0.12797257022183875</v>
      </c>
      <c r="K1267" s="302">
        <v>0.21176549397180058</v>
      </c>
      <c r="L1267" s="302">
        <f>SUM(J1267:K1267)</f>
        <v>0.33973806419363933</v>
      </c>
      <c r="M1267" s="236"/>
      <c r="N1267" s="236"/>
    </row>
    <row r="1268" spans="1:14" x14ac:dyDescent="0.2">
      <c r="A1268" s="237" t="str">
        <f>name!E$5</f>
        <v>Professional occupations</v>
      </c>
      <c r="B1268" s="302">
        <v>0.11998671188332805</v>
      </c>
      <c r="C1268" s="302">
        <v>0.28110145451997332</v>
      </c>
      <c r="D1268" s="302">
        <f t="shared" ref="D1268:D1275" si="460">SUM(B1268:C1268)</f>
        <v>0.40108816640330136</v>
      </c>
      <c r="E1268" s="303"/>
      <c r="F1268" s="302">
        <v>0.17886769652912701</v>
      </c>
      <c r="G1268" s="302">
        <v>0.33445464847044709</v>
      </c>
      <c r="H1268" s="302">
        <f t="shared" ref="H1268:H1275" si="461">SUM(F1268:G1268)</f>
        <v>0.51332234499957408</v>
      </c>
      <c r="I1268" s="303"/>
      <c r="J1268" s="302">
        <v>0.14804235145784941</v>
      </c>
      <c r="K1268" s="302">
        <v>0.35219713269022396</v>
      </c>
      <c r="L1268" s="302">
        <f t="shared" ref="L1268:L1275" si="462">SUM(J1268:K1268)</f>
        <v>0.5002394841480734</v>
      </c>
      <c r="M1268" s="236"/>
      <c r="N1268" s="236"/>
    </row>
    <row r="1269" spans="1:14" x14ac:dyDescent="0.2">
      <c r="A1269" s="237" t="str">
        <f>name!E$6</f>
        <v>Associate professional occupations</v>
      </c>
      <c r="B1269" s="302">
        <v>0.10676610572155143</v>
      </c>
      <c r="C1269" s="302">
        <v>0.12298024167178265</v>
      </c>
      <c r="D1269" s="302">
        <f t="shared" si="460"/>
        <v>0.22974634739333408</v>
      </c>
      <c r="E1269" s="303"/>
      <c r="F1269" s="302">
        <v>0.17351474751673532</v>
      </c>
      <c r="G1269" s="302">
        <v>0.14844109601175648</v>
      </c>
      <c r="H1269" s="302">
        <f t="shared" si="461"/>
        <v>0.32195584352849183</v>
      </c>
      <c r="I1269" s="303"/>
      <c r="J1269" s="302">
        <v>0.12241883779273195</v>
      </c>
      <c r="K1269" s="302">
        <v>0.13222632842086529</v>
      </c>
      <c r="L1269" s="302">
        <f t="shared" si="462"/>
        <v>0.25464516621359723</v>
      </c>
      <c r="M1269" s="236"/>
      <c r="N1269" s="236"/>
    </row>
    <row r="1270" spans="1:14" x14ac:dyDescent="0.2">
      <c r="A1270" s="237" t="str">
        <f>name!E$7</f>
        <v>Administrative and secretarial occupations</v>
      </c>
      <c r="B1270" s="302">
        <v>9.5501405449774868E-2</v>
      </c>
      <c r="C1270" s="302">
        <v>4.1046483989652931E-2</v>
      </c>
      <c r="D1270" s="302">
        <f t="shared" si="460"/>
        <v>0.13654788943942781</v>
      </c>
      <c r="E1270" s="303"/>
      <c r="F1270" s="302">
        <v>0.10424662993180799</v>
      </c>
      <c r="G1270" s="302">
        <v>6.3028747046461442E-2</v>
      </c>
      <c r="H1270" s="302">
        <f t="shared" si="461"/>
        <v>0.16727537697826944</v>
      </c>
      <c r="I1270" s="303"/>
      <c r="J1270" s="302">
        <v>0.21792220936967829</v>
      </c>
      <c r="K1270" s="302">
        <v>5.3041549384392331E-2</v>
      </c>
      <c r="L1270" s="302">
        <f t="shared" si="462"/>
        <v>0.27096375875407064</v>
      </c>
      <c r="M1270" s="236"/>
      <c r="N1270" s="236"/>
    </row>
    <row r="1271" spans="1:14" x14ac:dyDescent="0.2">
      <c r="A1271" s="237" t="str">
        <f>name!E$8</f>
        <v>Skilled trades occupations</v>
      </c>
      <c r="B1271" s="302">
        <v>3.1912305067201246E-2</v>
      </c>
      <c r="C1271" s="302">
        <v>0.15512043646545567</v>
      </c>
      <c r="D1271" s="302">
        <f t="shared" si="460"/>
        <v>0.18703274153265692</v>
      </c>
      <c r="E1271" s="303"/>
      <c r="F1271" s="302">
        <v>6.8286391056808643E-2</v>
      </c>
      <c r="G1271" s="302">
        <v>6.2076265213510541E-2</v>
      </c>
      <c r="H1271" s="302">
        <f t="shared" si="461"/>
        <v>0.13036265627031918</v>
      </c>
      <c r="I1271" s="303"/>
      <c r="J1271" s="302">
        <v>4.2671108224175851E-2</v>
      </c>
      <c r="K1271" s="302">
        <v>4.7859090340083309E-2</v>
      </c>
      <c r="L1271" s="302">
        <f t="shared" si="462"/>
        <v>9.0530198564259159E-2</v>
      </c>
      <c r="M1271" s="236"/>
      <c r="N1271" s="236"/>
    </row>
    <row r="1272" spans="1:14" x14ac:dyDescent="0.2">
      <c r="A1272" s="237" t="str">
        <f>name!E$9</f>
        <v>Caring, leisure and other service occupations</v>
      </c>
      <c r="B1272" s="302">
        <v>2.2299603078490271E-2</v>
      </c>
      <c r="C1272" s="302">
        <v>9.6548635621587844E-3</v>
      </c>
      <c r="D1272" s="302">
        <f t="shared" si="460"/>
        <v>3.1954466640649055E-2</v>
      </c>
      <c r="E1272" s="303"/>
      <c r="F1272" s="302">
        <v>5.2656612470193959E-2</v>
      </c>
      <c r="G1272" s="302">
        <v>9.4169416164348509E-3</v>
      </c>
      <c r="H1272" s="302">
        <f t="shared" si="461"/>
        <v>6.2073554086628811E-2</v>
      </c>
      <c r="I1272" s="303"/>
      <c r="J1272" s="302">
        <v>7.4077790385940534E-2</v>
      </c>
      <c r="K1272" s="302">
        <v>9.7768243504877533E-3</v>
      </c>
      <c r="L1272" s="302">
        <f t="shared" si="462"/>
        <v>8.3854614736428287E-2</v>
      </c>
      <c r="M1272" s="236"/>
      <c r="N1272" s="236"/>
    </row>
    <row r="1273" spans="1:14" x14ac:dyDescent="0.2">
      <c r="A1273" s="237" t="str">
        <f>name!E$10</f>
        <v>Sales and customer service occupations</v>
      </c>
      <c r="B1273" s="302">
        <v>0.18457238764228609</v>
      </c>
      <c r="C1273" s="302">
        <v>0.22671620281213939</v>
      </c>
      <c r="D1273" s="302">
        <f t="shared" si="460"/>
        <v>0.41128859045442545</v>
      </c>
      <c r="E1273" s="303"/>
      <c r="F1273" s="302">
        <v>0.20772598944751863</v>
      </c>
      <c r="G1273" s="302">
        <v>0.25760307396578075</v>
      </c>
      <c r="H1273" s="302">
        <f t="shared" si="461"/>
        <v>0.46532906341329938</v>
      </c>
      <c r="I1273" s="303"/>
      <c r="J1273" s="302">
        <v>8.7223806654971633E-2</v>
      </c>
      <c r="K1273" s="302">
        <v>0.17444026924998043</v>
      </c>
      <c r="L1273" s="302">
        <f t="shared" si="462"/>
        <v>0.26166407590495205</v>
      </c>
      <c r="M1273" s="236"/>
      <c r="N1273" s="236"/>
    </row>
    <row r="1274" spans="1:14" x14ac:dyDescent="0.2">
      <c r="A1274" s="237" t="str">
        <f>name!E$11</f>
        <v>Process, plant and machine operatives</v>
      </c>
      <c r="B1274" s="302">
        <v>8.785852625818602E-3</v>
      </c>
      <c r="C1274" s="302">
        <v>5.0858909740103611E-2</v>
      </c>
      <c r="D1274" s="302">
        <f t="shared" si="460"/>
        <v>5.9644762365922213E-2</v>
      </c>
      <c r="E1274" s="303"/>
      <c r="F1274" s="302">
        <v>1.3347367928905739E-2</v>
      </c>
      <c r="G1274" s="302">
        <v>5.7111655476189196E-2</v>
      </c>
      <c r="H1274" s="302">
        <f t="shared" si="461"/>
        <v>7.0459023405094939E-2</v>
      </c>
      <c r="I1274" s="303"/>
      <c r="J1274" s="302">
        <v>6.7842247496229541E-3</v>
      </c>
      <c r="K1274" s="302">
        <v>3.7903250556144762E-2</v>
      </c>
      <c r="L1274" s="302">
        <f t="shared" si="462"/>
        <v>4.4687475305767714E-2</v>
      </c>
      <c r="M1274" s="236"/>
      <c r="N1274" s="236"/>
    </row>
    <row r="1275" spans="1:14" x14ac:dyDescent="0.2">
      <c r="A1275" s="237" t="str">
        <f>name!E$12</f>
        <v>Elementary occupations</v>
      </c>
      <c r="B1275" s="302">
        <v>4.3501309589914272E-2</v>
      </c>
      <c r="C1275" s="302">
        <v>8.8274585667574235E-2</v>
      </c>
      <c r="D1275" s="302">
        <f t="shared" si="460"/>
        <v>0.13177589525748851</v>
      </c>
      <c r="E1275" s="303"/>
      <c r="F1275" s="302">
        <v>4.4880017456928545E-2</v>
      </c>
      <c r="G1275" s="302">
        <v>0.11931605157432165</v>
      </c>
      <c r="H1275" s="302">
        <f t="shared" si="461"/>
        <v>0.1641960690312502</v>
      </c>
      <c r="I1275" s="303"/>
      <c r="J1275" s="302">
        <v>4.388710117319445E-2</v>
      </c>
      <c r="K1275" s="302">
        <v>8.8790061047133231E-2</v>
      </c>
      <c r="L1275" s="302">
        <f t="shared" si="462"/>
        <v>0.13267716222032769</v>
      </c>
      <c r="M1275" s="236"/>
      <c r="N1275" s="236"/>
    </row>
    <row r="1276" spans="1:14" x14ac:dyDescent="0.2">
      <c r="A1276" s="237"/>
      <c r="B1276" s="302"/>
      <c r="C1276" s="302"/>
      <c r="D1276" s="302"/>
      <c r="E1276" s="303"/>
      <c r="F1276" s="302"/>
      <c r="G1276" s="302"/>
      <c r="H1276" s="302"/>
      <c r="I1276" s="303"/>
      <c r="J1276" s="302"/>
      <c r="K1276" s="302"/>
      <c r="L1276" s="302"/>
      <c r="M1276" s="236"/>
      <c r="N1276" s="236"/>
    </row>
    <row r="1277" spans="1:14" x14ac:dyDescent="0.2">
      <c r="A1277" s="244" t="s">
        <v>32</v>
      </c>
      <c r="B1277" s="311">
        <f>SUM(B1267:B1275)</f>
        <v>0.75699999999523404</v>
      </c>
      <c r="C1277" s="311">
        <f t="shared" ref="C1277:D1277" si="463">SUM(C1267:C1275)</f>
        <v>1.3149999999951398</v>
      </c>
      <c r="D1277" s="311">
        <f t="shared" si="463"/>
        <v>2.071999999990374</v>
      </c>
      <c r="E1277" s="311"/>
      <c r="F1277" s="311">
        <f t="shared" ref="F1277:H1277" si="464">SUM(F1267:F1275)</f>
        <v>1.1149999999952946</v>
      </c>
      <c r="G1277" s="311">
        <f t="shared" si="464"/>
        <v>1.2729999999885027</v>
      </c>
      <c r="H1277" s="311">
        <f t="shared" si="464"/>
        <v>2.3879999999837969</v>
      </c>
      <c r="I1277" s="311"/>
      <c r="J1277" s="311">
        <f t="shared" ref="J1277:L1277" si="465">SUM(J1267:J1275)</f>
        <v>0.87100000003000388</v>
      </c>
      <c r="K1277" s="311">
        <f t="shared" si="465"/>
        <v>1.1080000000111119</v>
      </c>
      <c r="L1277" s="311">
        <f t="shared" si="465"/>
        <v>1.9790000000411156</v>
      </c>
      <c r="M1277" s="236"/>
      <c r="N1277" s="236"/>
    </row>
    <row r="1278" spans="1:14" x14ac:dyDescent="0.2">
      <c r="A1278" s="237"/>
      <c r="B1278" s="237"/>
      <c r="C1278" s="237"/>
      <c r="D1278" s="237"/>
      <c r="E1278" s="237"/>
      <c r="F1278" s="237"/>
      <c r="G1278" s="237"/>
      <c r="H1278" s="237"/>
      <c r="I1278" s="237"/>
      <c r="J1278" s="237"/>
      <c r="K1278" s="237"/>
      <c r="L1278" s="240"/>
      <c r="M1278" s="236"/>
      <c r="N1278" s="236"/>
    </row>
    <row r="1279" spans="1:14" x14ac:dyDescent="0.2">
      <c r="A1279" s="237"/>
      <c r="B1279" s="237"/>
      <c r="C1279" s="237"/>
      <c r="D1279" s="237"/>
      <c r="E1279" s="237"/>
      <c r="F1279" s="237"/>
      <c r="G1279" s="237"/>
      <c r="H1279" s="237"/>
      <c r="I1279" s="237"/>
      <c r="J1279" s="237"/>
      <c r="K1279" s="237"/>
      <c r="L1279" s="256" t="s">
        <v>35</v>
      </c>
      <c r="M1279" s="236"/>
      <c r="N1279" s="236"/>
    </row>
    <row r="1280" spans="1:14" x14ac:dyDescent="0.2">
      <c r="A1280" s="242"/>
      <c r="B1280" s="250"/>
      <c r="C1280" s="250"/>
      <c r="D1280" s="250"/>
      <c r="E1280" s="250"/>
      <c r="F1280" s="250"/>
      <c r="G1280" s="250"/>
      <c r="H1280" s="250"/>
      <c r="I1280" s="250"/>
      <c r="J1280" s="250"/>
      <c r="K1280" s="250"/>
      <c r="L1280" s="236"/>
      <c r="M1280" s="236"/>
      <c r="N1280" s="236"/>
    </row>
    <row r="1281" spans="1:14" x14ac:dyDescent="0.2">
      <c r="A1281" s="241" t="str">
        <f>name!A78</f>
        <v>Other personal service</v>
      </c>
      <c r="B1281" s="372">
        <f>B$6</f>
        <v>2015</v>
      </c>
      <c r="C1281" s="372"/>
      <c r="D1281" s="372"/>
      <c r="E1281" s="253"/>
      <c r="F1281" s="372">
        <f>F$6</f>
        <v>2020</v>
      </c>
      <c r="G1281" s="372"/>
      <c r="H1281" s="372"/>
      <c r="I1281" s="253"/>
      <c r="J1281" s="372">
        <f>J$6</f>
        <v>2035</v>
      </c>
      <c r="K1281" s="372"/>
      <c r="L1281" s="372"/>
      <c r="M1281" s="236"/>
      <c r="N1281" s="236"/>
    </row>
    <row r="1282" spans="1:14" x14ac:dyDescent="0.2">
      <c r="A1282" s="254"/>
      <c r="B1282" s="255" t="s">
        <v>352</v>
      </c>
      <c r="C1282" s="255" t="s">
        <v>353</v>
      </c>
      <c r="D1282" s="255" t="s">
        <v>32</v>
      </c>
      <c r="E1282" s="255"/>
      <c r="F1282" s="255" t="s">
        <v>352</v>
      </c>
      <c r="G1282" s="255" t="s">
        <v>353</v>
      </c>
      <c r="H1282" s="255" t="s">
        <v>32</v>
      </c>
      <c r="I1282" s="255"/>
      <c r="J1282" s="255" t="s">
        <v>352</v>
      </c>
      <c r="K1282" s="255" t="s">
        <v>353</v>
      </c>
      <c r="L1282" s="255" t="s">
        <v>32</v>
      </c>
      <c r="M1282" s="236"/>
      <c r="N1282" s="236"/>
    </row>
    <row r="1283" spans="1:14" x14ac:dyDescent="0.2">
      <c r="A1283" s="258"/>
      <c r="B1283" s="259"/>
      <c r="C1283" s="259"/>
      <c r="D1283" s="259"/>
      <c r="E1283" s="259"/>
      <c r="F1283" s="259"/>
      <c r="G1283" s="259"/>
      <c r="H1283" s="259"/>
      <c r="I1283" s="259"/>
      <c r="J1283" s="259"/>
      <c r="K1283" s="259"/>
      <c r="L1283" s="259"/>
      <c r="M1283" s="236"/>
      <c r="N1283" s="236"/>
    </row>
    <row r="1284" spans="1:14" x14ac:dyDescent="0.2">
      <c r="A1284" s="237" t="str">
        <f>name!E$4</f>
        <v>Managers, directors and senior officials</v>
      </c>
      <c r="B1284" s="302">
        <v>0.31063076535155443</v>
      </c>
      <c r="C1284" s="302">
        <v>0.64075123083325092</v>
      </c>
      <c r="D1284" s="302">
        <f>SUM(B1284:C1284)</f>
        <v>0.95138199618480535</v>
      </c>
      <c r="E1284" s="303"/>
      <c r="F1284" s="302">
        <v>0.58832621665675311</v>
      </c>
      <c r="G1284" s="302">
        <v>0.29893729960504856</v>
      </c>
      <c r="H1284" s="302">
        <f>SUM(F1284:G1284)</f>
        <v>0.88726351626180167</v>
      </c>
      <c r="I1284" s="303"/>
      <c r="J1284" s="302">
        <v>0.48981485015466558</v>
      </c>
      <c r="K1284" s="302">
        <v>0.36955724701364329</v>
      </c>
      <c r="L1284" s="302">
        <f>SUM(J1284:K1284)</f>
        <v>0.85937209716830887</v>
      </c>
      <c r="M1284" s="236"/>
      <c r="N1284" s="236"/>
    </row>
    <row r="1285" spans="1:14" x14ac:dyDescent="0.2">
      <c r="A1285" s="237" t="str">
        <f>name!E$5</f>
        <v>Professional occupations</v>
      </c>
      <c r="B1285" s="302">
        <v>0.47307797209834762</v>
      </c>
      <c r="C1285" s="302">
        <v>0.74515177608907279</v>
      </c>
      <c r="D1285" s="302">
        <f t="shared" ref="D1285:D1292" si="466">SUM(B1285:C1285)</f>
        <v>1.2182297481874205</v>
      </c>
      <c r="E1285" s="303"/>
      <c r="F1285" s="302">
        <v>0.83172778310736251</v>
      </c>
      <c r="G1285" s="302">
        <v>0.30801675440256249</v>
      </c>
      <c r="H1285" s="302">
        <f t="shared" ref="H1285:H1292" si="467">SUM(F1285:G1285)</f>
        <v>1.1397445375099249</v>
      </c>
      <c r="I1285" s="303"/>
      <c r="J1285" s="302">
        <v>0.70434742728799471</v>
      </c>
      <c r="K1285" s="302">
        <v>0.31694483660158229</v>
      </c>
      <c r="L1285" s="302">
        <f t="shared" ref="L1285:L1292" si="468">SUM(J1285:K1285)</f>
        <v>1.0212922638895769</v>
      </c>
      <c r="M1285" s="236"/>
      <c r="N1285" s="236"/>
    </row>
    <row r="1286" spans="1:14" x14ac:dyDescent="0.2">
      <c r="A1286" s="237" t="str">
        <f>name!E$6</f>
        <v>Associate professional occupations</v>
      </c>
      <c r="B1286" s="302">
        <v>0.65217415137173373</v>
      </c>
      <c r="C1286" s="302">
        <v>1.2999789923992309</v>
      </c>
      <c r="D1286" s="302">
        <f t="shared" si="466"/>
        <v>1.9521531437709645</v>
      </c>
      <c r="E1286" s="303"/>
      <c r="F1286" s="302">
        <v>1.2849915894538906</v>
      </c>
      <c r="G1286" s="302">
        <v>0.45762517610594827</v>
      </c>
      <c r="H1286" s="302">
        <f t="shared" si="467"/>
        <v>1.7426167655598388</v>
      </c>
      <c r="I1286" s="303"/>
      <c r="J1286" s="302">
        <v>1.2677452854101401</v>
      </c>
      <c r="K1286" s="302">
        <v>0.52894811293527744</v>
      </c>
      <c r="L1286" s="302">
        <f t="shared" si="468"/>
        <v>1.7966933983454174</v>
      </c>
      <c r="M1286" s="236"/>
      <c r="N1286" s="236"/>
    </row>
    <row r="1287" spans="1:14" x14ac:dyDescent="0.2">
      <c r="A1287" s="237" t="str">
        <f>name!E$7</f>
        <v>Administrative and secretarial occupations</v>
      </c>
      <c r="B1287" s="302">
        <v>0.76360597302232369</v>
      </c>
      <c r="C1287" s="302">
        <v>0.33581794581876256</v>
      </c>
      <c r="D1287" s="302">
        <f t="shared" si="466"/>
        <v>1.0994239188410861</v>
      </c>
      <c r="E1287" s="303"/>
      <c r="F1287" s="302">
        <v>0.85087350486578384</v>
      </c>
      <c r="G1287" s="302">
        <v>0.59264357432795345</v>
      </c>
      <c r="H1287" s="302">
        <f t="shared" si="467"/>
        <v>1.4435170791937373</v>
      </c>
      <c r="I1287" s="303"/>
      <c r="J1287" s="302">
        <v>0.84829646269623782</v>
      </c>
      <c r="K1287" s="302">
        <v>0.7214163866355634</v>
      </c>
      <c r="L1287" s="302">
        <f t="shared" si="468"/>
        <v>1.5697128493318013</v>
      </c>
      <c r="M1287" s="236"/>
      <c r="N1287" s="236"/>
    </row>
    <row r="1288" spans="1:14" x14ac:dyDescent="0.2">
      <c r="A1288" s="237" t="str">
        <f>name!E$8</f>
        <v>Skilled trades occupations</v>
      </c>
      <c r="B1288" s="302">
        <v>0.10285050253028728</v>
      </c>
      <c r="C1288" s="302">
        <v>1.2210907548131917</v>
      </c>
      <c r="D1288" s="302">
        <f t="shared" si="466"/>
        <v>1.323941257343479</v>
      </c>
      <c r="E1288" s="303"/>
      <c r="F1288" s="302">
        <v>0.22405200662029706</v>
      </c>
      <c r="G1288" s="302">
        <v>0.71580384282456289</v>
      </c>
      <c r="H1288" s="302">
        <f t="shared" si="467"/>
        <v>0.93985584944485989</v>
      </c>
      <c r="I1288" s="303"/>
      <c r="J1288" s="302">
        <v>0.34295366312200781</v>
      </c>
      <c r="K1288" s="302">
        <v>0.69457118605512158</v>
      </c>
      <c r="L1288" s="302">
        <f t="shared" si="468"/>
        <v>1.0375248491771294</v>
      </c>
      <c r="M1288" s="236"/>
      <c r="N1288" s="236"/>
    </row>
    <row r="1289" spans="1:14" x14ac:dyDescent="0.2">
      <c r="A1289" s="237" t="str">
        <f>name!E$9</f>
        <v>Caring, leisure and other service occupations</v>
      </c>
      <c r="B1289" s="302">
        <v>4.3150636139669896</v>
      </c>
      <c r="C1289" s="302">
        <v>1.8191538816955122</v>
      </c>
      <c r="D1289" s="302">
        <f t="shared" si="466"/>
        <v>6.1342174956625017</v>
      </c>
      <c r="E1289" s="303"/>
      <c r="F1289" s="302">
        <v>5.4071436374721555</v>
      </c>
      <c r="G1289" s="302">
        <v>1.502359513481724</v>
      </c>
      <c r="H1289" s="302">
        <f t="shared" si="467"/>
        <v>6.9095031509538796</v>
      </c>
      <c r="I1289" s="303"/>
      <c r="J1289" s="302">
        <v>3.6624618101296353</v>
      </c>
      <c r="K1289" s="302">
        <v>0.87057149826931557</v>
      </c>
      <c r="L1289" s="302">
        <f t="shared" si="468"/>
        <v>4.5330333083989505</v>
      </c>
      <c r="M1289" s="236"/>
      <c r="N1289" s="236"/>
    </row>
    <row r="1290" spans="1:14" x14ac:dyDescent="0.2">
      <c r="A1290" s="237" t="str">
        <f>name!E$10</f>
        <v>Sales and customer service occupations</v>
      </c>
      <c r="B1290" s="302">
        <v>0.39477045595316829</v>
      </c>
      <c r="C1290" s="302">
        <v>0.46701708594169999</v>
      </c>
      <c r="D1290" s="302">
        <f t="shared" si="466"/>
        <v>0.86178754189486828</v>
      </c>
      <c r="E1290" s="303"/>
      <c r="F1290" s="302">
        <v>0.40664370635943936</v>
      </c>
      <c r="G1290" s="302">
        <v>0.53794346246106084</v>
      </c>
      <c r="H1290" s="302">
        <f t="shared" si="467"/>
        <v>0.9445871688205002</v>
      </c>
      <c r="I1290" s="303"/>
      <c r="J1290" s="302">
        <v>0.25953482016349133</v>
      </c>
      <c r="K1290" s="302">
        <v>0.68808863789311936</v>
      </c>
      <c r="L1290" s="302">
        <f t="shared" si="468"/>
        <v>0.94762345805661075</v>
      </c>
      <c r="M1290" s="236"/>
      <c r="N1290" s="236"/>
    </row>
    <row r="1291" spans="1:14" x14ac:dyDescent="0.2">
      <c r="A1291" s="237" t="str">
        <f>name!E$11</f>
        <v>Process, plant and machine operatives</v>
      </c>
      <c r="B1291" s="302">
        <v>4.1361625145447764E-2</v>
      </c>
      <c r="C1291" s="302">
        <v>0.50265112352179597</v>
      </c>
      <c r="D1291" s="302">
        <f t="shared" si="466"/>
        <v>0.5440127486672437</v>
      </c>
      <c r="E1291" s="303"/>
      <c r="F1291" s="302">
        <v>3.9258829733409058E-2</v>
      </c>
      <c r="G1291" s="302">
        <v>0.43236781507417549</v>
      </c>
      <c r="H1291" s="302">
        <f t="shared" si="467"/>
        <v>0.47162664480758454</v>
      </c>
      <c r="I1291" s="303"/>
      <c r="J1291" s="302">
        <v>3.3929970561067654E-2</v>
      </c>
      <c r="K1291" s="302">
        <v>0.19469023019959059</v>
      </c>
      <c r="L1291" s="302">
        <f t="shared" si="468"/>
        <v>0.22862020076065825</v>
      </c>
      <c r="M1291" s="236"/>
      <c r="N1291" s="236"/>
    </row>
    <row r="1292" spans="1:14" x14ac:dyDescent="0.2">
      <c r="A1292" s="237" t="str">
        <f>name!E$12</f>
        <v>Elementary occupations</v>
      </c>
      <c r="B1292" s="302">
        <v>0.39346494063726839</v>
      </c>
      <c r="C1292" s="302">
        <v>1.5843872090211857</v>
      </c>
      <c r="D1292" s="302">
        <f t="shared" si="466"/>
        <v>1.977852149658454</v>
      </c>
      <c r="E1292" s="303"/>
      <c r="F1292" s="302">
        <v>0.38898272558146058</v>
      </c>
      <c r="G1292" s="302">
        <v>1.5063025617135886</v>
      </c>
      <c r="H1292" s="302">
        <f t="shared" si="467"/>
        <v>1.8952852872950492</v>
      </c>
      <c r="I1292" s="303"/>
      <c r="J1292" s="302">
        <v>0.27791571047868546</v>
      </c>
      <c r="K1292" s="302">
        <v>1.0782118643805385</v>
      </c>
      <c r="L1292" s="302">
        <f t="shared" si="468"/>
        <v>1.3561275748592241</v>
      </c>
      <c r="M1292" s="236"/>
      <c r="N1292" s="236"/>
    </row>
    <row r="1293" spans="1:14" x14ac:dyDescent="0.2">
      <c r="A1293" s="237"/>
      <c r="B1293" s="302"/>
      <c r="C1293" s="302"/>
      <c r="D1293" s="302"/>
      <c r="E1293" s="303"/>
      <c r="F1293" s="302"/>
      <c r="G1293" s="302"/>
      <c r="H1293" s="302"/>
      <c r="I1293" s="303"/>
      <c r="J1293" s="302"/>
      <c r="K1293" s="302"/>
      <c r="L1293" s="302"/>
      <c r="M1293" s="236"/>
      <c r="N1293" s="236"/>
    </row>
    <row r="1294" spans="1:14" x14ac:dyDescent="0.2">
      <c r="A1294" s="244" t="s">
        <v>32</v>
      </c>
      <c r="B1294" s="311">
        <f>SUM(B1284:B1292)</f>
        <v>7.4470000000771197</v>
      </c>
      <c r="C1294" s="311">
        <f t="shared" ref="C1294:D1294" si="469">SUM(C1284:C1292)</f>
        <v>8.6160000001337025</v>
      </c>
      <c r="D1294" s="311">
        <f t="shared" si="469"/>
        <v>16.063000000210824</v>
      </c>
      <c r="E1294" s="311"/>
      <c r="F1294" s="311">
        <f t="shared" ref="F1294:H1294" si="470">SUM(F1284:F1292)</f>
        <v>10.021999999850552</v>
      </c>
      <c r="G1294" s="311">
        <f t="shared" si="470"/>
        <v>6.3519999999966243</v>
      </c>
      <c r="H1294" s="311">
        <f t="shared" si="470"/>
        <v>16.373999999847175</v>
      </c>
      <c r="I1294" s="311"/>
      <c r="J1294" s="311">
        <f t="shared" ref="J1294:L1294" si="471">SUM(J1284:J1292)</f>
        <v>7.8870000000039253</v>
      </c>
      <c r="K1294" s="311">
        <f t="shared" si="471"/>
        <v>5.4629999999837517</v>
      </c>
      <c r="L1294" s="311">
        <f t="shared" si="471"/>
        <v>13.349999999987679</v>
      </c>
      <c r="M1294" s="236"/>
      <c r="N1294" s="236"/>
    </row>
    <row r="1295" spans="1:14" x14ac:dyDescent="0.2">
      <c r="A1295" s="237"/>
      <c r="B1295" s="237"/>
      <c r="C1295" s="237"/>
      <c r="D1295" s="237"/>
      <c r="E1295" s="237"/>
      <c r="F1295" s="237"/>
      <c r="G1295" s="237"/>
      <c r="H1295" s="237"/>
      <c r="I1295" s="237"/>
      <c r="J1295" s="237"/>
      <c r="K1295" s="237"/>
      <c r="L1295" s="240"/>
      <c r="M1295" s="236"/>
      <c r="N1295" s="236"/>
    </row>
  </sheetData>
  <mergeCells count="228">
    <mergeCell ref="B1264:D1264"/>
    <mergeCell ref="F1264:H1264"/>
    <mergeCell ref="J1264:L1264"/>
    <mergeCell ref="B1281:D1281"/>
    <mergeCell ref="F1281:H1281"/>
    <mergeCell ref="J1281:L1281"/>
    <mergeCell ref="B1230:D1230"/>
    <mergeCell ref="F1230:H1230"/>
    <mergeCell ref="J1230:L1230"/>
    <mergeCell ref="B1247:D1247"/>
    <mergeCell ref="F1247:H1247"/>
    <mergeCell ref="J1247:L1247"/>
    <mergeCell ref="B1196:D1196"/>
    <mergeCell ref="F1196:H1196"/>
    <mergeCell ref="J1196:L1196"/>
    <mergeCell ref="B1213:D1213"/>
    <mergeCell ref="F1213:H1213"/>
    <mergeCell ref="J1213:L1213"/>
    <mergeCell ref="B1162:D1162"/>
    <mergeCell ref="F1162:H1162"/>
    <mergeCell ref="J1162:L1162"/>
    <mergeCell ref="B1179:D1179"/>
    <mergeCell ref="F1179:H1179"/>
    <mergeCell ref="J1179:L1179"/>
    <mergeCell ref="B1128:D1128"/>
    <mergeCell ref="F1128:H1128"/>
    <mergeCell ref="J1128:L1128"/>
    <mergeCell ref="B1145:D1145"/>
    <mergeCell ref="F1145:H1145"/>
    <mergeCell ref="J1145:L1145"/>
    <mergeCell ref="B1094:D1094"/>
    <mergeCell ref="F1094:H1094"/>
    <mergeCell ref="J1094:L1094"/>
    <mergeCell ref="B1111:D1111"/>
    <mergeCell ref="F1111:H1111"/>
    <mergeCell ref="J1111:L1111"/>
    <mergeCell ref="B1060:D1060"/>
    <mergeCell ref="F1060:H1060"/>
    <mergeCell ref="J1060:L1060"/>
    <mergeCell ref="B1077:D1077"/>
    <mergeCell ref="F1077:H1077"/>
    <mergeCell ref="J1077:L1077"/>
    <mergeCell ref="B1026:D1026"/>
    <mergeCell ref="F1026:H1026"/>
    <mergeCell ref="J1026:L1026"/>
    <mergeCell ref="B1043:D1043"/>
    <mergeCell ref="F1043:H1043"/>
    <mergeCell ref="J1043:L1043"/>
    <mergeCell ref="B992:D992"/>
    <mergeCell ref="F992:H992"/>
    <mergeCell ref="J992:L992"/>
    <mergeCell ref="B1009:D1009"/>
    <mergeCell ref="F1009:H1009"/>
    <mergeCell ref="J1009:L1009"/>
    <mergeCell ref="B958:D958"/>
    <mergeCell ref="F958:H958"/>
    <mergeCell ref="J958:L958"/>
    <mergeCell ref="B975:D975"/>
    <mergeCell ref="F975:H975"/>
    <mergeCell ref="J975:L975"/>
    <mergeCell ref="B924:D924"/>
    <mergeCell ref="F924:H924"/>
    <mergeCell ref="J924:L924"/>
    <mergeCell ref="B941:D941"/>
    <mergeCell ref="F941:H941"/>
    <mergeCell ref="J941:L941"/>
    <mergeCell ref="B890:D890"/>
    <mergeCell ref="F890:H890"/>
    <mergeCell ref="J890:L890"/>
    <mergeCell ref="B907:D907"/>
    <mergeCell ref="F907:H907"/>
    <mergeCell ref="J907:L907"/>
    <mergeCell ref="B856:D856"/>
    <mergeCell ref="F856:H856"/>
    <mergeCell ref="J856:L856"/>
    <mergeCell ref="B873:D873"/>
    <mergeCell ref="F873:H873"/>
    <mergeCell ref="J873:L873"/>
    <mergeCell ref="B822:D822"/>
    <mergeCell ref="F822:H822"/>
    <mergeCell ref="J822:L822"/>
    <mergeCell ref="B839:D839"/>
    <mergeCell ref="F839:H839"/>
    <mergeCell ref="J839:L839"/>
    <mergeCell ref="B788:D788"/>
    <mergeCell ref="F788:H788"/>
    <mergeCell ref="J788:L788"/>
    <mergeCell ref="B805:D805"/>
    <mergeCell ref="F805:H805"/>
    <mergeCell ref="J805:L805"/>
    <mergeCell ref="B754:D754"/>
    <mergeCell ref="F754:H754"/>
    <mergeCell ref="J754:L754"/>
    <mergeCell ref="B771:D771"/>
    <mergeCell ref="F771:H771"/>
    <mergeCell ref="J771:L771"/>
    <mergeCell ref="B720:D720"/>
    <mergeCell ref="F720:H720"/>
    <mergeCell ref="J720:L720"/>
    <mergeCell ref="B737:D737"/>
    <mergeCell ref="F737:H737"/>
    <mergeCell ref="J737:L737"/>
    <mergeCell ref="B686:D686"/>
    <mergeCell ref="F686:H686"/>
    <mergeCell ref="J686:L686"/>
    <mergeCell ref="B703:D703"/>
    <mergeCell ref="F703:H703"/>
    <mergeCell ref="J703:L703"/>
    <mergeCell ref="B652:D652"/>
    <mergeCell ref="F652:H652"/>
    <mergeCell ref="J652:L652"/>
    <mergeCell ref="B669:D669"/>
    <mergeCell ref="F669:H669"/>
    <mergeCell ref="J669:L669"/>
    <mergeCell ref="B618:D618"/>
    <mergeCell ref="F618:H618"/>
    <mergeCell ref="J618:L618"/>
    <mergeCell ref="B635:D635"/>
    <mergeCell ref="F635:H635"/>
    <mergeCell ref="J635:L635"/>
    <mergeCell ref="B584:D584"/>
    <mergeCell ref="F584:H584"/>
    <mergeCell ref="J584:L584"/>
    <mergeCell ref="B601:D601"/>
    <mergeCell ref="F601:H601"/>
    <mergeCell ref="J601:L601"/>
    <mergeCell ref="B550:D550"/>
    <mergeCell ref="F550:H550"/>
    <mergeCell ref="J550:L550"/>
    <mergeCell ref="B567:D567"/>
    <mergeCell ref="F567:H567"/>
    <mergeCell ref="J567:L567"/>
    <mergeCell ref="B516:D516"/>
    <mergeCell ref="F516:H516"/>
    <mergeCell ref="J516:L516"/>
    <mergeCell ref="B533:D533"/>
    <mergeCell ref="F533:H533"/>
    <mergeCell ref="J533:L533"/>
    <mergeCell ref="B482:D482"/>
    <mergeCell ref="F482:H482"/>
    <mergeCell ref="J482:L482"/>
    <mergeCell ref="B499:D499"/>
    <mergeCell ref="F499:H499"/>
    <mergeCell ref="J499:L499"/>
    <mergeCell ref="B448:D448"/>
    <mergeCell ref="F448:H448"/>
    <mergeCell ref="J448:L448"/>
    <mergeCell ref="B465:D465"/>
    <mergeCell ref="F465:H465"/>
    <mergeCell ref="J465:L465"/>
    <mergeCell ref="B414:D414"/>
    <mergeCell ref="F414:H414"/>
    <mergeCell ref="J414:L414"/>
    <mergeCell ref="B431:D431"/>
    <mergeCell ref="F431:H431"/>
    <mergeCell ref="J431:L431"/>
    <mergeCell ref="B380:D380"/>
    <mergeCell ref="F380:H380"/>
    <mergeCell ref="J380:L380"/>
    <mergeCell ref="B397:D397"/>
    <mergeCell ref="F397:H397"/>
    <mergeCell ref="J397:L397"/>
    <mergeCell ref="B346:D346"/>
    <mergeCell ref="F346:H346"/>
    <mergeCell ref="J346:L346"/>
    <mergeCell ref="B363:D363"/>
    <mergeCell ref="F363:H363"/>
    <mergeCell ref="J363:L363"/>
    <mergeCell ref="B312:D312"/>
    <mergeCell ref="F312:H312"/>
    <mergeCell ref="J312:L312"/>
    <mergeCell ref="B329:D329"/>
    <mergeCell ref="F329:H329"/>
    <mergeCell ref="J329:L329"/>
    <mergeCell ref="B278:D278"/>
    <mergeCell ref="F278:H278"/>
    <mergeCell ref="J278:L278"/>
    <mergeCell ref="B295:D295"/>
    <mergeCell ref="F295:H295"/>
    <mergeCell ref="J295:L295"/>
    <mergeCell ref="B244:D244"/>
    <mergeCell ref="F244:H244"/>
    <mergeCell ref="J244:L244"/>
    <mergeCell ref="B261:D261"/>
    <mergeCell ref="F261:H261"/>
    <mergeCell ref="J261:L261"/>
    <mergeCell ref="B210:D210"/>
    <mergeCell ref="F210:H210"/>
    <mergeCell ref="J210:L210"/>
    <mergeCell ref="B227:D227"/>
    <mergeCell ref="F227:H227"/>
    <mergeCell ref="J227:L227"/>
    <mergeCell ref="B176:D176"/>
    <mergeCell ref="F176:H176"/>
    <mergeCell ref="J176:L176"/>
    <mergeCell ref="B193:D193"/>
    <mergeCell ref="F193:H193"/>
    <mergeCell ref="J193:L193"/>
    <mergeCell ref="B142:D142"/>
    <mergeCell ref="F142:H142"/>
    <mergeCell ref="J142:L142"/>
    <mergeCell ref="B159:D159"/>
    <mergeCell ref="F159:H159"/>
    <mergeCell ref="J159:L159"/>
    <mergeCell ref="B108:D108"/>
    <mergeCell ref="F108:H108"/>
    <mergeCell ref="J108:L108"/>
    <mergeCell ref="B125:D125"/>
    <mergeCell ref="F125:H125"/>
    <mergeCell ref="J125:L125"/>
    <mergeCell ref="B74:D74"/>
    <mergeCell ref="F74:H74"/>
    <mergeCell ref="J74:L74"/>
    <mergeCell ref="B91:D91"/>
    <mergeCell ref="F91:H91"/>
    <mergeCell ref="J91:L91"/>
    <mergeCell ref="B40:D40"/>
    <mergeCell ref="F40:H40"/>
    <mergeCell ref="J40:L40"/>
    <mergeCell ref="B57:D57"/>
    <mergeCell ref="F57:H57"/>
    <mergeCell ref="J57:L57"/>
    <mergeCell ref="B6:D6"/>
    <mergeCell ref="F6:H6"/>
    <mergeCell ref="J6:L6"/>
    <mergeCell ref="B23:D23"/>
    <mergeCell ref="F23:H23"/>
    <mergeCell ref="J23:L23"/>
  </mergeCells>
  <pageMargins left="0.7" right="0.7" top="0.75" bottom="0.75" header="0.3" footer="0.3"/>
  <pageSetup paperSize="9" scale="75" orientation="portrait" r:id="rId1"/>
  <rowBreaks count="19" manualBreakCount="19">
    <brk id="54" max="16383" man="1"/>
    <brk id="122" max="11" man="1"/>
    <brk id="190" max="11" man="1"/>
    <brk id="258" max="11" man="1"/>
    <brk id="326" max="11" man="1"/>
    <brk id="394" max="11" man="1"/>
    <brk id="462" max="11" man="1"/>
    <brk id="530" max="11" man="1"/>
    <brk id="598" max="11" man="1"/>
    <brk id="666" max="11" man="1"/>
    <brk id="734" max="11" man="1"/>
    <brk id="802" max="11" man="1"/>
    <brk id="870" max="11" man="1"/>
    <brk id="938" max="11" man="1"/>
    <brk id="1006" max="11" man="1"/>
    <brk id="1074" max="11" man="1"/>
    <brk id="1142" max="11" man="1"/>
    <brk id="1210" max="11" man="1"/>
    <brk id="1278" max="11" man="1"/>
  </rowBreaks>
  <colBreaks count="1" manualBreakCount="1">
    <brk id="12" max="1048575" man="1"/>
  </colBreaks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15">
    <pageSetUpPr fitToPage="1"/>
  </sheetPr>
  <dimension ref="A1:W1295"/>
  <sheetViews>
    <sheetView showGridLines="0" zoomScale="85" zoomScaleNormal="85" workbookViewId="0"/>
  </sheetViews>
  <sheetFormatPr defaultRowHeight="12.75" x14ac:dyDescent="0.2"/>
  <cols>
    <col min="1" max="1" width="37.85546875" customWidth="1"/>
    <col min="2" max="4" width="4.140625" bestFit="1" customWidth="1"/>
    <col min="5" max="5" width="5.7109375" bestFit="1" customWidth="1"/>
    <col min="6" max="6" width="4.7109375" customWidth="1"/>
    <col min="7" max="9" width="4.140625" bestFit="1" customWidth="1"/>
    <col min="10" max="10" width="5.7109375" bestFit="1" customWidth="1"/>
    <col min="11" max="11" width="4.85546875" customWidth="1"/>
    <col min="12" max="14" width="4.140625" bestFit="1" customWidth="1"/>
    <col min="15" max="15" width="5.7109375" bestFit="1" customWidth="1"/>
    <col min="259" max="259" width="33.140625" bestFit="1" customWidth="1"/>
    <col min="260" max="262" width="7.140625" customWidth="1"/>
    <col min="263" max="263" width="5" customWidth="1"/>
    <col min="264" max="266" width="7.140625" customWidth="1"/>
    <col min="267" max="267" width="5" customWidth="1"/>
    <col min="268" max="270" width="7.140625" customWidth="1"/>
    <col min="515" max="515" width="33.140625" bestFit="1" customWidth="1"/>
    <col min="516" max="518" width="7.140625" customWidth="1"/>
    <col min="519" max="519" width="5" customWidth="1"/>
    <col min="520" max="522" width="7.140625" customWidth="1"/>
    <col min="523" max="523" width="5" customWidth="1"/>
    <col min="524" max="526" width="7.140625" customWidth="1"/>
    <col min="771" max="771" width="33.140625" bestFit="1" customWidth="1"/>
    <col min="772" max="774" width="7.140625" customWidth="1"/>
    <col min="775" max="775" width="5" customWidth="1"/>
    <col min="776" max="778" width="7.140625" customWidth="1"/>
    <col min="779" max="779" width="5" customWidth="1"/>
    <col min="780" max="782" width="7.140625" customWidth="1"/>
    <col min="1027" max="1027" width="33.140625" bestFit="1" customWidth="1"/>
    <col min="1028" max="1030" width="7.140625" customWidth="1"/>
    <col min="1031" max="1031" width="5" customWidth="1"/>
    <col min="1032" max="1034" width="7.140625" customWidth="1"/>
    <col min="1035" max="1035" width="5" customWidth="1"/>
    <col min="1036" max="1038" width="7.140625" customWidth="1"/>
    <col min="1283" max="1283" width="33.140625" bestFit="1" customWidth="1"/>
    <col min="1284" max="1286" width="7.140625" customWidth="1"/>
    <col min="1287" max="1287" width="5" customWidth="1"/>
    <col min="1288" max="1290" width="7.140625" customWidth="1"/>
    <col min="1291" max="1291" width="5" customWidth="1"/>
    <col min="1292" max="1294" width="7.140625" customWidth="1"/>
    <col min="1539" max="1539" width="33.140625" bestFit="1" customWidth="1"/>
    <col min="1540" max="1542" width="7.140625" customWidth="1"/>
    <col min="1543" max="1543" width="5" customWidth="1"/>
    <col min="1544" max="1546" width="7.140625" customWidth="1"/>
    <col min="1547" max="1547" width="5" customWidth="1"/>
    <col min="1548" max="1550" width="7.140625" customWidth="1"/>
    <col min="1795" max="1795" width="33.140625" bestFit="1" customWidth="1"/>
    <col min="1796" max="1798" width="7.140625" customWidth="1"/>
    <col min="1799" max="1799" width="5" customWidth="1"/>
    <col min="1800" max="1802" width="7.140625" customWidth="1"/>
    <col min="1803" max="1803" width="5" customWidth="1"/>
    <col min="1804" max="1806" width="7.140625" customWidth="1"/>
    <col min="2051" max="2051" width="33.140625" bestFit="1" customWidth="1"/>
    <col min="2052" max="2054" width="7.140625" customWidth="1"/>
    <col min="2055" max="2055" width="5" customWidth="1"/>
    <col min="2056" max="2058" width="7.140625" customWidth="1"/>
    <col min="2059" max="2059" width="5" customWidth="1"/>
    <col min="2060" max="2062" width="7.140625" customWidth="1"/>
    <col min="2307" max="2307" width="33.140625" bestFit="1" customWidth="1"/>
    <col min="2308" max="2310" width="7.140625" customWidth="1"/>
    <col min="2311" max="2311" width="5" customWidth="1"/>
    <col min="2312" max="2314" width="7.140625" customWidth="1"/>
    <col min="2315" max="2315" width="5" customWidth="1"/>
    <col min="2316" max="2318" width="7.140625" customWidth="1"/>
    <col min="2563" max="2563" width="33.140625" bestFit="1" customWidth="1"/>
    <col min="2564" max="2566" width="7.140625" customWidth="1"/>
    <col min="2567" max="2567" width="5" customWidth="1"/>
    <col min="2568" max="2570" width="7.140625" customWidth="1"/>
    <col min="2571" max="2571" width="5" customWidth="1"/>
    <col min="2572" max="2574" width="7.140625" customWidth="1"/>
    <col min="2819" max="2819" width="33.140625" bestFit="1" customWidth="1"/>
    <col min="2820" max="2822" width="7.140625" customWidth="1"/>
    <col min="2823" max="2823" width="5" customWidth="1"/>
    <col min="2824" max="2826" width="7.140625" customWidth="1"/>
    <col min="2827" max="2827" width="5" customWidth="1"/>
    <col min="2828" max="2830" width="7.140625" customWidth="1"/>
    <col min="3075" max="3075" width="33.140625" bestFit="1" customWidth="1"/>
    <col min="3076" max="3078" width="7.140625" customWidth="1"/>
    <col min="3079" max="3079" width="5" customWidth="1"/>
    <col min="3080" max="3082" width="7.140625" customWidth="1"/>
    <col min="3083" max="3083" width="5" customWidth="1"/>
    <col min="3084" max="3086" width="7.140625" customWidth="1"/>
    <col min="3331" max="3331" width="33.140625" bestFit="1" customWidth="1"/>
    <col min="3332" max="3334" width="7.140625" customWidth="1"/>
    <col min="3335" max="3335" width="5" customWidth="1"/>
    <col min="3336" max="3338" width="7.140625" customWidth="1"/>
    <col min="3339" max="3339" width="5" customWidth="1"/>
    <col min="3340" max="3342" width="7.140625" customWidth="1"/>
    <col min="3587" max="3587" width="33.140625" bestFit="1" customWidth="1"/>
    <col min="3588" max="3590" width="7.140625" customWidth="1"/>
    <col min="3591" max="3591" width="5" customWidth="1"/>
    <col min="3592" max="3594" width="7.140625" customWidth="1"/>
    <col min="3595" max="3595" width="5" customWidth="1"/>
    <col min="3596" max="3598" width="7.140625" customWidth="1"/>
    <col min="3843" max="3843" width="33.140625" bestFit="1" customWidth="1"/>
    <col min="3844" max="3846" width="7.140625" customWidth="1"/>
    <col min="3847" max="3847" width="5" customWidth="1"/>
    <col min="3848" max="3850" width="7.140625" customWidth="1"/>
    <col min="3851" max="3851" width="5" customWidth="1"/>
    <col min="3852" max="3854" width="7.140625" customWidth="1"/>
    <col min="4099" max="4099" width="33.140625" bestFit="1" customWidth="1"/>
    <col min="4100" max="4102" width="7.140625" customWidth="1"/>
    <col min="4103" max="4103" width="5" customWidth="1"/>
    <col min="4104" max="4106" width="7.140625" customWidth="1"/>
    <col min="4107" max="4107" width="5" customWidth="1"/>
    <col min="4108" max="4110" width="7.140625" customWidth="1"/>
    <col min="4355" max="4355" width="33.140625" bestFit="1" customWidth="1"/>
    <col min="4356" max="4358" width="7.140625" customWidth="1"/>
    <col min="4359" max="4359" width="5" customWidth="1"/>
    <col min="4360" max="4362" width="7.140625" customWidth="1"/>
    <col min="4363" max="4363" width="5" customWidth="1"/>
    <col min="4364" max="4366" width="7.140625" customWidth="1"/>
    <col min="4611" max="4611" width="33.140625" bestFit="1" customWidth="1"/>
    <col min="4612" max="4614" width="7.140625" customWidth="1"/>
    <col min="4615" max="4615" width="5" customWidth="1"/>
    <col min="4616" max="4618" width="7.140625" customWidth="1"/>
    <col min="4619" max="4619" width="5" customWidth="1"/>
    <col min="4620" max="4622" width="7.140625" customWidth="1"/>
    <col min="4867" max="4867" width="33.140625" bestFit="1" customWidth="1"/>
    <col min="4868" max="4870" width="7.140625" customWidth="1"/>
    <col min="4871" max="4871" width="5" customWidth="1"/>
    <col min="4872" max="4874" width="7.140625" customWidth="1"/>
    <col min="4875" max="4875" width="5" customWidth="1"/>
    <col min="4876" max="4878" width="7.140625" customWidth="1"/>
    <col min="5123" max="5123" width="33.140625" bestFit="1" customWidth="1"/>
    <col min="5124" max="5126" width="7.140625" customWidth="1"/>
    <col min="5127" max="5127" width="5" customWidth="1"/>
    <col min="5128" max="5130" width="7.140625" customWidth="1"/>
    <col min="5131" max="5131" width="5" customWidth="1"/>
    <col min="5132" max="5134" width="7.140625" customWidth="1"/>
    <col min="5379" max="5379" width="33.140625" bestFit="1" customWidth="1"/>
    <col min="5380" max="5382" width="7.140625" customWidth="1"/>
    <col min="5383" max="5383" width="5" customWidth="1"/>
    <col min="5384" max="5386" width="7.140625" customWidth="1"/>
    <col min="5387" max="5387" width="5" customWidth="1"/>
    <col min="5388" max="5390" width="7.140625" customWidth="1"/>
    <col min="5635" max="5635" width="33.140625" bestFit="1" customWidth="1"/>
    <col min="5636" max="5638" width="7.140625" customWidth="1"/>
    <col min="5639" max="5639" width="5" customWidth="1"/>
    <col min="5640" max="5642" width="7.140625" customWidth="1"/>
    <col min="5643" max="5643" width="5" customWidth="1"/>
    <col min="5644" max="5646" width="7.140625" customWidth="1"/>
    <col min="5891" max="5891" width="33.140625" bestFit="1" customWidth="1"/>
    <col min="5892" max="5894" width="7.140625" customWidth="1"/>
    <col min="5895" max="5895" width="5" customWidth="1"/>
    <col min="5896" max="5898" width="7.140625" customWidth="1"/>
    <col min="5899" max="5899" width="5" customWidth="1"/>
    <col min="5900" max="5902" width="7.140625" customWidth="1"/>
    <col min="6147" max="6147" width="33.140625" bestFit="1" customWidth="1"/>
    <col min="6148" max="6150" width="7.140625" customWidth="1"/>
    <col min="6151" max="6151" width="5" customWidth="1"/>
    <col min="6152" max="6154" width="7.140625" customWidth="1"/>
    <col min="6155" max="6155" width="5" customWidth="1"/>
    <col min="6156" max="6158" width="7.140625" customWidth="1"/>
    <col min="6403" max="6403" width="33.140625" bestFit="1" customWidth="1"/>
    <col min="6404" max="6406" width="7.140625" customWidth="1"/>
    <col min="6407" max="6407" width="5" customWidth="1"/>
    <col min="6408" max="6410" width="7.140625" customWidth="1"/>
    <col min="6411" max="6411" width="5" customWidth="1"/>
    <col min="6412" max="6414" width="7.140625" customWidth="1"/>
    <col min="6659" max="6659" width="33.140625" bestFit="1" customWidth="1"/>
    <col min="6660" max="6662" width="7.140625" customWidth="1"/>
    <col min="6663" max="6663" width="5" customWidth="1"/>
    <col min="6664" max="6666" width="7.140625" customWidth="1"/>
    <col min="6667" max="6667" width="5" customWidth="1"/>
    <col min="6668" max="6670" width="7.140625" customWidth="1"/>
    <col min="6915" max="6915" width="33.140625" bestFit="1" customWidth="1"/>
    <col min="6916" max="6918" width="7.140625" customWidth="1"/>
    <col min="6919" max="6919" width="5" customWidth="1"/>
    <col min="6920" max="6922" width="7.140625" customWidth="1"/>
    <col min="6923" max="6923" width="5" customWidth="1"/>
    <col min="6924" max="6926" width="7.140625" customWidth="1"/>
    <col min="7171" max="7171" width="33.140625" bestFit="1" customWidth="1"/>
    <col min="7172" max="7174" width="7.140625" customWidth="1"/>
    <col min="7175" max="7175" width="5" customWidth="1"/>
    <col min="7176" max="7178" width="7.140625" customWidth="1"/>
    <col min="7179" max="7179" width="5" customWidth="1"/>
    <col min="7180" max="7182" width="7.140625" customWidth="1"/>
    <col min="7427" max="7427" width="33.140625" bestFit="1" customWidth="1"/>
    <col min="7428" max="7430" width="7.140625" customWidth="1"/>
    <col min="7431" max="7431" width="5" customWidth="1"/>
    <col min="7432" max="7434" width="7.140625" customWidth="1"/>
    <col min="7435" max="7435" width="5" customWidth="1"/>
    <col min="7436" max="7438" width="7.140625" customWidth="1"/>
    <col min="7683" max="7683" width="33.140625" bestFit="1" customWidth="1"/>
    <col min="7684" max="7686" width="7.140625" customWidth="1"/>
    <col min="7687" max="7687" width="5" customWidth="1"/>
    <col min="7688" max="7690" width="7.140625" customWidth="1"/>
    <col min="7691" max="7691" width="5" customWidth="1"/>
    <col min="7692" max="7694" width="7.140625" customWidth="1"/>
    <col min="7939" max="7939" width="33.140625" bestFit="1" customWidth="1"/>
    <col min="7940" max="7942" width="7.140625" customWidth="1"/>
    <col min="7943" max="7943" width="5" customWidth="1"/>
    <col min="7944" max="7946" width="7.140625" customWidth="1"/>
    <col min="7947" max="7947" width="5" customWidth="1"/>
    <col min="7948" max="7950" width="7.140625" customWidth="1"/>
    <col min="8195" max="8195" width="33.140625" bestFit="1" customWidth="1"/>
    <col min="8196" max="8198" width="7.140625" customWidth="1"/>
    <col min="8199" max="8199" width="5" customWidth="1"/>
    <col min="8200" max="8202" width="7.140625" customWidth="1"/>
    <col min="8203" max="8203" width="5" customWidth="1"/>
    <col min="8204" max="8206" width="7.140625" customWidth="1"/>
    <col min="8451" max="8451" width="33.140625" bestFit="1" customWidth="1"/>
    <col min="8452" max="8454" width="7.140625" customWidth="1"/>
    <col min="8455" max="8455" width="5" customWidth="1"/>
    <col min="8456" max="8458" width="7.140625" customWidth="1"/>
    <col min="8459" max="8459" width="5" customWidth="1"/>
    <col min="8460" max="8462" width="7.140625" customWidth="1"/>
    <col min="8707" max="8707" width="33.140625" bestFit="1" customWidth="1"/>
    <col min="8708" max="8710" width="7.140625" customWidth="1"/>
    <col min="8711" max="8711" width="5" customWidth="1"/>
    <col min="8712" max="8714" width="7.140625" customWidth="1"/>
    <col min="8715" max="8715" width="5" customWidth="1"/>
    <col min="8716" max="8718" width="7.140625" customWidth="1"/>
    <col min="8963" max="8963" width="33.140625" bestFit="1" customWidth="1"/>
    <col min="8964" max="8966" width="7.140625" customWidth="1"/>
    <col min="8967" max="8967" width="5" customWidth="1"/>
    <col min="8968" max="8970" width="7.140625" customWidth="1"/>
    <col min="8971" max="8971" width="5" customWidth="1"/>
    <col min="8972" max="8974" width="7.140625" customWidth="1"/>
    <col min="9219" max="9219" width="33.140625" bestFit="1" customWidth="1"/>
    <col min="9220" max="9222" width="7.140625" customWidth="1"/>
    <col min="9223" max="9223" width="5" customWidth="1"/>
    <col min="9224" max="9226" width="7.140625" customWidth="1"/>
    <col min="9227" max="9227" width="5" customWidth="1"/>
    <col min="9228" max="9230" width="7.140625" customWidth="1"/>
    <col min="9475" max="9475" width="33.140625" bestFit="1" customWidth="1"/>
    <col min="9476" max="9478" width="7.140625" customWidth="1"/>
    <col min="9479" max="9479" width="5" customWidth="1"/>
    <col min="9480" max="9482" width="7.140625" customWidth="1"/>
    <col min="9483" max="9483" width="5" customWidth="1"/>
    <col min="9484" max="9486" width="7.140625" customWidth="1"/>
    <col min="9731" max="9731" width="33.140625" bestFit="1" customWidth="1"/>
    <col min="9732" max="9734" width="7.140625" customWidth="1"/>
    <col min="9735" max="9735" width="5" customWidth="1"/>
    <col min="9736" max="9738" width="7.140625" customWidth="1"/>
    <col min="9739" max="9739" width="5" customWidth="1"/>
    <col min="9740" max="9742" width="7.140625" customWidth="1"/>
    <col min="9987" max="9987" width="33.140625" bestFit="1" customWidth="1"/>
    <col min="9988" max="9990" width="7.140625" customWidth="1"/>
    <col min="9991" max="9991" width="5" customWidth="1"/>
    <col min="9992" max="9994" width="7.140625" customWidth="1"/>
    <col min="9995" max="9995" width="5" customWidth="1"/>
    <col min="9996" max="9998" width="7.140625" customWidth="1"/>
    <col min="10243" max="10243" width="33.140625" bestFit="1" customWidth="1"/>
    <col min="10244" max="10246" width="7.140625" customWidth="1"/>
    <col min="10247" max="10247" width="5" customWidth="1"/>
    <col min="10248" max="10250" width="7.140625" customWidth="1"/>
    <col min="10251" max="10251" width="5" customWidth="1"/>
    <col min="10252" max="10254" width="7.140625" customWidth="1"/>
    <col min="10499" max="10499" width="33.140625" bestFit="1" customWidth="1"/>
    <col min="10500" max="10502" width="7.140625" customWidth="1"/>
    <col min="10503" max="10503" width="5" customWidth="1"/>
    <col min="10504" max="10506" width="7.140625" customWidth="1"/>
    <col min="10507" max="10507" width="5" customWidth="1"/>
    <col min="10508" max="10510" width="7.140625" customWidth="1"/>
    <col min="10755" max="10755" width="33.140625" bestFit="1" customWidth="1"/>
    <col min="10756" max="10758" width="7.140625" customWidth="1"/>
    <col min="10759" max="10759" width="5" customWidth="1"/>
    <col min="10760" max="10762" width="7.140625" customWidth="1"/>
    <col min="10763" max="10763" width="5" customWidth="1"/>
    <col min="10764" max="10766" width="7.140625" customWidth="1"/>
    <col min="11011" max="11011" width="33.140625" bestFit="1" customWidth="1"/>
    <col min="11012" max="11014" width="7.140625" customWidth="1"/>
    <col min="11015" max="11015" width="5" customWidth="1"/>
    <col min="11016" max="11018" width="7.140625" customWidth="1"/>
    <col min="11019" max="11019" width="5" customWidth="1"/>
    <col min="11020" max="11022" width="7.140625" customWidth="1"/>
    <col min="11267" max="11267" width="33.140625" bestFit="1" customWidth="1"/>
    <col min="11268" max="11270" width="7.140625" customWidth="1"/>
    <col min="11271" max="11271" width="5" customWidth="1"/>
    <col min="11272" max="11274" width="7.140625" customWidth="1"/>
    <col min="11275" max="11275" width="5" customWidth="1"/>
    <col min="11276" max="11278" width="7.140625" customWidth="1"/>
    <col min="11523" max="11523" width="33.140625" bestFit="1" customWidth="1"/>
    <col min="11524" max="11526" width="7.140625" customWidth="1"/>
    <col min="11527" max="11527" width="5" customWidth="1"/>
    <col min="11528" max="11530" width="7.140625" customWidth="1"/>
    <col min="11531" max="11531" width="5" customWidth="1"/>
    <col min="11532" max="11534" width="7.140625" customWidth="1"/>
    <col min="11779" max="11779" width="33.140625" bestFit="1" customWidth="1"/>
    <col min="11780" max="11782" width="7.140625" customWidth="1"/>
    <col min="11783" max="11783" width="5" customWidth="1"/>
    <col min="11784" max="11786" width="7.140625" customWidth="1"/>
    <col min="11787" max="11787" width="5" customWidth="1"/>
    <col min="11788" max="11790" width="7.140625" customWidth="1"/>
    <col min="12035" max="12035" width="33.140625" bestFit="1" customWidth="1"/>
    <col min="12036" max="12038" width="7.140625" customWidth="1"/>
    <col min="12039" max="12039" width="5" customWidth="1"/>
    <col min="12040" max="12042" width="7.140625" customWidth="1"/>
    <col min="12043" max="12043" width="5" customWidth="1"/>
    <col min="12044" max="12046" width="7.140625" customWidth="1"/>
    <col min="12291" max="12291" width="33.140625" bestFit="1" customWidth="1"/>
    <col min="12292" max="12294" width="7.140625" customWidth="1"/>
    <col min="12295" max="12295" width="5" customWidth="1"/>
    <col min="12296" max="12298" width="7.140625" customWidth="1"/>
    <col min="12299" max="12299" width="5" customWidth="1"/>
    <col min="12300" max="12302" width="7.140625" customWidth="1"/>
    <col min="12547" max="12547" width="33.140625" bestFit="1" customWidth="1"/>
    <col min="12548" max="12550" width="7.140625" customWidth="1"/>
    <col min="12551" max="12551" width="5" customWidth="1"/>
    <col min="12552" max="12554" width="7.140625" customWidth="1"/>
    <col min="12555" max="12555" width="5" customWidth="1"/>
    <col min="12556" max="12558" width="7.140625" customWidth="1"/>
    <col min="12803" max="12803" width="33.140625" bestFit="1" customWidth="1"/>
    <col min="12804" max="12806" width="7.140625" customWidth="1"/>
    <col min="12807" max="12807" width="5" customWidth="1"/>
    <col min="12808" max="12810" width="7.140625" customWidth="1"/>
    <col min="12811" max="12811" width="5" customWidth="1"/>
    <col min="12812" max="12814" width="7.140625" customWidth="1"/>
    <col min="13059" max="13059" width="33.140625" bestFit="1" customWidth="1"/>
    <col min="13060" max="13062" width="7.140625" customWidth="1"/>
    <col min="13063" max="13063" width="5" customWidth="1"/>
    <col min="13064" max="13066" width="7.140625" customWidth="1"/>
    <col min="13067" max="13067" width="5" customWidth="1"/>
    <col min="13068" max="13070" width="7.140625" customWidth="1"/>
    <col min="13315" max="13315" width="33.140625" bestFit="1" customWidth="1"/>
    <col min="13316" max="13318" width="7.140625" customWidth="1"/>
    <col min="13319" max="13319" width="5" customWidth="1"/>
    <col min="13320" max="13322" width="7.140625" customWidth="1"/>
    <col min="13323" max="13323" width="5" customWidth="1"/>
    <col min="13324" max="13326" width="7.140625" customWidth="1"/>
    <col min="13571" max="13571" width="33.140625" bestFit="1" customWidth="1"/>
    <col min="13572" max="13574" width="7.140625" customWidth="1"/>
    <col min="13575" max="13575" width="5" customWidth="1"/>
    <col min="13576" max="13578" width="7.140625" customWidth="1"/>
    <col min="13579" max="13579" width="5" customWidth="1"/>
    <col min="13580" max="13582" width="7.140625" customWidth="1"/>
    <col min="13827" max="13827" width="33.140625" bestFit="1" customWidth="1"/>
    <col min="13828" max="13830" width="7.140625" customWidth="1"/>
    <col min="13831" max="13831" width="5" customWidth="1"/>
    <col min="13832" max="13834" width="7.140625" customWidth="1"/>
    <col min="13835" max="13835" width="5" customWidth="1"/>
    <col min="13836" max="13838" width="7.140625" customWidth="1"/>
    <col min="14083" max="14083" width="33.140625" bestFit="1" customWidth="1"/>
    <col min="14084" max="14086" width="7.140625" customWidth="1"/>
    <col min="14087" max="14087" width="5" customWidth="1"/>
    <col min="14088" max="14090" width="7.140625" customWidth="1"/>
    <col min="14091" max="14091" width="5" customWidth="1"/>
    <col min="14092" max="14094" width="7.140625" customWidth="1"/>
    <col min="14339" max="14339" width="33.140625" bestFit="1" customWidth="1"/>
    <col min="14340" max="14342" width="7.140625" customWidth="1"/>
    <col min="14343" max="14343" width="5" customWidth="1"/>
    <col min="14344" max="14346" width="7.140625" customWidth="1"/>
    <col min="14347" max="14347" width="5" customWidth="1"/>
    <col min="14348" max="14350" width="7.140625" customWidth="1"/>
    <col min="14595" max="14595" width="33.140625" bestFit="1" customWidth="1"/>
    <col min="14596" max="14598" width="7.140625" customWidth="1"/>
    <col min="14599" max="14599" width="5" customWidth="1"/>
    <col min="14600" max="14602" width="7.140625" customWidth="1"/>
    <col min="14603" max="14603" width="5" customWidth="1"/>
    <col min="14604" max="14606" width="7.140625" customWidth="1"/>
    <col min="14851" max="14851" width="33.140625" bestFit="1" customWidth="1"/>
    <col min="14852" max="14854" width="7.140625" customWidth="1"/>
    <col min="14855" max="14855" width="5" customWidth="1"/>
    <col min="14856" max="14858" width="7.140625" customWidth="1"/>
    <col min="14859" max="14859" width="5" customWidth="1"/>
    <col min="14860" max="14862" width="7.140625" customWidth="1"/>
    <col min="15107" max="15107" width="33.140625" bestFit="1" customWidth="1"/>
    <col min="15108" max="15110" width="7.140625" customWidth="1"/>
    <col min="15111" max="15111" width="5" customWidth="1"/>
    <col min="15112" max="15114" width="7.140625" customWidth="1"/>
    <col min="15115" max="15115" width="5" customWidth="1"/>
    <col min="15116" max="15118" width="7.140625" customWidth="1"/>
    <col min="15363" max="15363" width="33.140625" bestFit="1" customWidth="1"/>
    <col min="15364" max="15366" width="7.140625" customWidth="1"/>
    <col min="15367" max="15367" width="5" customWidth="1"/>
    <col min="15368" max="15370" width="7.140625" customWidth="1"/>
    <col min="15371" max="15371" width="5" customWidth="1"/>
    <col min="15372" max="15374" width="7.140625" customWidth="1"/>
    <col min="15619" max="15619" width="33.140625" bestFit="1" customWidth="1"/>
    <col min="15620" max="15622" width="7.140625" customWidth="1"/>
    <col min="15623" max="15623" width="5" customWidth="1"/>
    <col min="15624" max="15626" width="7.140625" customWidth="1"/>
    <col min="15627" max="15627" width="5" customWidth="1"/>
    <col min="15628" max="15630" width="7.140625" customWidth="1"/>
    <col min="15875" max="15875" width="33.140625" bestFit="1" customWidth="1"/>
    <col min="15876" max="15878" width="7.140625" customWidth="1"/>
    <col min="15879" max="15879" width="5" customWidth="1"/>
    <col min="15880" max="15882" width="7.140625" customWidth="1"/>
    <col min="15883" max="15883" width="5" customWidth="1"/>
    <col min="15884" max="15886" width="7.140625" customWidth="1"/>
    <col min="16131" max="16131" width="33.140625" bestFit="1" customWidth="1"/>
    <col min="16132" max="16134" width="7.140625" customWidth="1"/>
    <col min="16135" max="16135" width="5" customWidth="1"/>
    <col min="16136" max="16138" width="7.140625" customWidth="1"/>
    <col min="16139" max="16139" width="5" customWidth="1"/>
    <col min="16140" max="16142" width="7.140625" customWidth="1"/>
  </cols>
  <sheetData>
    <row r="1" spans="1:23" ht="15.75" x14ac:dyDescent="0.25">
      <c r="A1" s="18" t="str">
        <f>CONCATENATE("Industry and Occupation Table 2  Occuptation composition (SOC2020) by employment status, ",B$6,"-",L$6,", ",Info!B5)</f>
        <v>Industry and Occupation Table 2  Occuptation composition (SOC2020) by employment status, 2015-2035, North East</v>
      </c>
    </row>
    <row r="2" spans="1:23" x14ac:dyDescent="0.2">
      <c r="A2" s="258" t="s">
        <v>535</v>
      </c>
    </row>
    <row r="4" spans="1:23" x14ac:dyDescent="0.2">
      <c r="O4" s="251" t="s">
        <v>35</v>
      </c>
    </row>
    <row r="5" spans="1:23" s="258" customFormat="1" x14ac:dyDescent="0.2">
      <c r="A5" s="242"/>
      <c r="B5" s="242"/>
      <c r="C5" s="242"/>
      <c r="D5" s="242"/>
      <c r="E5" s="242"/>
      <c r="F5" s="242"/>
      <c r="G5" s="242"/>
      <c r="H5" s="242"/>
      <c r="I5" s="242"/>
      <c r="J5" s="242"/>
      <c r="K5" s="242"/>
      <c r="L5" s="242"/>
      <c r="M5" s="242"/>
      <c r="N5" s="242"/>
    </row>
    <row r="6" spans="1:23" s="258" customFormat="1" x14ac:dyDescent="0.2">
      <c r="A6" s="241" t="s">
        <v>0</v>
      </c>
      <c r="B6" s="372">
        <v>2015</v>
      </c>
      <c r="C6" s="372"/>
      <c r="D6" s="372"/>
      <c r="E6" s="372"/>
      <c r="F6" s="246"/>
      <c r="G6" s="372">
        <v>2020</v>
      </c>
      <c r="H6" s="372"/>
      <c r="I6" s="372"/>
      <c r="J6" s="372"/>
      <c r="K6" s="278"/>
      <c r="L6" s="372">
        <v>2035</v>
      </c>
      <c r="M6" s="372"/>
      <c r="N6" s="372"/>
      <c r="O6" s="372"/>
      <c r="S6" s="279"/>
      <c r="T6" s="279"/>
      <c r="U6" s="279"/>
      <c r="V6" s="279"/>
      <c r="W6" s="279"/>
    </row>
    <row r="7" spans="1:23" s="258" customFormat="1" x14ac:dyDescent="0.2">
      <c r="A7" s="252"/>
      <c r="B7" s="268" t="str">
        <f>name!$J$5</f>
        <v>FT</v>
      </c>
      <c r="C7" s="268" t="str">
        <f>name!$J$6</f>
        <v>PT</v>
      </c>
      <c r="D7" s="268" t="str">
        <f>name!$J$4</f>
        <v>SE</v>
      </c>
      <c r="E7" s="268" t="s">
        <v>32</v>
      </c>
      <c r="F7" s="280"/>
      <c r="G7" s="268" t="str">
        <f>name!$J$5</f>
        <v>FT</v>
      </c>
      <c r="H7" s="268" t="str">
        <f>name!$J$6</f>
        <v>PT</v>
      </c>
      <c r="I7" s="268" t="str">
        <f>name!$J$4</f>
        <v>SE</v>
      </c>
      <c r="J7" s="268" t="s">
        <v>32</v>
      </c>
      <c r="K7" s="280"/>
      <c r="L7" s="268" t="str">
        <f>name!$J$5</f>
        <v>FT</v>
      </c>
      <c r="M7" s="268" t="str">
        <f>name!$J$6</f>
        <v>PT</v>
      </c>
      <c r="N7" s="268" t="str">
        <f>name!$J$4</f>
        <v>SE</v>
      </c>
      <c r="O7" s="268" t="s">
        <v>32</v>
      </c>
      <c r="T7" s="281"/>
      <c r="V7" s="281"/>
    </row>
    <row r="8" spans="1:23" s="236" customFormat="1" x14ac:dyDescent="0.2">
      <c r="B8" s="239"/>
      <c r="C8" s="239"/>
      <c r="D8" s="239"/>
      <c r="E8" s="239"/>
      <c r="F8" s="239"/>
      <c r="G8" s="239"/>
      <c r="H8" s="239"/>
      <c r="I8" s="239"/>
      <c r="J8" s="239"/>
      <c r="K8" s="239"/>
      <c r="L8" s="239"/>
      <c r="M8" s="239"/>
      <c r="N8" s="239"/>
      <c r="O8" s="239"/>
      <c r="T8" s="249"/>
      <c r="V8" s="249"/>
    </row>
    <row r="9" spans="1:23" s="236" customFormat="1" x14ac:dyDescent="0.2">
      <c r="A9" s="237" t="str">
        <f>name!E$4</f>
        <v>Managers, directors and senior officials</v>
      </c>
      <c r="B9" s="249">
        <f>SUM(B26,B43,B60,B77,B94,B111,B128,B145,B162,B179,B196,B213,B230,B247,B264,B281,B298,B315,B332,B349,B366,B383,B400,B417,B434,B451,B468,B485,B502,B519,B536,B553,B570,B587,B604,B621,B638,B655,B672,B689,B706,B723,B740,B757,B774,B791,B808,B825,B842,B859,B876,B893,B910,B927,B944,B961,B978,B995,B1012,B1029,B1046,B1063,B1080,B1097,B1114,B1131,B1148,B1165,B1182,B1199,B1216,B1233,B1250,B1267,B1284)</f>
        <v>59.668305549938466</v>
      </c>
      <c r="C9" s="249">
        <f t="shared" ref="C9:D9" si="0">SUM(C26,C43,C60,C77,C94,C111,C128,C145,C162,C179,C196,C213,C230,C247,C264,C281,C298,C315,C332,C349,C366,C383,C400,C417,C434,C451,C468,C485,C502,C519,C536,C553,C570,C587,C604,C621,C638,C655,C672,C689,C706,C723,C740,C757,C774,C791,C808,C825,C842,C859,C876,C893,C910,C927,C944,C961,C978,C995,C1012,C1029,C1046,C1063,C1080,C1097,C1114,C1131,C1148,C1165,C1182,C1199,C1216,C1233,C1250,C1267,C1284)</f>
        <v>8.1097843632303039</v>
      </c>
      <c r="D9" s="249">
        <f t="shared" si="0"/>
        <v>20.798503161229707</v>
      </c>
      <c r="E9" s="249">
        <f>SUM(B9:D9)</f>
        <v>88.576593074398474</v>
      </c>
      <c r="F9" s="238"/>
      <c r="G9" s="249">
        <f>SUM(G26,G43,G60,G77,G94,G111,G128,G145,G162,G179,G196,G213,G230,G247,G264,G281,G298,G315,G332,G349,G366,G383,G400,G417,G434,G451,G468,G485,G502,G519,G536,G553,G570,G587,G604,G621,G638,G655,G672,G689,G706,G723,G740,G757,G774,G791,G808,G825,G842,G859,G876,G893,G910,G927,G944,G961,G978,G995,G1012,G1029,G1046,G1063,G1080,G1097,G1114,G1131,G1148,G1165,G1182,G1199,G1216,G1233,G1250,G1267,G1284)</f>
        <v>68.53162336718546</v>
      </c>
      <c r="H9" s="249">
        <f t="shared" ref="H9:I9" si="1">SUM(H26,H43,H60,H77,H94,H111,H128,H145,H162,H179,H196,H213,H230,H247,H264,H281,H298,H315,H332,H349,H366,H383,H400,H417,H434,H451,H468,H485,H502,H519,H536,H553,H570,H587,H604,H621,H638,H655,H672,H689,H706,H723,H740,H757,H774,H791,H808,H825,H842,H859,H876,H893,H910,H927,H944,H961,H978,H995,H1012,H1029,H1046,H1063,H1080,H1097,H1114,H1131,H1148,H1165,H1182,H1199,H1216,H1233,H1250,H1267,H1284)</f>
        <v>11.795020684687943</v>
      </c>
      <c r="I9" s="249">
        <f t="shared" si="1"/>
        <v>19.401104032383831</v>
      </c>
      <c r="J9" s="249">
        <f>SUM(G9:I9)</f>
        <v>99.727748084257229</v>
      </c>
      <c r="K9" s="238"/>
      <c r="L9" s="249">
        <f>SUM(L26,L43,L60,L77,L94,L111,L128,L145,L162,L179,L196,L213,L230,L247,L264,L281,L298,L315,L332,L349,L366,L383,L400,L417,L434,L451,L468,L485,L502,L519,L536,L553,L570,L587,L604,L621,L638,L655,L672,L689,L706,L723,L740,L757,L774,L791,L808,L825,L842,L859,L876,L893,L910,L927,L944,L961,L978,L995,L1012,L1029,L1046,L1063,L1080,L1097,L1114,L1131,L1148,L1165,L1182,L1199,L1216,L1233,L1250,L1267,L1284)</f>
        <v>79.396207067646372</v>
      </c>
      <c r="M9" s="249">
        <f t="shared" ref="M9:N9" si="2">SUM(M26,M43,M60,M77,M94,M111,M128,M145,M162,M179,M196,M213,M230,M247,M264,M281,M298,M315,M332,M349,M366,M383,M400,M417,M434,M451,M468,M485,M502,M519,M536,M553,M570,M587,M604,M621,M638,M655,M672,M689,M706,M723,M740,M757,M774,M791,M808,M825,M842,M859,M876,M893,M910,M927,M944,M961,M978,M995,M1012,M1029,M1046,M1063,M1080,M1097,M1114,M1131,M1148,M1165,M1182,M1199,M1216,M1233,M1250,M1267,M1284)</f>
        <v>15.509763234753015</v>
      </c>
      <c r="N9" s="249">
        <f t="shared" si="2"/>
        <v>21.203913722539316</v>
      </c>
      <c r="O9" s="249">
        <f>SUM(L9:N9)</f>
        <v>116.10988402493869</v>
      </c>
      <c r="T9" s="249"/>
      <c r="V9" s="249"/>
    </row>
    <row r="10" spans="1:23" s="236" customFormat="1" x14ac:dyDescent="0.2">
      <c r="A10" s="237" t="str">
        <f>name!E$5</f>
        <v>Professional occupations</v>
      </c>
      <c r="B10" s="249">
        <f t="shared" ref="B10:D10" si="3">SUM(B27,B44,B61,B78,B95,B112,B129,B146,B163,B180,B197,B214,B231,B248,B265,B282,B299,B316,B333,B350,B367,B384,B401,B418,B435,B452,B469,B486,B503,B520,B537,B554,B571,B588,B605,B622,B639,B656,B673,B690,B707,B724,B741,B758,B775,B792,B809,B826,B843,B860,B877,B894,B911,B928,B945,B962,B979,B996,B1013,B1030,B1047,B1064,B1081,B1098,B1115,B1132,B1149,B1166,B1183,B1200,B1217,B1234,B1251,B1268,B1285)</f>
        <v>166.60605452811555</v>
      </c>
      <c r="C10" s="249">
        <f t="shared" si="3"/>
        <v>43.057176834973966</v>
      </c>
      <c r="D10" s="249">
        <f t="shared" si="3"/>
        <v>21.82749382466335</v>
      </c>
      <c r="E10" s="249">
        <f t="shared" ref="E10:E17" si="4">SUM(B10:D10)</f>
        <v>231.49072518775287</v>
      </c>
      <c r="F10" s="238"/>
      <c r="G10" s="249">
        <f t="shared" ref="G10:I10" si="5">SUM(G27,G44,G61,G78,G95,G112,G129,G146,G163,G180,G197,G214,G231,G248,G265,G282,G299,G316,G333,G350,G367,G384,G401,G418,G435,G452,G469,G486,G503,G520,G537,G554,G571,G588,G605,G622,G639,G656,G673,G690,G707,G724,G741,G758,G775,G792,G809,G826,G843,G860,G877,G894,G911,G928,G945,G962,G979,G996,G1013,G1030,G1047,G1064,G1081,G1098,G1115,G1132,G1149,G1166,G1183,G1200,G1217,G1234,G1251,G1268,G1285)</f>
        <v>184.3083963123315</v>
      </c>
      <c r="H10" s="249">
        <f t="shared" si="5"/>
        <v>52.556920262649363</v>
      </c>
      <c r="I10" s="249">
        <f t="shared" si="5"/>
        <v>17.888920506748345</v>
      </c>
      <c r="J10" s="249">
        <f t="shared" ref="J10:J17" si="6">SUM(G10:I10)</f>
        <v>254.7542370817292</v>
      </c>
      <c r="K10" s="238"/>
      <c r="L10" s="249">
        <f t="shared" ref="L10:N10" si="7">SUM(L27,L44,L61,L78,L95,L112,L129,L146,L163,L180,L197,L214,L231,L248,L265,L282,L299,L316,L333,L350,L367,L384,L401,L418,L435,L452,L469,L486,L503,L520,L537,L554,L571,L588,L605,L622,L639,L656,L673,L690,L707,L724,L741,L758,L775,L792,L809,L826,L843,L860,L877,L894,L911,L928,L945,L962,L979,L996,L1013,L1030,L1047,L1064,L1081,L1098,L1115,L1132,L1149,L1166,L1183,L1200,L1217,L1234,L1251,L1268,L1285)</f>
        <v>223.95760901385898</v>
      </c>
      <c r="M10" s="249">
        <f t="shared" si="7"/>
        <v>67.097522568603722</v>
      </c>
      <c r="N10" s="249">
        <f t="shared" si="7"/>
        <v>15.731971310891074</v>
      </c>
      <c r="O10" s="249">
        <f t="shared" ref="O10:O17" si="8">SUM(L10:N10)</f>
        <v>306.78710289335379</v>
      </c>
      <c r="T10" s="249"/>
      <c r="V10" s="249"/>
    </row>
    <row r="11" spans="1:23" s="236" customFormat="1" x14ac:dyDescent="0.2">
      <c r="A11" s="237" t="str">
        <f>name!E$6</f>
        <v>Associate professional occupations</v>
      </c>
      <c r="B11" s="249">
        <f t="shared" ref="B11:D11" si="9">SUM(B28,B45,B62,B79,B96,B113,B130,B147,B164,B181,B198,B215,B232,B249,B266,B283,B300,B317,B334,B351,B368,B385,B402,B419,B436,B453,B470,B487,B504,B521,B538,B555,B572,B589,B606,B623,B640,B657,B674,B691,B708,B725,B742,B759,B776,B793,B810,B827,B844,B861,B878,B895,B912,B929,B946,B963,B980,B997,B1014,B1031,B1048,B1065,B1082,B1099,B1116,B1133,B1150,B1167,B1184,B1201,B1218,B1235,B1252,B1269,B1286)</f>
        <v>86.885487632929497</v>
      </c>
      <c r="C11" s="249">
        <f t="shared" si="9"/>
        <v>24.904720012354982</v>
      </c>
      <c r="D11" s="249">
        <f t="shared" si="9"/>
        <v>17.276945942936781</v>
      </c>
      <c r="E11" s="249">
        <f t="shared" si="4"/>
        <v>129.06715358822126</v>
      </c>
      <c r="F11" s="238"/>
      <c r="G11" s="249">
        <f t="shared" ref="G11:I11" si="10">SUM(G28,G45,G62,G79,G96,G113,G130,G147,G164,G181,G198,G215,G232,G249,G266,G283,G300,G317,G334,G351,G368,G385,G402,G419,G436,G453,G470,G487,G504,G521,G538,G555,G572,G589,G606,G623,G640,G657,G674,G691,G708,G725,G742,G759,G776,G793,G810,G827,G844,G861,G878,G895,G912,G929,G946,G963,G980,G997,G1014,G1031,G1048,G1065,G1082,G1099,G1116,G1133,G1150,G1167,G1184,G1201,G1218,G1235,G1252,G1269,G1286)</f>
        <v>96.612708573503241</v>
      </c>
      <c r="H11" s="249">
        <f t="shared" si="10"/>
        <v>29.178862974781968</v>
      </c>
      <c r="I11" s="249">
        <f t="shared" si="10"/>
        <v>14.480580788317067</v>
      </c>
      <c r="J11" s="249">
        <f t="shared" si="6"/>
        <v>140.27215233660226</v>
      </c>
      <c r="K11" s="238"/>
      <c r="L11" s="249">
        <f t="shared" ref="L11:N11" si="11">SUM(L28,L45,L62,L79,L96,L113,L130,L147,L164,L181,L198,L215,L232,L249,L266,L283,L300,L317,L334,L351,L368,L385,L402,L419,L436,L453,L470,L487,L504,L521,L538,L555,L572,L589,L606,L623,L640,L657,L674,L691,L708,L725,L742,L759,L776,L793,L810,L827,L844,L861,L878,L895,L912,L929,L946,L963,L980,L997,L1014,L1031,L1048,L1065,L1082,L1099,L1116,L1133,L1150,L1167,L1184,L1201,L1218,L1235,L1252,L1269,L1286)</f>
        <v>100.68637068690258</v>
      </c>
      <c r="M11" s="249">
        <f t="shared" si="11"/>
        <v>31.905736484781091</v>
      </c>
      <c r="N11" s="249">
        <f t="shared" si="11"/>
        <v>14.266082506799494</v>
      </c>
      <c r="O11" s="249">
        <f t="shared" si="8"/>
        <v>146.85818967848317</v>
      </c>
      <c r="T11" s="249"/>
      <c r="V11" s="249"/>
    </row>
    <row r="12" spans="1:23" s="236" customFormat="1" x14ac:dyDescent="0.2">
      <c r="A12" s="237" t="str">
        <f>name!E$7</f>
        <v>Administrative and secretarial occupations</v>
      </c>
      <c r="B12" s="249">
        <f t="shared" ref="B12:D12" si="12">SUM(B29,B46,B63,B80,B97,B114,B131,B148,B165,B182,B199,B216,B233,B250,B267,B284,B301,B318,B335,B352,B369,B386,B403,B420,B437,B454,B471,B488,B505,B522,B539,B556,B573,B590,B607,B624,B641,B658,B675,B692,B709,B726,B743,B760,B777,B794,B811,B828,B845,B862,B879,B896,B913,B930,B947,B964,B981,B998,B1015,B1032,B1049,B1066,B1083,B1100,B1117,B1134,B1151,B1168,B1185,B1202,B1219,B1236,B1253,B1270,B1287)</f>
        <v>80.090762474515614</v>
      </c>
      <c r="C12" s="249">
        <f t="shared" si="12"/>
        <v>53.550412779968831</v>
      </c>
      <c r="D12" s="249">
        <f t="shared" si="12"/>
        <v>6.1096100512876923</v>
      </c>
      <c r="E12" s="249">
        <f t="shared" si="4"/>
        <v>139.75078530577213</v>
      </c>
      <c r="F12" s="238"/>
      <c r="G12" s="249">
        <f t="shared" ref="G12:I12" si="13">SUM(G29,G46,G63,G80,G97,G114,G131,G148,G165,G182,G199,G216,G233,G250,G267,G284,G301,G318,G335,G352,G369,G386,G403,G420,G437,G454,G471,G488,G505,G522,G539,G556,G573,G590,G607,G624,G641,G658,G675,G692,G709,G726,G743,G760,G777,G794,G811,G828,G845,G862,G879,G896,G913,G930,G947,G964,G981,G998,G1015,G1032,G1049,G1066,G1083,G1100,G1117,G1134,G1151,G1168,G1185,G1202,G1219,G1236,G1253,G1270,G1287)</f>
        <v>76.700476717735242</v>
      </c>
      <c r="H12" s="249">
        <f t="shared" si="13"/>
        <v>51.263938244022221</v>
      </c>
      <c r="I12" s="249">
        <f t="shared" si="13"/>
        <v>4.7266791735280425</v>
      </c>
      <c r="J12" s="249">
        <f t="shared" si="6"/>
        <v>132.69109413528551</v>
      </c>
      <c r="K12" s="238"/>
      <c r="L12" s="249">
        <f t="shared" ref="L12:N12" si="14">SUM(L29,L46,L63,L80,L97,L114,L131,L148,L165,L182,L199,L216,L233,L250,L267,L284,L301,L318,L335,L352,L369,L386,L403,L420,L437,L454,L471,L488,L505,L522,L539,L556,L573,L590,L607,L624,L641,L658,L675,L692,L709,L726,L743,L760,L777,L794,L811,L828,L845,L862,L879,L896,L913,L930,L947,L964,L981,L998,L1015,L1032,L1049,L1066,L1083,L1100,L1117,L1134,L1151,L1168,L1185,L1202,L1219,L1236,L1253,L1270,L1287)</f>
        <v>67.601534741337574</v>
      </c>
      <c r="M12" s="249">
        <f t="shared" si="14"/>
        <v>43.501339017245527</v>
      </c>
      <c r="N12" s="249">
        <f t="shared" si="14"/>
        <v>6.1203270189205483</v>
      </c>
      <c r="O12" s="249">
        <f t="shared" si="8"/>
        <v>117.22320077750365</v>
      </c>
      <c r="T12" s="249"/>
      <c r="V12" s="249"/>
    </row>
    <row r="13" spans="1:23" s="236" customFormat="1" x14ac:dyDescent="0.2">
      <c r="A13" s="237" t="str">
        <f>name!E$8</f>
        <v>Skilled trades occupations</v>
      </c>
      <c r="B13" s="249">
        <f t="shared" ref="B13:D13" si="15">SUM(B30,B47,B64,B81,B98,B115,B132,B149,B166,B183,B200,B217,B234,B251,B268,B285,B302,B319,B336,B353,B370,B387,B404,B421,B438,B455,B472,B489,B506,B523,B540,B557,B574,B591,B608,B625,B642,B659,B676,B693,B710,B727,B744,B761,B778,B795,B812,B829,B846,B863,B880,B897,B914,B931,B948,B965,B982,B999,B1016,B1033,B1050,B1067,B1084,B1101,B1118,B1135,B1152,B1169,B1186,B1203,B1220,B1237,B1254,B1271,B1288)</f>
        <v>88.566473820820903</v>
      </c>
      <c r="C13" s="249">
        <f t="shared" si="15"/>
        <v>10.928168438048274</v>
      </c>
      <c r="D13" s="249">
        <f t="shared" si="15"/>
        <v>31.601590732125018</v>
      </c>
      <c r="E13" s="249">
        <f t="shared" si="4"/>
        <v>131.0962329909942</v>
      </c>
      <c r="F13" s="238"/>
      <c r="G13" s="249">
        <f t="shared" ref="G13:I13" si="16">SUM(G30,G47,G64,G81,G98,G115,G132,G149,G166,G183,G200,G217,G234,G251,G268,G285,G302,G319,G336,G353,G370,G387,G404,G421,G438,G455,G472,G489,G506,G523,G540,G557,G574,G591,G608,G625,G642,G659,G676,G693,G710,G727,G744,G761,G778,G795,G812,G829,G846,G863,G880,G897,G914,G931,G948,G965,G982,G999,G1016,G1033,G1050,G1067,G1084,G1101,G1118,G1135,G1152,G1169,G1186,G1203,G1220,G1237,G1254,G1271,G1288)</f>
        <v>72.388256809060735</v>
      </c>
      <c r="H13" s="249">
        <f t="shared" si="16"/>
        <v>8.935315681242713</v>
      </c>
      <c r="I13" s="249">
        <f t="shared" si="16"/>
        <v>28.718751839728597</v>
      </c>
      <c r="J13" s="249">
        <f t="shared" si="6"/>
        <v>110.04232433003205</v>
      </c>
      <c r="K13" s="238"/>
      <c r="L13" s="249">
        <f t="shared" ref="L13:N13" si="17">SUM(L30,L47,L64,L81,L98,L115,L132,L149,L166,L183,L200,L217,L234,L251,L268,L285,L302,L319,L336,L353,L370,L387,L404,L421,L438,L455,L472,L489,L506,L523,L540,L557,L574,L591,L608,L625,L642,L659,L676,L693,L710,L727,L744,L761,L778,L795,L812,L829,L846,L863,L880,L897,L914,L931,L948,L965,L982,L999,L1016,L1033,L1050,L1067,L1084,L1101,L1118,L1135,L1152,L1169,L1186,L1203,L1220,L1237,L1254,L1271,L1288)</f>
        <v>60.53777743302674</v>
      </c>
      <c r="M13" s="249">
        <f t="shared" si="17"/>
        <v>9.8130308717467472</v>
      </c>
      <c r="N13" s="249">
        <f t="shared" si="17"/>
        <v>29.676555895727915</v>
      </c>
      <c r="O13" s="249">
        <f t="shared" si="8"/>
        <v>100.02736420050141</v>
      </c>
      <c r="T13" s="249"/>
      <c r="V13" s="249"/>
    </row>
    <row r="14" spans="1:23" s="236" customFormat="1" x14ac:dyDescent="0.2">
      <c r="A14" s="237" t="str">
        <f>name!E$9</f>
        <v>Caring, leisure and other service occupations</v>
      </c>
      <c r="B14" s="249">
        <f t="shared" ref="B14:D14" si="18">SUM(B31,B48,B65,B82,B99,B116,B133,B150,B167,B184,B201,B218,B235,B252,B269,B286,B303,B320,B337,B354,B371,B388,B405,B422,B439,B456,B473,B490,B507,B524,B541,B558,B575,B592,B609,B626,B643,B660,B677,B694,B711,B728,B745,B762,B779,B796,B813,B830,B847,B864,B881,B898,B915,B932,B949,B966,B983,B1000,B1017,B1034,B1051,B1068,B1085,B1102,B1119,B1136,B1153,B1170,B1187,B1204,B1221,B1238,B1255,B1272,B1289)</f>
        <v>58.145062282232125</v>
      </c>
      <c r="C14" s="249">
        <f t="shared" si="18"/>
        <v>49.23339826055097</v>
      </c>
      <c r="D14" s="249">
        <f t="shared" si="18"/>
        <v>10.091897763749511</v>
      </c>
      <c r="E14" s="249">
        <f t="shared" si="4"/>
        <v>117.47035830653262</v>
      </c>
      <c r="F14" s="238"/>
      <c r="G14" s="249">
        <f t="shared" ref="G14:I14" si="19">SUM(G31,G48,G65,G82,G99,G116,G133,G150,G167,G184,G201,G218,G235,G252,G269,G286,G303,G320,G337,G354,G371,G388,G405,G422,G439,G456,G473,G490,G507,G524,G541,G558,G575,G592,G609,G626,G643,G660,G677,G694,G711,G728,G745,G762,G779,G796,G813,G830,G847,G864,G881,G898,G915,G932,G949,G966,G983,G1000,G1017,G1034,G1051,G1068,G1085,G1102,G1119,G1136,G1153,G1170,G1187,G1204,G1221,G1238,G1255,G1272,G1289)</f>
        <v>54.619425494335651</v>
      </c>
      <c r="H14" s="249">
        <f t="shared" si="19"/>
        <v>48.471235483663136</v>
      </c>
      <c r="I14" s="249">
        <f t="shared" si="19"/>
        <v>10.344835070867594</v>
      </c>
      <c r="J14" s="249">
        <f t="shared" si="6"/>
        <v>113.43549604886638</v>
      </c>
      <c r="K14" s="238"/>
      <c r="L14" s="249">
        <f t="shared" ref="L14:N14" si="20">SUM(L31,L48,L65,L82,L99,L116,L133,L150,L167,L184,L201,L218,L235,L252,L269,L286,L303,L320,L337,L354,L371,L388,L405,L422,L439,L456,L473,L490,L507,L524,L541,L558,L575,L592,L609,L626,L643,L660,L677,L694,L711,L728,L745,L762,L779,L796,L813,L830,L847,L864,L881,L898,L915,L932,L949,L966,L983,L1000,L1017,L1034,L1051,L1068,L1085,L1102,L1119,L1136,L1153,L1170,L1187,L1204,L1221,L1238,L1255,L1272,L1289)</f>
        <v>61.115916952095752</v>
      </c>
      <c r="M14" s="249">
        <f t="shared" si="20"/>
        <v>52.017961246359178</v>
      </c>
      <c r="N14" s="249">
        <f t="shared" si="20"/>
        <v>11.642739252699723</v>
      </c>
      <c r="O14" s="249">
        <f t="shared" si="8"/>
        <v>124.77661745115466</v>
      </c>
      <c r="T14" s="249"/>
      <c r="V14" s="249"/>
    </row>
    <row r="15" spans="1:23" s="236" customFormat="1" x14ac:dyDescent="0.2">
      <c r="A15" s="237" t="str">
        <f>name!E$10</f>
        <v>Sales and customer service occupations</v>
      </c>
      <c r="B15" s="249">
        <f t="shared" ref="B15:D15" si="21">SUM(B32,B49,B66,B83,B100,B117,B134,B151,B168,B185,B202,B219,B236,B253,B270,B287,B304,B321,B338,B355,B372,B389,B406,B423,B440,B457,B474,B491,B508,B525,B542,B559,B576,B593,B610,B627,B644,B661,B678,B695,B712,B729,B746,B763,B780,B797,B814,B831,B848,B865,B882,B899,B916,B933,B950,B967,B984,B1001,B1018,B1035,B1052,B1069,B1086,B1103,B1120,B1137,B1154,B1171,B1188,B1205,B1222,B1239,B1256,B1273,B1290)</f>
        <v>49.564338851576629</v>
      </c>
      <c r="C15" s="249">
        <f t="shared" si="21"/>
        <v>77.240864059307597</v>
      </c>
      <c r="D15" s="249">
        <f t="shared" si="21"/>
        <v>8.9842015203953807</v>
      </c>
      <c r="E15" s="249">
        <f t="shared" si="4"/>
        <v>135.78940443127959</v>
      </c>
      <c r="F15" s="238"/>
      <c r="G15" s="249">
        <f t="shared" ref="G15:I15" si="22">SUM(G32,G49,G66,G83,G100,G117,G134,G151,G168,G185,G202,G219,G236,G253,G270,G287,G304,G321,G338,G355,G372,G389,G406,G423,G440,G457,G474,G491,G508,G525,G542,G559,G576,G593,G610,G627,G644,G661,G678,G695,G712,G729,G746,G763,G780,G797,G814,G831,G848,G865,G882,G899,G916,G933,G950,G967,G984,G1001,G1018,G1035,G1052,G1069,G1086,G1103,G1120,G1137,G1154,G1171,G1188,G1205,G1222,G1239,G1256,G1273,G1290)</f>
        <v>47.088999910430935</v>
      </c>
      <c r="H15" s="249">
        <f t="shared" si="22"/>
        <v>73.700243160154656</v>
      </c>
      <c r="I15" s="249">
        <f t="shared" si="22"/>
        <v>5.1734806130606037</v>
      </c>
      <c r="J15" s="249">
        <f t="shared" si="6"/>
        <v>125.9627236836462</v>
      </c>
      <c r="K15" s="238"/>
      <c r="L15" s="249">
        <f t="shared" ref="L15:N15" si="23">SUM(L32,L49,L66,L83,L100,L117,L134,L151,L168,L185,L202,L219,L236,L253,L270,L287,L304,L321,L338,L355,L372,L389,L406,L423,L440,L457,L474,L491,L508,L525,L542,L559,L576,L593,L610,L627,L644,L661,L678,L695,L712,L729,L746,L763,L780,L797,L814,L831,L848,L865,L882,L899,L916,L933,L950,L967,L984,L1001,L1018,L1035,L1052,L1069,L1086,L1103,L1120,L1137,L1154,L1171,L1188,L1205,L1222,L1239,L1256,L1273,L1290)</f>
        <v>49.517618451439851</v>
      </c>
      <c r="M15" s="249">
        <f t="shared" si="23"/>
        <v>74.974988609920146</v>
      </c>
      <c r="N15" s="249">
        <f t="shared" si="23"/>
        <v>4.1983956492604042</v>
      </c>
      <c r="O15" s="249">
        <f t="shared" si="8"/>
        <v>128.69100271062038</v>
      </c>
      <c r="T15" s="249"/>
      <c r="V15" s="249"/>
    </row>
    <row r="16" spans="1:23" s="236" customFormat="1" x14ac:dyDescent="0.2">
      <c r="A16" s="237" t="str">
        <f>name!E$11</f>
        <v>Process, plant and machine operatives</v>
      </c>
      <c r="B16" s="249">
        <f t="shared" ref="B16:D16" si="24">SUM(B33,B50,B67,B84,B101,B118,B135,B152,B169,B186,B203,B220,B237,B254,B271,B288,B305,B322,B339,B356,B373,B390,B407,B424,B441,B458,B475,B492,B509,B526,B543,B560,B577,B594,B611,B628,B645,B662,B679,B696,B713,B730,B747,B764,B781,B798,B815,B832,B849,B866,B883,B900,B917,B934,B951,B968,B985,B1002,B1019,B1036,B1053,B1070,B1087,B1104,B1121,B1138,B1155,B1172,B1189,B1206,B1223,B1240,B1257,B1274,B1291)</f>
        <v>65.95010537659266</v>
      </c>
      <c r="C16" s="249">
        <f t="shared" si="24"/>
        <v>9.5280821696858187</v>
      </c>
      <c r="D16" s="249">
        <f t="shared" si="24"/>
        <v>9.3390918645644412</v>
      </c>
      <c r="E16" s="249">
        <f t="shared" si="4"/>
        <v>84.817279410842914</v>
      </c>
      <c r="F16" s="238"/>
      <c r="G16" s="249">
        <f t="shared" ref="G16:I16" si="25">SUM(G33,G50,G67,G84,G101,G118,G135,G152,G169,G186,G203,G220,G237,G254,G271,G288,G305,G322,G339,G356,G373,G390,G407,G424,G441,G458,G475,G492,G509,G526,G543,G560,G577,G594,G611,G628,G645,G662,G679,G696,G713,G730,G747,G764,G781,G798,G815,G832,G849,G866,G883,G900,G917,G934,G951,G968,G985,G1002,G1019,G1036,G1053,G1070,G1087,G1104,G1121,G1138,G1155,G1172,G1189,G1206,G1223,G1240,G1257,G1274,G1291)</f>
        <v>56.974225945115236</v>
      </c>
      <c r="H16" s="249">
        <f t="shared" si="25"/>
        <v>10.061474896271715</v>
      </c>
      <c r="I16" s="249">
        <f t="shared" si="25"/>
        <v>11.598836962608351</v>
      </c>
      <c r="J16" s="249">
        <f t="shared" si="6"/>
        <v>78.6345378039953</v>
      </c>
      <c r="K16" s="238"/>
      <c r="L16" s="249">
        <f t="shared" ref="L16:N16" si="26">SUM(L33,L50,L67,L84,L101,L118,L135,L152,L169,L186,L203,L220,L237,L254,L271,L288,L305,L322,L339,L356,L373,L390,L407,L424,L441,L458,L475,L492,L509,L526,L543,L560,L577,L594,L611,L628,L645,L662,L679,L696,L713,L730,L747,L764,L781,L798,L815,L832,L849,L866,L883,L900,L917,L934,L951,L968,L985,L1002,L1019,L1036,L1053,L1070,L1087,L1104,L1121,L1138,L1155,L1172,L1189,L1206,L1223,L1240,L1257,L1274,L1291)</f>
        <v>54.752582750382963</v>
      </c>
      <c r="M16" s="249">
        <f t="shared" si="26"/>
        <v>12.486895740192731</v>
      </c>
      <c r="N16" s="249">
        <f t="shared" si="26"/>
        <v>13.230448270171387</v>
      </c>
      <c r="O16" s="249">
        <f t="shared" si="8"/>
        <v>80.469926760747086</v>
      </c>
      <c r="T16" s="249"/>
      <c r="V16" s="249"/>
    </row>
    <row r="17" spans="1:15" s="236" customFormat="1" x14ac:dyDescent="0.2">
      <c r="A17" s="237" t="str">
        <f>name!E$12</f>
        <v>Elementary occupations</v>
      </c>
      <c r="B17" s="249">
        <f t="shared" ref="B17:D17" si="27">SUM(B34,B51,B68,B85,B102,B119,B136,B153,B170,B187,B204,B221,B238,B255,B272,B289,B306,B323,B340,B357,B374,B391,B408,B425,B442,B459,B476,B493,B510,B527,B544,B561,B578,B595,B612,B629,B646,B663,B680,B697,B714,B731,B748,B765,B782,B799,B816,B833,B850,B867,B884,B901,B918,B935,B952,B969,B986,B1003,B1020,B1037,B1054,B1071,B1088,B1105,B1122,B1139,B1156,B1173,B1190,B1207,B1224,B1241,B1258,B1275,B1292)</f>
        <v>63.877409482174151</v>
      </c>
      <c r="C17" s="249">
        <f t="shared" si="27"/>
        <v>75.499393084312729</v>
      </c>
      <c r="D17" s="249">
        <f t="shared" si="27"/>
        <v>10.267665139371816</v>
      </c>
      <c r="E17" s="249">
        <f t="shared" si="4"/>
        <v>149.64446770585869</v>
      </c>
      <c r="F17" s="238"/>
      <c r="G17" s="249">
        <f t="shared" ref="G17:I17" si="28">SUM(G34,G51,G68,G85,G102,G119,G136,G153,G170,G187,G204,G221,G238,G255,G272,G289,G306,G323,G340,G357,G374,G391,G408,G425,G442,G459,G476,G493,G510,G527,G544,G561,G578,G595,G612,G629,G646,G663,G680,G697,G714,G731,G748,G765,G782,G799,G816,G833,G850,G867,G884,G901,G918,G935,G952,G969,G986,G1003,G1020,G1037,G1054,G1071,G1088,G1105,G1122,G1139,G1156,G1173,G1190,G1207,G1224,G1241,G1258,G1275,G1292)</f>
        <v>59.127886870604684</v>
      </c>
      <c r="H17" s="249">
        <f t="shared" si="28"/>
        <v>67.240988612693613</v>
      </c>
      <c r="I17" s="249">
        <f t="shared" si="28"/>
        <v>7.4498110125777162</v>
      </c>
      <c r="J17" s="249">
        <f t="shared" si="6"/>
        <v>133.81868649587602</v>
      </c>
      <c r="K17" s="238"/>
      <c r="L17" s="249">
        <f t="shared" ref="L17:N17" si="29">SUM(L34,L51,L68,L85,L102,L119,L136,L153,L170,L187,L204,L221,L238,L255,L272,L289,L306,L323,L340,L357,L374,L391,L408,L425,L442,L459,L476,L493,L510,L527,L544,L561,L578,L595,L612,L629,L646,L663,L680,L697,L714,L731,L748,L765,L782,L799,L816,L833,L850,L867,L884,L901,L918,L935,L952,L969,L986,L1003,L1020,L1037,L1054,L1071,L1088,L1105,L1122,L1139,L1156,L1173,L1190,L1207,L1224,L1241,L1258,L1275,L1292)</f>
        <v>60.097382904069548</v>
      </c>
      <c r="M17" s="249">
        <f t="shared" si="29"/>
        <v>59.753762225674009</v>
      </c>
      <c r="N17" s="249">
        <f t="shared" si="29"/>
        <v>10.202566373166871</v>
      </c>
      <c r="O17" s="249">
        <f t="shared" si="8"/>
        <v>130.05371150291043</v>
      </c>
    </row>
    <row r="18" spans="1:15" s="236" customFormat="1" x14ac:dyDescent="0.2">
      <c r="A18" s="237"/>
      <c r="B18" s="249"/>
      <c r="C18" s="249"/>
      <c r="D18" s="249"/>
      <c r="E18" s="249"/>
      <c r="F18" s="238"/>
      <c r="G18" s="249"/>
      <c r="H18" s="249"/>
      <c r="I18" s="249"/>
      <c r="J18" s="249"/>
      <c r="K18" s="238"/>
      <c r="L18" s="249"/>
      <c r="M18" s="249"/>
      <c r="N18" s="249"/>
      <c r="O18" s="249"/>
    </row>
    <row r="19" spans="1:15" s="236" customFormat="1" x14ac:dyDescent="0.2">
      <c r="A19" s="244" t="s">
        <v>32</v>
      </c>
      <c r="B19" s="247">
        <f>SUM(B9:B17)</f>
        <v>719.35399999889557</v>
      </c>
      <c r="C19" s="247">
        <f t="shared" ref="C19:O19" si="30">SUM(C9:C17)</f>
        <v>352.05200000243349</v>
      </c>
      <c r="D19" s="247">
        <f t="shared" si="30"/>
        <v>136.29700000032369</v>
      </c>
      <c r="E19" s="247">
        <f t="shared" si="30"/>
        <v>1207.7030000016528</v>
      </c>
      <c r="F19" s="247"/>
      <c r="G19" s="247">
        <f t="shared" si="30"/>
        <v>716.35200000030272</v>
      </c>
      <c r="H19" s="247">
        <f t="shared" si="30"/>
        <v>353.20400000016735</v>
      </c>
      <c r="I19" s="247">
        <f t="shared" si="30"/>
        <v>119.78299999982013</v>
      </c>
      <c r="J19" s="247">
        <f t="shared" si="30"/>
        <v>1189.3390000002901</v>
      </c>
      <c r="K19" s="247"/>
      <c r="L19" s="247">
        <f t="shared" si="30"/>
        <v>757.66300000076035</v>
      </c>
      <c r="M19" s="247">
        <f t="shared" si="30"/>
        <v>367.06099999927613</v>
      </c>
      <c r="N19" s="247">
        <f t="shared" si="30"/>
        <v>126.27300000017674</v>
      </c>
      <c r="O19" s="247">
        <f t="shared" si="30"/>
        <v>1250.9970000002131</v>
      </c>
    </row>
    <row r="20" spans="1:15" s="236" customFormat="1" x14ac:dyDescent="0.2">
      <c r="A20" s="237"/>
      <c r="B20" s="238"/>
      <c r="C20" s="238"/>
      <c r="D20" s="238"/>
      <c r="E20" s="238"/>
      <c r="F20" s="238"/>
      <c r="G20" s="238"/>
      <c r="H20" s="238"/>
      <c r="I20" s="238"/>
      <c r="J20" s="238"/>
      <c r="K20" s="238"/>
      <c r="L20" s="238"/>
      <c r="M20" s="238"/>
      <c r="N20" s="239"/>
    </row>
    <row r="21" spans="1:15" s="236" customFormat="1" x14ac:dyDescent="0.2">
      <c r="A21" s="237"/>
      <c r="B21" s="237"/>
      <c r="C21" s="237"/>
      <c r="D21" s="237"/>
      <c r="E21" s="237"/>
      <c r="F21" s="237"/>
      <c r="G21" s="237"/>
      <c r="H21" s="237"/>
      <c r="I21" s="237"/>
      <c r="J21" s="237"/>
      <c r="K21" s="237"/>
      <c r="L21" s="237"/>
      <c r="M21" s="237"/>
      <c r="N21" s="240"/>
      <c r="O21" s="251" t="s">
        <v>35</v>
      </c>
    </row>
    <row r="22" spans="1:15" s="236" customFormat="1" x14ac:dyDescent="0.2">
      <c r="A22" s="242"/>
      <c r="B22" s="242"/>
      <c r="C22" s="242"/>
      <c r="D22" s="242"/>
      <c r="E22" s="242"/>
      <c r="F22" s="242"/>
      <c r="G22" s="242"/>
      <c r="H22" s="242"/>
      <c r="I22" s="242"/>
      <c r="J22" s="242"/>
      <c r="K22" s="242"/>
      <c r="L22" s="242"/>
      <c r="M22" s="242"/>
      <c r="N22" s="242"/>
      <c r="O22" s="242"/>
    </row>
    <row r="23" spans="1:15" s="236" customFormat="1" x14ac:dyDescent="0.2">
      <c r="A23" s="241" t="str">
        <f>name!A4</f>
        <v>Agriculture, etc</v>
      </c>
      <c r="B23" s="374">
        <f>$B$6</f>
        <v>2015</v>
      </c>
      <c r="C23" s="374"/>
      <c r="D23" s="374"/>
      <c r="E23" s="374"/>
      <c r="F23" s="263"/>
      <c r="G23" s="374">
        <f>$G$6</f>
        <v>2020</v>
      </c>
      <c r="H23" s="374"/>
      <c r="I23" s="374"/>
      <c r="J23" s="374"/>
      <c r="K23" s="263"/>
      <c r="L23" s="374">
        <f>$L$6</f>
        <v>2035</v>
      </c>
      <c r="M23" s="374"/>
      <c r="N23" s="374"/>
      <c r="O23" s="374"/>
    </row>
    <row r="24" spans="1:15" s="236" customFormat="1" x14ac:dyDescent="0.2">
      <c r="A24" s="254"/>
      <c r="B24" s="268" t="str">
        <f>$B$7</f>
        <v>FT</v>
      </c>
      <c r="C24" s="268" t="str">
        <f>$C$7</f>
        <v>PT</v>
      </c>
      <c r="D24" s="268" t="str">
        <f>$D$7</f>
        <v>SE</v>
      </c>
      <c r="E24" s="268" t="str">
        <f>$E$7</f>
        <v>Total</v>
      </c>
      <c r="F24" s="268"/>
      <c r="G24" s="268" t="str">
        <f>$G$7</f>
        <v>FT</v>
      </c>
      <c r="H24" s="268" t="str">
        <f>$H$7</f>
        <v>PT</v>
      </c>
      <c r="I24" s="268" t="str">
        <f>$I$7</f>
        <v>SE</v>
      </c>
      <c r="J24" s="268" t="str">
        <f>$J$7</f>
        <v>Total</v>
      </c>
      <c r="K24" s="268"/>
      <c r="L24" s="268" t="str">
        <f>$L$7</f>
        <v>FT</v>
      </c>
      <c r="M24" s="268" t="str">
        <f>$M$7</f>
        <v>PT</v>
      </c>
      <c r="N24" s="268" t="str">
        <f>$N$7</f>
        <v>SE</v>
      </c>
      <c r="O24" s="268" t="str">
        <f>$O$7</f>
        <v>Total</v>
      </c>
    </row>
    <row r="25" spans="1:15" s="236" customFormat="1" x14ac:dyDescent="0.2">
      <c r="A25" s="258"/>
      <c r="B25" s="239"/>
      <c r="C25" s="239"/>
      <c r="D25" s="239"/>
      <c r="E25" s="239"/>
      <c r="F25" s="239"/>
      <c r="G25" s="239"/>
      <c r="H25" s="239"/>
      <c r="I25" s="239"/>
      <c r="J25" s="239"/>
      <c r="K25" s="239"/>
      <c r="L25" s="239"/>
      <c r="M25" s="239"/>
      <c r="N25" s="239"/>
      <c r="O25" s="239"/>
    </row>
    <row r="26" spans="1:15" s="236" customFormat="1" x14ac:dyDescent="0.2">
      <c r="A26" s="237" t="str">
        <f>name!E$4</f>
        <v>Managers, directors and senior officials</v>
      </c>
      <c r="B26" s="302">
        <v>0.44172725238178306</v>
      </c>
      <c r="C26" s="302">
        <v>5.4091758163773263E-2</v>
      </c>
      <c r="D26" s="302">
        <v>5.1897209038905226E-2</v>
      </c>
      <c r="E26" s="302">
        <f>SUM(B26:D26)</f>
        <v>0.54771621958446159</v>
      </c>
      <c r="F26" s="303"/>
      <c r="G26" s="302">
        <v>0.21018023407953018</v>
      </c>
      <c r="H26" s="302">
        <v>5.15402382529692E-3</v>
      </c>
      <c r="I26" s="302">
        <v>0.11434478575383179</v>
      </c>
      <c r="J26" s="302">
        <f>SUM(G26:I26)</f>
        <v>0.32967904365865891</v>
      </c>
      <c r="K26" s="303"/>
      <c r="L26" s="302">
        <v>0.36771839941582618</v>
      </c>
      <c r="M26" s="302">
        <v>5.4895703087411594E-3</v>
      </c>
      <c r="N26" s="302">
        <v>0.11141139480775455</v>
      </c>
      <c r="O26" s="302">
        <f>SUM(L26:N26)</f>
        <v>0.48461936453232191</v>
      </c>
    </row>
    <row r="27" spans="1:15" s="236" customFormat="1" x14ac:dyDescent="0.2">
      <c r="A27" s="237" t="str">
        <f>name!E$5</f>
        <v>Professional occupations</v>
      </c>
      <c r="B27" s="302">
        <v>0.1576233680817028</v>
      </c>
      <c r="C27" s="302">
        <v>5.1614506788358688E-2</v>
      </c>
      <c r="D27" s="302">
        <v>1.7232157844368146E-2</v>
      </c>
      <c r="E27" s="302">
        <f t="shared" ref="E27:E34" si="31">SUM(B27:D27)</f>
        <v>0.22647003271442964</v>
      </c>
      <c r="F27" s="303"/>
      <c r="G27" s="302">
        <v>9.3421282007303916E-2</v>
      </c>
      <c r="H27" s="302">
        <v>6.6254556451952008E-3</v>
      </c>
      <c r="I27" s="302">
        <v>2.8706080424836772E-2</v>
      </c>
      <c r="J27" s="302">
        <f t="shared" ref="J27:J34" si="32">SUM(G27:I27)</f>
        <v>0.12875281807733591</v>
      </c>
      <c r="K27" s="303"/>
      <c r="L27" s="302">
        <v>0.13532951152202391</v>
      </c>
      <c r="M27" s="302">
        <v>7.1090057605021784E-3</v>
      </c>
      <c r="N27" s="302">
        <v>3.9085629164260775E-2</v>
      </c>
      <c r="O27" s="302">
        <f t="shared" ref="O27:O34" si="33">SUM(L27:N27)</f>
        <v>0.18152414644678688</v>
      </c>
    </row>
    <row r="28" spans="1:15" s="236" customFormat="1" x14ac:dyDescent="0.2">
      <c r="A28" s="237" t="str">
        <f>name!E$6</f>
        <v>Associate professional occupations</v>
      </c>
      <c r="B28" s="302">
        <v>0.10261152823057049</v>
      </c>
      <c r="C28" s="302">
        <v>4.7030112441325371E-2</v>
      </c>
      <c r="D28" s="302">
        <v>1.1963764941689365E-2</v>
      </c>
      <c r="E28" s="302">
        <f t="shared" si="31"/>
        <v>0.16160540561358522</v>
      </c>
      <c r="F28" s="303"/>
      <c r="G28" s="302">
        <v>5.6158038474222439E-2</v>
      </c>
      <c r="H28" s="302">
        <v>5.8503375478815853E-3</v>
      </c>
      <c r="I28" s="302">
        <v>2.0224781001701508E-2</v>
      </c>
      <c r="J28" s="302">
        <f t="shared" si="32"/>
        <v>8.2233157023805528E-2</v>
      </c>
      <c r="K28" s="303"/>
      <c r="L28" s="302">
        <v>4.9610007684641313E-2</v>
      </c>
      <c r="M28" s="302">
        <v>4.7830934760784843E-3</v>
      </c>
      <c r="N28" s="302">
        <v>3.0840743517957323E-2</v>
      </c>
      <c r="O28" s="302">
        <f t="shared" si="33"/>
        <v>8.5233844678677118E-2</v>
      </c>
    </row>
    <row r="29" spans="1:15" s="236" customFormat="1" x14ac:dyDescent="0.2">
      <c r="A29" s="237" t="str">
        <f>name!E$7</f>
        <v>Administrative and secretarial occupations</v>
      </c>
      <c r="B29" s="302">
        <v>5.8881238101591619E-2</v>
      </c>
      <c r="C29" s="302">
        <v>0.10617261546451716</v>
      </c>
      <c r="D29" s="302">
        <v>3.5195111984662555E-3</v>
      </c>
      <c r="E29" s="302">
        <f t="shared" si="31"/>
        <v>0.16857336476457502</v>
      </c>
      <c r="F29" s="303"/>
      <c r="G29" s="302">
        <v>3.8195284407128771E-2</v>
      </c>
      <c r="H29" s="302">
        <v>1.6789801824643572E-2</v>
      </c>
      <c r="I29" s="302">
        <v>2.9321581840457162E-2</v>
      </c>
      <c r="J29" s="302">
        <f t="shared" si="32"/>
        <v>8.4306668072229501E-2</v>
      </c>
      <c r="K29" s="303"/>
      <c r="L29" s="302">
        <v>4.2090291675896549E-2</v>
      </c>
      <c r="M29" s="302">
        <v>9.1511084646859735E-3</v>
      </c>
      <c r="N29" s="302">
        <v>1.4855433556952392E-2</v>
      </c>
      <c r="O29" s="302">
        <f t="shared" si="33"/>
        <v>6.6096833697534912E-2</v>
      </c>
    </row>
    <row r="30" spans="1:15" s="236" customFormat="1" x14ac:dyDescent="0.2">
      <c r="A30" s="237" t="str">
        <f>name!E$8</f>
        <v>Skilled trades occupations</v>
      </c>
      <c r="B30" s="302">
        <v>2.2127992561539309</v>
      </c>
      <c r="C30" s="302">
        <v>0.28068226367572385</v>
      </c>
      <c r="D30" s="302">
        <v>2.6400813104384002</v>
      </c>
      <c r="E30" s="302">
        <f t="shared" si="31"/>
        <v>5.1335628302680547</v>
      </c>
      <c r="F30" s="303"/>
      <c r="G30" s="302">
        <v>0.8786493578319452</v>
      </c>
      <c r="H30" s="302">
        <v>1.062314531046666E-2</v>
      </c>
      <c r="I30" s="302">
        <v>3.3269517528811239</v>
      </c>
      <c r="J30" s="302">
        <f>SUM(G30:I30)</f>
        <v>4.2162242560235361</v>
      </c>
      <c r="K30" s="303"/>
      <c r="L30" s="302">
        <v>1.072113020654283</v>
      </c>
      <c r="M30" s="302">
        <v>1.478471740147066E-2</v>
      </c>
      <c r="N30" s="302">
        <v>3.2540406947806626</v>
      </c>
      <c r="O30" s="302">
        <f t="shared" si="33"/>
        <v>4.340938432836416</v>
      </c>
    </row>
    <row r="31" spans="1:15" s="236" customFormat="1" x14ac:dyDescent="0.2">
      <c r="A31" s="237" t="str">
        <f>name!E$9</f>
        <v>Caring, leisure and other service occupations</v>
      </c>
      <c r="B31" s="302">
        <v>7.8080771538339255E-2</v>
      </c>
      <c r="C31" s="302">
        <v>3.1693961804162785E-2</v>
      </c>
      <c r="D31" s="302">
        <v>4.10036955015501E-2</v>
      </c>
      <c r="E31" s="302">
        <f t="shared" si="31"/>
        <v>0.15077842884405213</v>
      </c>
      <c r="F31" s="303"/>
      <c r="G31" s="302">
        <v>4.7260789816389211E-2</v>
      </c>
      <c r="H31" s="302">
        <v>9.3325973872792276E-3</v>
      </c>
      <c r="I31" s="302">
        <v>5.1785389961138115E-2</v>
      </c>
      <c r="J31" s="302">
        <f t="shared" si="32"/>
        <v>0.10837877716480655</v>
      </c>
      <c r="K31" s="303"/>
      <c r="L31" s="302">
        <v>4.4618011597782198E-2</v>
      </c>
      <c r="M31" s="302">
        <v>8.1525816759878741E-3</v>
      </c>
      <c r="N31" s="302">
        <v>6.1439844730821376E-2</v>
      </c>
      <c r="O31" s="302">
        <f t="shared" si="33"/>
        <v>0.11421043800459145</v>
      </c>
    </row>
    <row r="32" spans="1:15" s="236" customFormat="1" x14ac:dyDescent="0.2">
      <c r="A32" s="237" t="str">
        <f>name!E$10</f>
        <v>Sales and customer service occupations</v>
      </c>
      <c r="B32" s="302">
        <v>6.1968042895158129E-2</v>
      </c>
      <c r="C32" s="302">
        <v>5.743390963283259E-2</v>
      </c>
      <c r="D32" s="302">
        <v>1.7363612295557069E-2</v>
      </c>
      <c r="E32" s="302">
        <f t="shared" si="31"/>
        <v>0.13676556482354779</v>
      </c>
      <c r="F32" s="303"/>
      <c r="G32" s="302">
        <v>2.855517663651258E-2</v>
      </c>
      <c r="H32" s="302">
        <v>6.0602609016281068E-3</v>
      </c>
      <c r="I32" s="302">
        <v>2.7223794370625012E-2</v>
      </c>
      <c r="J32" s="302">
        <f t="shared" si="32"/>
        <v>6.1839231908765696E-2</v>
      </c>
      <c r="K32" s="303"/>
      <c r="L32" s="302">
        <v>3.7865201811660143E-2</v>
      </c>
      <c r="M32" s="302">
        <v>5.7075066178793746E-3</v>
      </c>
      <c r="N32" s="302">
        <v>1.8365793276952307E-2</v>
      </c>
      <c r="O32" s="302">
        <f t="shared" si="33"/>
        <v>6.1938501706491823E-2</v>
      </c>
    </row>
    <row r="33" spans="1:15" s="236" customFormat="1" x14ac:dyDescent="0.2">
      <c r="A33" s="237" t="str">
        <f>name!E$11</f>
        <v>Process, plant and machine operatives</v>
      </c>
      <c r="B33" s="302">
        <v>0.12222345484216797</v>
      </c>
      <c r="C33" s="302">
        <v>0.10239288844653376</v>
      </c>
      <c r="D33" s="302">
        <v>3.1275439524347109E-2</v>
      </c>
      <c r="E33" s="302">
        <f t="shared" si="31"/>
        <v>0.25589178281304881</v>
      </c>
      <c r="F33" s="303"/>
      <c r="G33" s="302">
        <v>4.162768059551461E-2</v>
      </c>
      <c r="H33" s="302">
        <v>4.368026650830332E-3</v>
      </c>
      <c r="I33" s="302">
        <v>3.1338299826163013E-2</v>
      </c>
      <c r="J33" s="302">
        <f t="shared" si="32"/>
        <v>7.7334007072507954E-2</v>
      </c>
      <c r="K33" s="303"/>
      <c r="L33" s="302">
        <v>1.4671619724438286E-2</v>
      </c>
      <c r="M33" s="302">
        <v>1.0920770418944343E-2</v>
      </c>
      <c r="N33" s="302">
        <v>6.6686588286001575E-2</v>
      </c>
      <c r="O33" s="302">
        <f t="shared" si="33"/>
        <v>9.2278978429384206E-2</v>
      </c>
    </row>
    <row r="34" spans="1:15" s="236" customFormat="1" x14ac:dyDescent="0.2">
      <c r="A34" s="237" t="str">
        <f>name!E$12</f>
        <v>Elementary occupations</v>
      </c>
      <c r="B34" s="302">
        <v>0.32508508778926043</v>
      </c>
      <c r="C34" s="302">
        <v>0.17888798358756103</v>
      </c>
      <c r="D34" s="302">
        <v>0.27766329922992034</v>
      </c>
      <c r="E34" s="302">
        <f t="shared" si="31"/>
        <v>0.78163637060674174</v>
      </c>
      <c r="F34" s="303"/>
      <c r="G34" s="302">
        <v>0.11895215615130653</v>
      </c>
      <c r="H34" s="302">
        <v>2.2196350906973552E-2</v>
      </c>
      <c r="I34" s="302">
        <v>0.22110353384137471</v>
      </c>
      <c r="J34" s="302">
        <f t="shared" si="32"/>
        <v>0.36225204089965479</v>
      </c>
      <c r="K34" s="303"/>
      <c r="L34" s="302">
        <v>2.5983935899616901E-2</v>
      </c>
      <c r="M34" s="302">
        <v>2.1901645875375693E-2</v>
      </c>
      <c r="N34" s="302">
        <v>0.32527387779259664</v>
      </c>
      <c r="O34" s="302">
        <f t="shared" si="33"/>
        <v>0.37315945956758922</v>
      </c>
    </row>
    <row r="35" spans="1:15" s="236" customFormat="1" x14ac:dyDescent="0.2">
      <c r="A35" s="237"/>
      <c r="B35" s="302"/>
      <c r="C35" s="302"/>
      <c r="D35" s="302"/>
      <c r="E35" s="302"/>
      <c r="F35" s="303"/>
      <c r="G35" s="302"/>
      <c r="H35" s="302"/>
      <c r="I35" s="302"/>
      <c r="J35" s="302"/>
      <c r="K35" s="303"/>
      <c r="L35" s="302"/>
      <c r="M35" s="302"/>
      <c r="N35" s="302"/>
      <c r="O35" s="302"/>
    </row>
    <row r="36" spans="1:15" s="236" customFormat="1" x14ac:dyDescent="0.2">
      <c r="A36" s="244" t="s">
        <v>32</v>
      </c>
      <c r="B36" s="311">
        <f>SUM(B26:B34)</f>
        <v>3.5610000000145048</v>
      </c>
      <c r="C36" s="311">
        <f t="shared" ref="C36:O36" si="34">SUM(C26:C34)</f>
        <v>0.91000000000478853</v>
      </c>
      <c r="D36" s="311">
        <f t="shared" si="34"/>
        <v>3.0920000000132037</v>
      </c>
      <c r="E36" s="311">
        <f t="shared" si="34"/>
        <v>7.5630000000324964</v>
      </c>
      <c r="F36" s="311"/>
      <c r="G36" s="311">
        <f t="shared" si="34"/>
        <v>1.5129999999998536</v>
      </c>
      <c r="H36" s="311">
        <f t="shared" si="34"/>
        <v>8.7000000000195157E-2</v>
      </c>
      <c r="I36" s="311">
        <f t="shared" si="34"/>
        <v>3.8509999999012523</v>
      </c>
      <c r="J36" s="311">
        <f t="shared" si="34"/>
        <v>5.4509999999013017</v>
      </c>
      <c r="K36" s="311"/>
      <c r="L36" s="311">
        <f t="shared" si="34"/>
        <v>1.7899999999861684</v>
      </c>
      <c r="M36" s="311">
        <f t="shared" si="34"/>
        <v>8.7999999999665734E-2</v>
      </c>
      <c r="N36" s="311">
        <f t="shared" si="34"/>
        <v>3.9219999999139592</v>
      </c>
      <c r="O36" s="311">
        <f t="shared" si="34"/>
        <v>5.7999999998997938</v>
      </c>
    </row>
    <row r="37" spans="1:15" s="236" customFormat="1" x14ac:dyDescent="0.2">
      <c r="A37" s="237"/>
      <c r="B37" s="237"/>
      <c r="C37" s="237"/>
      <c r="D37" s="237"/>
      <c r="E37" s="237"/>
      <c r="F37" s="237"/>
      <c r="G37" s="237"/>
      <c r="H37" s="237"/>
      <c r="I37" s="237"/>
      <c r="J37" s="237"/>
      <c r="K37" s="237"/>
      <c r="L37" s="237"/>
      <c r="M37" s="237"/>
      <c r="N37" s="240"/>
    </row>
    <row r="38" spans="1:15" s="236" customFormat="1" x14ac:dyDescent="0.2">
      <c r="A38" s="237"/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37"/>
      <c r="M38" s="237"/>
      <c r="N38" s="240"/>
      <c r="O38" s="251" t="s">
        <v>35</v>
      </c>
    </row>
    <row r="39" spans="1:15" s="236" customFormat="1" x14ac:dyDescent="0.2">
      <c r="A39" s="242"/>
      <c r="B39" s="242"/>
      <c r="C39" s="242"/>
      <c r="D39" s="242"/>
      <c r="E39" s="242"/>
      <c r="F39" s="242"/>
      <c r="G39" s="242"/>
      <c r="H39" s="242"/>
      <c r="I39" s="242"/>
      <c r="J39" s="242"/>
      <c r="K39" s="242"/>
      <c r="L39" s="242"/>
      <c r="M39" s="242"/>
      <c r="N39" s="242"/>
      <c r="O39" s="242"/>
    </row>
    <row r="40" spans="1:15" s="236" customFormat="1" x14ac:dyDescent="0.2">
      <c r="A40" s="241" t="str">
        <f>name!A5</f>
        <v>Coal, oil &amp; gas; Mining &amp; related</v>
      </c>
      <c r="B40" s="374">
        <f>$B$6</f>
        <v>2015</v>
      </c>
      <c r="C40" s="374"/>
      <c r="D40" s="374"/>
      <c r="E40" s="374"/>
      <c r="F40" s="263"/>
      <c r="G40" s="374">
        <f>$G$6</f>
        <v>2020</v>
      </c>
      <c r="H40" s="374"/>
      <c r="I40" s="374"/>
      <c r="J40" s="374"/>
      <c r="K40" s="263"/>
      <c r="L40" s="374">
        <f>$L$6</f>
        <v>2035</v>
      </c>
      <c r="M40" s="374"/>
      <c r="N40" s="374"/>
      <c r="O40" s="374"/>
    </row>
    <row r="41" spans="1:15" s="236" customFormat="1" x14ac:dyDescent="0.2">
      <c r="A41" s="254"/>
      <c r="B41" s="268" t="str">
        <f>$B$7</f>
        <v>FT</v>
      </c>
      <c r="C41" s="268" t="str">
        <f>$C$7</f>
        <v>PT</v>
      </c>
      <c r="D41" s="268" t="str">
        <f>$D$7</f>
        <v>SE</v>
      </c>
      <c r="E41" s="268" t="str">
        <f>$E$7</f>
        <v>Total</v>
      </c>
      <c r="F41" s="268"/>
      <c r="G41" s="268" t="str">
        <f>$G$7</f>
        <v>FT</v>
      </c>
      <c r="H41" s="268" t="str">
        <f>$H$7</f>
        <v>PT</v>
      </c>
      <c r="I41" s="268" t="str">
        <f>$I$7</f>
        <v>SE</v>
      </c>
      <c r="J41" s="268" t="str">
        <f>$J$7</f>
        <v>Total</v>
      </c>
      <c r="K41" s="268"/>
      <c r="L41" s="268" t="str">
        <f>$L$7</f>
        <v>FT</v>
      </c>
      <c r="M41" s="268" t="str">
        <f>$M$7</f>
        <v>PT</v>
      </c>
      <c r="N41" s="268" t="str">
        <f>$N$7</f>
        <v>SE</v>
      </c>
      <c r="O41" s="268" t="str">
        <f>$O$7</f>
        <v>Total</v>
      </c>
    </row>
    <row r="42" spans="1:15" s="236" customFormat="1" x14ac:dyDescent="0.2">
      <c r="A42" s="258"/>
      <c r="B42" s="239"/>
      <c r="C42" s="239"/>
      <c r="D42" s="239"/>
      <c r="E42" s="239"/>
      <c r="F42" s="239"/>
      <c r="G42" s="239"/>
      <c r="H42" s="239"/>
      <c r="I42" s="239"/>
      <c r="J42" s="239"/>
      <c r="K42" s="239"/>
      <c r="L42" s="239"/>
      <c r="M42" s="239"/>
      <c r="N42" s="239"/>
      <c r="O42" s="239"/>
    </row>
    <row r="43" spans="1:15" s="236" customFormat="1" x14ac:dyDescent="0.2">
      <c r="A43" s="237" t="str">
        <f>name!E$4</f>
        <v>Managers, directors and senior officials</v>
      </c>
      <c r="B43" s="302">
        <v>0.18244419304293033</v>
      </c>
      <c r="C43" s="302">
        <v>8.7437414947612302E-4</v>
      </c>
      <c r="D43" s="302">
        <v>1.8313400786939936E-4</v>
      </c>
      <c r="E43" s="302">
        <f>SUM(B43:D43)</f>
        <v>0.18350170120027584</v>
      </c>
      <c r="F43" s="303"/>
      <c r="G43" s="302">
        <v>0.16462790552005832</v>
      </c>
      <c r="H43" s="302">
        <v>8.6242760502406746E-3</v>
      </c>
      <c r="I43" s="302">
        <v>0</v>
      </c>
      <c r="J43" s="302">
        <f>SUM(G43:I43)</f>
        <v>0.17325218157029901</v>
      </c>
      <c r="K43" s="303"/>
      <c r="L43" s="302">
        <v>0.15863904570157655</v>
      </c>
      <c r="M43" s="302">
        <v>8.1184436775569892E-3</v>
      </c>
      <c r="N43" s="302">
        <v>0</v>
      </c>
      <c r="O43" s="302">
        <f>SUM(L43:N43)</f>
        <v>0.16675748937913354</v>
      </c>
    </row>
    <row r="44" spans="1:15" s="236" customFormat="1" x14ac:dyDescent="0.2">
      <c r="A44" s="237" t="str">
        <f>name!E$5</f>
        <v>Professional occupations</v>
      </c>
      <c r="B44" s="302">
        <v>0.24461022941187646</v>
      </c>
      <c r="C44" s="302">
        <v>3.2490924626823025E-3</v>
      </c>
      <c r="D44" s="302">
        <v>9.4738504027325844E-5</v>
      </c>
      <c r="E44" s="302">
        <f t="shared" ref="E44:E51" si="35">SUM(B44:D44)</f>
        <v>0.24795406037858608</v>
      </c>
      <c r="F44" s="303"/>
      <c r="G44" s="302">
        <v>0.24961369243227488</v>
      </c>
      <c r="H44" s="302">
        <v>1.9918536784400837E-2</v>
      </c>
      <c r="I44" s="302">
        <v>0</v>
      </c>
      <c r="J44" s="302">
        <f t="shared" ref="J44:J46" si="36">SUM(G44:I44)</f>
        <v>0.26953222921667574</v>
      </c>
      <c r="K44" s="303"/>
      <c r="L44" s="302">
        <v>0.25149046917727502</v>
      </c>
      <c r="M44" s="302">
        <v>1.7947903004506983E-2</v>
      </c>
      <c r="N44" s="302">
        <v>0</v>
      </c>
      <c r="O44" s="302">
        <f t="shared" ref="O44:O51" si="37">SUM(L44:N44)</f>
        <v>0.26943837218178202</v>
      </c>
    </row>
    <row r="45" spans="1:15" s="236" customFormat="1" x14ac:dyDescent="0.2">
      <c r="A45" s="237" t="str">
        <f>name!E$6</f>
        <v>Associate professional occupations</v>
      </c>
      <c r="B45" s="302">
        <v>0.3521893681008138</v>
      </c>
      <c r="C45" s="302">
        <v>2.3761051959593073E-3</v>
      </c>
      <c r="D45" s="302">
        <v>1.3990890140498375E-4</v>
      </c>
      <c r="E45" s="302">
        <f t="shared" si="35"/>
        <v>0.3547053821981781</v>
      </c>
      <c r="F45" s="303"/>
      <c r="G45" s="302">
        <v>0.32439332203508553</v>
      </c>
      <c r="H45" s="302">
        <v>1.1632397953974347E-2</v>
      </c>
      <c r="I45" s="302">
        <v>0</v>
      </c>
      <c r="J45" s="302">
        <f t="shared" si="36"/>
        <v>0.33602571998905989</v>
      </c>
      <c r="K45" s="303"/>
      <c r="L45" s="302">
        <v>0.22923930015561525</v>
      </c>
      <c r="M45" s="302">
        <v>8.4228078403989284E-3</v>
      </c>
      <c r="N45" s="302">
        <v>0</v>
      </c>
      <c r="O45" s="302">
        <f t="shared" si="37"/>
        <v>0.23766210799601417</v>
      </c>
    </row>
    <row r="46" spans="1:15" s="236" customFormat="1" x14ac:dyDescent="0.2">
      <c r="A46" s="237" t="str">
        <f>name!E$7</f>
        <v>Administrative and secretarial occupations</v>
      </c>
      <c r="B46" s="302">
        <v>8.8313257081627197E-2</v>
      </c>
      <c r="C46" s="302">
        <v>1.3067042802953146E-2</v>
      </c>
      <c r="D46" s="302">
        <v>3.512539366750408E-4</v>
      </c>
      <c r="E46" s="302">
        <f t="shared" si="35"/>
        <v>0.10173155382125539</v>
      </c>
      <c r="F46" s="303"/>
      <c r="G46" s="302">
        <v>0.1236832958418162</v>
      </c>
      <c r="H46" s="302">
        <v>3.0318195421198162E-2</v>
      </c>
      <c r="I46" s="302">
        <v>0</v>
      </c>
      <c r="J46" s="302">
        <f t="shared" si="36"/>
        <v>0.15400149126301435</v>
      </c>
      <c r="K46" s="303"/>
      <c r="L46" s="302">
        <v>4.070038002760925E-2</v>
      </c>
      <c r="M46" s="302">
        <v>2.2113202724930808E-2</v>
      </c>
      <c r="N46" s="302">
        <v>0</v>
      </c>
      <c r="O46" s="302">
        <f t="shared" si="37"/>
        <v>6.2813582752540065E-2</v>
      </c>
    </row>
    <row r="47" spans="1:15" s="236" customFormat="1" x14ac:dyDescent="0.2">
      <c r="A47" s="237" t="str">
        <f>name!E$8</f>
        <v>Skilled trades occupations</v>
      </c>
      <c r="B47" s="302">
        <v>0.5311696032474077</v>
      </c>
      <c r="C47" s="302">
        <v>1.9842375108895098E-3</v>
      </c>
      <c r="D47" s="302">
        <v>2.0082763917334872E-5</v>
      </c>
      <c r="E47" s="302">
        <f t="shared" si="35"/>
        <v>0.53317392352221449</v>
      </c>
      <c r="F47" s="303"/>
      <c r="G47" s="302">
        <v>0.32357373485241414</v>
      </c>
      <c r="H47" s="302">
        <v>7.9691521259658196E-3</v>
      </c>
      <c r="I47" s="302">
        <v>0</v>
      </c>
      <c r="J47" s="302">
        <f>SUM(G47:I47)</f>
        <v>0.33154288697837997</v>
      </c>
      <c r="K47" s="303"/>
      <c r="L47" s="302">
        <v>0.16894536808670246</v>
      </c>
      <c r="M47" s="302">
        <v>1.1536884325168506E-2</v>
      </c>
      <c r="N47" s="302">
        <v>0</v>
      </c>
      <c r="O47" s="302">
        <f t="shared" si="37"/>
        <v>0.18048225241187096</v>
      </c>
    </row>
    <row r="48" spans="1:15" s="236" customFormat="1" x14ac:dyDescent="0.2">
      <c r="A48" s="237" t="str">
        <f>name!E$9</f>
        <v>Caring, leisure and other service occupations</v>
      </c>
      <c r="B48" s="302">
        <v>4.1589617401503826E-2</v>
      </c>
      <c r="C48" s="302">
        <v>5.1650617154190255E-3</v>
      </c>
      <c r="D48" s="302">
        <v>4.6139134728007694E-5</v>
      </c>
      <c r="E48" s="302">
        <f t="shared" si="35"/>
        <v>4.6800818251650861E-2</v>
      </c>
      <c r="F48" s="303"/>
      <c r="G48" s="302">
        <v>3.6804516426131847E-2</v>
      </c>
      <c r="H48" s="302">
        <v>1.5936520794863598E-2</v>
      </c>
      <c r="I48" s="302">
        <v>0</v>
      </c>
      <c r="J48" s="302">
        <f t="shared" ref="J48:J51" si="38">SUM(G48:I48)</f>
        <v>5.2741037220995449E-2</v>
      </c>
      <c r="K48" s="303"/>
      <c r="L48" s="302">
        <v>3.7456100682884928E-2</v>
      </c>
      <c r="M48" s="302">
        <v>1.3612177093913417E-2</v>
      </c>
      <c r="N48" s="302">
        <v>0</v>
      </c>
      <c r="O48" s="302">
        <f t="shared" si="37"/>
        <v>5.1068277776798343E-2</v>
      </c>
    </row>
    <row r="49" spans="1:15" s="236" customFormat="1" x14ac:dyDescent="0.2">
      <c r="A49" s="237" t="str">
        <f>name!E$10</f>
        <v>Sales and customer service occupations</v>
      </c>
      <c r="B49" s="302">
        <v>3.5202228732476165E-2</v>
      </c>
      <c r="C49" s="302">
        <v>1.0482387977325498E-2</v>
      </c>
      <c r="D49" s="302">
        <v>7.6651422997754332E-5</v>
      </c>
      <c r="E49" s="302">
        <f t="shared" si="35"/>
        <v>4.5761268132799411E-2</v>
      </c>
      <c r="F49" s="303"/>
      <c r="G49" s="302">
        <v>4.0350949870815681E-2</v>
      </c>
      <c r="H49" s="302">
        <v>2.7021216407396253E-2</v>
      </c>
      <c r="I49" s="302">
        <v>0</v>
      </c>
      <c r="J49" s="302">
        <f t="shared" si="38"/>
        <v>6.7372166278211937E-2</v>
      </c>
      <c r="K49" s="303"/>
      <c r="L49" s="302">
        <v>1.5652271299402554E-2</v>
      </c>
      <c r="M49" s="302">
        <v>2.1022055107850619E-2</v>
      </c>
      <c r="N49" s="302">
        <v>0</v>
      </c>
      <c r="O49" s="302">
        <f t="shared" si="37"/>
        <v>3.6674326407253169E-2</v>
      </c>
    </row>
    <row r="50" spans="1:15" s="236" customFormat="1" x14ac:dyDescent="0.2">
      <c r="A50" s="237" t="str">
        <f>name!E$11</f>
        <v>Process, plant and machine operatives</v>
      </c>
      <c r="B50" s="302">
        <v>0.55465782229507088</v>
      </c>
      <c r="C50" s="302">
        <v>1.7627266973971631E-3</v>
      </c>
      <c r="D50" s="302">
        <v>3.0099902181579922E-5</v>
      </c>
      <c r="E50" s="302">
        <f t="shared" si="35"/>
        <v>0.55645064889464968</v>
      </c>
      <c r="F50" s="303"/>
      <c r="G50" s="302">
        <v>0.36455452894406143</v>
      </c>
      <c r="H50" s="302">
        <v>1.8952515812659769E-2</v>
      </c>
      <c r="I50" s="302">
        <v>0</v>
      </c>
      <c r="J50" s="302">
        <f t="shared" si="38"/>
        <v>0.3835070447567212</v>
      </c>
      <c r="K50" s="303"/>
      <c r="L50" s="302">
        <v>0.35009937511932276</v>
      </c>
      <c r="M50" s="302">
        <v>1.8975029417593346E-2</v>
      </c>
      <c r="N50" s="302">
        <v>0</v>
      </c>
      <c r="O50" s="302">
        <f t="shared" si="37"/>
        <v>0.36907440453691609</v>
      </c>
    </row>
    <row r="51" spans="1:15" s="236" customFormat="1" x14ac:dyDescent="0.2">
      <c r="A51" s="237" t="str">
        <f>name!E$12</f>
        <v>Elementary occupations</v>
      </c>
      <c r="B51" s="302">
        <v>4.7823680686130382E-2</v>
      </c>
      <c r="C51" s="302">
        <v>4.0389714882239827E-3</v>
      </c>
      <c r="D51" s="302">
        <v>5.7991426200661678E-5</v>
      </c>
      <c r="E51" s="302">
        <f t="shared" si="35"/>
        <v>5.1920643600555025E-2</v>
      </c>
      <c r="F51" s="303"/>
      <c r="G51" s="302">
        <v>3.2398054075077239E-2</v>
      </c>
      <c r="H51" s="302">
        <v>1.0627188649573115E-2</v>
      </c>
      <c r="I51" s="302">
        <v>0</v>
      </c>
      <c r="J51" s="302">
        <f t="shared" si="38"/>
        <v>4.3025242724650352E-2</v>
      </c>
      <c r="K51" s="303"/>
      <c r="L51" s="302">
        <v>1.9777689742820261E-2</v>
      </c>
      <c r="M51" s="302">
        <v>4.2514968087406096E-3</v>
      </c>
      <c r="N51" s="302">
        <v>0</v>
      </c>
      <c r="O51" s="302">
        <f t="shared" si="37"/>
        <v>2.4029186551560871E-2</v>
      </c>
    </row>
    <row r="52" spans="1:15" s="236" customFormat="1" x14ac:dyDescent="0.2">
      <c r="A52" s="237"/>
      <c r="B52" s="302"/>
      <c r="C52" s="302"/>
      <c r="D52" s="302"/>
      <c r="E52" s="302"/>
      <c r="F52" s="303"/>
      <c r="G52" s="302"/>
      <c r="H52" s="302"/>
      <c r="I52" s="302"/>
      <c r="J52" s="302"/>
      <c r="K52" s="303"/>
      <c r="L52" s="302"/>
      <c r="M52" s="302"/>
      <c r="N52" s="302"/>
      <c r="O52" s="302"/>
    </row>
    <row r="53" spans="1:15" s="236" customFormat="1" x14ac:dyDescent="0.2">
      <c r="A53" s="244" t="s">
        <v>32</v>
      </c>
      <c r="B53" s="311">
        <f>SUM(B43:B51)</f>
        <v>2.0779999999998364</v>
      </c>
      <c r="C53" s="311">
        <f t="shared" ref="C53:E53" si="39">SUM(C43:C51)</f>
        <v>4.3000000000326055E-2</v>
      </c>
      <c r="D53" s="311">
        <f t="shared" si="39"/>
        <v>1.0000000000020882E-3</v>
      </c>
      <c r="E53" s="311">
        <f t="shared" si="39"/>
        <v>2.1220000000001651</v>
      </c>
      <c r="F53" s="311"/>
      <c r="G53" s="311">
        <f t="shared" ref="G53:J53" si="40">SUM(G43:G51)</f>
        <v>1.6599999999977353</v>
      </c>
      <c r="H53" s="311">
        <f t="shared" si="40"/>
        <v>0.15100000000027258</v>
      </c>
      <c r="I53" s="311">
        <f t="shared" si="40"/>
        <v>0</v>
      </c>
      <c r="J53" s="311">
        <f t="shared" si="40"/>
        <v>1.810999999998008</v>
      </c>
      <c r="K53" s="311"/>
      <c r="L53" s="311">
        <f t="shared" ref="L53:O53" si="41">SUM(L43:L51)</f>
        <v>1.271999999993209</v>
      </c>
      <c r="M53" s="311">
        <f t="shared" si="41"/>
        <v>0.1260000000006602</v>
      </c>
      <c r="N53" s="311">
        <f t="shared" si="41"/>
        <v>0</v>
      </c>
      <c r="O53" s="311">
        <f t="shared" si="41"/>
        <v>1.3979999999938693</v>
      </c>
    </row>
    <row r="54" spans="1:15" s="236" customFormat="1" x14ac:dyDescent="0.2">
      <c r="A54" s="237"/>
      <c r="B54" s="237"/>
      <c r="C54" s="237"/>
      <c r="D54" s="237"/>
      <c r="E54" s="237"/>
      <c r="F54" s="237"/>
      <c r="G54" s="237"/>
      <c r="H54" s="237"/>
      <c r="I54" s="237"/>
      <c r="J54" s="237"/>
      <c r="K54" s="237"/>
      <c r="L54" s="237"/>
      <c r="M54" s="237"/>
      <c r="N54" s="240"/>
    </row>
    <row r="55" spans="1:15" s="236" customFormat="1" x14ac:dyDescent="0.2">
      <c r="A55" s="237"/>
      <c r="B55" s="237"/>
      <c r="C55" s="237"/>
      <c r="D55" s="237"/>
      <c r="E55" s="237"/>
      <c r="F55" s="237"/>
      <c r="G55" s="237"/>
      <c r="H55" s="237"/>
      <c r="I55" s="237"/>
      <c r="J55" s="237"/>
      <c r="K55" s="237"/>
      <c r="L55" s="237"/>
      <c r="M55" s="237"/>
      <c r="N55" s="240"/>
      <c r="O55" s="251" t="s">
        <v>35</v>
      </c>
    </row>
    <row r="56" spans="1:15" s="236" customFormat="1" x14ac:dyDescent="0.2">
      <c r="A56" s="242"/>
      <c r="B56" s="242"/>
      <c r="C56" s="242"/>
      <c r="D56" s="242"/>
      <c r="E56" s="242"/>
      <c r="F56" s="242"/>
      <c r="G56" s="242"/>
      <c r="H56" s="242"/>
      <c r="I56" s="242"/>
      <c r="J56" s="242"/>
      <c r="K56" s="242"/>
      <c r="L56" s="242"/>
      <c r="M56" s="242"/>
      <c r="N56" s="242"/>
      <c r="O56" s="242"/>
    </row>
    <row r="57" spans="1:15" s="236" customFormat="1" x14ac:dyDescent="0.2">
      <c r="A57" s="241" t="str">
        <f>name!A6</f>
        <v>Food products</v>
      </c>
      <c r="B57" s="374">
        <f>$B$6</f>
        <v>2015</v>
      </c>
      <c r="C57" s="374"/>
      <c r="D57" s="374"/>
      <c r="E57" s="374"/>
      <c r="F57" s="263"/>
      <c r="G57" s="374">
        <f>$G$6</f>
        <v>2020</v>
      </c>
      <c r="H57" s="374"/>
      <c r="I57" s="374"/>
      <c r="J57" s="374"/>
      <c r="K57" s="263"/>
      <c r="L57" s="374">
        <f>$L$6</f>
        <v>2035</v>
      </c>
      <c r="M57" s="374"/>
      <c r="N57" s="374"/>
      <c r="O57" s="374"/>
    </row>
    <row r="58" spans="1:15" s="236" customFormat="1" x14ac:dyDescent="0.2">
      <c r="A58" s="254"/>
      <c r="B58" s="268" t="str">
        <f>$B$7</f>
        <v>FT</v>
      </c>
      <c r="C58" s="268" t="str">
        <f>$C$7</f>
        <v>PT</v>
      </c>
      <c r="D58" s="268" t="str">
        <f>$D$7</f>
        <v>SE</v>
      </c>
      <c r="E58" s="268" t="str">
        <f>$E$7</f>
        <v>Total</v>
      </c>
      <c r="F58" s="268"/>
      <c r="G58" s="268" t="str">
        <f>$G$7</f>
        <v>FT</v>
      </c>
      <c r="H58" s="268" t="str">
        <f>$H$7</f>
        <v>PT</v>
      </c>
      <c r="I58" s="268" t="str">
        <f>$I$7</f>
        <v>SE</v>
      </c>
      <c r="J58" s="268" t="str">
        <f>$J$7</f>
        <v>Total</v>
      </c>
      <c r="K58" s="268"/>
      <c r="L58" s="268" t="str">
        <f>$L$7</f>
        <v>FT</v>
      </c>
      <c r="M58" s="268" t="str">
        <f>$M$7</f>
        <v>PT</v>
      </c>
      <c r="N58" s="268" t="str">
        <f>$N$7</f>
        <v>SE</v>
      </c>
      <c r="O58" s="268" t="str">
        <f>$O$7</f>
        <v>Total</v>
      </c>
    </row>
    <row r="59" spans="1:15" s="236" customFormat="1" x14ac:dyDescent="0.2">
      <c r="A59" s="258"/>
      <c r="B59" s="239"/>
      <c r="C59" s="239"/>
      <c r="D59" s="239"/>
      <c r="E59" s="239"/>
      <c r="F59" s="239"/>
      <c r="G59" s="239"/>
      <c r="H59" s="239"/>
      <c r="I59" s="239"/>
      <c r="J59" s="239"/>
      <c r="K59" s="239"/>
      <c r="L59" s="239"/>
      <c r="M59" s="239"/>
      <c r="N59" s="239"/>
      <c r="O59" s="239"/>
    </row>
    <row r="60" spans="1:15" s="236" customFormat="1" x14ac:dyDescent="0.2">
      <c r="A60" s="237" t="str">
        <f>name!E$4</f>
        <v>Managers, directors and senior officials</v>
      </c>
      <c r="B60" s="302">
        <v>0.22314335246557318</v>
      </c>
      <c r="C60" s="302">
        <v>6.2027013120045597E-2</v>
      </c>
      <c r="D60" s="302">
        <v>1.5407673535464081E-2</v>
      </c>
      <c r="E60" s="302">
        <f>SUM(B60:D60)</f>
        <v>0.30057803912108283</v>
      </c>
      <c r="F60" s="303"/>
      <c r="G60" s="302">
        <v>0.35093944195168514</v>
      </c>
      <c r="H60" s="302">
        <v>9.3389197141827612E-2</v>
      </c>
      <c r="I60" s="302">
        <v>8.5739096218810009E-3</v>
      </c>
      <c r="J60" s="302">
        <f>SUM(G60:I60)</f>
        <v>0.4529025487153937</v>
      </c>
      <c r="K60" s="303"/>
      <c r="L60" s="302">
        <v>0.3640364448953326</v>
      </c>
      <c r="M60" s="302">
        <v>0.11339906261783769</v>
      </c>
      <c r="N60" s="302">
        <v>7.3570964885098121E-3</v>
      </c>
      <c r="O60" s="302">
        <f>SUM(L60:N60)</f>
        <v>0.48479260400168012</v>
      </c>
    </row>
    <row r="61" spans="1:15" s="236" customFormat="1" x14ac:dyDescent="0.2">
      <c r="A61" s="237" t="str">
        <f>name!E$5</f>
        <v>Professional occupations</v>
      </c>
      <c r="B61" s="302">
        <v>0.25615321699389704</v>
      </c>
      <c r="C61" s="302">
        <v>2.2171054033383604E-2</v>
      </c>
      <c r="D61" s="302">
        <v>4.2867779300659482E-3</v>
      </c>
      <c r="E61" s="302">
        <f t="shared" ref="E61:E68" si="42">SUM(B61:D61)</f>
        <v>0.28261104895734657</v>
      </c>
      <c r="F61" s="303"/>
      <c r="G61" s="302">
        <v>0.43744196277505332</v>
      </c>
      <c r="H61" s="302">
        <v>4.0435346574761014E-2</v>
      </c>
      <c r="I61" s="302">
        <v>1.2934541078939508E-3</v>
      </c>
      <c r="J61" s="302">
        <f t="shared" ref="J61:J63" si="43">SUM(G61:I61)</f>
        <v>0.47917076345770826</v>
      </c>
      <c r="K61" s="303"/>
      <c r="L61" s="302">
        <v>0.56650345358781073</v>
      </c>
      <c r="M61" s="302">
        <v>4.3958847635428941E-2</v>
      </c>
      <c r="N61" s="302">
        <v>7.1520769050740628E-4</v>
      </c>
      <c r="O61" s="302">
        <f t="shared" ref="O61:O68" si="44">SUM(L61:N61)</f>
        <v>0.611177508913747</v>
      </c>
    </row>
    <row r="62" spans="1:15" s="236" customFormat="1" x14ac:dyDescent="0.2">
      <c r="A62" s="237" t="str">
        <f>name!E$6</f>
        <v>Associate professional occupations</v>
      </c>
      <c r="B62" s="302">
        <v>0.50155695782257648</v>
      </c>
      <c r="C62" s="302">
        <v>5.9064724757189012E-2</v>
      </c>
      <c r="D62" s="302">
        <v>4.6900434091080483E-3</v>
      </c>
      <c r="E62" s="302">
        <f t="shared" si="42"/>
        <v>0.56531172598887358</v>
      </c>
      <c r="F62" s="303"/>
      <c r="G62" s="302">
        <v>0.79120530022257385</v>
      </c>
      <c r="H62" s="302">
        <v>8.2267461690847185E-2</v>
      </c>
      <c r="I62" s="302">
        <v>2.4223929236043759E-3</v>
      </c>
      <c r="J62" s="302">
        <f t="shared" si="43"/>
        <v>0.8758951548370254</v>
      </c>
      <c r="K62" s="303"/>
      <c r="L62" s="302">
        <v>0.75079187472575293</v>
      </c>
      <c r="M62" s="302">
        <v>7.3024408551271916E-2</v>
      </c>
      <c r="N62" s="302">
        <v>9.7961012460450912E-4</v>
      </c>
      <c r="O62" s="302">
        <f t="shared" si="44"/>
        <v>0.82479589340162929</v>
      </c>
    </row>
    <row r="63" spans="1:15" s="236" customFormat="1" x14ac:dyDescent="0.2">
      <c r="A63" s="237" t="str">
        <f>name!E$7</f>
        <v>Administrative and secretarial occupations</v>
      </c>
      <c r="B63" s="302">
        <v>0.34724485799598165</v>
      </c>
      <c r="C63" s="302">
        <v>0.15938143431545426</v>
      </c>
      <c r="D63" s="302">
        <v>1.729724282285813E-3</v>
      </c>
      <c r="E63" s="302">
        <f t="shared" si="42"/>
        <v>0.50835601659372176</v>
      </c>
      <c r="F63" s="303"/>
      <c r="G63" s="302">
        <v>0.49270176189979659</v>
      </c>
      <c r="H63" s="302">
        <v>0.21970423244411863</v>
      </c>
      <c r="I63" s="302">
        <v>9.742931745124802E-4</v>
      </c>
      <c r="J63" s="302">
        <f t="shared" si="43"/>
        <v>0.71338028751842764</v>
      </c>
      <c r="K63" s="303"/>
      <c r="L63" s="302">
        <v>0.47631850823711819</v>
      </c>
      <c r="M63" s="302">
        <v>0.25239791046523063</v>
      </c>
      <c r="N63" s="302">
        <v>4.2863777362436698E-4</v>
      </c>
      <c r="O63" s="302">
        <f t="shared" si="44"/>
        <v>0.72914505647597316</v>
      </c>
    </row>
    <row r="64" spans="1:15" s="236" customFormat="1" x14ac:dyDescent="0.2">
      <c r="A64" s="237" t="str">
        <f>name!E$8</f>
        <v>Skilled trades occupations</v>
      </c>
      <c r="B64" s="302">
        <v>1.2742443851207603</v>
      </c>
      <c r="C64" s="302">
        <v>4.5736172263370539E-2</v>
      </c>
      <c r="D64" s="302">
        <v>3.493240066544806E-2</v>
      </c>
      <c r="E64" s="302">
        <f t="shared" si="42"/>
        <v>1.3549129580495789</v>
      </c>
      <c r="F64" s="303"/>
      <c r="G64" s="302">
        <v>1.2311889318390954</v>
      </c>
      <c r="H64" s="302">
        <v>3.9680948578306827E-2</v>
      </c>
      <c r="I64" s="302">
        <v>6.6251465012868672E-3</v>
      </c>
      <c r="J64" s="302">
        <f>SUM(G64:I64)</f>
        <v>1.2774950269186889</v>
      </c>
      <c r="K64" s="303"/>
      <c r="L64" s="302">
        <v>1.108686975917742</v>
      </c>
      <c r="M64" s="302">
        <v>3.0077070570579265E-2</v>
      </c>
      <c r="N64" s="302">
        <v>2.7341891384730327E-3</v>
      </c>
      <c r="O64" s="302">
        <f t="shared" si="44"/>
        <v>1.1414982356267944</v>
      </c>
    </row>
    <row r="65" spans="1:15" s="236" customFormat="1" x14ac:dyDescent="0.2">
      <c r="A65" s="237" t="str">
        <f>name!E$9</f>
        <v>Caring, leisure and other service occupations</v>
      </c>
      <c r="B65" s="302">
        <v>3.8391559051107318E-2</v>
      </c>
      <c r="C65" s="302">
        <v>1.1808780019465177E-2</v>
      </c>
      <c r="D65" s="302">
        <v>3.3854052542546757E-3</v>
      </c>
      <c r="E65" s="302">
        <f t="shared" si="42"/>
        <v>5.358574432482717E-2</v>
      </c>
      <c r="F65" s="303"/>
      <c r="G65" s="302">
        <v>5.2775957940868992E-2</v>
      </c>
      <c r="H65" s="302">
        <v>1.4246123375622368E-2</v>
      </c>
      <c r="I65" s="302">
        <v>4.1926054240534498E-3</v>
      </c>
      <c r="J65" s="302">
        <f t="shared" ref="J65:J68" si="45">SUM(G65:I65)</f>
        <v>7.1214686740544805E-2</v>
      </c>
      <c r="K65" s="303"/>
      <c r="L65" s="302">
        <v>5.1973358820025878E-2</v>
      </c>
      <c r="M65" s="302">
        <v>1.3260693191003039E-2</v>
      </c>
      <c r="N65" s="302">
        <v>4.8414093926848339E-3</v>
      </c>
      <c r="O65" s="302">
        <f t="shared" si="44"/>
        <v>7.0075461403713749E-2</v>
      </c>
    </row>
    <row r="66" spans="1:15" s="236" customFormat="1" x14ac:dyDescent="0.2">
      <c r="A66" s="237" t="str">
        <f>name!E$10</f>
        <v>Sales and customer service occupations</v>
      </c>
      <c r="B66" s="302">
        <v>0.27937236492029727</v>
      </c>
      <c r="C66" s="302">
        <v>0.39589476265881146</v>
      </c>
      <c r="D66" s="302">
        <v>4.7417741305605509E-3</v>
      </c>
      <c r="E66" s="302">
        <f t="shared" si="42"/>
        <v>0.68000890170966921</v>
      </c>
      <c r="F66" s="303"/>
      <c r="G66" s="302">
        <v>0.34345975533011436</v>
      </c>
      <c r="H66" s="302">
        <v>0.48340021251649429</v>
      </c>
      <c r="I66" s="302">
        <v>1.4461410663387975E-3</v>
      </c>
      <c r="J66" s="302">
        <f t="shared" si="45"/>
        <v>0.82830610891294743</v>
      </c>
      <c r="K66" s="303"/>
      <c r="L66" s="302">
        <v>0.36015653275730003</v>
      </c>
      <c r="M66" s="302">
        <v>0.61717718525447052</v>
      </c>
      <c r="N66" s="302">
        <v>7.5510467554069721E-4</v>
      </c>
      <c r="O66" s="302">
        <f t="shared" si="44"/>
        <v>0.97808882268731123</v>
      </c>
    </row>
    <row r="67" spans="1:15" s="236" customFormat="1" x14ac:dyDescent="0.2">
      <c r="A67" s="237" t="str">
        <f>name!E$11</f>
        <v>Process, plant and machine operatives</v>
      </c>
      <c r="B67" s="302">
        <v>3.5375361832873442</v>
      </c>
      <c r="C67" s="302">
        <v>0.22908119447420103</v>
      </c>
      <c r="D67" s="302">
        <v>5.1773197902752213E-2</v>
      </c>
      <c r="E67" s="302">
        <f t="shared" si="42"/>
        <v>3.8183905756642975</v>
      </c>
      <c r="F67" s="303"/>
      <c r="G67" s="302">
        <v>3.6096384411163176</v>
      </c>
      <c r="H67" s="302">
        <v>0.26248601031726904</v>
      </c>
      <c r="I67" s="302">
        <v>4.7970589080789244E-2</v>
      </c>
      <c r="J67" s="302">
        <f t="shared" si="45"/>
        <v>3.9200950405143762</v>
      </c>
      <c r="K67" s="303"/>
      <c r="L67" s="302">
        <v>3.653411659941602</v>
      </c>
      <c r="M67" s="302">
        <v>8.3620975929726837E-2</v>
      </c>
      <c r="N67" s="302">
        <v>5.868756619591628E-2</v>
      </c>
      <c r="O67" s="302">
        <f t="shared" si="44"/>
        <v>3.7957202020672454</v>
      </c>
    </row>
    <row r="68" spans="1:15" s="236" customFormat="1" x14ac:dyDescent="0.2">
      <c r="A68" s="237" t="str">
        <f>name!E$12</f>
        <v>Elementary occupations</v>
      </c>
      <c r="B68" s="302">
        <v>1.5273571223769398</v>
      </c>
      <c r="C68" s="302">
        <v>0.2608348643878603</v>
      </c>
      <c r="D68" s="302">
        <v>4.4053002893094474E-2</v>
      </c>
      <c r="E68" s="302">
        <f t="shared" si="42"/>
        <v>1.8322449896578945</v>
      </c>
      <c r="F68" s="303"/>
      <c r="G68" s="302">
        <v>1.5586484468684827</v>
      </c>
      <c r="H68" s="302">
        <v>0.29039046737774332</v>
      </c>
      <c r="I68" s="302">
        <v>2.4501468097011054E-2</v>
      </c>
      <c r="J68" s="302">
        <f t="shared" si="45"/>
        <v>1.8735403823432371</v>
      </c>
      <c r="K68" s="303"/>
      <c r="L68" s="302">
        <v>1.3191211910390019</v>
      </c>
      <c r="M68" s="302">
        <v>0.23708384578099423</v>
      </c>
      <c r="N68" s="302">
        <v>2.5501178520079121E-2</v>
      </c>
      <c r="O68" s="302">
        <f t="shared" si="44"/>
        <v>1.5817062153400754</v>
      </c>
    </row>
    <row r="69" spans="1:15" s="236" customFormat="1" x14ac:dyDescent="0.2">
      <c r="A69" s="237"/>
      <c r="B69" s="302"/>
      <c r="C69" s="302"/>
      <c r="D69" s="302"/>
      <c r="E69" s="302"/>
      <c r="F69" s="303"/>
      <c r="G69" s="302"/>
      <c r="H69" s="302"/>
      <c r="I69" s="302"/>
      <c r="J69" s="302"/>
      <c r="K69" s="303"/>
      <c r="L69" s="302"/>
      <c r="M69" s="302"/>
      <c r="N69" s="302"/>
      <c r="O69" s="302"/>
    </row>
    <row r="70" spans="1:15" s="236" customFormat="1" x14ac:dyDescent="0.2">
      <c r="A70" s="244" t="s">
        <v>32</v>
      </c>
      <c r="B70" s="311">
        <f>SUM(B60:B68)</f>
        <v>7.9850000000344776</v>
      </c>
      <c r="C70" s="311">
        <f t="shared" ref="C70:E70" si="46">SUM(C60:C68)</f>
        <v>1.2460000000297811</v>
      </c>
      <c r="D70" s="311">
        <f t="shared" si="46"/>
        <v>0.16500000000303386</v>
      </c>
      <c r="E70" s="311">
        <f t="shared" si="46"/>
        <v>9.3960000000672927</v>
      </c>
      <c r="F70" s="311"/>
      <c r="G70" s="311">
        <f t="shared" ref="G70:J70" si="47">SUM(G60:G68)</f>
        <v>8.8679999999439882</v>
      </c>
      <c r="H70" s="311">
        <f t="shared" si="47"/>
        <v>1.5260000000169904</v>
      </c>
      <c r="I70" s="311">
        <f t="shared" si="47"/>
        <v>9.7999999997371218E-2</v>
      </c>
      <c r="J70" s="311">
        <f t="shared" si="47"/>
        <v>10.491999999958349</v>
      </c>
      <c r="K70" s="311"/>
      <c r="L70" s="311">
        <f t="shared" ref="L70:O70" si="48">SUM(L60:L68)</f>
        <v>8.6509999999216856</v>
      </c>
      <c r="M70" s="311">
        <f t="shared" si="48"/>
        <v>1.4639999999965432</v>
      </c>
      <c r="N70" s="311">
        <f t="shared" si="48"/>
        <v>0.10199999999994006</v>
      </c>
      <c r="O70" s="311">
        <f t="shared" si="48"/>
        <v>10.216999999918169</v>
      </c>
    </row>
    <row r="71" spans="1:15" s="236" customFormat="1" x14ac:dyDescent="0.2">
      <c r="A71" s="237"/>
      <c r="B71" s="237"/>
      <c r="C71" s="237"/>
      <c r="D71" s="237"/>
      <c r="E71" s="237"/>
      <c r="F71" s="237"/>
      <c r="G71" s="237"/>
      <c r="H71" s="237"/>
      <c r="I71" s="237"/>
      <c r="J71" s="237"/>
      <c r="K71" s="237"/>
      <c r="L71" s="237"/>
      <c r="M71" s="237"/>
      <c r="N71" s="240"/>
    </row>
    <row r="72" spans="1:15" s="236" customFormat="1" x14ac:dyDescent="0.2">
      <c r="A72" s="237"/>
      <c r="B72" s="237"/>
      <c r="C72" s="237"/>
      <c r="D72" s="237"/>
      <c r="E72" s="237"/>
      <c r="F72" s="237"/>
      <c r="G72" s="237"/>
      <c r="H72" s="237"/>
      <c r="I72" s="237"/>
      <c r="J72" s="237"/>
      <c r="K72" s="237"/>
      <c r="L72" s="237"/>
      <c r="M72" s="237"/>
      <c r="N72" s="240"/>
      <c r="O72" s="251" t="s">
        <v>35</v>
      </c>
    </row>
    <row r="73" spans="1:15" s="236" customFormat="1" x14ac:dyDescent="0.2">
      <c r="A73" s="242"/>
      <c r="B73" s="242"/>
      <c r="C73" s="242"/>
      <c r="D73" s="242"/>
      <c r="E73" s="242"/>
      <c r="F73" s="242"/>
      <c r="G73" s="242"/>
      <c r="H73" s="242"/>
      <c r="I73" s="242"/>
      <c r="J73" s="242"/>
      <c r="K73" s="242"/>
      <c r="L73" s="242"/>
      <c r="M73" s="242"/>
      <c r="N73" s="242"/>
      <c r="O73" s="242"/>
    </row>
    <row r="74" spans="1:15" s="236" customFormat="1" x14ac:dyDescent="0.2">
      <c r="A74" s="241" t="str">
        <f>name!A7</f>
        <v>Beverages and tobacco</v>
      </c>
      <c r="B74" s="374">
        <f>$B$6</f>
        <v>2015</v>
      </c>
      <c r="C74" s="374"/>
      <c r="D74" s="374"/>
      <c r="E74" s="374"/>
      <c r="F74" s="263"/>
      <c r="G74" s="374">
        <f>$G$6</f>
        <v>2020</v>
      </c>
      <c r="H74" s="374"/>
      <c r="I74" s="374"/>
      <c r="J74" s="374"/>
      <c r="K74" s="263"/>
      <c r="L74" s="374">
        <f>$L$6</f>
        <v>2035</v>
      </c>
      <c r="M74" s="374"/>
      <c r="N74" s="374"/>
      <c r="O74" s="374"/>
    </row>
    <row r="75" spans="1:15" s="236" customFormat="1" x14ac:dyDescent="0.2">
      <c r="A75" s="254"/>
      <c r="B75" s="268" t="str">
        <f>$B$7</f>
        <v>FT</v>
      </c>
      <c r="C75" s="268" t="str">
        <f>$C$7</f>
        <v>PT</v>
      </c>
      <c r="D75" s="268" t="str">
        <f>$D$7</f>
        <v>SE</v>
      </c>
      <c r="E75" s="268" t="str">
        <f>$E$7</f>
        <v>Total</v>
      </c>
      <c r="F75" s="268"/>
      <c r="G75" s="268" t="str">
        <f>$G$7</f>
        <v>FT</v>
      </c>
      <c r="H75" s="268" t="str">
        <f>$H$7</f>
        <v>PT</v>
      </c>
      <c r="I75" s="268" t="str">
        <f>$I$7</f>
        <v>SE</v>
      </c>
      <c r="J75" s="268" t="str">
        <f>$J$7</f>
        <v>Total</v>
      </c>
      <c r="K75" s="268"/>
      <c r="L75" s="268" t="str">
        <f>$L$7</f>
        <v>FT</v>
      </c>
      <c r="M75" s="268" t="str">
        <f>$M$7</f>
        <v>PT</v>
      </c>
      <c r="N75" s="268" t="str">
        <f>$N$7</f>
        <v>SE</v>
      </c>
      <c r="O75" s="268" t="str">
        <f>$O$7</f>
        <v>Total</v>
      </c>
    </row>
    <row r="76" spans="1:15" s="236" customFormat="1" x14ac:dyDescent="0.2">
      <c r="A76" s="258"/>
      <c r="B76" s="239"/>
      <c r="C76" s="239"/>
      <c r="D76" s="239"/>
      <c r="E76" s="239"/>
      <c r="F76" s="239"/>
      <c r="G76" s="239"/>
      <c r="H76" s="239"/>
      <c r="I76" s="239"/>
      <c r="J76" s="239"/>
      <c r="K76" s="239"/>
      <c r="L76" s="239"/>
      <c r="M76" s="239"/>
      <c r="N76" s="239"/>
      <c r="O76" s="239"/>
    </row>
    <row r="77" spans="1:15" s="236" customFormat="1" x14ac:dyDescent="0.2">
      <c r="A77" s="237" t="str">
        <f>name!E$4</f>
        <v>Managers, directors and senior officials</v>
      </c>
      <c r="B77" s="302">
        <v>0.20366693919765333</v>
      </c>
      <c r="C77" s="302">
        <v>1.1206916495830697E-2</v>
      </c>
      <c r="D77" s="302">
        <v>1.9454074409648459E-3</v>
      </c>
      <c r="E77" s="302">
        <f>SUM(B77:D77)</f>
        <v>0.21681926313444888</v>
      </c>
      <c r="F77" s="303"/>
      <c r="G77" s="302">
        <v>0.25246178835903688</v>
      </c>
      <c r="H77" s="302">
        <v>3.102864863131753E-3</v>
      </c>
      <c r="I77" s="302">
        <v>1.2228398585044085E-3</v>
      </c>
      <c r="J77" s="302">
        <f>SUM(G77:I77)</f>
        <v>0.25678749308067306</v>
      </c>
      <c r="K77" s="303"/>
      <c r="L77" s="302">
        <v>0.31499453580587145</v>
      </c>
      <c r="M77" s="302">
        <v>1.2380003099095292E-3</v>
      </c>
      <c r="N77" s="302">
        <v>1.6626315270693744E-3</v>
      </c>
      <c r="O77" s="302">
        <f>SUM(L77:N77)</f>
        <v>0.31789516764285031</v>
      </c>
    </row>
    <row r="78" spans="1:15" s="236" customFormat="1" x14ac:dyDescent="0.2">
      <c r="A78" s="237" t="str">
        <f>name!E$5</f>
        <v>Professional occupations</v>
      </c>
      <c r="B78" s="302">
        <v>0.17530606848797423</v>
      </c>
      <c r="C78" s="302">
        <v>4.4549794749097489E-2</v>
      </c>
      <c r="D78" s="302">
        <v>1.4461231233058984E-3</v>
      </c>
      <c r="E78" s="302">
        <f t="shared" ref="E78:E85" si="49">SUM(B78:D78)</f>
        <v>0.22130198636037759</v>
      </c>
      <c r="F78" s="303"/>
      <c r="G78" s="302">
        <v>0.24250598804035217</v>
      </c>
      <c r="H78" s="302">
        <v>1.0334843599313484E-2</v>
      </c>
      <c r="I78" s="302">
        <v>1.0782600738646966E-3</v>
      </c>
      <c r="J78" s="302">
        <f t="shared" ref="J78:J80" si="50">SUM(G78:I78)</f>
        <v>0.25391909171353033</v>
      </c>
      <c r="K78" s="303"/>
      <c r="L78" s="302">
        <v>0.3101566139403068</v>
      </c>
      <c r="M78" s="302">
        <v>1.1945498619375928E-2</v>
      </c>
      <c r="N78" s="302">
        <v>7.4047246352174924E-4</v>
      </c>
      <c r="O78" s="302">
        <f t="shared" ref="O78:O85" si="51">SUM(L78:N78)</f>
        <v>0.32284258502320451</v>
      </c>
    </row>
    <row r="79" spans="1:15" s="236" customFormat="1" x14ac:dyDescent="0.2">
      <c r="A79" s="237" t="str">
        <f>name!E$6</f>
        <v>Associate professional occupations</v>
      </c>
      <c r="B79" s="302">
        <v>0.23987404249432001</v>
      </c>
      <c r="C79" s="302">
        <v>2.8532676216292387E-2</v>
      </c>
      <c r="D79" s="302">
        <v>4.4626237025525853E-3</v>
      </c>
      <c r="E79" s="302">
        <f t="shared" si="49"/>
        <v>0.27286934241316496</v>
      </c>
      <c r="F79" s="303"/>
      <c r="G79" s="302">
        <v>0.29998151007530244</v>
      </c>
      <c r="H79" s="302">
        <v>6.2102988616144486E-3</v>
      </c>
      <c r="I79" s="302">
        <v>1.1414364736233441E-3</v>
      </c>
      <c r="J79" s="302">
        <f t="shared" si="50"/>
        <v>0.30733324541054025</v>
      </c>
      <c r="K79" s="303"/>
      <c r="L79" s="302">
        <v>0.30170790146226545</v>
      </c>
      <c r="M79" s="302">
        <v>3.940774422976405E-3</v>
      </c>
      <c r="N79" s="302">
        <v>8.8590554160411842E-4</v>
      </c>
      <c r="O79" s="302">
        <f t="shared" si="51"/>
        <v>0.30653458142684598</v>
      </c>
    </row>
    <row r="80" spans="1:15" s="236" customFormat="1" x14ac:dyDescent="0.2">
      <c r="A80" s="237" t="str">
        <f>name!E$7</f>
        <v>Administrative and secretarial occupations</v>
      </c>
      <c r="B80" s="302">
        <v>0.14202285255385527</v>
      </c>
      <c r="C80" s="302">
        <v>5.9856658130822284E-2</v>
      </c>
      <c r="D80" s="302">
        <v>7.2780732098542728E-4</v>
      </c>
      <c r="E80" s="302">
        <f t="shared" si="49"/>
        <v>0.20260731800566298</v>
      </c>
      <c r="F80" s="303"/>
      <c r="G80" s="302">
        <v>0.15009615575136639</v>
      </c>
      <c r="H80" s="302">
        <v>1.120645797072824E-2</v>
      </c>
      <c r="I80" s="302">
        <v>4.0252093987494969E-4</v>
      </c>
      <c r="J80" s="302">
        <f t="shared" si="50"/>
        <v>0.16170513466196959</v>
      </c>
      <c r="K80" s="303"/>
      <c r="L80" s="302">
        <v>0.10922518996434868</v>
      </c>
      <c r="M80" s="302">
        <v>1.1064279439253944E-2</v>
      </c>
      <c r="N80" s="302">
        <v>2.0536815798066633E-4</v>
      </c>
      <c r="O80" s="302">
        <f t="shared" si="51"/>
        <v>0.1204948375615833</v>
      </c>
    </row>
    <row r="81" spans="1:15" s="236" customFormat="1" x14ac:dyDescent="0.2">
      <c r="A81" s="237" t="str">
        <f>name!E$8</f>
        <v>Skilled trades occupations</v>
      </c>
      <c r="B81" s="302">
        <v>9.9271771504184092E-2</v>
      </c>
      <c r="C81" s="302">
        <v>8.6786820659501673E-3</v>
      </c>
      <c r="D81" s="302">
        <v>2.0725505428156364E-3</v>
      </c>
      <c r="E81" s="302">
        <f t="shared" si="49"/>
        <v>0.11002300411294989</v>
      </c>
      <c r="F81" s="303"/>
      <c r="G81" s="302">
        <v>8.2650422252655925E-2</v>
      </c>
      <c r="H81" s="302">
        <v>1.1330245174447627E-3</v>
      </c>
      <c r="I81" s="302">
        <v>1.5352493144417535E-3</v>
      </c>
      <c r="J81" s="302">
        <f>SUM(G81:I81)</f>
        <v>8.5318696084542442E-2</v>
      </c>
      <c r="K81" s="303"/>
      <c r="L81" s="302">
        <v>6.122156395189346E-2</v>
      </c>
      <c r="M81" s="302">
        <v>1.2721012443460149E-3</v>
      </c>
      <c r="N81" s="302">
        <v>2.1561793386547638E-3</v>
      </c>
      <c r="O81" s="302">
        <f t="shared" si="51"/>
        <v>6.4649844534894238E-2</v>
      </c>
    </row>
    <row r="82" spans="1:15" s="236" customFormat="1" x14ac:dyDescent="0.2">
      <c r="A82" s="237" t="str">
        <f>name!E$9</f>
        <v>Caring, leisure and other service occupations</v>
      </c>
      <c r="B82" s="302">
        <v>4.5344549234495449E-2</v>
      </c>
      <c r="C82" s="302">
        <v>5.3907469016302757E-2</v>
      </c>
      <c r="D82" s="302">
        <v>2.344910383402476E-3</v>
      </c>
      <c r="E82" s="302">
        <f t="shared" si="49"/>
        <v>0.10159692863420069</v>
      </c>
      <c r="F82" s="303"/>
      <c r="G82" s="302">
        <v>4.7113434423096547E-2</v>
      </c>
      <c r="H82" s="302">
        <v>9.1858027494433076E-3</v>
      </c>
      <c r="I82" s="302">
        <v>1.2753279399772147E-3</v>
      </c>
      <c r="J82" s="302">
        <f t="shared" ref="J82:J85" si="52">SUM(G82:I82)</f>
        <v>5.7574565112517066E-2</v>
      </c>
      <c r="K82" s="303"/>
      <c r="L82" s="302">
        <v>4.342803944108823E-2</v>
      </c>
      <c r="M82" s="302">
        <v>1.0488721964225895E-2</v>
      </c>
      <c r="N82" s="302">
        <v>1.1311782075802154E-3</v>
      </c>
      <c r="O82" s="302">
        <f t="shared" si="51"/>
        <v>5.5047939612894337E-2</v>
      </c>
    </row>
    <row r="83" spans="1:15" s="236" customFormat="1" x14ac:dyDescent="0.2">
      <c r="A83" s="237" t="str">
        <f>name!E$10</f>
        <v>Sales and customer service occupations</v>
      </c>
      <c r="B83" s="302">
        <v>8.0713244551507621E-2</v>
      </c>
      <c r="C83" s="302">
        <v>6.3589084927483538E-2</v>
      </c>
      <c r="D83" s="302">
        <v>8.0197979981840668E-4</v>
      </c>
      <c r="E83" s="302">
        <f t="shared" si="49"/>
        <v>0.14510430927880957</v>
      </c>
      <c r="F83" s="303"/>
      <c r="G83" s="302">
        <v>8.0799034779156356E-2</v>
      </c>
      <c r="H83" s="302">
        <v>1.2052309351718091E-2</v>
      </c>
      <c r="I83" s="302">
        <v>3.3779170381359382E-4</v>
      </c>
      <c r="J83" s="302">
        <f t="shared" si="52"/>
        <v>9.3189135834688047E-2</v>
      </c>
      <c r="K83" s="303"/>
      <c r="L83" s="302">
        <v>7.9497084673790935E-2</v>
      </c>
      <c r="M83" s="302">
        <v>1.5880901070760942E-2</v>
      </c>
      <c r="N83" s="302">
        <v>2.7901345289627917E-4</v>
      </c>
      <c r="O83" s="302">
        <f t="shared" si="51"/>
        <v>9.5656999197448161E-2</v>
      </c>
    </row>
    <row r="84" spans="1:15" s="236" customFormat="1" x14ac:dyDescent="0.2">
      <c r="A84" s="237" t="str">
        <f>name!E$11</f>
        <v>Process, plant and machine operatives</v>
      </c>
      <c r="B84" s="302">
        <v>0.29616511749150604</v>
      </c>
      <c r="C84" s="302">
        <v>7.1126507249387339E-3</v>
      </c>
      <c r="D84" s="302">
        <v>4.8195628285258117E-4</v>
      </c>
      <c r="E84" s="302">
        <f t="shared" si="49"/>
        <v>0.30375972449929733</v>
      </c>
      <c r="F84" s="303"/>
      <c r="G84" s="302">
        <v>0.24028588743026838</v>
      </c>
      <c r="H84" s="302">
        <v>1.0495806648842384E-3</v>
      </c>
      <c r="I84" s="302">
        <v>2.4319282905189697E-4</v>
      </c>
      <c r="J84" s="302">
        <f t="shared" si="52"/>
        <v>0.24157866092420449</v>
      </c>
      <c r="K84" s="303"/>
      <c r="L84" s="302">
        <v>0.24170849952000442</v>
      </c>
      <c r="M84" s="302">
        <v>3.6720729680078239E-4</v>
      </c>
      <c r="N84" s="302">
        <v>6.6037331105989465E-4</v>
      </c>
      <c r="O84" s="302">
        <f t="shared" si="51"/>
        <v>0.2427360801278651</v>
      </c>
    </row>
    <row r="85" spans="1:15" s="236" customFormat="1" x14ac:dyDescent="0.2">
      <c r="A85" s="237" t="str">
        <f>name!E$12</f>
        <v>Elementary occupations</v>
      </c>
      <c r="B85" s="302">
        <v>0.1656354144803501</v>
      </c>
      <c r="C85" s="302">
        <v>7.1566067676050976E-2</v>
      </c>
      <c r="D85" s="302">
        <v>4.7166414035003552E-3</v>
      </c>
      <c r="E85" s="302">
        <f t="shared" si="49"/>
        <v>0.24191812355990144</v>
      </c>
      <c r="F85" s="303"/>
      <c r="G85" s="302">
        <v>0.12810577888327043</v>
      </c>
      <c r="H85" s="302">
        <v>1.0724817421418091E-2</v>
      </c>
      <c r="I85" s="302">
        <v>7.6338086677403061E-4</v>
      </c>
      <c r="J85" s="302">
        <f t="shared" si="52"/>
        <v>0.13959397717146255</v>
      </c>
      <c r="K85" s="303"/>
      <c r="L85" s="302">
        <v>8.6060571235245589E-2</v>
      </c>
      <c r="M85" s="302">
        <v>6.8025156323407027E-3</v>
      </c>
      <c r="N85" s="302">
        <v>1.2788779996114716E-3</v>
      </c>
      <c r="O85" s="302">
        <f t="shared" si="51"/>
        <v>9.4141964867197767E-2</v>
      </c>
    </row>
    <row r="86" spans="1:15" s="236" customFormat="1" x14ac:dyDescent="0.2">
      <c r="A86" s="237"/>
      <c r="B86" s="302"/>
      <c r="C86" s="302"/>
      <c r="D86" s="302"/>
      <c r="E86" s="302"/>
      <c r="F86" s="303"/>
      <c r="G86" s="302"/>
      <c r="H86" s="302"/>
      <c r="I86" s="302"/>
      <c r="J86" s="302"/>
      <c r="K86" s="303"/>
      <c r="L86" s="302"/>
      <c r="M86" s="302"/>
      <c r="N86" s="302"/>
      <c r="O86" s="302"/>
    </row>
    <row r="87" spans="1:15" s="236" customFormat="1" x14ac:dyDescent="0.2">
      <c r="A87" s="244" t="s">
        <v>32</v>
      </c>
      <c r="B87" s="311">
        <f>SUM(B77:B85)</f>
        <v>1.4479999999958462</v>
      </c>
      <c r="C87" s="311">
        <f t="shared" ref="C87:E87" si="53">SUM(C77:C85)</f>
        <v>0.34900000000276898</v>
      </c>
      <c r="D87" s="311">
        <f t="shared" si="53"/>
        <v>1.9000000000198213E-2</v>
      </c>
      <c r="E87" s="311">
        <f t="shared" si="53"/>
        <v>1.8159999999988135</v>
      </c>
      <c r="F87" s="311"/>
      <c r="G87" s="311">
        <f t="shared" ref="G87:J87" si="54">SUM(G77:G85)</f>
        <v>1.5239999999945055</v>
      </c>
      <c r="H87" s="311">
        <f t="shared" si="54"/>
        <v>6.4999999999696412E-2</v>
      </c>
      <c r="I87" s="311">
        <f t="shared" si="54"/>
        <v>7.9999999999258893E-3</v>
      </c>
      <c r="J87" s="311">
        <f t="shared" si="54"/>
        <v>1.5969999999941278</v>
      </c>
      <c r="K87" s="311"/>
      <c r="L87" s="311">
        <f t="shared" ref="L87:O87" si="55">SUM(L77:L85)</f>
        <v>1.5479999999948151</v>
      </c>
      <c r="M87" s="311">
        <f t="shared" si="55"/>
        <v>6.2999999999990133E-2</v>
      </c>
      <c r="N87" s="311">
        <f t="shared" si="55"/>
        <v>8.9999999999785339E-3</v>
      </c>
      <c r="O87" s="311">
        <f t="shared" si="55"/>
        <v>1.6199999999947836</v>
      </c>
    </row>
    <row r="88" spans="1:15" s="236" customFormat="1" x14ac:dyDescent="0.2">
      <c r="A88" s="237"/>
      <c r="B88" s="237"/>
      <c r="C88" s="237"/>
      <c r="D88" s="237"/>
      <c r="E88" s="237"/>
      <c r="F88" s="237"/>
      <c r="G88" s="237"/>
      <c r="H88" s="237"/>
      <c r="I88" s="237"/>
      <c r="J88" s="237"/>
      <c r="K88" s="237"/>
      <c r="L88" s="237"/>
      <c r="M88" s="237"/>
      <c r="N88" s="240"/>
    </row>
    <row r="89" spans="1:15" s="236" customFormat="1" x14ac:dyDescent="0.2">
      <c r="A89" s="237"/>
      <c r="B89" s="237"/>
      <c r="C89" s="237"/>
      <c r="D89" s="237"/>
      <c r="E89" s="237"/>
      <c r="F89" s="237"/>
      <c r="G89" s="237"/>
      <c r="H89" s="237"/>
      <c r="I89" s="237"/>
      <c r="J89" s="237"/>
      <c r="K89" s="237"/>
      <c r="L89" s="237"/>
      <c r="M89" s="237"/>
      <c r="N89" s="240"/>
      <c r="O89" s="251" t="s">
        <v>35</v>
      </c>
    </row>
    <row r="90" spans="1:15" s="236" customFormat="1" x14ac:dyDescent="0.2">
      <c r="A90" s="242"/>
      <c r="B90" s="242"/>
      <c r="C90" s="242"/>
      <c r="D90" s="242"/>
      <c r="E90" s="242"/>
      <c r="F90" s="242"/>
      <c r="G90" s="242"/>
      <c r="H90" s="242"/>
      <c r="I90" s="242"/>
      <c r="J90" s="242"/>
      <c r="K90" s="242"/>
      <c r="L90" s="242"/>
      <c r="M90" s="242"/>
      <c r="N90" s="242"/>
      <c r="O90" s="242"/>
    </row>
    <row r="91" spans="1:15" s="236" customFormat="1" x14ac:dyDescent="0.2">
      <c r="A91" s="241" t="str">
        <f>name!A8</f>
        <v>Textiles</v>
      </c>
      <c r="B91" s="374">
        <f>$B$6</f>
        <v>2015</v>
      </c>
      <c r="C91" s="374"/>
      <c r="D91" s="374"/>
      <c r="E91" s="374"/>
      <c r="F91" s="263"/>
      <c r="G91" s="374">
        <f>$G$6</f>
        <v>2020</v>
      </c>
      <c r="H91" s="374"/>
      <c r="I91" s="374"/>
      <c r="J91" s="374"/>
      <c r="K91" s="263"/>
      <c r="L91" s="374">
        <f>$L$6</f>
        <v>2035</v>
      </c>
      <c r="M91" s="374"/>
      <c r="N91" s="374"/>
      <c r="O91" s="374"/>
    </row>
    <row r="92" spans="1:15" s="236" customFormat="1" x14ac:dyDescent="0.2">
      <c r="A92" s="254"/>
      <c r="B92" s="268" t="str">
        <f>$B$7</f>
        <v>FT</v>
      </c>
      <c r="C92" s="268" t="str">
        <f>$C$7</f>
        <v>PT</v>
      </c>
      <c r="D92" s="268" t="str">
        <f>$D$7</f>
        <v>SE</v>
      </c>
      <c r="E92" s="268" t="str">
        <f>$E$7</f>
        <v>Total</v>
      </c>
      <c r="F92" s="268"/>
      <c r="G92" s="268" t="str">
        <f>$G$7</f>
        <v>FT</v>
      </c>
      <c r="H92" s="268" t="str">
        <f>$H$7</f>
        <v>PT</v>
      </c>
      <c r="I92" s="268" t="str">
        <f>$I$7</f>
        <v>SE</v>
      </c>
      <c r="J92" s="268" t="str">
        <f>$J$7</f>
        <v>Total</v>
      </c>
      <c r="K92" s="268"/>
      <c r="L92" s="268" t="str">
        <f>$L$7</f>
        <v>FT</v>
      </c>
      <c r="M92" s="268" t="str">
        <f>$M$7</f>
        <v>PT</v>
      </c>
      <c r="N92" s="268" t="str">
        <f>$N$7</f>
        <v>SE</v>
      </c>
      <c r="O92" s="268" t="str">
        <f>$O$7</f>
        <v>Total</v>
      </c>
    </row>
    <row r="93" spans="1:15" s="236" customFormat="1" x14ac:dyDescent="0.2">
      <c r="A93" s="258"/>
      <c r="B93" s="239"/>
      <c r="C93" s="239"/>
      <c r="D93" s="239"/>
      <c r="E93" s="239"/>
      <c r="F93" s="239"/>
      <c r="G93" s="239"/>
      <c r="H93" s="239"/>
      <c r="I93" s="239"/>
      <c r="J93" s="239"/>
      <c r="K93" s="239"/>
      <c r="L93" s="239"/>
      <c r="M93" s="239"/>
      <c r="N93" s="239"/>
      <c r="O93" s="239"/>
    </row>
    <row r="94" spans="1:15" s="236" customFormat="1" x14ac:dyDescent="0.2">
      <c r="A94" s="237" t="str">
        <f>name!E$4</f>
        <v>Managers, directors and senior officials</v>
      </c>
      <c r="B94" s="302">
        <v>0.13500925372380682</v>
      </c>
      <c r="C94" s="302">
        <v>8.3834715012333534E-3</v>
      </c>
      <c r="D94" s="302">
        <v>0.12177465207266477</v>
      </c>
      <c r="E94" s="302">
        <f>SUM(B94:D94)</f>
        <v>0.26516737729770495</v>
      </c>
      <c r="F94" s="303"/>
      <c r="G94" s="302">
        <v>9.1763684787238758E-2</v>
      </c>
      <c r="H94" s="302">
        <v>2.4686666980479411E-3</v>
      </c>
      <c r="I94" s="302">
        <v>5.2888546373574798E-2</v>
      </c>
      <c r="J94" s="302">
        <f>SUM(G94:I94)</f>
        <v>0.14712089785886151</v>
      </c>
      <c r="K94" s="303"/>
      <c r="L94" s="302">
        <v>7.1844559070366701E-2</v>
      </c>
      <c r="M94" s="302">
        <v>1.9302014525028421E-3</v>
      </c>
      <c r="N94" s="302">
        <v>3.7994350003138222E-2</v>
      </c>
      <c r="O94" s="302">
        <f>SUM(L94:N94)</f>
        <v>0.11176911052600777</v>
      </c>
    </row>
    <row r="95" spans="1:15" s="236" customFormat="1" x14ac:dyDescent="0.2">
      <c r="A95" s="237" t="str">
        <f>name!E$5</f>
        <v>Professional occupations</v>
      </c>
      <c r="B95" s="302">
        <v>0.12920187199308983</v>
      </c>
      <c r="C95" s="302">
        <v>3.1378139753296022E-2</v>
      </c>
      <c r="D95" s="302">
        <v>8.5044854103892897E-2</v>
      </c>
      <c r="E95" s="302">
        <f t="shared" ref="E95:E102" si="56">SUM(B95:D95)</f>
        <v>0.24562486585027876</v>
      </c>
      <c r="F95" s="303"/>
      <c r="G95" s="302">
        <v>0.11410986342263803</v>
      </c>
      <c r="H95" s="302">
        <v>7.8048154446871652E-3</v>
      </c>
      <c r="I95" s="302">
        <v>5.2431928439599998E-2</v>
      </c>
      <c r="J95" s="302">
        <f t="shared" ref="J95:J97" si="57">SUM(G95:I95)</f>
        <v>0.17434660730692519</v>
      </c>
      <c r="K95" s="303"/>
      <c r="L95" s="302">
        <v>0.11114146481544228</v>
      </c>
      <c r="M95" s="302">
        <v>5.5331275686687619E-3</v>
      </c>
      <c r="N95" s="302">
        <v>2.8731112099737496E-2</v>
      </c>
      <c r="O95" s="302">
        <f t="shared" ref="O95:O102" si="58">SUM(L95:N95)</f>
        <v>0.14540570448384854</v>
      </c>
    </row>
    <row r="96" spans="1:15" s="236" customFormat="1" x14ac:dyDescent="0.2">
      <c r="A96" s="237" t="str">
        <f>name!E$6</f>
        <v>Associate professional occupations</v>
      </c>
      <c r="B96" s="302">
        <v>0.11345051119526847</v>
      </c>
      <c r="C96" s="302">
        <v>5.6812818818505889E-2</v>
      </c>
      <c r="D96" s="302">
        <v>0.10675267831405084</v>
      </c>
      <c r="E96" s="302">
        <f t="shared" si="56"/>
        <v>0.27701600832782519</v>
      </c>
      <c r="F96" s="303"/>
      <c r="G96" s="302">
        <v>9.4518471506068291E-2</v>
      </c>
      <c r="H96" s="302">
        <v>1.1079435182115573E-2</v>
      </c>
      <c r="I96" s="302">
        <v>4.884512695563252E-2</v>
      </c>
      <c r="J96" s="302">
        <f t="shared" si="57"/>
        <v>0.1544430336438164</v>
      </c>
      <c r="K96" s="303"/>
      <c r="L96" s="302">
        <v>7.7796678334460231E-2</v>
      </c>
      <c r="M96" s="302">
        <v>7.8719157673864133E-3</v>
      </c>
      <c r="N96" s="302">
        <v>3.7213308979669096E-2</v>
      </c>
      <c r="O96" s="302">
        <f t="shared" si="58"/>
        <v>0.12288190308151574</v>
      </c>
    </row>
    <row r="97" spans="1:15" s="236" customFormat="1" x14ac:dyDescent="0.2">
      <c r="A97" s="237" t="str">
        <f>name!E$7</f>
        <v>Administrative and secretarial occupations</v>
      </c>
      <c r="B97" s="302">
        <v>0.11124410026785198</v>
      </c>
      <c r="C97" s="302">
        <v>7.5641628313083955E-3</v>
      </c>
      <c r="D97" s="302">
        <v>2.8550672852333019E-2</v>
      </c>
      <c r="E97" s="302">
        <f t="shared" si="56"/>
        <v>0.14735893595149338</v>
      </c>
      <c r="F97" s="303"/>
      <c r="G97" s="302">
        <v>7.6939770091479828E-2</v>
      </c>
      <c r="H97" s="302">
        <v>1.5455258018723585E-3</v>
      </c>
      <c r="I97" s="302">
        <v>1.5842848526888907E-2</v>
      </c>
      <c r="J97" s="302">
        <f t="shared" si="57"/>
        <v>9.4328144420241095E-2</v>
      </c>
      <c r="K97" s="303"/>
      <c r="L97" s="302">
        <v>6.1177446757149631E-2</v>
      </c>
      <c r="M97" s="302">
        <v>5.1121347900125798E-4</v>
      </c>
      <c r="N97" s="302">
        <v>7.5511407982686166E-3</v>
      </c>
      <c r="O97" s="302">
        <f t="shared" si="58"/>
        <v>6.9239801034419513E-2</v>
      </c>
    </row>
    <row r="98" spans="1:15" s="236" customFormat="1" x14ac:dyDescent="0.2">
      <c r="A98" s="237" t="str">
        <f>name!E$8</f>
        <v>Skilled trades occupations</v>
      </c>
      <c r="B98" s="302">
        <v>0.16965762921774052</v>
      </c>
      <c r="C98" s="302">
        <v>4.3157079386365357E-2</v>
      </c>
      <c r="D98" s="302">
        <v>9.5738082186361761E-2</v>
      </c>
      <c r="E98" s="302">
        <f t="shared" si="56"/>
        <v>0.30855279079046766</v>
      </c>
      <c r="F98" s="303"/>
      <c r="G98" s="302">
        <v>8.3736231453057433E-2</v>
      </c>
      <c r="H98" s="302">
        <v>6.649962145034047E-3</v>
      </c>
      <c r="I98" s="302">
        <v>5.2434822595320452E-2</v>
      </c>
      <c r="J98" s="302">
        <f>SUM(G98:I98)</f>
        <v>0.14282101619341192</v>
      </c>
      <c r="K98" s="303"/>
      <c r="L98" s="302">
        <v>4.2106090945125157E-2</v>
      </c>
      <c r="M98" s="302">
        <v>4.0900553521882781E-3</v>
      </c>
      <c r="N98" s="302">
        <v>6.1066249906951711E-2</v>
      </c>
      <c r="O98" s="302">
        <f t="shared" si="58"/>
        <v>0.10726239620426514</v>
      </c>
    </row>
    <row r="99" spans="1:15" s="236" customFormat="1" x14ac:dyDescent="0.2">
      <c r="A99" s="237" t="str">
        <f>name!E$9</f>
        <v>Caring, leisure and other service occupations</v>
      </c>
      <c r="B99" s="302">
        <v>5.0877248675946944E-2</v>
      </c>
      <c r="C99" s="302">
        <v>9.0182199112621257E-3</v>
      </c>
      <c r="D99" s="302">
        <v>7.2503045025801613E-2</v>
      </c>
      <c r="E99" s="302">
        <f t="shared" si="56"/>
        <v>0.13239851361301069</v>
      </c>
      <c r="F99" s="303"/>
      <c r="G99" s="302">
        <v>4.3764535510703077E-2</v>
      </c>
      <c r="H99" s="302">
        <v>1.8714638082046175E-3</v>
      </c>
      <c r="I99" s="302">
        <v>5.2980936345664857E-2</v>
      </c>
      <c r="J99" s="302">
        <f t="shared" ref="J99:J102" si="59">SUM(G99:I99)</f>
        <v>9.8616935664572553E-2</v>
      </c>
      <c r="K99" s="303"/>
      <c r="L99" s="302">
        <v>3.1841356535733112E-2</v>
      </c>
      <c r="M99" s="302">
        <v>1.150537361479558E-3</v>
      </c>
      <c r="N99" s="302">
        <v>2.9894739832152836E-2</v>
      </c>
      <c r="O99" s="302">
        <f t="shared" si="58"/>
        <v>6.288663372936551E-2</v>
      </c>
    </row>
    <row r="100" spans="1:15" s="236" customFormat="1" x14ac:dyDescent="0.2">
      <c r="A100" s="237" t="str">
        <f>name!E$10</f>
        <v>Sales and customer service occupations</v>
      </c>
      <c r="B100" s="302">
        <v>3.6363644251601879E-2</v>
      </c>
      <c r="C100" s="302">
        <v>3.1844824067313059E-2</v>
      </c>
      <c r="D100" s="302">
        <v>3.4507630374421921E-2</v>
      </c>
      <c r="E100" s="302">
        <f t="shared" si="56"/>
        <v>0.10271609869333687</v>
      </c>
      <c r="F100" s="303"/>
      <c r="G100" s="302">
        <v>2.3718892453296097E-2</v>
      </c>
      <c r="H100" s="302">
        <v>5.714496374453237E-3</v>
      </c>
      <c r="I100" s="302">
        <v>1.2468229597427874E-2</v>
      </c>
      <c r="J100" s="302">
        <f t="shared" si="59"/>
        <v>4.1901618425177208E-2</v>
      </c>
      <c r="K100" s="303"/>
      <c r="L100" s="302">
        <v>1.9515879335455118E-2</v>
      </c>
      <c r="M100" s="302">
        <v>3.1462445268633653E-3</v>
      </c>
      <c r="N100" s="302">
        <v>6.1583520202696763E-3</v>
      </c>
      <c r="O100" s="302">
        <f t="shared" si="58"/>
        <v>2.882047588258816E-2</v>
      </c>
    </row>
    <row r="101" spans="1:15" s="236" customFormat="1" x14ac:dyDescent="0.2">
      <c r="A101" s="237" t="str">
        <f>name!E$11</f>
        <v>Process, plant and machine operatives</v>
      </c>
      <c r="B101" s="302">
        <v>0.44931899778114787</v>
      </c>
      <c r="C101" s="302">
        <v>0.18699123246876204</v>
      </c>
      <c r="D101" s="302">
        <v>3.0039962817818879E-2</v>
      </c>
      <c r="E101" s="302">
        <f t="shared" si="56"/>
        <v>0.6663501930677288</v>
      </c>
      <c r="F101" s="303"/>
      <c r="G101" s="302">
        <v>0.2387374251152852</v>
      </c>
      <c r="H101" s="302">
        <v>2.9244681570211716E-2</v>
      </c>
      <c r="I101" s="302">
        <v>7.6108452884716101E-3</v>
      </c>
      <c r="J101" s="302">
        <f t="shared" si="59"/>
        <v>0.27559295197396855</v>
      </c>
      <c r="K101" s="303"/>
      <c r="L101" s="302">
        <v>0.18476360898744362</v>
      </c>
      <c r="M101" s="302">
        <v>2.7974871465113856E-2</v>
      </c>
      <c r="N101" s="302">
        <v>9.7527809369343174E-3</v>
      </c>
      <c r="O101" s="302">
        <f t="shared" si="58"/>
        <v>0.2224912613894918</v>
      </c>
    </row>
    <row r="102" spans="1:15" s="236" customFormat="1" x14ac:dyDescent="0.2">
      <c r="A102" s="237" t="str">
        <f>name!E$12</f>
        <v>Elementary occupations</v>
      </c>
      <c r="B102" s="302">
        <v>0.1598767428934596</v>
      </c>
      <c r="C102" s="302">
        <v>9.985005127192173E-2</v>
      </c>
      <c r="D102" s="302">
        <v>6.9088422257547105E-2</v>
      </c>
      <c r="E102" s="302">
        <f t="shared" si="56"/>
        <v>0.32881521642292844</v>
      </c>
      <c r="F102" s="303"/>
      <c r="G102" s="302">
        <v>8.3711125655358071E-2</v>
      </c>
      <c r="H102" s="302">
        <v>1.562095297622681E-2</v>
      </c>
      <c r="I102" s="302">
        <v>2.9496715876738393E-2</v>
      </c>
      <c r="J102" s="302">
        <f t="shared" si="59"/>
        <v>0.12882879450832327</v>
      </c>
      <c r="K102" s="303"/>
      <c r="L102" s="302">
        <v>4.7812915216845699E-2</v>
      </c>
      <c r="M102" s="302">
        <v>7.7918330270615819E-3</v>
      </c>
      <c r="N102" s="302">
        <v>2.063796542558426E-2</v>
      </c>
      <c r="O102" s="302">
        <f t="shared" si="58"/>
        <v>7.6242713669491535E-2</v>
      </c>
    </row>
    <row r="103" spans="1:15" s="236" customFormat="1" x14ac:dyDescent="0.2">
      <c r="A103" s="237"/>
      <c r="B103" s="302"/>
      <c r="C103" s="302"/>
      <c r="D103" s="302"/>
      <c r="E103" s="302"/>
      <c r="F103" s="303"/>
      <c r="G103" s="302"/>
      <c r="H103" s="302"/>
      <c r="I103" s="302"/>
      <c r="J103" s="302"/>
      <c r="K103" s="303"/>
      <c r="L103" s="302"/>
      <c r="M103" s="302"/>
      <c r="N103" s="302"/>
      <c r="O103" s="302"/>
    </row>
    <row r="104" spans="1:15" s="236" customFormat="1" x14ac:dyDescent="0.2">
      <c r="A104" s="244" t="s">
        <v>32</v>
      </c>
      <c r="B104" s="311">
        <f>SUM(B94:B102)</f>
        <v>1.3549999999999138</v>
      </c>
      <c r="C104" s="311">
        <f t="shared" ref="C104:E104" si="60">SUM(C94:C102)</f>
        <v>0.47500000000996789</v>
      </c>
      <c r="D104" s="311">
        <f t="shared" si="60"/>
        <v>0.64400000000489277</v>
      </c>
      <c r="E104" s="311">
        <f t="shared" si="60"/>
        <v>2.4740000000147746</v>
      </c>
      <c r="F104" s="311"/>
      <c r="G104" s="311">
        <f t="shared" ref="G104:J104" si="61">SUM(G94:G102)</f>
        <v>0.85099999999512477</v>
      </c>
      <c r="H104" s="311">
        <f t="shared" si="61"/>
        <v>8.2000000000853474E-2</v>
      </c>
      <c r="I104" s="311">
        <f t="shared" si="61"/>
        <v>0.32499999999931944</v>
      </c>
      <c r="J104" s="311">
        <f t="shared" si="61"/>
        <v>1.2579999999952978</v>
      </c>
      <c r="K104" s="311"/>
      <c r="L104" s="311">
        <f t="shared" ref="L104:O104" si="62">SUM(L94:L102)</f>
        <v>0.6479999999980216</v>
      </c>
      <c r="M104" s="311">
        <f t="shared" si="62"/>
        <v>6.000000000026591E-2</v>
      </c>
      <c r="N104" s="311">
        <f t="shared" si="62"/>
        <v>0.23900000000270624</v>
      </c>
      <c r="O104" s="311">
        <f t="shared" si="62"/>
        <v>0.94700000000099382</v>
      </c>
    </row>
    <row r="105" spans="1:15" s="236" customFormat="1" x14ac:dyDescent="0.2">
      <c r="A105" s="237"/>
      <c r="B105" s="237"/>
      <c r="C105" s="237"/>
      <c r="D105" s="237"/>
      <c r="E105" s="237"/>
      <c r="F105" s="237"/>
      <c r="G105" s="237"/>
      <c r="H105" s="237"/>
      <c r="I105" s="237"/>
      <c r="J105" s="237"/>
      <c r="K105" s="237"/>
      <c r="L105" s="237"/>
      <c r="M105" s="237"/>
      <c r="N105" s="240"/>
    </row>
    <row r="106" spans="1:15" s="236" customFormat="1" x14ac:dyDescent="0.2">
      <c r="A106" s="237"/>
      <c r="B106" s="237"/>
      <c r="C106" s="237"/>
      <c r="D106" s="237"/>
      <c r="E106" s="237"/>
      <c r="F106" s="237"/>
      <c r="G106" s="237"/>
      <c r="H106" s="237"/>
      <c r="I106" s="237"/>
      <c r="J106" s="237"/>
      <c r="K106" s="237"/>
      <c r="L106" s="237"/>
      <c r="M106" s="237"/>
      <c r="N106" s="240"/>
      <c r="O106" s="251" t="s">
        <v>35</v>
      </c>
    </row>
    <row r="107" spans="1:15" s="236" customFormat="1" x14ac:dyDescent="0.2">
      <c r="A107" s="242"/>
      <c r="B107" s="242"/>
      <c r="C107" s="242"/>
      <c r="D107" s="242"/>
      <c r="E107" s="242"/>
      <c r="F107" s="242"/>
      <c r="G107" s="242"/>
      <c r="H107" s="242"/>
      <c r="I107" s="242"/>
      <c r="J107" s="242"/>
      <c r="K107" s="242"/>
      <c r="L107" s="242"/>
      <c r="M107" s="242"/>
      <c r="N107" s="242"/>
      <c r="O107" s="242"/>
    </row>
    <row r="108" spans="1:15" s="236" customFormat="1" x14ac:dyDescent="0.2">
      <c r="A108" s="241" t="str">
        <f>name!A9</f>
        <v>Wearing apparel; Leather, etc</v>
      </c>
      <c r="B108" s="374">
        <f>$B$6</f>
        <v>2015</v>
      </c>
      <c r="C108" s="374"/>
      <c r="D108" s="374"/>
      <c r="E108" s="374"/>
      <c r="F108" s="263"/>
      <c r="G108" s="374">
        <f>$G$6</f>
        <v>2020</v>
      </c>
      <c r="H108" s="374"/>
      <c r="I108" s="374"/>
      <c r="J108" s="374"/>
      <c r="K108" s="263"/>
      <c r="L108" s="374">
        <f>$L$6</f>
        <v>2035</v>
      </c>
      <c r="M108" s="374"/>
      <c r="N108" s="374"/>
      <c r="O108" s="374"/>
    </row>
    <row r="109" spans="1:15" s="236" customFormat="1" x14ac:dyDescent="0.2">
      <c r="A109" s="254"/>
      <c r="B109" s="268" t="str">
        <f>$B$7</f>
        <v>FT</v>
      </c>
      <c r="C109" s="268" t="str">
        <f>$C$7</f>
        <v>PT</v>
      </c>
      <c r="D109" s="268" t="str">
        <f>$D$7</f>
        <v>SE</v>
      </c>
      <c r="E109" s="268" t="str">
        <f>$E$7</f>
        <v>Total</v>
      </c>
      <c r="F109" s="268"/>
      <c r="G109" s="268" t="str">
        <f>$G$7</f>
        <v>FT</v>
      </c>
      <c r="H109" s="268" t="str">
        <f>$H$7</f>
        <v>PT</v>
      </c>
      <c r="I109" s="268" t="str">
        <f>$I$7</f>
        <v>SE</v>
      </c>
      <c r="J109" s="268" t="str">
        <f>$J$7</f>
        <v>Total</v>
      </c>
      <c r="K109" s="268"/>
      <c r="L109" s="268" t="str">
        <f>$L$7</f>
        <v>FT</v>
      </c>
      <c r="M109" s="268" t="str">
        <f>$M$7</f>
        <v>PT</v>
      </c>
      <c r="N109" s="268" t="str">
        <f>$N$7</f>
        <v>SE</v>
      </c>
      <c r="O109" s="268" t="str">
        <f>$O$7</f>
        <v>Total</v>
      </c>
    </row>
    <row r="110" spans="1:15" s="236" customFormat="1" x14ac:dyDescent="0.2">
      <c r="A110" s="258"/>
      <c r="B110" s="239"/>
      <c r="C110" s="239"/>
      <c r="D110" s="239"/>
      <c r="E110" s="239"/>
      <c r="F110" s="239"/>
      <c r="G110" s="239"/>
      <c r="H110" s="239"/>
      <c r="I110" s="239"/>
      <c r="J110" s="239"/>
      <c r="K110" s="239"/>
      <c r="L110" s="239"/>
      <c r="M110" s="239"/>
      <c r="N110" s="239"/>
      <c r="O110" s="239"/>
    </row>
    <row r="111" spans="1:15" s="236" customFormat="1" x14ac:dyDescent="0.2">
      <c r="A111" s="237" t="str">
        <f>name!E$4</f>
        <v>Managers, directors and senior officials</v>
      </c>
      <c r="B111" s="302">
        <v>3.4660727009419738E-2</v>
      </c>
      <c r="C111" s="302">
        <v>4.1321505089810355E-3</v>
      </c>
      <c r="D111" s="302">
        <v>2.2265339711819911E-2</v>
      </c>
      <c r="E111" s="302">
        <f>SUM(B111:D111)</f>
        <v>6.1058217230220681E-2</v>
      </c>
      <c r="F111" s="303"/>
      <c r="G111" s="302">
        <v>9.0718581766123501E-3</v>
      </c>
      <c r="H111" s="302">
        <v>6.2852177407394269E-4</v>
      </c>
      <c r="I111" s="302">
        <v>1.7645897712708031E-3</v>
      </c>
      <c r="J111" s="302">
        <f>SUM(G111:I111)</f>
        <v>1.1464969721957095E-2</v>
      </c>
      <c r="K111" s="303"/>
      <c r="L111" s="302">
        <v>7.3973000242412157E-3</v>
      </c>
      <c r="M111" s="302">
        <v>4.3782340319707208E-4</v>
      </c>
      <c r="N111" s="302">
        <v>1.4985590195242204E-3</v>
      </c>
      <c r="O111" s="302">
        <f>SUM(L111:N111)</f>
        <v>9.3336824469625081E-3</v>
      </c>
    </row>
    <row r="112" spans="1:15" s="236" customFormat="1" x14ac:dyDescent="0.2">
      <c r="A112" s="237" t="str">
        <f>name!E$5</f>
        <v>Professional occupations</v>
      </c>
      <c r="B112" s="302">
        <v>7.6039929621586511E-2</v>
      </c>
      <c r="C112" s="302">
        <v>9.8780443528543749E-3</v>
      </c>
      <c r="D112" s="302">
        <v>1.5252031168477375E-2</v>
      </c>
      <c r="E112" s="302">
        <f t="shared" ref="E112:E119" si="63">SUM(B112:D112)</f>
        <v>0.10117000514291825</v>
      </c>
      <c r="F112" s="303"/>
      <c r="G112" s="302">
        <v>2.5070849142338921E-2</v>
      </c>
      <c r="H112" s="302">
        <v>1.5024328944034865E-3</v>
      </c>
      <c r="I112" s="302">
        <v>1.7942656628710787E-3</v>
      </c>
      <c r="J112" s="302">
        <f t="shared" ref="J112:J114" si="64">SUM(G112:I112)</f>
        <v>2.8367547699613485E-2</v>
      </c>
      <c r="K112" s="303"/>
      <c r="L112" s="302">
        <v>2.3527137716020188E-2</v>
      </c>
      <c r="M112" s="302">
        <v>1.0907996369823904E-3</v>
      </c>
      <c r="N112" s="302">
        <v>1.1376123149404846E-3</v>
      </c>
      <c r="O112" s="302">
        <f t="shared" ref="O112:O119" si="65">SUM(L112:N112)</f>
        <v>2.5755549667943061E-2</v>
      </c>
    </row>
    <row r="113" spans="1:15" s="236" customFormat="1" x14ac:dyDescent="0.2">
      <c r="A113" s="237" t="str">
        <f>name!E$6</f>
        <v>Associate professional occupations</v>
      </c>
      <c r="B113" s="302">
        <v>8.3674218086085453E-2</v>
      </c>
      <c r="C113" s="302">
        <v>2.5607022843896467E-2</v>
      </c>
      <c r="D113" s="302">
        <v>3.4795275381720073E-2</v>
      </c>
      <c r="E113" s="302">
        <f t="shared" si="63"/>
        <v>0.14407651631170199</v>
      </c>
      <c r="F113" s="303"/>
      <c r="G113" s="302">
        <v>2.4836470444456395E-2</v>
      </c>
      <c r="H113" s="302">
        <v>3.4319972455274989E-3</v>
      </c>
      <c r="I113" s="302">
        <v>4.6243756731343044E-3</v>
      </c>
      <c r="J113" s="302">
        <f t="shared" si="64"/>
        <v>3.28928433631182E-2</v>
      </c>
      <c r="K113" s="303"/>
      <c r="L113" s="302">
        <v>1.9573876845282539E-2</v>
      </c>
      <c r="M113" s="302">
        <v>2.6919810541901202E-3</v>
      </c>
      <c r="N113" s="302">
        <v>3.8468940023615879E-3</v>
      </c>
      <c r="O113" s="302">
        <f t="shared" si="65"/>
        <v>2.6112751901834246E-2</v>
      </c>
    </row>
    <row r="114" spans="1:15" s="236" customFormat="1" x14ac:dyDescent="0.2">
      <c r="A114" s="237" t="str">
        <f>name!E$7</f>
        <v>Administrative and secretarial occupations</v>
      </c>
      <c r="B114" s="302">
        <v>3.0073555811420693E-2</v>
      </c>
      <c r="C114" s="302">
        <v>1.5024570429802816E-2</v>
      </c>
      <c r="D114" s="302">
        <v>8.0212352317142899E-3</v>
      </c>
      <c r="E114" s="302">
        <f t="shared" si="63"/>
        <v>5.3119361472937797E-2</v>
      </c>
      <c r="F114" s="303"/>
      <c r="G114" s="302">
        <v>7.2760971509827424E-3</v>
      </c>
      <c r="H114" s="302">
        <v>1.5775981434932058E-3</v>
      </c>
      <c r="I114" s="302">
        <v>5.2090869009133102E-4</v>
      </c>
      <c r="J114" s="302">
        <f t="shared" si="64"/>
        <v>9.3746039845672806E-3</v>
      </c>
      <c r="K114" s="303"/>
      <c r="L114" s="302">
        <v>4.8720287964272224E-3</v>
      </c>
      <c r="M114" s="302">
        <v>4.7684257343593849E-4</v>
      </c>
      <c r="N114" s="302">
        <v>1.2904239666097039E-3</v>
      </c>
      <c r="O114" s="302">
        <f t="shared" si="65"/>
        <v>6.6392953364728651E-3</v>
      </c>
    </row>
    <row r="115" spans="1:15" s="236" customFormat="1" x14ac:dyDescent="0.2">
      <c r="A115" s="237" t="str">
        <f>name!E$8</f>
        <v>Skilled trades occupations</v>
      </c>
      <c r="B115" s="302">
        <v>6.3535224649934538E-2</v>
      </c>
      <c r="C115" s="302">
        <v>3.6128341633876307E-2</v>
      </c>
      <c r="D115" s="302">
        <v>6.7109664575422764E-2</v>
      </c>
      <c r="E115" s="302">
        <f t="shared" si="63"/>
        <v>0.16677323085923362</v>
      </c>
      <c r="F115" s="303"/>
      <c r="G115" s="302">
        <v>1.3567790025797298E-2</v>
      </c>
      <c r="H115" s="302">
        <v>3.3987406040754042E-3</v>
      </c>
      <c r="I115" s="302">
        <v>8.4570580943151251E-3</v>
      </c>
      <c r="J115" s="302">
        <f>SUM(G115:I115)</f>
        <v>2.5423588724187828E-2</v>
      </c>
      <c r="K115" s="303"/>
      <c r="L115" s="302">
        <v>8.3057357513414299E-3</v>
      </c>
      <c r="M115" s="302">
        <v>1.4500605916397112E-3</v>
      </c>
      <c r="N115" s="302">
        <v>3.0601106155004345E-3</v>
      </c>
      <c r="O115" s="302">
        <f t="shared" si="65"/>
        <v>1.2815906958481576E-2</v>
      </c>
    </row>
    <row r="116" spans="1:15" s="236" customFormat="1" x14ac:dyDescent="0.2">
      <c r="A116" s="237" t="str">
        <f>name!E$9</f>
        <v>Caring, leisure and other service occupations</v>
      </c>
      <c r="B116" s="302">
        <v>0.2555773091163171</v>
      </c>
      <c r="C116" s="302">
        <v>0.10656504623644507</v>
      </c>
      <c r="D116" s="302">
        <v>3.2880500906982288E-2</v>
      </c>
      <c r="E116" s="302">
        <f t="shared" si="63"/>
        <v>0.39502285625974448</v>
      </c>
      <c r="F116" s="303"/>
      <c r="G116" s="302">
        <v>7.2542229048862664E-2</v>
      </c>
      <c r="H116" s="302">
        <v>1.3580742458676019E-2</v>
      </c>
      <c r="I116" s="302">
        <v>7.8736220849471312E-3</v>
      </c>
      <c r="J116" s="302">
        <f t="shared" ref="J116:J119" si="66">SUM(G116:I116)</f>
        <v>9.3996593592485814E-2</v>
      </c>
      <c r="K116" s="303"/>
      <c r="L116" s="302">
        <v>5.9064248662480535E-2</v>
      </c>
      <c r="M116" s="302">
        <v>1.3367676995574833E-2</v>
      </c>
      <c r="N116" s="302">
        <v>7.8849895362850426E-3</v>
      </c>
      <c r="O116" s="302">
        <f t="shared" si="65"/>
        <v>8.0316915194340407E-2</v>
      </c>
    </row>
    <row r="117" spans="1:15" s="236" customFormat="1" x14ac:dyDescent="0.2">
      <c r="A117" s="237" t="str">
        <f>name!E$10</f>
        <v>Sales and customer service occupations</v>
      </c>
      <c r="B117" s="302">
        <v>1.7597075657149294E-2</v>
      </c>
      <c r="C117" s="302">
        <v>2.834187305077036E-2</v>
      </c>
      <c r="D117" s="302">
        <v>7.7462802175062391E-3</v>
      </c>
      <c r="E117" s="302">
        <f t="shared" si="63"/>
        <v>5.368522892542589E-2</v>
      </c>
      <c r="F117" s="303"/>
      <c r="G117" s="302">
        <v>4.2740902957984573E-3</v>
      </c>
      <c r="H117" s="302">
        <v>2.5453726197951511E-3</v>
      </c>
      <c r="I117" s="302">
        <v>5.9448060581503495E-4</v>
      </c>
      <c r="J117" s="302">
        <f t="shared" si="66"/>
        <v>7.4139435214086429E-3</v>
      </c>
      <c r="K117" s="303"/>
      <c r="L117" s="302">
        <v>3.4200373990531312E-3</v>
      </c>
      <c r="M117" s="302">
        <v>1.1116746918202755E-3</v>
      </c>
      <c r="N117" s="302">
        <v>3.6289735958829105E-4</v>
      </c>
      <c r="O117" s="302">
        <f t="shared" si="65"/>
        <v>4.8946094504616969E-3</v>
      </c>
    </row>
    <row r="118" spans="1:15" s="236" customFormat="1" x14ac:dyDescent="0.2">
      <c r="A118" s="237" t="str">
        <f>name!E$11</f>
        <v>Process, plant and machine operatives</v>
      </c>
      <c r="B118" s="302">
        <v>0.29454958100879763</v>
      </c>
      <c r="C118" s="302">
        <v>7.2778852970607724E-2</v>
      </c>
      <c r="D118" s="302">
        <v>2.5964542921647019E-2</v>
      </c>
      <c r="E118" s="302">
        <f t="shared" si="63"/>
        <v>0.39329297690105236</v>
      </c>
      <c r="F118" s="303"/>
      <c r="G118" s="302">
        <v>5.8705043569548143E-2</v>
      </c>
      <c r="H118" s="302">
        <v>7.0756237022972261E-3</v>
      </c>
      <c r="I118" s="302">
        <v>3.5381029101850146E-3</v>
      </c>
      <c r="J118" s="302">
        <f t="shared" si="66"/>
        <v>6.9318770182030379E-2</v>
      </c>
      <c r="K118" s="303"/>
      <c r="L118" s="302">
        <v>4.6661470954198744E-2</v>
      </c>
      <c r="M118" s="302">
        <v>4.8931580929402977E-3</v>
      </c>
      <c r="N118" s="302">
        <v>1.109577093253876E-3</v>
      </c>
      <c r="O118" s="302">
        <f t="shared" si="65"/>
        <v>5.2664206140392918E-2</v>
      </c>
    </row>
    <row r="119" spans="1:15" s="236" customFormat="1" x14ac:dyDescent="0.2">
      <c r="A119" s="237" t="str">
        <f>name!E$12</f>
        <v>Elementary occupations</v>
      </c>
      <c r="B119" s="302">
        <v>0.20229237904122763</v>
      </c>
      <c r="C119" s="302">
        <v>6.8544097977662088E-2</v>
      </c>
      <c r="D119" s="302">
        <v>0.1189651298921728</v>
      </c>
      <c r="E119" s="302">
        <f t="shared" si="63"/>
        <v>0.38980160691106247</v>
      </c>
      <c r="F119" s="303"/>
      <c r="G119" s="302">
        <v>3.165557214386925E-2</v>
      </c>
      <c r="H119" s="302">
        <v>6.2589705575716702E-3</v>
      </c>
      <c r="I119" s="302">
        <v>1.6832596506184773E-2</v>
      </c>
      <c r="J119" s="302">
        <f t="shared" si="66"/>
        <v>5.4747139207625695E-2</v>
      </c>
      <c r="K119" s="303"/>
      <c r="L119" s="302">
        <v>1.6178163851394919E-2</v>
      </c>
      <c r="M119" s="302">
        <v>3.4799829603386306E-3</v>
      </c>
      <c r="N119" s="302">
        <v>1.3808936092670027E-2</v>
      </c>
      <c r="O119" s="302">
        <f t="shared" si="65"/>
        <v>3.3467082904403575E-2</v>
      </c>
    </row>
    <row r="120" spans="1:15" s="236" customFormat="1" x14ac:dyDescent="0.2">
      <c r="A120" s="237"/>
      <c r="B120" s="302"/>
      <c r="C120" s="302"/>
      <c r="D120" s="302"/>
      <c r="E120" s="302"/>
      <c r="F120" s="303"/>
      <c r="G120" s="302"/>
      <c r="H120" s="302"/>
      <c r="I120" s="302"/>
      <c r="J120" s="302"/>
      <c r="K120" s="303"/>
      <c r="L120" s="302"/>
      <c r="M120" s="302"/>
      <c r="N120" s="302"/>
      <c r="O120" s="302"/>
    </row>
    <row r="121" spans="1:15" s="236" customFormat="1" x14ac:dyDescent="0.2">
      <c r="A121" s="244" t="s">
        <v>32</v>
      </c>
      <c r="B121" s="311">
        <f>SUM(B111:B119)</f>
        <v>1.0580000000019387</v>
      </c>
      <c r="C121" s="311">
        <f t="shared" ref="C121:E121" si="67">SUM(C111:C119)</f>
        <v>0.36700000000489624</v>
      </c>
      <c r="D121" s="311">
        <f t="shared" si="67"/>
        <v>0.33300000000746272</v>
      </c>
      <c r="E121" s="311">
        <f t="shared" si="67"/>
        <v>1.7580000000142975</v>
      </c>
      <c r="F121" s="311"/>
      <c r="G121" s="311">
        <f t="shared" ref="G121:J121" si="68">SUM(G111:G119)</f>
        <v>0.24699999999826619</v>
      </c>
      <c r="H121" s="311">
        <f t="shared" si="68"/>
        <v>3.9999999999913605E-2</v>
      </c>
      <c r="I121" s="311">
        <f t="shared" si="68"/>
        <v>4.59999999988146E-2</v>
      </c>
      <c r="J121" s="311">
        <f t="shared" si="68"/>
        <v>0.33299999999699442</v>
      </c>
      <c r="K121" s="311"/>
      <c r="L121" s="311">
        <f t="shared" ref="L121:O121" si="69">SUM(L111:L119)</f>
        <v>0.18900000000043993</v>
      </c>
      <c r="M121" s="311">
        <f t="shared" si="69"/>
        <v>2.9000000000119267E-2</v>
      </c>
      <c r="N121" s="311">
        <f t="shared" si="69"/>
        <v>3.4000000000733666E-2</v>
      </c>
      <c r="O121" s="311">
        <f t="shared" si="69"/>
        <v>0.25200000000129286</v>
      </c>
    </row>
    <row r="122" spans="1:15" s="236" customFormat="1" x14ac:dyDescent="0.2">
      <c r="A122" s="237"/>
      <c r="B122" s="237"/>
      <c r="C122" s="237"/>
      <c r="D122" s="237"/>
      <c r="E122" s="237"/>
      <c r="F122" s="237"/>
      <c r="G122" s="237"/>
      <c r="H122" s="237"/>
      <c r="I122" s="237"/>
      <c r="J122" s="237"/>
      <c r="K122" s="237"/>
      <c r="L122" s="237"/>
      <c r="M122" s="237"/>
      <c r="N122" s="240"/>
    </row>
    <row r="123" spans="1:15" s="236" customFormat="1" x14ac:dyDescent="0.2">
      <c r="A123" s="237"/>
      <c r="B123" s="237"/>
      <c r="C123" s="237"/>
      <c r="D123" s="237"/>
      <c r="E123" s="237"/>
      <c r="F123" s="237"/>
      <c r="G123" s="237"/>
      <c r="H123" s="237"/>
      <c r="I123" s="237"/>
      <c r="J123" s="237"/>
      <c r="K123" s="237"/>
      <c r="L123" s="237"/>
      <c r="M123" s="237"/>
      <c r="N123" s="240"/>
      <c r="O123" s="251" t="s">
        <v>35</v>
      </c>
    </row>
    <row r="124" spans="1:15" s="236" customFormat="1" x14ac:dyDescent="0.2">
      <c r="A124" s="242"/>
      <c r="B124" s="242"/>
      <c r="C124" s="242"/>
      <c r="D124" s="242"/>
      <c r="E124" s="242"/>
      <c r="F124" s="242"/>
      <c r="G124" s="242"/>
      <c r="H124" s="242"/>
      <c r="I124" s="242"/>
      <c r="J124" s="242"/>
      <c r="K124" s="242"/>
      <c r="L124" s="242"/>
      <c r="M124" s="242"/>
      <c r="N124" s="242"/>
      <c r="O124" s="242"/>
    </row>
    <row r="125" spans="1:15" s="236" customFormat="1" x14ac:dyDescent="0.2">
      <c r="A125" s="241" t="str">
        <f>name!A10</f>
        <v xml:space="preserve">Wood and cork </v>
      </c>
      <c r="B125" s="374">
        <f>$B$6</f>
        <v>2015</v>
      </c>
      <c r="C125" s="374"/>
      <c r="D125" s="374"/>
      <c r="E125" s="374"/>
      <c r="F125" s="263"/>
      <c r="G125" s="374">
        <f>$G$6</f>
        <v>2020</v>
      </c>
      <c r="H125" s="374"/>
      <c r="I125" s="374"/>
      <c r="J125" s="374"/>
      <c r="K125" s="263"/>
      <c r="L125" s="374">
        <f>$L$6</f>
        <v>2035</v>
      </c>
      <c r="M125" s="374"/>
      <c r="N125" s="374"/>
      <c r="O125" s="374"/>
    </row>
    <row r="126" spans="1:15" s="236" customFormat="1" x14ac:dyDescent="0.2">
      <c r="A126" s="254"/>
      <c r="B126" s="268" t="str">
        <f>$B$7</f>
        <v>FT</v>
      </c>
      <c r="C126" s="268" t="str">
        <f>$C$7</f>
        <v>PT</v>
      </c>
      <c r="D126" s="268" t="str">
        <f>$D$7</f>
        <v>SE</v>
      </c>
      <c r="E126" s="268" t="str">
        <f>$E$7</f>
        <v>Total</v>
      </c>
      <c r="F126" s="268"/>
      <c r="G126" s="268" t="str">
        <f>$G$7</f>
        <v>FT</v>
      </c>
      <c r="H126" s="268" t="str">
        <f>$H$7</f>
        <v>PT</v>
      </c>
      <c r="I126" s="268" t="str">
        <f>$I$7</f>
        <v>SE</v>
      </c>
      <c r="J126" s="268" t="str">
        <f>$J$7</f>
        <v>Total</v>
      </c>
      <c r="K126" s="268"/>
      <c r="L126" s="268" t="str">
        <f>$L$7</f>
        <v>FT</v>
      </c>
      <c r="M126" s="268" t="str">
        <f>$M$7</f>
        <v>PT</v>
      </c>
      <c r="N126" s="268" t="str">
        <f>$N$7</f>
        <v>SE</v>
      </c>
      <c r="O126" s="268" t="str">
        <f>$O$7</f>
        <v>Total</v>
      </c>
    </row>
    <row r="127" spans="1:15" s="236" customFormat="1" x14ac:dyDescent="0.2">
      <c r="A127" s="258"/>
      <c r="B127" s="239"/>
      <c r="C127" s="239"/>
      <c r="D127" s="239"/>
      <c r="E127" s="239"/>
      <c r="F127" s="239"/>
      <c r="G127" s="239"/>
      <c r="H127" s="239"/>
      <c r="I127" s="239"/>
      <c r="J127" s="239"/>
      <c r="K127" s="239"/>
      <c r="L127" s="239"/>
      <c r="M127" s="239"/>
      <c r="N127" s="239"/>
      <c r="O127" s="239"/>
    </row>
    <row r="128" spans="1:15" s="236" customFormat="1" x14ac:dyDescent="0.2">
      <c r="A128" s="237" t="str">
        <f>name!E$4</f>
        <v>Managers, directors and senior officials</v>
      </c>
      <c r="B128" s="302">
        <v>0.15068780808090321</v>
      </c>
      <c r="C128" s="302">
        <v>1.8389921566804694E-2</v>
      </c>
      <c r="D128" s="302">
        <v>4.0098220312706261E-2</v>
      </c>
      <c r="E128" s="302">
        <f>SUM(B128:D128)</f>
        <v>0.20917594996041416</v>
      </c>
      <c r="F128" s="303"/>
      <c r="G128" s="302">
        <v>0.26532307892126533</v>
      </c>
      <c r="H128" s="302">
        <v>2.8353157519399458E-2</v>
      </c>
      <c r="I128" s="302">
        <v>2.6207255561047425E-3</v>
      </c>
      <c r="J128" s="302">
        <f>SUM(G128:I128)</f>
        <v>0.29629696199676953</v>
      </c>
      <c r="K128" s="303"/>
      <c r="L128" s="302">
        <v>0.25341866314494416</v>
      </c>
      <c r="M128" s="302">
        <v>3.0568843707807235E-2</v>
      </c>
      <c r="N128" s="302">
        <v>2.5678920654158438E-3</v>
      </c>
      <c r="O128" s="302">
        <f>SUM(L128:N128)</f>
        <v>0.28655539891816723</v>
      </c>
    </row>
    <row r="129" spans="1:15" s="236" customFormat="1" x14ac:dyDescent="0.2">
      <c r="A129" s="237" t="str">
        <f>name!E$5</f>
        <v>Professional occupations</v>
      </c>
      <c r="B129" s="302">
        <v>0.11101952335227221</v>
      </c>
      <c r="C129" s="302">
        <v>1.9614451626362703E-2</v>
      </c>
      <c r="D129" s="302">
        <v>1.3835156972254258E-2</v>
      </c>
      <c r="E129" s="302">
        <f t="shared" ref="E129:E136" si="70">SUM(B129:D129)</f>
        <v>0.14446913195088917</v>
      </c>
      <c r="F129" s="303"/>
      <c r="G129" s="302">
        <v>0.22599578495962386</v>
      </c>
      <c r="H129" s="302">
        <v>2.3491495706514126E-2</v>
      </c>
      <c r="I129" s="302">
        <v>3.3687219013727121E-4</v>
      </c>
      <c r="J129" s="302">
        <f t="shared" ref="J129:J131" si="71">SUM(G129:I129)</f>
        <v>0.24982415285627527</v>
      </c>
      <c r="K129" s="303"/>
      <c r="L129" s="302">
        <v>0.2607431145419038</v>
      </c>
      <c r="M129" s="302">
        <v>2.319818262258657E-2</v>
      </c>
      <c r="N129" s="302">
        <v>2.2725035521420481E-4</v>
      </c>
      <c r="O129" s="302">
        <f t="shared" ref="O129:O136" si="72">SUM(L129:N129)</f>
        <v>0.28416854751970455</v>
      </c>
    </row>
    <row r="130" spans="1:15" s="236" customFormat="1" x14ac:dyDescent="0.2">
      <c r="A130" s="237" t="str">
        <f>name!E$6</f>
        <v>Associate professional occupations</v>
      </c>
      <c r="B130" s="302">
        <v>0.17316870277626067</v>
      </c>
      <c r="C130" s="302">
        <v>2.47278302368177E-2</v>
      </c>
      <c r="D130" s="302">
        <v>9.9550428065325915E-3</v>
      </c>
      <c r="E130" s="302">
        <f t="shared" si="70"/>
        <v>0.20785157581961097</v>
      </c>
      <c r="F130" s="303"/>
      <c r="G130" s="302">
        <v>0.31482132764142673</v>
      </c>
      <c r="H130" s="302">
        <v>2.6945680306484435E-2</v>
      </c>
      <c r="I130" s="302">
        <v>3.6753026547311899E-4</v>
      </c>
      <c r="J130" s="302">
        <f t="shared" si="71"/>
        <v>0.34213453821338424</v>
      </c>
      <c r="K130" s="303"/>
      <c r="L130" s="302">
        <v>0.27466229228870576</v>
      </c>
      <c r="M130" s="302">
        <v>2.1910759829947547E-2</v>
      </c>
      <c r="N130" s="302">
        <v>2.8208240722875046E-4</v>
      </c>
      <c r="O130" s="302">
        <f t="shared" si="72"/>
        <v>0.29685513452588208</v>
      </c>
    </row>
    <row r="131" spans="1:15" s="236" customFormat="1" x14ac:dyDescent="0.2">
      <c r="A131" s="237" t="str">
        <f>name!E$7</f>
        <v>Administrative and secretarial occupations</v>
      </c>
      <c r="B131" s="302">
        <v>9.0796959296932184E-2</v>
      </c>
      <c r="C131" s="302">
        <v>0.39281544139506597</v>
      </c>
      <c r="D131" s="302">
        <v>3.8728794660291836E-3</v>
      </c>
      <c r="E131" s="302">
        <f t="shared" si="70"/>
        <v>0.48748528015802739</v>
      </c>
      <c r="F131" s="303"/>
      <c r="G131" s="302">
        <v>0.16279748717758818</v>
      </c>
      <c r="H131" s="302">
        <v>0.24251337477806595</v>
      </c>
      <c r="I131" s="302">
        <v>1.4938515227071606E-3</v>
      </c>
      <c r="J131" s="302">
        <f t="shared" si="71"/>
        <v>0.40680471347836128</v>
      </c>
      <c r="K131" s="303"/>
      <c r="L131" s="302">
        <v>0.13461776832480102</v>
      </c>
      <c r="M131" s="302">
        <v>0.20103648102332619</v>
      </c>
      <c r="N131" s="302">
        <v>8.8191315276242566E-4</v>
      </c>
      <c r="O131" s="302">
        <f t="shared" si="72"/>
        <v>0.33653616250088964</v>
      </c>
    </row>
    <row r="132" spans="1:15" s="236" customFormat="1" x14ac:dyDescent="0.2">
      <c r="A132" s="237" t="str">
        <f>name!E$8</f>
        <v>Skilled trades occupations</v>
      </c>
      <c r="B132" s="302">
        <v>0.86730856934403322</v>
      </c>
      <c r="C132" s="302">
        <v>4.0002452246138832E-2</v>
      </c>
      <c r="D132" s="302">
        <v>0.23460240427856904</v>
      </c>
      <c r="E132" s="302">
        <f t="shared" si="70"/>
        <v>1.1419134258687411</v>
      </c>
      <c r="F132" s="303"/>
      <c r="G132" s="302">
        <v>0.97825546949061526</v>
      </c>
      <c r="H132" s="302">
        <v>5.9767344626853146E-2</v>
      </c>
      <c r="I132" s="302">
        <v>6.0171191985498237E-3</v>
      </c>
      <c r="J132" s="302">
        <f>SUM(G132:I132)</f>
        <v>1.0440399333160182</v>
      </c>
      <c r="K132" s="303"/>
      <c r="L132" s="302">
        <v>0.7817393894692477</v>
      </c>
      <c r="M132" s="302">
        <v>7.3624094276750179E-2</v>
      </c>
      <c r="N132" s="302">
        <v>7.6368672603886077E-3</v>
      </c>
      <c r="O132" s="302">
        <f t="shared" si="72"/>
        <v>0.8630003510063865</v>
      </c>
    </row>
    <row r="133" spans="1:15" s="236" customFormat="1" x14ac:dyDescent="0.2">
      <c r="A133" s="237" t="str">
        <f>name!E$9</f>
        <v>Caring, leisure and other service occupations</v>
      </c>
      <c r="B133" s="302">
        <v>4.4943555388303755E-3</v>
      </c>
      <c r="C133" s="302">
        <v>9.3331320220589008E-3</v>
      </c>
      <c r="D133" s="302">
        <v>3.5538457927465953E-3</v>
      </c>
      <c r="E133" s="302">
        <f t="shared" si="70"/>
        <v>1.7381333353635869E-2</v>
      </c>
      <c r="F133" s="303"/>
      <c r="G133" s="302">
        <v>7.3043885940181361E-3</v>
      </c>
      <c r="H133" s="302">
        <v>7.3096321915010918E-3</v>
      </c>
      <c r="I133" s="302">
        <v>5.9397956396496881E-4</v>
      </c>
      <c r="J133" s="302">
        <f t="shared" ref="J133:J136" si="73">SUM(G133:I133)</f>
        <v>1.5208000349484196E-2</v>
      </c>
      <c r="K133" s="303"/>
      <c r="L133" s="302">
        <v>5.5442721979713097E-3</v>
      </c>
      <c r="M133" s="302">
        <v>6.551670766389529E-3</v>
      </c>
      <c r="N133" s="302">
        <v>4.2292718801985286E-4</v>
      </c>
      <c r="O133" s="302">
        <f t="shared" si="72"/>
        <v>1.2518870152380693E-2</v>
      </c>
    </row>
    <row r="134" spans="1:15" s="236" customFormat="1" x14ac:dyDescent="0.2">
      <c r="A134" s="237" t="str">
        <f>name!E$10</f>
        <v>Sales and customer service occupations</v>
      </c>
      <c r="B134" s="302">
        <v>3.0424576797631317E-2</v>
      </c>
      <c r="C134" s="302">
        <v>6.4970546634244966E-2</v>
      </c>
      <c r="D134" s="302">
        <v>3.8572031102734844E-3</v>
      </c>
      <c r="E134" s="302">
        <f t="shared" si="70"/>
        <v>9.9252326542149771E-2</v>
      </c>
      <c r="F134" s="303"/>
      <c r="G134" s="302">
        <v>4.7575103668831192E-2</v>
      </c>
      <c r="H134" s="302">
        <v>4.6488820848576792E-2</v>
      </c>
      <c r="I134" s="302">
        <v>4.1218345140775974E-4</v>
      </c>
      <c r="J134" s="302">
        <f t="shared" si="73"/>
        <v>9.447610796881574E-2</v>
      </c>
      <c r="K134" s="303"/>
      <c r="L134" s="302">
        <v>4.5404464969772233E-2</v>
      </c>
      <c r="M134" s="302">
        <v>5.0539194894588461E-2</v>
      </c>
      <c r="N134" s="302">
        <v>3.0441873363683524E-4</v>
      </c>
      <c r="O134" s="302">
        <f t="shared" si="72"/>
        <v>9.6248078597997527E-2</v>
      </c>
    </row>
    <row r="135" spans="1:15" s="236" customFormat="1" x14ac:dyDescent="0.2">
      <c r="A135" s="237" t="str">
        <f>name!E$11</f>
        <v>Process, plant and machine operatives</v>
      </c>
      <c r="B135" s="302">
        <v>1.0200883027172789</v>
      </c>
      <c r="C135" s="302">
        <v>5.5843837551931154E-2</v>
      </c>
      <c r="D135" s="302">
        <v>3.9025006241529395E-2</v>
      </c>
      <c r="E135" s="302">
        <f t="shared" si="70"/>
        <v>1.1149571465107395</v>
      </c>
      <c r="F135" s="303"/>
      <c r="G135" s="302">
        <v>1.183510620708504</v>
      </c>
      <c r="H135" s="302">
        <v>8.499185549453124E-2</v>
      </c>
      <c r="I135" s="302">
        <v>2.9650074628029423E-4</v>
      </c>
      <c r="J135" s="302">
        <f t="shared" si="73"/>
        <v>1.2687989769493155</v>
      </c>
      <c r="K135" s="303"/>
      <c r="L135" s="302">
        <v>1.2658484441029063</v>
      </c>
      <c r="M135" s="302">
        <v>0.12091559289792161</v>
      </c>
      <c r="N135" s="302">
        <v>3.7903031224098717E-4</v>
      </c>
      <c r="O135" s="302">
        <f t="shared" si="72"/>
        <v>1.3871430673130689</v>
      </c>
    </row>
    <row r="136" spans="1:15" s="236" customFormat="1" x14ac:dyDescent="0.2">
      <c r="A136" s="237" t="str">
        <f>name!E$12</f>
        <v>Elementary occupations</v>
      </c>
      <c r="B136" s="302">
        <v>0.15101120210763025</v>
      </c>
      <c r="C136" s="302">
        <v>6.7302386730231409E-2</v>
      </c>
      <c r="D136" s="302">
        <v>3.1200241011562577E-2</v>
      </c>
      <c r="E136" s="302">
        <f t="shared" si="70"/>
        <v>0.24951382984942425</v>
      </c>
      <c r="F136" s="303"/>
      <c r="G136" s="302">
        <v>0.17441673883918624</v>
      </c>
      <c r="H136" s="302">
        <v>4.6138638527115181E-2</v>
      </c>
      <c r="I136" s="302">
        <v>1.8612375050057089E-3</v>
      </c>
      <c r="J136" s="302">
        <f t="shared" si="73"/>
        <v>0.22241661487130715</v>
      </c>
      <c r="K136" s="303"/>
      <c r="L136" s="302">
        <v>9.5021590924833726E-2</v>
      </c>
      <c r="M136" s="302">
        <v>2.8655179979786213E-2</v>
      </c>
      <c r="N136" s="302">
        <v>1.2976185251915974E-3</v>
      </c>
      <c r="O136" s="302">
        <f t="shared" si="72"/>
        <v>0.12497438942981154</v>
      </c>
    </row>
    <row r="137" spans="1:15" s="236" customFormat="1" x14ac:dyDescent="0.2">
      <c r="A137" s="237"/>
      <c r="B137" s="302"/>
      <c r="C137" s="302"/>
      <c r="D137" s="302"/>
      <c r="E137" s="302"/>
      <c r="F137" s="303"/>
      <c r="G137" s="302"/>
      <c r="H137" s="302"/>
      <c r="I137" s="302"/>
      <c r="J137" s="302"/>
      <c r="K137" s="303"/>
      <c r="L137" s="302"/>
      <c r="M137" s="302"/>
      <c r="N137" s="302"/>
      <c r="O137" s="302"/>
    </row>
    <row r="138" spans="1:15" s="236" customFormat="1" x14ac:dyDescent="0.2">
      <c r="A138" s="244" t="s">
        <v>32</v>
      </c>
      <c r="B138" s="311">
        <f>SUM(B128:B136)</f>
        <v>2.5990000000117726</v>
      </c>
      <c r="C138" s="311">
        <f t="shared" ref="C138:E138" si="74">SUM(C128:C136)</f>
        <v>0.69300000000965623</v>
      </c>
      <c r="D138" s="311">
        <f t="shared" si="74"/>
        <v>0.37999999999220341</v>
      </c>
      <c r="E138" s="311">
        <f t="shared" si="74"/>
        <v>3.6720000000136319</v>
      </c>
      <c r="F138" s="311"/>
      <c r="G138" s="311">
        <f t="shared" ref="G138:J138" si="75">SUM(G128:G136)</f>
        <v>3.360000000001059</v>
      </c>
      <c r="H138" s="311">
        <f t="shared" si="75"/>
        <v>0.56599999999904138</v>
      </c>
      <c r="I138" s="311">
        <f t="shared" si="75"/>
        <v>1.3999999999630848E-2</v>
      </c>
      <c r="J138" s="311">
        <f t="shared" si="75"/>
        <v>3.9399999999997313</v>
      </c>
      <c r="K138" s="311"/>
      <c r="L138" s="311">
        <f t="shared" ref="L138:O138" si="76">SUM(L128:L136)</f>
        <v>3.1169999999650857</v>
      </c>
      <c r="M138" s="311">
        <f t="shared" si="76"/>
        <v>0.55699999999910355</v>
      </c>
      <c r="N138" s="311">
        <f t="shared" si="76"/>
        <v>1.4000000000099107E-2</v>
      </c>
      <c r="O138" s="311">
        <f t="shared" si="76"/>
        <v>3.6879999999642887</v>
      </c>
    </row>
    <row r="139" spans="1:15" s="236" customFormat="1" x14ac:dyDescent="0.2">
      <c r="A139" s="237"/>
      <c r="B139" s="237"/>
      <c r="C139" s="237"/>
      <c r="D139" s="237"/>
      <c r="E139" s="237"/>
      <c r="F139" s="237"/>
      <c r="G139" s="237"/>
      <c r="H139" s="237"/>
      <c r="I139" s="237"/>
      <c r="J139" s="237"/>
      <c r="K139" s="237"/>
      <c r="L139" s="237"/>
      <c r="M139" s="237"/>
      <c r="N139" s="240"/>
    </row>
    <row r="140" spans="1:15" s="236" customFormat="1" x14ac:dyDescent="0.2">
      <c r="A140" s="237"/>
      <c r="B140" s="237"/>
      <c r="C140" s="237"/>
      <c r="D140" s="237"/>
      <c r="E140" s="237"/>
      <c r="F140" s="237"/>
      <c r="G140" s="237"/>
      <c r="H140" s="237"/>
      <c r="I140" s="237"/>
      <c r="J140" s="237"/>
      <c r="K140" s="237"/>
      <c r="L140" s="237"/>
      <c r="M140" s="237"/>
      <c r="N140" s="240"/>
      <c r="O140" s="251" t="s">
        <v>35</v>
      </c>
    </row>
    <row r="141" spans="1:15" s="236" customFormat="1" x14ac:dyDescent="0.2">
      <c r="A141" s="242"/>
      <c r="B141" s="242"/>
      <c r="C141" s="242"/>
      <c r="D141" s="242"/>
      <c r="E141" s="242"/>
      <c r="F141" s="242"/>
      <c r="G141" s="242"/>
      <c r="H141" s="242"/>
      <c r="I141" s="242"/>
      <c r="J141" s="242"/>
      <c r="K141" s="242"/>
      <c r="L141" s="242"/>
      <c r="M141" s="242"/>
      <c r="N141" s="242"/>
      <c r="O141" s="242"/>
    </row>
    <row r="142" spans="1:15" s="236" customFormat="1" x14ac:dyDescent="0.2">
      <c r="A142" s="241" t="str">
        <f>name!A11</f>
        <v>Paper, etc</v>
      </c>
      <c r="B142" s="374">
        <f>$B$6</f>
        <v>2015</v>
      </c>
      <c r="C142" s="374"/>
      <c r="D142" s="374"/>
      <c r="E142" s="374"/>
      <c r="F142" s="263"/>
      <c r="G142" s="374">
        <f>$G$6</f>
        <v>2020</v>
      </c>
      <c r="H142" s="374"/>
      <c r="I142" s="374"/>
      <c r="J142" s="374"/>
      <c r="K142" s="263"/>
      <c r="L142" s="374">
        <f>$L$6</f>
        <v>2035</v>
      </c>
      <c r="M142" s="374"/>
      <c r="N142" s="374"/>
      <c r="O142" s="374"/>
    </row>
    <row r="143" spans="1:15" s="236" customFormat="1" x14ac:dyDescent="0.2">
      <c r="A143" s="254"/>
      <c r="B143" s="268" t="str">
        <f>$B$7</f>
        <v>FT</v>
      </c>
      <c r="C143" s="268" t="str">
        <f>$C$7</f>
        <v>PT</v>
      </c>
      <c r="D143" s="268" t="str">
        <f>$D$7</f>
        <v>SE</v>
      </c>
      <c r="E143" s="268" t="str">
        <f>$E$7</f>
        <v>Total</v>
      </c>
      <c r="F143" s="268"/>
      <c r="G143" s="268" t="str">
        <f>$G$7</f>
        <v>FT</v>
      </c>
      <c r="H143" s="268" t="str">
        <f>$H$7</f>
        <v>PT</v>
      </c>
      <c r="I143" s="268" t="str">
        <f>$I$7</f>
        <v>SE</v>
      </c>
      <c r="J143" s="268" t="str">
        <f>$J$7</f>
        <v>Total</v>
      </c>
      <c r="K143" s="268"/>
      <c r="L143" s="268" t="str">
        <f>$L$7</f>
        <v>FT</v>
      </c>
      <c r="M143" s="268" t="str">
        <f>$M$7</f>
        <v>PT</v>
      </c>
      <c r="N143" s="268" t="str">
        <f>$N$7</f>
        <v>SE</v>
      </c>
      <c r="O143" s="268" t="str">
        <f>$O$7</f>
        <v>Total</v>
      </c>
    </row>
    <row r="144" spans="1:15" s="236" customFormat="1" x14ac:dyDescent="0.2">
      <c r="A144" s="258"/>
      <c r="B144" s="239"/>
      <c r="C144" s="239"/>
      <c r="D144" s="239"/>
      <c r="E144" s="239"/>
      <c r="F144" s="239"/>
      <c r="G144" s="239"/>
      <c r="H144" s="239"/>
      <c r="I144" s="239"/>
      <c r="J144" s="239"/>
      <c r="K144" s="239"/>
      <c r="L144" s="239"/>
      <c r="M144" s="239"/>
      <c r="N144" s="239"/>
      <c r="O144" s="239"/>
    </row>
    <row r="145" spans="1:15" s="236" customFormat="1" x14ac:dyDescent="0.2">
      <c r="A145" s="237" t="str">
        <f>name!E$4</f>
        <v>Managers, directors and senior officials</v>
      </c>
      <c r="B145" s="302">
        <v>0.26766543792392622</v>
      </c>
      <c r="C145" s="302">
        <v>5.0292811600520645E-3</v>
      </c>
      <c r="D145" s="302">
        <v>0.11857666637656777</v>
      </c>
      <c r="E145" s="302">
        <f>SUM(B145:D145)</f>
        <v>0.39127138546054607</v>
      </c>
      <c r="F145" s="303"/>
      <c r="G145" s="302">
        <v>0.17049739933174227</v>
      </c>
      <c r="H145" s="302">
        <v>3.6046764344682051E-3</v>
      </c>
      <c r="I145" s="302">
        <v>1.8439132357241982E-3</v>
      </c>
      <c r="J145" s="302">
        <f>SUM(G145:I145)</f>
        <v>0.17594598900193467</v>
      </c>
      <c r="K145" s="303"/>
      <c r="L145" s="302">
        <v>0.16603055331212219</v>
      </c>
      <c r="M145" s="302">
        <v>4.7617679568741052E-3</v>
      </c>
      <c r="N145" s="302">
        <v>2.2839812164996641E-3</v>
      </c>
      <c r="O145" s="302">
        <f>SUM(L145:N145)</f>
        <v>0.17307630248549596</v>
      </c>
    </row>
    <row r="146" spans="1:15" s="236" customFormat="1" x14ac:dyDescent="0.2">
      <c r="A146" s="237" t="str">
        <f>name!E$5</f>
        <v>Professional occupations</v>
      </c>
      <c r="B146" s="302">
        <v>0.30470333025694135</v>
      </c>
      <c r="C146" s="302">
        <v>6.0848295218091193E-3</v>
      </c>
      <c r="D146" s="302">
        <v>6.5988466003343516E-2</v>
      </c>
      <c r="E146" s="302">
        <f t="shared" ref="E146:E153" si="77">SUM(B146:D146)</f>
        <v>0.37677662578209398</v>
      </c>
      <c r="F146" s="303"/>
      <c r="G146" s="302">
        <v>0.21801561477667017</v>
      </c>
      <c r="H146" s="302">
        <v>3.9167495838286735E-3</v>
      </c>
      <c r="I146" s="302">
        <v>1.0828386189645348E-3</v>
      </c>
      <c r="J146" s="302">
        <f t="shared" ref="J146:J148" si="78">SUM(G146:I146)</f>
        <v>0.22301520297946337</v>
      </c>
      <c r="K146" s="303"/>
      <c r="L146" s="302">
        <v>0.24911207391394727</v>
      </c>
      <c r="M146" s="302">
        <v>5.0275587702638697E-3</v>
      </c>
      <c r="N146" s="302">
        <v>9.0020096610738201E-4</v>
      </c>
      <c r="O146" s="302">
        <f t="shared" ref="O146:O153" si="79">SUM(L146:N146)</f>
        <v>0.25503983365031851</v>
      </c>
    </row>
    <row r="147" spans="1:15" s="236" customFormat="1" x14ac:dyDescent="0.2">
      <c r="A147" s="237" t="str">
        <f>name!E$6</f>
        <v>Associate professional occupations</v>
      </c>
      <c r="B147" s="302">
        <v>0.26008629932950128</v>
      </c>
      <c r="C147" s="302">
        <v>1.4086176134728493E-2</v>
      </c>
      <c r="D147" s="302">
        <v>3.7546130559663146E-2</v>
      </c>
      <c r="E147" s="302">
        <f t="shared" si="77"/>
        <v>0.31171860602389295</v>
      </c>
      <c r="F147" s="303"/>
      <c r="G147" s="302">
        <v>0.18807752903621172</v>
      </c>
      <c r="H147" s="302">
        <v>7.1651028116651253E-3</v>
      </c>
      <c r="I147" s="302">
        <v>3.7006720429739451E-3</v>
      </c>
      <c r="J147" s="302">
        <f t="shared" si="78"/>
        <v>0.1989433038908508</v>
      </c>
      <c r="K147" s="303"/>
      <c r="L147" s="302">
        <v>0.16655672599185578</v>
      </c>
      <c r="M147" s="302">
        <v>5.655417454995512E-3</v>
      </c>
      <c r="N147" s="302">
        <v>3.6612621196610252E-3</v>
      </c>
      <c r="O147" s="302">
        <f t="shared" si="79"/>
        <v>0.17587340556651232</v>
      </c>
    </row>
    <row r="148" spans="1:15" s="236" customFormat="1" x14ac:dyDescent="0.2">
      <c r="A148" s="237" t="str">
        <f>name!E$7</f>
        <v>Administrative and secretarial occupations</v>
      </c>
      <c r="B148" s="302">
        <v>0.19176829349949487</v>
      </c>
      <c r="C148" s="302">
        <v>3.6183813071881794E-2</v>
      </c>
      <c r="D148" s="302">
        <v>1.14035826401351E-2</v>
      </c>
      <c r="E148" s="302">
        <f t="shared" si="77"/>
        <v>0.23935568921151176</v>
      </c>
      <c r="F148" s="303"/>
      <c r="G148" s="302">
        <v>0.13384610271921463</v>
      </c>
      <c r="H148" s="302">
        <v>6.8989564921419439E-3</v>
      </c>
      <c r="I148" s="302">
        <v>1.1540655678005374E-3</v>
      </c>
      <c r="J148" s="302">
        <f t="shared" si="78"/>
        <v>0.14189912477915712</v>
      </c>
      <c r="K148" s="303"/>
      <c r="L148" s="302">
        <v>0.11161848703217335</v>
      </c>
      <c r="M148" s="302">
        <v>4.8869819388796991E-3</v>
      </c>
      <c r="N148" s="302">
        <v>1.2701034514701122E-3</v>
      </c>
      <c r="O148" s="302">
        <f t="shared" si="79"/>
        <v>0.11777557242252315</v>
      </c>
    </row>
    <row r="149" spans="1:15" s="236" customFormat="1" x14ac:dyDescent="0.2">
      <c r="A149" s="237" t="str">
        <f>name!E$8</f>
        <v>Skilled trades occupations</v>
      </c>
      <c r="B149" s="302">
        <v>0.59831363438790841</v>
      </c>
      <c r="C149" s="302">
        <v>8.4545698315944048E-3</v>
      </c>
      <c r="D149" s="302">
        <v>0.10123679709962642</v>
      </c>
      <c r="E149" s="302">
        <f t="shared" si="77"/>
        <v>0.70800500131912925</v>
      </c>
      <c r="F149" s="303"/>
      <c r="G149" s="302">
        <v>0.25498596526970141</v>
      </c>
      <c r="H149" s="302">
        <v>2.9405042020508132E-3</v>
      </c>
      <c r="I149" s="302">
        <v>6.8332972580829377E-4</v>
      </c>
      <c r="J149" s="302">
        <f>SUM(G149:I149)</f>
        <v>0.25860979919756055</v>
      </c>
      <c r="K149" s="303"/>
      <c r="L149" s="302">
        <v>0.17635040645391686</v>
      </c>
      <c r="M149" s="302">
        <v>3.3354322891388719E-3</v>
      </c>
      <c r="N149" s="302">
        <v>1.2201255137283202E-3</v>
      </c>
      <c r="O149" s="302">
        <f t="shared" si="79"/>
        <v>0.18090596425678407</v>
      </c>
    </row>
    <row r="150" spans="1:15" s="236" customFormat="1" x14ac:dyDescent="0.2">
      <c r="A150" s="237" t="str">
        <f>name!E$9</f>
        <v>Caring, leisure and other service occupations</v>
      </c>
      <c r="B150" s="302">
        <v>1.4905840069796786E-2</v>
      </c>
      <c r="C150" s="302">
        <v>1.8517379432636516E-3</v>
      </c>
      <c r="D150" s="302">
        <v>3.6698564649046039E-3</v>
      </c>
      <c r="E150" s="302">
        <f t="shared" si="77"/>
        <v>2.042743447796504E-2</v>
      </c>
      <c r="F150" s="303"/>
      <c r="G150" s="302">
        <v>9.0697188063048363E-3</v>
      </c>
      <c r="H150" s="302">
        <v>5.194272822378565E-4</v>
      </c>
      <c r="I150" s="302">
        <v>1.2026034116748756E-3</v>
      </c>
      <c r="J150" s="302">
        <f t="shared" ref="J150:J153" si="80">SUM(G150:I150)</f>
        <v>1.0791749500217569E-2</v>
      </c>
      <c r="K150" s="303"/>
      <c r="L150" s="302">
        <v>7.7977431122313156E-3</v>
      </c>
      <c r="M150" s="302">
        <v>4.2073915103611932E-4</v>
      </c>
      <c r="N150" s="302">
        <v>7.7877341588379915E-4</v>
      </c>
      <c r="O150" s="302">
        <f t="shared" si="79"/>
        <v>8.9972556791512344E-3</v>
      </c>
    </row>
    <row r="151" spans="1:15" s="236" customFormat="1" x14ac:dyDescent="0.2">
      <c r="A151" s="237" t="str">
        <f>name!E$10</f>
        <v>Sales and customer service occupations</v>
      </c>
      <c r="B151" s="302">
        <v>4.9454260360062806E-2</v>
      </c>
      <c r="C151" s="302">
        <v>1.7116552161734699E-2</v>
      </c>
      <c r="D151" s="302">
        <v>1.4596364204788954E-2</v>
      </c>
      <c r="E151" s="302">
        <f t="shared" si="77"/>
        <v>8.1167176726586451E-2</v>
      </c>
      <c r="F151" s="303"/>
      <c r="G151" s="302">
        <v>3.3816734798501204E-2</v>
      </c>
      <c r="H151" s="302">
        <v>3.4346054230088422E-3</v>
      </c>
      <c r="I151" s="302">
        <v>5.1425865513683017E-4</v>
      </c>
      <c r="J151" s="302">
        <f t="shared" si="80"/>
        <v>3.7765598876646878E-2</v>
      </c>
      <c r="K151" s="303"/>
      <c r="L151" s="302">
        <v>3.6250963102560353E-2</v>
      </c>
      <c r="M151" s="302">
        <v>3.5745897957738561E-3</v>
      </c>
      <c r="N151" s="302">
        <v>6.0130691586016182E-4</v>
      </c>
      <c r="O151" s="302">
        <f t="shared" si="79"/>
        <v>4.0426859814194374E-2</v>
      </c>
    </row>
    <row r="152" spans="1:15" s="236" customFormat="1" x14ac:dyDescent="0.2">
      <c r="A152" s="237" t="str">
        <f>name!E$11</f>
        <v>Process, plant and machine operatives</v>
      </c>
      <c r="B152" s="302">
        <v>1.4881726659927585</v>
      </c>
      <c r="C152" s="302">
        <v>2.5582713607116878E-2</v>
      </c>
      <c r="D152" s="302">
        <v>2.0676205970668899E-2</v>
      </c>
      <c r="E152" s="302">
        <f t="shared" si="77"/>
        <v>1.5344315855705444</v>
      </c>
      <c r="F152" s="303"/>
      <c r="G152" s="302">
        <v>0.63988292960972326</v>
      </c>
      <c r="H152" s="302">
        <v>8.5670931327845017E-3</v>
      </c>
      <c r="I152" s="302">
        <v>4.5584074943386002E-4</v>
      </c>
      <c r="J152" s="302">
        <f t="shared" si="80"/>
        <v>0.64890586349194157</v>
      </c>
      <c r="K152" s="303"/>
      <c r="L152" s="302">
        <v>0.67232869089806013</v>
      </c>
      <c r="M152" s="302">
        <v>1.2614521108824472E-2</v>
      </c>
      <c r="N152" s="302">
        <v>2.8008405633024602E-4</v>
      </c>
      <c r="O152" s="302">
        <f t="shared" si="79"/>
        <v>0.68522329606321486</v>
      </c>
    </row>
    <row r="153" spans="1:15" s="236" customFormat="1" x14ac:dyDescent="0.2">
      <c r="A153" s="237" t="str">
        <f>name!E$12</f>
        <v>Elementary occupations</v>
      </c>
      <c r="B153" s="302">
        <v>0.39593023818855477</v>
      </c>
      <c r="C153" s="302">
        <v>4.3610326570769589E-2</v>
      </c>
      <c r="D153" s="302">
        <v>2.930593068428388E-2</v>
      </c>
      <c r="E153" s="302">
        <f t="shared" si="77"/>
        <v>0.46884649544360824</v>
      </c>
      <c r="F153" s="303"/>
      <c r="G153" s="302">
        <v>0.18180800564757058</v>
      </c>
      <c r="H153" s="302">
        <v>1.2952884637949882E-2</v>
      </c>
      <c r="I153" s="302">
        <v>3.6247799242862235E-4</v>
      </c>
      <c r="J153" s="302">
        <f t="shared" si="80"/>
        <v>0.19512336827794907</v>
      </c>
      <c r="K153" s="303"/>
      <c r="L153" s="302">
        <v>0.11695435617010387</v>
      </c>
      <c r="M153" s="302">
        <v>9.7229915342053764E-3</v>
      </c>
      <c r="N153" s="302">
        <v>4.1623447007684053E-6</v>
      </c>
      <c r="O153" s="302">
        <f t="shared" si="79"/>
        <v>0.12668151004901002</v>
      </c>
    </row>
    <row r="154" spans="1:15" s="236" customFormat="1" x14ac:dyDescent="0.2">
      <c r="A154" s="237"/>
      <c r="B154" s="302"/>
      <c r="C154" s="302"/>
      <c r="D154" s="302"/>
      <c r="E154" s="302"/>
      <c r="F154" s="303"/>
      <c r="G154" s="302"/>
      <c r="H154" s="302"/>
      <c r="I154" s="302"/>
      <c r="J154" s="302"/>
      <c r="K154" s="303"/>
      <c r="L154" s="302"/>
      <c r="M154" s="302"/>
      <c r="N154" s="302"/>
      <c r="O154" s="302"/>
    </row>
    <row r="155" spans="1:15" s="236" customFormat="1" x14ac:dyDescent="0.2">
      <c r="A155" s="244" t="s">
        <v>32</v>
      </c>
      <c r="B155" s="311">
        <f>SUM(B145:B153)</f>
        <v>3.5710000000089446</v>
      </c>
      <c r="C155" s="311">
        <f t="shared" ref="C155:E155" si="81">SUM(C145:C153)</f>
        <v>0.1580000000029507</v>
      </c>
      <c r="D155" s="311">
        <f t="shared" si="81"/>
        <v>0.40300000000398228</v>
      </c>
      <c r="E155" s="311">
        <f t="shared" si="81"/>
        <v>4.1320000000158776</v>
      </c>
      <c r="F155" s="311"/>
      <c r="G155" s="311">
        <f t="shared" ref="G155:J155" si="82">SUM(G145:G153)</f>
        <v>1.82999999999564</v>
      </c>
      <c r="H155" s="311">
        <f t="shared" si="82"/>
        <v>5.0000000000135852E-2</v>
      </c>
      <c r="I155" s="311">
        <f t="shared" si="82"/>
        <v>1.0999999999945697E-2</v>
      </c>
      <c r="J155" s="311">
        <f t="shared" si="82"/>
        <v>1.8909999999957217</v>
      </c>
      <c r="K155" s="311"/>
      <c r="L155" s="311">
        <f t="shared" ref="L155:O155" si="83">SUM(L145:L153)</f>
        <v>1.7029999999869712</v>
      </c>
      <c r="M155" s="311">
        <f t="shared" si="83"/>
        <v>4.9999999999991884E-2</v>
      </c>
      <c r="N155" s="311">
        <f t="shared" si="83"/>
        <v>1.1000000000241478E-2</v>
      </c>
      <c r="O155" s="311">
        <f t="shared" si="83"/>
        <v>1.7639999999872045</v>
      </c>
    </row>
    <row r="156" spans="1:15" s="236" customFormat="1" x14ac:dyDescent="0.2">
      <c r="A156" s="237"/>
      <c r="B156" s="237"/>
      <c r="C156" s="237"/>
      <c r="D156" s="237"/>
      <c r="E156" s="237"/>
      <c r="F156" s="237"/>
      <c r="G156" s="237"/>
      <c r="H156" s="237"/>
      <c r="I156" s="237"/>
      <c r="J156" s="237"/>
      <c r="K156" s="237"/>
      <c r="L156" s="237"/>
      <c r="M156" s="237"/>
      <c r="N156" s="240"/>
    </row>
    <row r="157" spans="1:15" s="236" customFormat="1" x14ac:dyDescent="0.2">
      <c r="A157" s="237"/>
      <c r="B157" s="237"/>
      <c r="C157" s="237"/>
      <c r="D157" s="237"/>
      <c r="E157" s="237"/>
      <c r="F157" s="237"/>
      <c r="G157" s="237"/>
      <c r="H157" s="237"/>
      <c r="I157" s="237"/>
      <c r="J157" s="237"/>
      <c r="K157" s="237"/>
      <c r="L157" s="237"/>
      <c r="M157" s="237"/>
      <c r="N157" s="240"/>
      <c r="O157" s="251" t="s">
        <v>35</v>
      </c>
    </row>
    <row r="158" spans="1:15" s="236" customFormat="1" x14ac:dyDescent="0.2">
      <c r="A158" s="242"/>
      <c r="B158" s="242"/>
      <c r="C158" s="242"/>
      <c r="D158" s="242"/>
      <c r="E158" s="242"/>
      <c r="F158" s="242"/>
      <c r="G158" s="242"/>
      <c r="H158" s="242"/>
      <c r="I158" s="242"/>
      <c r="J158" s="242"/>
      <c r="K158" s="242"/>
      <c r="L158" s="242"/>
      <c r="M158" s="242"/>
      <c r="N158" s="242"/>
      <c r="O158" s="242"/>
    </row>
    <row r="159" spans="1:15" s="236" customFormat="1" x14ac:dyDescent="0.2">
      <c r="A159" s="241" t="str">
        <f>name!A12</f>
        <v>Printing and recording</v>
      </c>
      <c r="B159" s="374">
        <f>$B$6</f>
        <v>2015</v>
      </c>
      <c r="C159" s="374"/>
      <c r="D159" s="374"/>
      <c r="E159" s="374"/>
      <c r="F159" s="263"/>
      <c r="G159" s="374">
        <f>$G$6</f>
        <v>2020</v>
      </c>
      <c r="H159" s="374"/>
      <c r="I159" s="374"/>
      <c r="J159" s="374"/>
      <c r="K159" s="263"/>
      <c r="L159" s="374">
        <f>$L$6</f>
        <v>2035</v>
      </c>
      <c r="M159" s="374"/>
      <c r="N159" s="374"/>
      <c r="O159" s="374"/>
    </row>
    <row r="160" spans="1:15" s="236" customFormat="1" x14ac:dyDescent="0.2">
      <c r="A160" s="254"/>
      <c r="B160" s="268" t="str">
        <f>$B$7</f>
        <v>FT</v>
      </c>
      <c r="C160" s="268" t="str">
        <f>$C$7</f>
        <v>PT</v>
      </c>
      <c r="D160" s="268" t="str">
        <f>$D$7</f>
        <v>SE</v>
      </c>
      <c r="E160" s="268" t="str">
        <f>$E$7</f>
        <v>Total</v>
      </c>
      <c r="F160" s="268"/>
      <c r="G160" s="268" t="str">
        <f>$G$7</f>
        <v>FT</v>
      </c>
      <c r="H160" s="268" t="str">
        <f>$H$7</f>
        <v>PT</v>
      </c>
      <c r="I160" s="268" t="str">
        <f>$I$7</f>
        <v>SE</v>
      </c>
      <c r="J160" s="268" t="str">
        <f>$J$7</f>
        <v>Total</v>
      </c>
      <c r="K160" s="268"/>
      <c r="L160" s="268" t="str">
        <f>$L$7</f>
        <v>FT</v>
      </c>
      <c r="M160" s="268" t="str">
        <f>$M$7</f>
        <v>PT</v>
      </c>
      <c r="N160" s="268" t="str">
        <f>$N$7</f>
        <v>SE</v>
      </c>
      <c r="O160" s="268" t="str">
        <f>$O$7</f>
        <v>Total</v>
      </c>
    </row>
    <row r="161" spans="1:15" s="236" customFormat="1" x14ac:dyDescent="0.2">
      <c r="A161" s="258"/>
      <c r="B161" s="239"/>
      <c r="C161" s="239"/>
      <c r="D161" s="239"/>
      <c r="E161" s="239"/>
      <c r="F161" s="239"/>
      <c r="G161" s="239"/>
      <c r="H161" s="239"/>
      <c r="I161" s="239"/>
      <c r="J161" s="239"/>
      <c r="K161" s="239"/>
      <c r="L161" s="239"/>
      <c r="M161" s="239"/>
      <c r="N161" s="239"/>
      <c r="O161" s="239"/>
    </row>
    <row r="162" spans="1:15" s="236" customFormat="1" x14ac:dyDescent="0.2">
      <c r="A162" s="237" t="str">
        <f>name!E$4</f>
        <v>Managers, directors and senior officials</v>
      </c>
      <c r="B162" s="302">
        <v>0.94546572321020206</v>
      </c>
      <c r="C162" s="302">
        <v>2.1130494631439473E-2</v>
      </c>
      <c r="D162" s="302">
        <v>0.14131560958872416</v>
      </c>
      <c r="E162" s="302">
        <f>SUM(B162:D162)</f>
        <v>1.1079118274303656</v>
      </c>
      <c r="F162" s="303"/>
      <c r="G162" s="302">
        <v>0.52887013279074768</v>
      </c>
      <c r="H162" s="302">
        <v>1.5152237435240261E-2</v>
      </c>
      <c r="I162" s="302">
        <v>1.1059972791963503E-2</v>
      </c>
      <c r="J162" s="302">
        <f>SUM(G162:I162)</f>
        <v>0.55508234301795145</v>
      </c>
      <c r="K162" s="303"/>
      <c r="L162" s="302">
        <v>0.41772601896478151</v>
      </c>
      <c r="M162" s="302">
        <v>1.5330250601501574E-2</v>
      </c>
      <c r="N162" s="302">
        <v>9.5714958563788127E-3</v>
      </c>
      <c r="O162" s="302">
        <f>SUM(L162:N162)</f>
        <v>0.44262776542266186</v>
      </c>
    </row>
    <row r="163" spans="1:15" s="236" customFormat="1" x14ac:dyDescent="0.2">
      <c r="A163" s="237" t="str">
        <f>name!E$5</f>
        <v>Professional occupations</v>
      </c>
      <c r="B163" s="302">
        <v>0.92933428016233932</v>
      </c>
      <c r="C163" s="302">
        <v>3.4213745491167957E-2</v>
      </c>
      <c r="D163" s="302">
        <v>9.3439538485828047E-2</v>
      </c>
      <c r="E163" s="302">
        <f t="shared" ref="E163:E170" si="84">SUM(B163:D163)</f>
        <v>1.0569875641393354</v>
      </c>
      <c r="F163" s="303"/>
      <c r="G163" s="302">
        <v>0.59080602432424145</v>
      </c>
      <c r="H163" s="302">
        <v>1.898122150265005E-2</v>
      </c>
      <c r="I163" s="302">
        <v>7.7434762478898302E-3</v>
      </c>
      <c r="J163" s="302">
        <f t="shared" ref="J163:J165" si="85">SUM(G163:I163)</f>
        <v>0.61753072207478132</v>
      </c>
      <c r="K163" s="303"/>
      <c r="L163" s="302">
        <v>0.51707186599815302</v>
      </c>
      <c r="M163" s="302">
        <v>1.8294935242870118E-2</v>
      </c>
      <c r="N163" s="302">
        <v>5.3586917723157119E-3</v>
      </c>
      <c r="O163" s="302">
        <f t="shared" ref="O163:O170" si="86">SUM(L163:N163)</f>
        <v>0.54072549301333883</v>
      </c>
    </row>
    <row r="164" spans="1:15" s="236" customFormat="1" x14ac:dyDescent="0.2">
      <c r="A164" s="237" t="str">
        <f>name!E$6</f>
        <v>Associate professional occupations</v>
      </c>
      <c r="B164" s="302">
        <v>0.87400479163142208</v>
      </c>
      <c r="C164" s="302">
        <v>8.6954053621371485E-2</v>
      </c>
      <c r="D164" s="302">
        <v>0.19711513465339636</v>
      </c>
      <c r="E164" s="302">
        <f t="shared" si="84"/>
        <v>1.1580739799061899</v>
      </c>
      <c r="F164" s="303"/>
      <c r="G164" s="302">
        <v>0.53698576097251116</v>
      </c>
      <c r="H164" s="302">
        <v>3.7596769015021292E-2</v>
      </c>
      <c r="I164" s="302">
        <v>3.0049870866838149E-2</v>
      </c>
      <c r="J164" s="302">
        <f t="shared" si="85"/>
        <v>0.60463240085437064</v>
      </c>
      <c r="K164" s="303"/>
      <c r="L164" s="302">
        <v>0.39128344460501063</v>
      </c>
      <c r="M164" s="302">
        <v>2.7957212084919247E-2</v>
      </c>
      <c r="N164" s="302">
        <v>2.5866604954600254E-2</v>
      </c>
      <c r="O164" s="302">
        <f t="shared" si="86"/>
        <v>0.44510726164453013</v>
      </c>
    </row>
    <row r="165" spans="1:15" s="236" customFormat="1" x14ac:dyDescent="0.2">
      <c r="A165" s="237" t="str">
        <f>name!E$7</f>
        <v>Administrative and secretarial occupations</v>
      </c>
      <c r="B165" s="302">
        <v>0.64815466586525805</v>
      </c>
      <c r="C165" s="302">
        <v>0.22401501173611044</v>
      </c>
      <c r="D165" s="302">
        <v>4.9518853706105231E-2</v>
      </c>
      <c r="E165" s="302">
        <f t="shared" si="84"/>
        <v>0.92168853130747375</v>
      </c>
      <c r="F165" s="303"/>
      <c r="G165" s="302">
        <v>0.33677802125838763</v>
      </c>
      <c r="H165" s="302">
        <v>5.7060348599681246E-2</v>
      </c>
      <c r="I165" s="302">
        <v>8.8099311578681595E-3</v>
      </c>
      <c r="J165" s="302">
        <f t="shared" si="85"/>
        <v>0.40264830101593702</v>
      </c>
      <c r="K165" s="303"/>
      <c r="L165" s="302">
        <v>0.22451818273691584</v>
      </c>
      <c r="M165" s="302">
        <v>3.5919125597716893E-2</v>
      </c>
      <c r="N165" s="302">
        <v>4.8756205094276197E-3</v>
      </c>
      <c r="O165" s="302">
        <f t="shared" si="86"/>
        <v>0.26531292884406038</v>
      </c>
    </row>
    <row r="166" spans="1:15" s="236" customFormat="1" x14ac:dyDescent="0.2">
      <c r="A166" s="237" t="str">
        <f>name!E$8</f>
        <v>Skilled trades occupations</v>
      </c>
      <c r="B166" s="302">
        <v>0.97773965556082398</v>
      </c>
      <c r="C166" s="302">
        <v>2.0132355707025686E-2</v>
      </c>
      <c r="D166" s="302">
        <v>9.1192990051896863E-2</v>
      </c>
      <c r="E166" s="302">
        <f t="shared" si="84"/>
        <v>1.0890650013197465</v>
      </c>
      <c r="F166" s="303"/>
      <c r="G166" s="302">
        <v>0.36640420844772781</v>
      </c>
      <c r="H166" s="302">
        <v>1.0074848482280954E-2</v>
      </c>
      <c r="I166" s="302">
        <v>3.6030896371759239E-3</v>
      </c>
      <c r="J166" s="302">
        <f>SUM(G166:I166)</f>
        <v>0.3800821465671847</v>
      </c>
      <c r="K166" s="303"/>
      <c r="L166" s="302">
        <v>0.16740562148632301</v>
      </c>
      <c r="M166" s="302">
        <v>9.2726237967601013E-3</v>
      </c>
      <c r="N166" s="302">
        <v>5.0514466771719065E-3</v>
      </c>
      <c r="O166" s="302">
        <f t="shared" si="86"/>
        <v>0.18172969196025504</v>
      </c>
    </row>
    <row r="167" spans="1:15" s="236" customFormat="1" x14ac:dyDescent="0.2">
      <c r="A167" s="237" t="str">
        <f>name!E$9</f>
        <v>Caring, leisure and other service occupations</v>
      </c>
      <c r="B167" s="302">
        <v>1.8591145858858526E-2</v>
      </c>
      <c r="C167" s="302">
        <v>7.2183055548726135E-3</v>
      </c>
      <c r="D167" s="302">
        <v>2.4862874680821875E-2</v>
      </c>
      <c r="E167" s="302">
        <f t="shared" si="84"/>
        <v>5.0672326094553015E-2</v>
      </c>
      <c r="F167" s="303"/>
      <c r="G167" s="302">
        <v>9.5852818773546934E-3</v>
      </c>
      <c r="H167" s="302">
        <v>2.2851649102539652E-3</v>
      </c>
      <c r="I167" s="302">
        <v>7.7100086400791953E-3</v>
      </c>
      <c r="J167" s="302">
        <f t="shared" ref="J167:J170" si="87">SUM(G167:I167)</f>
        <v>1.9580455427687854E-2</v>
      </c>
      <c r="K167" s="303"/>
      <c r="L167" s="302">
        <v>7.3974806199821599E-3</v>
      </c>
      <c r="M167" s="302">
        <v>1.4865996890179283E-3</v>
      </c>
      <c r="N167" s="302">
        <v>3.6243088054591622E-3</v>
      </c>
      <c r="O167" s="302">
        <f t="shared" si="86"/>
        <v>1.2508389114459251E-2</v>
      </c>
    </row>
    <row r="168" spans="1:15" s="236" customFormat="1" x14ac:dyDescent="0.2">
      <c r="A168" s="237" t="str">
        <f>name!E$10</f>
        <v>Sales and customer service occupations</v>
      </c>
      <c r="B168" s="302">
        <v>0.26986493683624263</v>
      </c>
      <c r="C168" s="302">
        <v>6.8184107634385163E-2</v>
      </c>
      <c r="D168" s="302">
        <v>3.095268933431895E-2</v>
      </c>
      <c r="E168" s="302">
        <f t="shared" si="84"/>
        <v>0.36900173380494672</v>
      </c>
      <c r="F168" s="303"/>
      <c r="G168" s="302">
        <v>0.13580812545811091</v>
      </c>
      <c r="H168" s="302">
        <v>1.8584334858586942E-2</v>
      </c>
      <c r="I168" s="302">
        <v>2.8000712042089218E-3</v>
      </c>
      <c r="J168" s="302">
        <f t="shared" si="87"/>
        <v>0.15719253152090676</v>
      </c>
      <c r="K168" s="303"/>
      <c r="L168" s="302">
        <v>0.10968211600614083</v>
      </c>
      <c r="M168" s="302">
        <v>1.5490364515271688E-2</v>
      </c>
      <c r="N168" s="302">
        <v>2.3001089475237738E-3</v>
      </c>
      <c r="O168" s="302">
        <f t="shared" si="86"/>
        <v>0.1274725894689363</v>
      </c>
    </row>
    <row r="169" spans="1:15" s="236" customFormat="1" x14ac:dyDescent="0.2">
      <c r="A169" s="237" t="str">
        <f>name!E$11</f>
        <v>Process, plant and machine operatives</v>
      </c>
      <c r="B169" s="302">
        <v>0.80156800321879862</v>
      </c>
      <c r="C169" s="302">
        <v>3.5965740073202392E-2</v>
      </c>
      <c r="D169" s="302">
        <v>2.0641229237525306E-2</v>
      </c>
      <c r="E169" s="302">
        <f t="shared" si="84"/>
        <v>0.85817497252952635</v>
      </c>
      <c r="F169" s="303"/>
      <c r="G169" s="302">
        <v>0.31335639374989743</v>
      </c>
      <c r="H169" s="302">
        <v>2.3241373341585329E-2</v>
      </c>
      <c r="I169" s="302">
        <v>2.4236226126983806E-3</v>
      </c>
      <c r="J169" s="302">
        <f t="shared" si="87"/>
        <v>0.33902138970418116</v>
      </c>
      <c r="K169" s="303"/>
      <c r="L169" s="302">
        <v>0.28392789924998835</v>
      </c>
      <c r="M169" s="302">
        <v>3.0453399264185613E-2</v>
      </c>
      <c r="N169" s="302">
        <v>1.3006174454463317E-3</v>
      </c>
      <c r="O169" s="302">
        <f t="shared" si="86"/>
        <v>0.31568191595962031</v>
      </c>
    </row>
    <row r="170" spans="1:15" s="236" customFormat="1" x14ac:dyDescent="0.2">
      <c r="A170" s="237" t="str">
        <f>name!E$12</f>
        <v>Elementary occupations</v>
      </c>
      <c r="B170" s="302">
        <v>0.69927679763351858</v>
      </c>
      <c r="C170" s="302">
        <v>0.16818618556040626</v>
      </c>
      <c r="D170" s="302">
        <v>1.7961080269493487E-2</v>
      </c>
      <c r="E170" s="302">
        <f t="shared" si="84"/>
        <v>0.8854240634634184</v>
      </c>
      <c r="F170" s="303"/>
      <c r="G170" s="302">
        <v>0.27240605110909916</v>
      </c>
      <c r="H170" s="302">
        <v>5.7023701855036836E-2</v>
      </c>
      <c r="I170" s="302">
        <v>7.9995684097770457E-4</v>
      </c>
      <c r="J170" s="302">
        <f t="shared" si="87"/>
        <v>0.33022970980511374</v>
      </c>
      <c r="K170" s="303"/>
      <c r="L170" s="302">
        <v>0.14698737032957757</v>
      </c>
      <c r="M170" s="302">
        <v>3.579548920787539E-2</v>
      </c>
      <c r="N170" s="302">
        <v>5.1105032114157788E-5</v>
      </c>
      <c r="O170" s="302">
        <f t="shared" si="86"/>
        <v>0.18283396456956713</v>
      </c>
    </row>
    <row r="171" spans="1:15" s="236" customFormat="1" x14ac:dyDescent="0.2">
      <c r="A171" s="237"/>
      <c r="B171" s="302"/>
      <c r="C171" s="302"/>
      <c r="D171" s="302"/>
      <c r="E171" s="302"/>
      <c r="F171" s="303"/>
      <c r="G171" s="302"/>
      <c r="H171" s="302"/>
      <c r="I171" s="302"/>
      <c r="J171" s="302"/>
      <c r="K171" s="303"/>
      <c r="L171" s="302"/>
      <c r="M171" s="302"/>
      <c r="N171" s="302"/>
      <c r="O171" s="302"/>
    </row>
    <row r="172" spans="1:15" s="236" customFormat="1" x14ac:dyDescent="0.2">
      <c r="A172" s="244" t="s">
        <v>32</v>
      </c>
      <c r="B172" s="311">
        <f>SUM(B162:B170)</f>
        <v>6.163999999977464</v>
      </c>
      <c r="C172" s="311">
        <f t="shared" ref="C172:E172" si="88">SUM(C162:C170)</f>
        <v>0.6660000000099815</v>
      </c>
      <c r="D172" s="311">
        <f t="shared" si="88"/>
        <v>0.66700000000811022</v>
      </c>
      <c r="E172" s="311">
        <f t="shared" si="88"/>
        <v>7.4969999999955554</v>
      </c>
      <c r="F172" s="311"/>
      <c r="G172" s="311">
        <f t="shared" ref="G172:J172" si="89">SUM(G162:G170)</f>
        <v>3.0909999999880782</v>
      </c>
      <c r="H172" s="311">
        <f t="shared" si="89"/>
        <v>0.24000000000033686</v>
      </c>
      <c r="I172" s="311">
        <f t="shared" si="89"/>
        <v>7.4999999999699765E-2</v>
      </c>
      <c r="J172" s="311">
        <f t="shared" si="89"/>
        <v>3.405999999988115</v>
      </c>
      <c r="K172" s="311"/>
      <c r="L172" s="311">
        <f t="shared" ref="L172:O172" si="90">SUM(L162:L170)</f>
        <v>2.2659999999968727</v>
      </c>
      <c r="M172" s="311">
        <f t="shared" si="90"/>
        <v>0.19000000000011857</v>
      </c>
      <c r="N172" s="311">
        <f t="shared" si="90"/>
        <v>5.8000000000437743E-2</v>
      </c>
      <c r="O172" s="311">
        <f t="shared" si="90"/>
        <v>2.513999999997429</v>
      </c>
    </row>
    <row r="173" spans="1:15" s="236" customFormat="1" x14ac:dyDescent="0.2">
      <c r="A173" s="237"/>
      <c r="B173" s="237"/>
      <c r="C173" s="237"/>
      <c r="D173" s="237"/>
      <c r="E173" s="237"/>
      <c r="F173" s="237"/>
      <c r="G173" s="237"/>
      <c r="H173" s="237"/>
      <c r="I173" s="237"/>
      <c r="J173" s="237"/>
      <c r="K173" s="237"/>
      <c r="L173" s="237"/>
      <c r="M173" s="237"/>
      <c r="N173" s="240"/>
    </row>
    <row r="174" spans="1:15" s="236" customFormat="1" x14ac:dyDescent="0.2">
      <c r="A174" s="237"/>
      <c r="B174" s="237"/>
      <c r="C174" s="237"/>
      <c r="D174" s="237"/>
      <c r="E174" s="237"/>
      <c r="F174" s="237"/>
      <c r="G174" s="237"/>
      <c r="H174" s="237"/>
      <c r="I174" s="237"/>
      <c r="J174" s="237"/>
      <c r="K174" s="237"/>
      <c r="L174" s="237"/>
      <c r="M174" s="237"/>
      <c r="N174" s="240"/>
      <c r="O174" s="251" t="s">
        <v>35</v>
      </c>
    </row>
    <row r="175" spans="1:15" s="236" customFormat="1" x14ac:dyDescent="0.2">
      <c r="A175" s="242"/>
      <c r="B175" s="242"/>
      <c r="C175" s="242"/>
      <c r="D175" s="242"/>
      <c r="E175" s="242"/>
      <c r="F175" s="242"/>
      <c r="G175" s="242"/>
      <c r="H175" s="242"/>
      <c r="I175" s="242"/>
      <c r="J175" s="242"/>
      <c r="K175" s="242"/>
      <c r="L175" s="242"/>
      <c r="M175" s="242"/>
      <c r="N175" s="242"/>
      <c r="O175" s="242"/>
    </row>
    <row r="176" spans="1:15" s="236" customFormat="1" x14ac:dyDescent="0.2">
      <c r="A176" s="241" t="str">
        <f>name!A13</f>
        <v>Coke and petroleum; Chemicals, etc</v>
      </c>
      <c r="B176" s="374">
        <f>$B$6</f>
        <v>2015</v>
      </c>
      <c r="C176" s="374"/>
      <c r="D176" s="374"/>
      <c r="E176" s="374"/>
      <c r="F176" s="263"/>
      <c r="G176" s="374">
        <f>$G$6</f>
        <v>2020</v>
      </c>
      <c r="H176" s="374"/>
      <c r="I176" s="374"/>
      <c r="J176" s="374"/>
      <c r="K176" s="263"/>
      <c r="L176" s="374">
        <f>$L$6</f>
        <v>2035</v>
      </c>
      <c r="M176" s="374"/>
      <c r="N176" s="374"/>
      <c r="O176" s="374"/>
    </row>
    <row r="177" spans="1:15" s="236" customFormat="1" x14ac:dyDescent="0.2">
      <c r="A177" s="254"/>
      <c r="B177" s="268" t="str">
        <f>$B$7</f>
        <v>FT</v>
      </c>
      <c r="C177" s="268" t="str">
        <f>$C$7</f>
        <v>PT</v>
      </c>
      <c r="D177" s="268" t="str">
        <f>$D$7</f>
        <v>SE</v>
      </c>
      <c r="E177" s="268" t="str">
        <f>$E$7</f>
        <v>Total</v>
      </c>
      <c r="F177" s="268"/>
      <c r="G177" s="268" t="str">
        <f>$G$7</f>
        <v>FT</v>
      </c>
      <c r="H177" s="268" t="str">
        <f>$H$7</f>
        <v>PT</v>
      </c>
      <c r="I177" s="268" t="str">
        <f>$I$7</f>
        <v>SE</v>
      </c>
      <c r="J177" s="268" t="str">
        <f>$J$7</f>
        <v>Total</v>
      </c>
      <c r="K177" s="268"/>
      <c r="L177" s="268" t="str">
        <f>$L$7</f>
        <v>FT</v>
      </c>
      <c r="M177" s="268" t="str">
        <f>$M$7</f>
        <v>PT</v>
      </c>
      <c r="N177" s="268" t="str">
        <f>$N$7</f>
        <v>SE</v>
      </c>
      <c r="O177" s="268" t="str">
        <f>$O$7</f>
        <v>Total</v>
      </c>
    </row>
    <row r="178" spans="1:15" s="236" customFormat="1" x14ac:dyDescent="0.2">
      <c r="A178" s="258"/>
      <c r="B178" s="239"/>
      <c r="C178" s="239"/>
      <c r="D178" s="239"/>
      <c r="E178" s="239"/>
      <c r="F178" s="239"/>
      <c r="G178" s="239"/>
      <c r="H178" s="239"/>
      <c r="I178" s="239"/>
      <c r="J178" s="239"/>
      <c r="K178" s="239"/>
      <c r="L178" s="239"/>
      <c r="M178" s="239"/>
      <c r="N178" s="239"/>
      <c r="O178" s="239"/>
    </row>
    <row r="179" spans="1:15" s="236" customFormat="1" x14ac:dyDescent="0.2">
      <c r="A179" s="237" t="str">
        <f>name!E$4</f>
        <v>Managers, directors and senior officials</v>
      </c>
      <c r="B179" s="302">
        <v>0.82206051769061073</v>
      </c>
      <c r="C179" s="302">
        <v>6.7205147239270905E-3</v>
      </c>
      <c r="D179" s="302">
        <v>9.858494956383931E-3</v>
      </c>
      <c r="E179" s="302">
        <f>SUM(B179:D179)</f>
        <v>0.83863952737092173</v>
      </c>
      <c r="F179" s="303"/>
      <c r="G179" s="302">
        <v>0.77133656765003245</v>
      </c>
      <c r="H179" s="302">
        <v>4.0131065478635618E-2</v>
      </c>
      <c r="I179" s="302">
        <v>1.9574509059554425E-3</v>
      </c>
      <c r="J179" s="302">
        <f>SUM(G179:I179)</f>
        <v>0.81342508403462355</v>
      </c>
      <c r="K179" s="303"/>
      <c r="L179" s="302">
        <v>0.47776850586587166</v>
      </c>
      <c r="M179" s="302">
        <v>2.9037749139836977E-2</v>
      </c>
      <c r="N179" s="302">
        <v>6.5942905729629922E-4</v>
      </c>
      <c r="O179" s="302">
        <f>SUM(L179:N179)</f>
        <v>0.50746568406300496</v>
      </c>
    </row>
    <row r="180" spans="1:15" s="236" customFormat="1" x14ac:dyDescent="0.2">
      <c r="A180" s="237" t="str">
        <f>name!E$5</f>
        <v>Professional occupations</v>
      </c>
      <c r="B180" s="302">
        <v>2.1828317734287093</v>
      </c>
      <c r="C180" s="302">
        <v>1.446242857300181E-2</v>
      </c>
      <c r="D180" s="302">
        <v>2.0850779660436445E-2</v>
      </c>
      <c r="E180" s="302">
        <f t="shared" ref="E180:E187" si="91">SUM(B180:D180)</f>
        <v>2.2181449816621477</v>
      </c>
      <c r="F180" s="303"/>
      <c r="G180" s="302">
        <v>2.2599343945109331</v>
      </c>
      <c r="H180" s="302">
        <v>8.3295498241987689E-2</v>
      </c>
      <c r="I180" s="302">
        <v>1.057160692519345E-3</v>
      </c>
      <c r="J180" s="302">
        <f t="shared" ref="J180:J182" si="92">SUM(G180:I180)</f>
        <v>2.3442870534454401</v>
      </c>
      <c r="K180" s="303"/>
      <c r="L180" s="302">
        <v>1.6229570819292898</v>
      </c>
      <c r="M180" s="302">
        <v>5.9125337080886145E-2</v>
      </c>
      <c r="N180" s="302">
        <v>1.6278253532867553E-4</v>
      </c>
      <c r="O180" s="302">
        <f t="shared" ref="O180:O187" si="93">SUM(L180:N180)</f>
        <v>1.6822452015455047</v>
      </c>
    </row>
    <row r="181" spans="1:15" s="236" customFormat="1" x14ac:dyDescent="0.2">
      <c r="A181" s="237" t="str">
        <f>name!E$6</f>
        <v>Associate professional occupations</v>
      </c>
      <c r="B181" s="302">
        <v>1.0761033223391174</v>
      </c>
      <c r="C181" s="302">
        <v>1.9542034908271274E-2</v>
      </c>
      <c r="D181" s="302">
        <v>1.2192350655432118E-2</v>
      </c>
      <c r="E181" s="302">
        <f t="shared" si="91"/>
        <v>1.107837707902821</v>
      </c>
      <c r="F181" s="303"/>
      <c r="G181" s="302">
        <v>1.1344269467504993</v>
      </c>
      <c r="H181" s="302">
        <v>9.5399569793614122E-2</v>
      </c>
      <c r="I181" s="302">
        <v>2.0369400578803846E-3</v>
      </c>
      <c r="J181" s="302">
        <f t="shared" si="92"/>
        <v>1.2318634566019937</v>
      </c>
      <c r="K181" s="303"/>
      <c r="L181" s="302">
        <v>0.63403578734286292</v>
      </c>
      <c r="M181" s="302">
        <v>6.2133236344736872E-2</v>
      </c>
      <c r="N181" s="302">
        <v>3.7684058230797531E-4</v>
      </c>
      <c r="O181" s="302">
        <f t="shared" si="93"/>
        <v>0.69654586426990783</v>
      </c>
    </row>
    <row r="182" spans="1:15" s="236" customFormat="1" x14ac:dyDescent="0.2">
      <c r="A182" s="237" t="str">
        <f>name!E$7</f>
        <v>Administrative and secretarial occupations</v>
      </c>
      <c r="B182" s="302">
        <v>0.3106589175135393</v>
      </c>
      <c r="C182" s="302">
        <v>3.3700587542619925E-2</v>
      </c>
      <c r="D182" s="302">
        <v>2.2625475005702826E-2</v>
      </c>
      <c r="E182" s="302">
        <f t="shared" si="91"/>
        <v>0.36698498006186203</v>
      </c>
      <c r="F182" s="303"/>
      <c r="G182" s="302">
        <v>0.30529010857070243</v>
      </c>
      <c r="H182" s="302">
        <v>0.12378257689370044</v>
      </c>
      <c r="I182" s="302">
        <v>5.4140650493847886E-4</v>
      </c>
      <c r="J182" s="302">
        <f t="shared" si="92"/>
        <v>0.42961409196934136</v>
      </c>
      <c r="K182" s="303"/>
      <c r="L182" s="302">
        <v>0.15470462410404134</v>
      </c>
      <c r="M182" s="302">
        <v>6.2189993545741659E-2</v>
      </c>
      <c r="N182" s="302">
        <v>5.2590458064905596E-5</v>
      </c>
      <c r="O182" s="302">
        <f t="shared" si="93"/>
        <v>0.21694720810784793</v>
      </c>
    </row>
    <row r="183" spans="1:15" s="236" customFormat="1" x14ac:dyDescent="0.2">
      <c r="A183" s="237" t="str">
        <f>name!E$8</f>
        <v>Skilled trades occupations</v>
      </c>
      <c r="B183" s="302">
        <v>0.50929348352573356</v>
      </c>
      <c r="C183" s="302">
        <v>2.14777385018496E-2</v>
      </c>
      <c r="D183" s="302">
        <v>8.3330568179326145E-2</v>
      </c>
      <c r="E183" s="302">
        <f t="shared" si="91"/>
        <v>0.61410179020690936</v>
      </c>
      <c r="F183" s="303"/>
      <c r="G183" s="302">
        <v>0.34063162987886314</v>
      </c>
      <c r="H183" s="302">
        <v>6.3346502401022783E-2</v>
      </c>
      <c r="I183" s="302">
        <v>2.195325110185524E-3</v>
      </c>
      <c r="J183" s="302">
        <f>SUM(G183:I183)</f>
        <v>0.40617345739007144</v>
      </c>
      <c r="K183" s="303"/>
      <c r="L183" s="302">
        <v>0.16497402650960849</v>
      </c>
      <c r="M183" s="302">
        <v>4.4530904773383367E-2</v>
      </c>
      <c r="N183" s="302">
        <v>1.5729482570179432E-3</v>
      </c>
      <c r="O183" s="302">
        <f t="shared" si="93"/>
        <v>0.21107787954000981</v>
      </c>
    </row>
    <row r="184" spans="1:15" s="236" customFormat="1" x14ac:dyDescent="0.2">
      <c r="A184" s="237" t="str">
        <f>name!E$9</f>
        <v>Caring, leisure and other service occupations</v>
      </c>
      <c r="B184" s="302">
        <v>6.0589396937502031E-2</v>
      </c>
      <c r="C184" s="302">
        <v>4.505304558720627E-3</v>
      </c>
      <c r="D184" s="302">
        <v>5.6829077526145714E-3</v>
      </c>
      <c r="E184" s="302">
        <f t="shared" si="91"/>
        <v>7.077760924883722E-2</v>
      </c>
      <c r="F184" s="303"/>
      <c r="G184" s="302">
        <v>5.8708475488754068E-2</v>
      </c>
      <c r="H184" s="302">
        <v>1.6394031438245568E-2</v>
      </c>
      <c r="I184" s="302">
        <v>1.6461504389159994E-2</v>
      </c>
      <c r="J184" s="302">
        <f t="shared" ref="J184:J187" si="94">SUM(G184:I184)</f>
        <v>9.1564011316159627E-2</v>
      </c>
      <c r="K184" s="303"/>
      <c r="L184" s="302">
        <v>3.8228132783043121E-2</v>
      </c>
      <c r="M184" s="302">
        <v>6.1879335767264839E-3</v>
      </c>
      <c r="N184" s="302">
        <v>9.0931698076641213E-3</v>
      </c>
      <c r="O184" s="302">
        <f t="shared" si="93"/>
        <v>5.3509236167433728E-2</v>
      </c>
    </row>
    <row r="185" spans="1:15" s="236" customFormat="1" x14ac:dyDescent="0.2">
      <c r="A185" s="237" t="str">
        <f>name!E$10</f>
        <v>Sales and customer service occupations</v>
      </c>
      <c r="B185" s="302">
        <v>0.13683385153302721</v>
      </c>
      <c r="C185" s="302">
        <v>2.4459293944217749E-2</v>
      </c>
      <c r="D185" s="302">
        <v>4.39930182683629E-3</v>
      </c>
      <c r="E185" s="302">
        <f t="shared" si="91"/>
        <v>0.16569244730408125</v>
      </c>
      <c r="F185" s="303"/>
      <c r="G185" s="302">
        <v>0.12715753055777551</v>
      </c>
      <c r="H185" s="302">
        <v>9.3676321243437069E-2</v>
      </c>
      <c r="I185" s="302">
        <v>2.7508391179451668E-3</v>
      </c>
      <c r="J185" s="302">
        <f t="shared" si="94"/>
        <v>0.22358469091915772</v>
      </c>
      <c r="K185" s="303"/>
      <c r="L185" s="302">
        <v>8.4230185238936175E-2</v>
      </c>
      <c r="M185" s="302">
        <v>6.5137637701751946E-2</v>
      </c>
      <c r="N185" s="302">
        <v>1.1855101921510428E-3</v>
      </c>
      <c r="O185" s="302">
        <f t="shared" si="93"/>
        <v>0.15055333313283917</v>
      </c>
    </row>
    <row r="186" spans="1:15" s="236" customFormat="1" x14ac:dyDescent="0.2">
      <c r="A186" s="237" t="str">
        <f>name!E$11</f>
        <v>Process, plant and machine operatives</v>
      </c>
      <c r="B186" s="302">
        <v>2.9338361820515604</v>
      </c>
      <c r="C186" s="302">
        <v>7.0865721960991349E-2</v>
      </c>
      <c r="D186" s="302">
        <v>1.4765809222947575E-2</v>
      </c>
      <c r="E186" s="302">
        <f t="shared" si="91"/>
        <v>3.0194677132354992</v>
      </c>
      <c r="F186" s="303"/>
      <c r="G186" s="302">
        <v>1.9593849167316331</v>
      </c>
      <c r="H186" s="302">
        <v>0.24111961380208163</v>
      </c>
      <c r="I186" s="302">
        <v>2.9621947472107134E-2</v>
      </c>
      <c r="J186" s="302">
        <f t="shared" si="94"/>
        <v>2.2301264780058219</v>
      </c>
      <c r="K186" s="303"/>
      <c r="L186" s="302">
        <v>1.3025016467728254</v>
      </c>
      <c r="M186" s="302">
        <v>0.24293897745881848</v>
      </c>
      <c r="N186" s="302">
        <v>2.0743054152612139E-2</v>
      </c>
      <c r="O186" s="302">
        <f t="shared" si="93"/>
        <v>1.566183678384256</v>
      </c>
    </row>
    <row r="187" spans="1:15" s="236" customFormat="1" x14ac:dyDescent="0.2">
      <c r="A187" s="237" t="str">
        <f>name!E$12</f>
        <v>Elementary occupations</v>
      </c>
      <c r="B187" s="302">
        <v>0.53879255495822553</v>
      </c>
      <c r="C187" s="302">
        <v>6.6266375291199026E-2</v>
      </c>
      <c r="D187" s="302">
        <v>3.129431273938206E-2</v>
      </c>
      <c r="E187" s="302">
        <f t="shared" si="91"/>
        <v>0.63635324298880669</v>
      </c>
      <c r="F187" s="303"/>
      <c r="G187" s="302">
        <v>0.37412942982795377</v>
      </c>
      <c r="H187" s="302">
        <v>0.22785482071218593</v>
      </c>
      <c r="I187" s="302">
        <v>4.237742574640644E-2</v>
      </c>
      <c r="J187" s="302">
        <f t="shared" si="94"/>
        <v>0.64436167628654617</v>
      </c>
      <c r="K187" s="303"/>
      <c r="L187" s="302">
        <v>0.14860000944987056</v>
      </c>
      <c r="M187" s="302">
        <v>0.1107182303788096</v>
      </c>
      <c r="N187" s="302">
        <v>2.6153674957738061E-2</v>
      </c>
      <c r="O187" s="302">
        <f t="shared" si="93"/>
        <v>0.28547191478641826</v>
      </c>
    </row>
    <row r="188" spans="1:15" s="236" customFormat="1" x14ac:dyDescent="0.2">
      <c r="A188" s="237"/>
      <c r="B188" s="302"/>
      <c r="C188" s="302"/>
      <c r="D188" s="302"/>
      <c r="E188" s="302"/>
      <c r="F188" s="303"/>
      <c r="G188" s="302"/>
      <c r="H188" s="302"/>
      <c r="I188" s="302"/>
      <c r="J188" s="302"/>
      <c r="K188" s="303"/>
      <c r="L188" s="302"/>
      <c r="M188" s="302"/>
      <c r="N188" s="302"/>
      <c r="O188" s="302"/>
    </row>
    <row r="189" spans="1:15" s="236" customFormat="1" x14ac:dyDescent="0.2">
      <c r="A189" s="244" t="s">
        <v>32</v>
      </c>
      <c r="B189" s="311">
        <f>SUM(B179:B187)</f>
        <v>8.5709999999780262</v>
      </c>
      <c r="C189" s="311">
        <f t="shared" ref="C189:E189" si="95">SUM(C179:C187)</f>
        <v>0.26200000000479845</v>
      </c>
      <c r="D189" s="311">
        <f t="shared" si="95"/>
        <v>0.20499999999906193</v>
      </c>
      <c r="E189" s="311">
        <f t="shared" si="95"/>
        <v>9.0379999999818867</v>
      </c>
      <c r="F189" s="311"/>
      <c r="G189" s="311">
        <f t="shared" ref="G189:J189" si="96">SUM(G179:G187)</f>
        <v>7.3309999999671467</v>
      </c>
      <c r="H189" s="311">
        <f t="shared" si="96"/>
        <v>0.98500000000491084</v>
      </c>
      <c r="I189" s="311">
        <f t="shared" si="96"/>
        <v>9.8999999997097909E-2</v>
      </c>
      <c r="J189" s="311">
        <f t="shared" si="96"/>
        <v>8.4149999999691563</v>
      </c>
      <c r="K189" s="311"/>
      <c r="L189" s="311">
        <f t="shared" ref="L189:O189" si="97">SUM(L179:L187)</f>
        <v>4.6279999999963497</v>
      </c>
      <c r="M189" s="311">
        <f t="shared" si="97"/>
        <v>0.6820000000006915</v>
      </c>
      <c r="N189" s="311">
        <f t="shared" si="97"/>
        <v>6.0000000000181158E-2</v>
      </c>
      <c r="O189" s="311">
        <f t="shared" si="97"/>
        <v>5.3699999999972228</v>
      </c>
    </row>
    <row r="190" spans="1:15" s="236" customFormat="1" x14ac:dyDescent="0.2">
      <c r="A190" s="237"/>
      <c r="B190" s="237"/>
      <c r="C190" s="237"/>
      <c r="D190" s="237"/>
      <c r="E190" s="237"/>
      <c r="F190" s="237"/>
      <c r="G190" s="237"/>
      <c r="H190" s="237"/>
      <c r="I190" s="237"/>
      <c r="J190" s="237"/>
      <c r="K190" s="237"/>
      <c r="L190" s="237"/>
      <c r="M190" s="237"/>
      <c r="N190" s="240"/>
    </row>
    <row r="191" spans="1:15" s="236" customFormat="1" x14ac:dyDescent="0.2">
      <c r="A191" s="237"/>
      <c r="B191" s="237"/>
      <c r="C191" s="237"/>
      <c r="D191" s="237"/>
      <c r="E191" s="237"/>
      <c r="F191" s="237"/>
      <c r="G191" s="237"/>
      <c r="H191" s="237"/>
      <c r="I191" s="237"/>
      <c r="J191" s="237"/>
      <c r="K191" s="237"/>
      <c r="L191" s="237"/>
      <c r="M191" s="237"/>
      <c r="N191" s="240"/>
      <c r="O191" s="251" t="s">
        <v>35</v>
      </c>
    </row>
    <row r="192" spans="1:15" s="236" customFormat="1" x14ac:dyDescent="0.2">
      <c r="A192" s="242"/>
      <c r="B192" s="242"/>
      <c r="C192" s="242"/>
      <c r="D192" s="242"/>
      <c r="E192" s="242"/>
      <c r="F192" s="242"/>
      <c r="G192" s="242"/>
      <c r="H192" s="242"/>
      <c r="I192" s="242"/>
      <c r="J192" s="242"/>
      <c r="K192" s="242"/>
      <c r="L192" s="242"/>
      <c r="M192" s="242"/>
      <c r="N192" s="242"/>
      <c r="O192" s="242"/>
    </row>
    <row r="193" spans="1:15" s="236" customFormat="1" x14ac:dyDescent="0.2">
      <c r="A193" s="241" t="str">
        <f>name!A14</f>
        <v>Pharmaceuticals</v>
      </c>
      <c r="B193" s="374">
        <f>$B$6</f>
        <v>2015</v>
      </c>
      <c r="C193" s="374"/>
      <c r="D193" s="374"/>
      <c r="E193" s="374"/>
      <c r="F193" s="263"/>
      <c r="G193" s="374">
        <f>$G$6</f>
        <v>2020</v>
      </c>
      <c r="H193" s="374"/>
      <c r="I193" s="374"/>
      <c r="J193" s="374"/>
      <c r="K193" s="263"/>
      <c r="L193" s="374">
        <f>$L$6</f>
        <v>2035</v>
      </c>
      <c r="M193" s="374"/>
      <c r="N193" s="374"/>
      <c r="O193" s="374"/>
    </row>
    <row r="194" spans="1:15" s="236" customFormat="1" x14ac:dyDescent="0.2">
      <c r="A194" s="254"/>
      <c r="B194" s="268" t="str">
        <f>$B$7</f>
        <v>FT</v>
      </c>
      <c r="C194" s="268" t="str">
        <f>$C$7</f>
        <v>PT</v>
      </c>
      <c r="D194" s="268" t="str">
        <f>$D$7</f>
        <v>SE</v>
      </c>
      <c r="E194" s="268" t="str">
        <f>$E$7</f>
        <v>Total</v>
      </c>
      <c r="F194" s="268"/>
      <c r="G194" s="268" t="str">
        <f>$G$7</f>
        <v>FT</v>
      </c>
      <c r="H194" s="268" t="str">
        <f>$H$7</f>
        <v>PT</v>
      </c>
      <c r="I194" s="268" t="str">
        <f>$I$7</f>
        <v>SE</v>
      </c>
      <c r="J194" s="268" t="str">
        <f>$J$7</f>
        <v>Total</v>
      </c>
      <c r="K194" s="268"/>
      <c r="L194" s="268" t="str">
        <f>$L$7</f>
        <v>FT</v>
      </c>
      <c r="M194" s="268" t="str">
        <f>$M$7</f>
        <v>PT</v>
      </c>
      <c r="N194" s="268" t="str">
        <f>$N$7</f>
        <v>SE</v>
      </c>
      <c r="O194" s="268" t="str">
        <f>$O$7</f>
        <v>Total</v>
      </c>
    </row>
    <row r="195" spans="1:15" s="236" customFormat="1" x14ac:dyDescent="0.2">
      <c r="A195" s="258"/>
      <c r="B195" s="239"/>
      <c r="C195" s="239"/>
      <c r="D195" s="239"/>
      <c r="E195" s="239"/>
      <c r="F195" s="239"/>
      <c r="G195" s="239"/>
      <c r="H195" s="239"/>
      <c r="I195" s="239"/>
      <c r="J195" s="239"/>
      <c r="K195" s="239"/>
      <c r="L195" s="239"/>
      <c r="M195" s="239"/>
      <c r="N195" s="239"/>
      <c r="O195" s="239"/>
    </row>
    <row r="196" spans="1:15" s="236" customFormat="1" x14ac:dyDescent="0.2">
      <c r="A196" s="237" t="str">
        <f>name!E$4</f>
        <v>Managers, directors and senior officials</v>
      </c>
      <c r="B196" s="302">
        <v>0.1993605926261395</v>
      </c>
      <c r="C196" s="302">
        <v>8.1989828559408014E-3</v>
      </c>
      <c r="D196" s="302">
        <v>3.5887240599711584E-3</v>
      </c>
      <c r="E196" s="302">
        <f>SUM(B196:D196)</f>
        <v>0.21114829954205147</v>
      </c>
      <c r="F196" s="303"/>
      <c r="G196" s="302">
        <v>0.27995619993604781</v>
      </c>
      <c r="H196" s="302">
        <v>1.0480326991700709E-2</v>
      </c>
      <c r="I196" s="302">
        <v>6.0502056092463948E-4</v>
      </c>
      <c r="J196" s="302">
        <f>SUM(G196:I196)</f>
        <v>0.29104154748867317</v>
      </c>
      <c r="K196" s="303"/>
      <c r="L196" s="302">
        <v>0.2976368531250238</v>
      </c>
      <c r="M196" s="302">
        <v>1.6032126099586076E-2</v>
      </c>
      <c r="N196" s="302">
        <v>1.0824938421299167E-3</v>
      </c>
      <c r="O196" s="302">
        <f>SUM(L196:N196)</f>
        <v>0.31475147306673984</v>
      </c>
    </row>
    <row r="197" spans="1:15" s="236" customFormat="1" x14ac:dyDescent="0.2">
      <c r="A197" s="237" t="str">
        <f>name!E$5</f>
        <v>Professional occupations</v>
      </c>
      <c r="B197" s="302">
        <v>0.93194031594692339</v>
      </c>
      <c r="C197" s="302">
        <v>2.0877451785436901E-2</v>
      </c>
      <c r="D197" s="302">
        <v>3.351448628183705E-2</v>
      </c>
      <c r="E197" s="302">
        <f t="shared" ref="E197:E204" si="98">SUM(B197:D197)</f>
        <v>0.98633225401419733</v>
      </c>
      <c r="F197" s="303"/>
      <c r="G197" s="302">
        <v>1.5621586177954103</v>
      </c>
      <c r="H197" s="302">
        <v>2.1666619622302229E-2</v>
      </c>
      <c r="I197" s="302">
        <v>1.2826719791138206E-2</v>
      </c>
      <c r="J197" s="302">
        <f t="shared" ref="J197:J199" si="99">SUM(G197:I197)</f>
        <v>1.5966519572088509</v>
      </c>
      <c r="K197" s="303"/>
      <c r="L197" s="302">
        <v>1.8923291488732339</v>
      </c>
      <c r="M197" s="302">
        <v>3.234774049211963E-2</v>
      </c>
      <c r="N197" s="302">
        <v>2.1326100267664322E-2</v>
      </c>
      <c r="O197" s="302">
        <f t="shared" ref="O197:O204" si="100">SUM(L197:N197)</f>
        <v>1.9460029896330178</v>
      </c>
    </row>
    <row r="198" spans="1:15" s="236" customFormat="1" x14ac:dyDescent="0.2">
      <c r="A198" s="237" t="str">
        <f>name!E$6</f>
        <v>Associate professional occupations</v>
      </c>
      <c r="B198" s="302">
        <v>0.35017387481239276</v>
      </c>
      <c r="C198" s="302">
        <v>2.3519658004449686E-2</v>
      </c>
      <c r="D198" s="302">
        <v>1.9055195646949789E-2</v>
      </c>
      <c r="E198" s="302">
        <f t="shared" si="98"/>
        <v>0.39274872846379222</v>
      </c>
      <c r="F198" s="303"/>
      <c r="G198" s="302">
        <v>0.58297311281337227</v>
      </c>
      <c r="H198" s="302">
        <v>1.5568627475046263E-2</v>
      </c>
      <c r="I198" s="302">
        <v>9.3694740688157513E-4</v>
      </c>
      <c r="J198" s="302">
        <f t="shared" si="99"/>
        <v>0.59947868769530011</v>
      </c>
      <c r="K198" s="303"/>
      <c r="L198" s="302">
        <v>0.59953708326222155</v>
      </c>
      <c r="M198" s="302">
        <v>2.3984934018621871E-2</v>
      </c>
      <c r="N198" s="302">
        <v>2.0401190415903761E-3</v>
      </c>
      <c r="O198" s="302">
        <f t="shared" si="100"/>
        <v>0.62556213632243385</v>
      </c>
    </row>
    <row r="199" spans="1:15" s="236" customFormat="1" x14ac:dyDescent="0.2">
      <c r="A199" s="237" t="str">
        <f>name!E$7</f>
        <v>Administrative and secretarial occupations</v>
      </c>
      <c r="B199" s="302">
        <v>0.11395221399561759</v>
      </c>
      <c r="C199" s="302">
        <v>1.2149455111979101E-2</v>
      </c>
      <c r="D199" s="302">
        <v>2.3408414135557453E-2</v>
      </c>
      <c r="E199" s="302">
        <f t="shared" si="98"/>
        <v>0.14951008324315412</v>
      </c>
      <c r="F199" s="303"/>
      <c r="G199" s="302">
        <v>0.16571638763289956</v>
      </c>
      <c r="H199" s="302">
        <v>9.0436461138543398E-3</v>
      </c>
      <c r="I199" s="302">
        <v>4.3820123723652111E-4</v>
      </c>
      <c r="J199" s="302">
        <f t="shared" si="99"/>
        <v>0.1751982349839904</v>
      </c>
      <c r="K199" s="303"/>
      <c r="L199" s="302">
        <v>0.11920068134899776</v>
      </c>
      <c r="M199" s="302">
        <v>1.0918239583192704E-2</v>
      </c>
      <c r="N199" s="302">
        <v>4.6864589201394753E-4</v>
      </c>
      <c r="O199" s="302">
        <f t="shared" si="100"/>
        <v>0.13058756682420442</v>
      </c>
    </row>
    <row r="200" spans="1:15" s="236" customFormat="1" x14ac:dyDescent="0.2">
      <c r="A200" s="237" t="str">
        <f>name!E$8</f>
        <v>Skilled trades occupations</v>
      </c>
      <c r="B200" s="302">
        <v>0.13103690611231072</v>
      </c>
      <c r="C200" s="302">
        <v>1.5865924085589747E-2</v>
      </c>
      <c r="D200" s="302">
        <v>1.6225989429817069E-3</v>
      </c>
      <c r="E200" s="302">
        <f t="shared" si="98"/>
        <v>0.14852542914088215</v>
      </c>
      <c r="F200" s="303"/>
      <c r="G200" s="302">
        <v>0.13255187593861781</v>
      </c>
      <c r="H200" s="302">
        <v>3.2329375155536006E-3</v>
      </c>
      <c r="I200" s="302">
        <v>2.8879496327722392E-4</v>
      </c>
      <c r="J200" s="302">
        <f>SUM(G200:I200)</f>
        <v>0.13607360841744862</v>
      </c>
      <c r="K200" s="303"/>
      <c r="L200" s="302">
        <v>0.10858446636509356</v>
      </c>
      <c r="M200" s="302">
        <v>6.106929520743167E-3</v>
      </c>
      <c r="N200" s="302">
        <v>9.9882697714668233E-4</v>
      </c>
      <c r="O200" s="302">
        <f t="shared" si="100"/>
        <v>0.1156902228629834</v>
      </c>
    </row>
    <row r="201" spans="1:15" s="236" customFormat="1" x14ac:dyDescent="0.2">
      <c r="A201" s="237" t="str">
        <f>name!E$9</f>
        <v>Caring, leisure and other service occupations</v>
      </c>
      <c r="B201" s="302">
        <v>7.0021021323205146E-2</v>
      </c>
      <c r="C201" s="302">
        <v>6.8044439280699901E-3</v>
      </c>
      <c r="D201" s="302">
        <v>3.2886987082657109E-3</v>
      </c>
      <c r="E201" s="302">
        <f t="shared" si="98"/>
        <v>8.0114163959540852E-2</v>
      </c>
      <c r="F201" s="303"/>
      <c r="G201" s="302">
        <v>9.4916266786817916E-2</v>
      </c>
      <c r="H201" s="302">
        <v>3.7347829851359397E-3</v>
      </c>
      <c r="I201" s="302">
        <v>8.5871620966947258E-4</v>
      </c>
      <c r="J201" s="302">
        <f t="shared" ref="J201:J204" si="101">SUM(G201:I201)</f>
        <v>9.9509765981623324E-2</v>
      </c>
      <c r="K201" s="303"/>
      <c r="L201" s="302">
        <v>8.4508568580841284E-2</v>
      </c>
      <c r="M201" s="302">
        <v>3.4251890804700151E-3</v>
      </c>
      <c r="N201" s="302">
        <v>1.4630439972487838E-3</v>
      </c>
      <c r="O201" s="302">
        <f t="shared" si="100"/>
        <v>8.9396801658560079E-2</v>
      </c>
    </row>
    <row r="202" spans="1:15" s="236" customFormat="1" x14ac:dyDescent="0.2">
      <c r="A202" s="237" t="str">
        <f>name!E$10</f>
        <v>Sales and customer service occupations</v>
      </c>
      <c r="B202" s="302">
        <v>4.1310055752078197E-2</v>
      </c>
      <c r="C202" s="302">
        <v>1.2168251780934274E-2</v>
      </c>
      <c r="D202" s="302">
        <v>4.3439501791037336E-3</v>
      </c>
      <c r="E202" s="302">
        <f t="shared" si="98"/>
        <v>5.7822257712116201E-2</v>
      </c>
      <c r="F202" s="303"/>
      <c r="G202" s="302">
        <v>5.8156369097343057E-2</v>
      </c>
      <c r="H202" s="302">
        <v>4.3827159706489082E-3</v>
      </c>
      <c r="I202" s="302">
        <v>2.9957301045316234E-4</v>
      </c>
      <c r="J202" s="302">
        <f t="shared" si="101"/>
        <v>6.2838658078445131E-2</v>
      </c>
      <c r="K202" s="303"/>
      <c r="L202" s="302">
        <v>6.4353673436261236E-2</v>
      </c>
      <c r="M202" s="302">
        <v>7.0464266489874859E-3</v>
      </c>
      <c r="N202" s="302">
        <v>2.5584750290428025E-4</v>
      </c>
      <c r="O202" s="302">
        <f t="shared" si="100"/>
        <v>7.1655947588152996E-2</v>
      </c>
    </row>
    <row r="203" spans="1:15" s="236" customFormat="1" x14ac:dyDescent="0.2">
      <c r="A203" s="237" t="str">
        <f>name!E$11</f>
        <v>Process, plant and machine operatives</v>
      </c>
      <c r="B203" s="302">
        <v>0.50744986463739827</v>
      </c>
      <c r="C203" s="302">
        <v>2.701729246971224E-2</v>
      </c>
      <c r="D203" s="302">
        <v>6.9794388486870852E-3</v>
      </c>
      <c r="E203" s="302">
        <f t="shared" si="98"/>
        <v>0.54144659595579758</v>
      </c>
      <c r="F203" s="303"/>
      <c r="G203" s="302">
        <v>0.49789848874539999</v>
      </c>
      <c r="H203" s="302">
        <v>1.0668692576933278E-2</v>
      </c>
      <c r="I203" s="302">
        <v>1.693328882603285E-3</v>
      </c>
      <c r="J203" s="302">
        <f t="shared" si="101"/>
        <v>0.51026051020493657</v>
      </c>
      <c r="K203" s="303"/>
      <c r="L203" s="302">
        <v>0.56006158094816261</v>
      </c>
      <c r="M203" s="302">
        <v>2.257525879330281E-2</v>
      </c>
      <c r="N203" s="302">
        <v>3.7527436973366977E-4</v>
      </c>
      <c r="O203" s="302">
        <f t="shared" si="100"/>
        <v>0.58301211411119913</v>
      </c>
    </row>
    <row r="204" spans="1:15" s="236" customFormat="1" x14ac:dyDescent="0.2">
      <c r="A204" s="237" t="str">
        <f>name!E$12</f>
        <v>Elementary occupations</v>
      </c>
      <c r="B204" s="302">
        <v>0.1287551547809149</v>
      </c>
      <c r="C204" s="302">
        <v>4.739853997958049E-2</v>
      </c>
      <c r="D204" s="302">
        <v>5.5198493198622203E-2</v>
      </c>
      <c r="E204" s="302">
        <f t="shared" si="98"/>
        <v>0.23135218795911761</v>
      </c>
      <c r="F204" s="303"/>
      <c r="G204" s="302">
        <v>0.13967268124394261</v>
      </c>
      <c r="H204" s="302">
        <v>3.0221650748956243E-2</v>
      </c>
      <c r="I204" s="302">
        <v>9.0526979377201222E-3</v>
      </c>
      <c r="J204" s="302">
        <f t="shared" si="101"/>
        <v>0.17894702993061898</v>
      </c>
      <c r="K204" s="303"/>
      <c r="L204" s="302">
        <v>0.10178794406960216</v>
      </c>
      <c r="M204" s="302">
        <v>2.756315576317464E-2</v>
      </c>
      <c r="N204" s="302">
        <v>7.9896481101385947E-3</v>
      </c>
      <c r="O204" s="302">
        <f t="shared" si="100"/>
        <v>0.1373407479429154</v>
      </c>
    </row>
    <row r="205" spans="1:15" s="236" customFormat="1" x14ac:dyDescent="0.2">
      <c r="A205" s="237"/>
      <c r="B205" s="302"/>
      <c r="C205" s="302"/>
      <c r="D205" s="302"/>
      <c r="E205" s="302"/>
      <c r="F205" s="303"/>
      <c r="G205" s="302"/>
      <c r="H205" s="302"/>
      <c r="I205" s="302"/>
      <c r="J205" s="302"/>
      <c r="K205" s="303"/>
      <c r="L205" s="302"/>
      <c r="M205" s="302"/>
      <c r="N205" s="302"/>
      <c r="O205" s="302"/>
    </row>
    <row r="206" spans="1:15" s="236" customFormat="1" x14ac:dyDescent="0.2">
      <c r="A206" s="244" t="s">
        <v>32</v>
      </c>
      <c r="B206" s="311">
        <f>SUM(B196:B204)</f>
        <v>2.4739999999869804</v>
      </c>
      <c r="C206" s="311">
        <f t="shared" ref="C206:E206" si="102">SUM(C196:C204)</f>
        <v>0.17400000000169322</v>
      </c>
      <c r="D206" s="311">
        <f t="shared" si="102"/>
        <v>0.15100000000197589</v>
      </c>
      <c r="E206" s="311">
        <f t="shared" si="102"/>
        <v>2.7989999999906496</v>
      </c>
      <c r="F206" s="311"/>
      <c r="G206" s="311">
        <f t="shared" ref="G206:J206" si="103">SUM(G196:G204)</f>
        <v>3.5139999999898519</v>
      </c>
      <c r="H206" s="311">
        <f t="shared" si="103"/>
        <v>0.10900000000013151</v>
      </c>
      <c r="I206" s="311">
        <f t="shared" si="103"/>
        <v>2.6999999999904212E-2</v>
      </c>
      <c r="J206" s="311">
        <f t="shared" si="103"/>
        <v>3.6499999999898871</v>
      </c>
      <c r="K206" s="311"/>
      <c r="L206" s="311">
        <f t="shared" ref="L206:O206" si="104">SUM(L196:L204)</f>
        <v>3.8280000000094381</v>
      </c>
      <c r="M206" s="311">
        <f t="shared" si="104"/>
        <v>0.15000000000019839</v>
      </c>
      <c r="N206" s="311">
        <f t="shared" si="104"/>
        <v>3.6000000000570576E-2</v>
      </c>
      <c r="O206" s="311">
        <f t="shared" si="104"/>
        <v>4.0140000000102072</v>
      </c>
    </row>
    <row r="207" spans="1:15" s="236" customFormat="1" x14ac:dyDescent="0.2">
      <c r="A207" s="237"/>
      <c r="B207" s="237"/>
      <c r="C207" s="237"/>
      <c r="D207" s="237"/>
      <c r="E207" s="237"/>
      <c r="F207" s="237"/>
      <c r="G207" s="237"/>
      <c r="H207" s="237"/>
      <c r="I207" s="237"/>
      <c r="J207" s="237"/>
      <c r="K207" s="237"/>
      <c r="L207" s="237"/>
      <c r="M207" s="237"/>
      <c r="N207" s="240"/>
    </row>
    <row r="208" spans="1:15" s="236" customFormat="1" x14ac:dyDescent="0.2">
      <c r="A208" s="237"/>
      <c r="B208" s="237"/>
      <c r="C208" s="237"/>
      <c r="D208" s="237"/>
      <c r="E208" s="237"/>
      <c r="F208" s="237"/>
      <c r="G208" s="237"/>
      <c r="H208" s="237"/>
      <c r="I208" s="237"/>
      <c r="J208" s="237"/>
      <c r="K208" s="237"/>
      <c r="L208" s="237"/>
      <c r="M208" s="237"/>
      <c r="N208" s="240"/>
      <c r="O208" s="251" t="s">
        <v>35</v>
      </c>
    </row>
    <row r="209" spans="1:15" s="236" customFormat="1" x14ac:dyDescent="0.2">
      <c r="A209" s="242"/>
      <c r="B209" s="242"/>
      <c r="C209" s="242"/>
      <c r="D209" s="242"/>
      <c r="E209" s="242"/>
      <c r="F209" s="242"/>
      <c r="G209" s="242"/>
      <c r="H209" s="242"/>
      <c r="I209" s="242"/>
      <c r="J209" s="242"/>
      <c r="K209" s="242"/>
      <c r="L209" s="242"/>
      <c r="M209" s="242"/>
      <c r="N209" s="242"/>
      <c r="O209" s="242"/>
    </row>
    <row r="210" spans="1:15" s="236" customFormat="1" x14ac:dyDescent="0.2">
      <c r="A210" s="241" t="str">
        <f>name!A15</f>
        <v>Rubber and plastic</v>
      </c>
      <c r="B210" s="374">
        <f>$B$6</f>
        <v>2015</v>
      </c>
      <c r="C210" s="374"/>
      <c r="D210" s="374"/>
      <c r="E210" s="374"/>
      <c r="F210" s="263"/>
      <c r="G210" s="374">
        <f>$G$6</f>
        <v>2020</v>
      </c>
      <c r="H210" s="374"/>
      <c r="I210" s="374"/>
      <c r="J210" s="374"/>
      <c r="K210" s="263"/>
      <c r="L210" s="374">
        <f>$L$6</f>
        <v>2035</v>
      </c>
      <c r="M210" s="374"/>
      <c r="N210" s="374"/>
      <c r="O210" s="374"/>
    </row>
    <row r="211" spans="1:15" s="236" customFormat="1" x14ac:dyDescent="0.2">
      <c r="A211" s="254"/>
      <c r="B211" s="268" t="str">
        <f>$B$7</f>
        <v>FT</v>
      </c>
      <c r="C211" s="268" t="str">
        <f>$C$7</f>
        <v>PT</v>
      </c>
      <c r="D211" s="268" t="str">
        <f>$D$7</f>
        <v>SE</v>
      </c>
      <c r="E211" s="268" t="str">
        <f>$E$7</f>
        <v>Total</v>
      </c>
      <c r="F211" s="268"/>
      <c r="G211" s="268" t="str">
        <f>$G$7</f>
        <v>FT</v>
      </c>
      <c r="H211" s="268" t="str">
        <f>$H$7</f>
        <v>PT</v>
      </c>
      <c r="I211" s="268" t="str">
        <f>$I$7</f>
        <v>SE</v>
      </c>
      <c r="J211" s="268" t="str">
        <f>$J$7</f>
        <v>Total</v>
      </c>
      <c r="K211" s="268"/>
      <c r="L211" s="268" t="str">
        <f>$L$7</f>
        <v>FT</v>
      </c>
      <c r="M211" s="268" t="str">
        <f>$M$7</f>
        <v>PT</v>
      </c>
      <c r="N211" s="268" t="str">
        <f>$N$7</f>
        <v>SE</v>
      </c>
      <c r="O211" s="268" t="str">
        <f>$O$7</f>
        <v>Total</v>
      </c>
    </row>
    <row r="212" spans="1:15" s="236" customFormat="1" x14ac:dyDescent="0.2">
      <c r="A212" s="258"/>
      <c r="B212" s="239"/>
      <c r="C212" s="239"/>
      <c r="D212" s="239"/>
      <c r="E212" s="239"/>
      <c r="F212" s="239"/>
      <c r="G212" s="239"/>
      <c r="H212" s="239"/>
      <c r="I212" s="239"/>
      <c r="J212" s="239"/>
      <c r="K212" s="239"/>
      <c r="L212" s="239"/>
      <c r="M212" s="239"/>
      <c r="N212" s="239"/>
      <c r="O212" s="239"/>
    </row>
    <row r="213" spans="1:15" s="236" customFormat="1" x14ac:dyDescent="0.2">
      <c r="A213" s="237" t="str">
        <f>name!E$4</f>
        <v>Managers, directors and senior officials</v>
      </c>
      <c r="B213" s="302">
        <v>0.54859769982694373</v>
      </c>
      <c r="C213" s="302">
        <v>1.0026901916679357E-2</v>
      </c>
      <c r="D213" s="302">
        <v>5.2620689084592678E-2</v>
      </c>
      <c r="E213" s="302">
        <f>SUM(B213:D213)</f>
        <v>0.61124529082821577</v>
      </c>
      <c r="F213" s="303"/>
      <c r="G213" s="302">
        <v>0.65650845062869323</v>
      </c>
      <c r="H213" s="302">
        <v>2.6025325601559644E-2</v>
      </c>
      <c r="I213" s="302">
        <v>1.056585843225918E-3</v>
      </c>
      <c r="J213" s="302">
        <f>SUM(G213:I213)</f>
        <v>0.68359036207347879</v>
      </c>
      <c r="K213" s="303"/>
      <c r="L213" s="302">
        <v>0.63828140716430981</v>
      </c>
      <c r="M213" s="302">
        <v>3.1166488479117155E-2</v>
      </c>
      <c r="N213" s="302">
        <v>2.5366807279290449E-4</v>
      </c>
      <c r="O213" s="302">
        <f>SUM(L213:N213)</f>
        <v>0.66970156371621992</v>
      </c>
    </row>
    <row r="214" spans="1:15" s="236" customFormat="1" x14ac:dyDescent="0.2">
      <c r="A214" s="237" t="str">
        <f>name!E$5</f>
        <v>Professional occupations</v>
      </c>
      <c r="B214" s="302">
        <v>0.6596219223030596</v>
      </c>
      <c r="C214" s="302">
        <v>6.4415701300783628E-3</v>
      </c>
      <c r="D214" s="302">
        <v>2.1385884693458018E-2</v>
      </c>
      <c r="E214" s="302">
        <f t="shared" ref="E214:E221" si="105">SUM(B214:D214)</f>
        <v>0.68744937712659604</v>
      </c>
      <c r="F214" s="303"/>
      <c r="G214" s="302">
        <v>0.88273282333337311</v>
      </c>
      <c r="H214" s="302">
        <v>1.682903041407588E-2</v>
      </c>
      <c r="I214" s="302">
        <v>1.3557079767717846E-3</v>
      </c>
      <c r="J214" s="302">
        <f t="shared" ref="J214:J216" si="106">SUM(G214:I214)</f>
        <v>0.90091756172422077</v>
      </c>
      <c r="K214" s="303"/>
      <c r="L214" s="302">
        <v>1.025065361144615</v>
      </c>
      <c r="M214" s="302">
        <v>1.7670184462146112E-2</v>
      </c>
      <c r="N214" s="302">
        <v>2.0557986752973149E-4</v>
      </c>
      <c r="O214" s="302">
        <f t="shared" ref="O214:O221" si="107">SUM(L214:N214)</f>
        <v>1.0429411254742909</v>
      </c>
    </row>
    <row r="215" spans="1:15" s="236" customFormat="1" x14ac:dyDescent="0.2">
      <c r="A215" s="237" t="str">
        <f>name!E$6</f>
        <v>Associate professional occupations</v>
      </c>
      <c r="B215" s="302">
        <v>0.60415163987347453</v>
      </c>
      <c r="C215" s="302">
        <v>1.0284849770423531E-2</v>
      </c>
      <c r="D215" s="302">
        <v>3.2401641642711324E-2</v>
      </c>
      <c r="E215" s="302">
        <f t="shared" si="105"/>
        <v>0.64683813128660939</v>
      </c>
      <c r="F215" s="303"/>
      <c r="G215" s="302">
        <v>0.78191975455807305</v>
      </c>
      <c r="H215" s="302">
        <v>2.1576192649623772E-2</v>
      </c>
      <c r="I215" s="302">
        <v>2.129367885649489E-4</v>
      </c>
      <c r="J215" s="302">
        <f t="shared" si="106"/>
        <v>0.80370888399626172</v>
      </c>
      <c r="K215" s="303"/>
      <c r="L215" s="302">
        <v>0.67055658904073079</v>
      </c>
      <c r="M215" s="302">
        <v>1.8474203797831493E-2</v>
      </c>
      <c r="N215" s="302">
        <v>2.9800251839075912E-5</v>
      </c>
      <c r="O215" s="302">
        <f t="shared" si="107"/>
        <v>0.68906059309040135</v>
      </c>
    </row>
    <row r="216" spans="1:15" s="236" customFormat="1" x14ac:dyDescent="0.2">
      <c r="A216" s="237" t="str">
        <f>name!E$7</f>
        <v>Administrative and secretarial occupations</v>
      </c>
      <c r="B216" s="302">
        <v>0.15867900791340578</v>
      </c>
      <c r="C216" s="302">
        <v>4.6157020398219693E-2</v>
      </c>
      <c r="D216" s="302">
        <v>9.3213948617302672E-2</v>
      </c>
      <c r="E216" s="302">
        <f t="shared" si="105"/>
        <v>0.29804997692892815</v>
      </c>
      <c r="F216" s="303"/>
      <c r="G216" s="302">
        <v>0.18923133085862023</v>
      </c>
      <c r="H216" s="302">
        <v>6.4489569494368459E-2</v>
      </c>
      <c r="I216" s="302">
        <v>5.4111963773450969E-4</v>
      </c>
      <c r="J216" s="302">
        <f t="shared" si="106"/>
        <v>0.25426201999072318</v>
      </c>
      <c r="K216" s="303"/>
      <c r="L216" s="302">
        <v>0.1486472977182822</v>
      </c>
      <c r="M216" s="302">
        <v>4.8156736098630415E-2</v>
      </c>
      <c r="N216" s="302">
        <v>2.7244865963228922E-7</v>
      </c>
      <c r="O216" s="302">
        <f t="shared" si="107"/>
        <v>0.19680430626557224</v>
      </c>
    </row>
    <row r="217" spans="1:15" s="236" customFormat="1" x14ac:dyDescent="0.2">
      <c r="A217" s="237" t="str">
        <f>name!E$8</f>
        <v>Skilled trades occupations</v>
      </c>
      <c r="B217" s="302">
        <v>1.0497350807229899</v>
      </c>
      <c r="C217" s="302">
        <v>1.4006021929572546E-2</v>
      </c>
      <c r="D217" s="302">
        <v>1.1335619609039409E-2</v>
      </c>
      <c r="E217" s="302">
        <f t="shared" si="105"/>
        <v>1.075076722261602</v>
      </c>
      <c r="F217" s="303"/>
      <c r="G217" s="302">
        <v>0.88383533527051705</v>
      </c>
      <c r="H217" s="302">
        <v>2.1831338183667129E-2</v>
      </c>
      <c r="I217" s="302">
        <v>2.2169625608149685E-3</v>
      </c>
      <c r="J217" s="302">
        <f>SUM(G217:I217)</f>
        <v>0.90788363601499911</v>
      </c>
      <c r="K217" s="303"/>
      <c r="L217" s="302">
        <v>0.62828442684189056</v>
      </c>
      <c r="M217" s="302">
        <v>3.1610513374421348E-2</v>
      </c>
      <c r="N217" s="302">
        <v>3.9913494940724238E-4</v>
      </c>
      <c r="O217" s="302">
        <f t="shared" si="107"/>
        <v>0.66029407516571914</v>
      </c>
    </row>
    <row r="218" spans="1:15" s="236" customFormat="1" x14ac:dyDescent="0.2">
      <c r="A218" s="237" t="str">
        <f>name!E$9</f>
        <v>Caring, leisure and other service occupations</v>
      </c>
      <c r="B218" s="302">
        <v>5.6268437289226002E-2</v>
      </c>
      <c r="C218" s="302">
        <v>1.0193457449133931E-2</v>
      </c>
      <c r="D218" s="302">
        <v>2.5775569677084177E-3</v>
      </c>
      <c r="E218" s="302">
        <f t="shared" si="105"/>
        <v>6.9039451706068358E-2</v>
      </c>
      <c r="F218" s="303"/>
      <c r="G218" s="302">
        <v>6.2494582614112608E-2</v>
      </c>
      <c r="H218" s="302">
        <v>1.423985178701632E-2</v>
      </c>
      <c r="I218" s="302">
        <v>3.2412168448009226E-4</v>
      </c>
      <c r="J218" s="302">
        <f t="shared" ref="J218:J221" si="108">SUM(G218:I218)</f>
        <v>7.705855608560902E-2</v>
      </c>
      <c r="K218" s="303"/>
      <c r="L218" s="302">
        <v>6.4629154365891797E-2</v>
      </c>
      <c r="M218" s="302">
        <v>1.4172655324943058E-2</v>
      </c>
      <c r="N218" s="302">
        <v>2.4291124078752111E-4</v>
      </c>
      <c r="O218" s="302">
        <f t="shared" si="107"/>
        <v>7.9044720931622389E-2</v>
      </c>
    </row>
    <row r="219" spans="1:15" s="236" customFormat="1" x14ac:dyDescent="0.2">
      <c r="A219" s="237" t="str">
        <f>name!E$10</f>
        <v>Sales and customer service occupations</v>
      </c>
      <c r="B219" s="302">
        <v>0.13057666494069353</v>
      </c>
      <c r="C219" s="302">
        <v>1.5593366941475395E-2</v>
      </c>
      <c r="D219" s="302">
        <v>3.9600422111070718E-2</v>
      </c>
      <c r="E219" s="302">
        <f t="shared" si="105"/>
        <v>0.18577045399323966</v>
      </c>
      <c r="F219" s="303"/>
      <c r="G219" s="302">
        <v>0.13505592068192845</v>
      </c>
      <c r="H219" s="302">
        <v>2.3367570291113821E-2</v>
      </c>
      <c r="I219" s="302">
        <v>3.4226911773916637E-4</v>
      </c>
      <c r="J219" s="302">
        <f t="shared" si="108"/>
        <v>0.15876576009078144</v>
      </c>
      <c r="K219" s="303"/>
      <c r="L219" s="302">
        <v>0.13280706939929515</v>
      </c>
      <c r="M219" s="302">
        <v>2.5962549416769561E-2</v>
      </c>
      <c r="N219" s="302">
        <v>1.408982818555902E-4</v>
      </c>
      <c r="O219" s="302">
        <f t="shared" si="107"/>
        <v>0.15891051709792031</v>
      </c>
    </row>
    <row r="220" spans="1:15" s="236" customFormat="1" x14ac:dyDescent="0.2">
      <c r="A220" s="237" t="str">
        <f>name!E$11</f>
        <v>Process, plant and machine operatives</v>
      </c>
      <c r="B220" s="302">
        <v>3.6995084349185441</v>
      </c>
      <c r="C220" s="302">
        <v>4.6089177632180962E-2</v>
      </c>
      <c r="D220" s="302">
        <v>1.5410324284187326E-2</v>
      </c>
      <c r="E220" s="302">
        <f t="shared" si="105"/>
        <v>3.7610079368349121</v>
      </c>
      <c r="F220" s="303"/>
      <c r="G220" s="302">
        <v>3.1057375936644922</v>
      </c>
      <c r="H220" s="302">
        <v>7.1411716887500781E-2</v>
      </c>
      <c r="I220" s="302">
        <v>3.4763542609725397E-3</v>
      </c>
      <c r="J220" s="302">
        <f t="shared" si="108"/>
        <v>3.1806256648129656</v>
      </c>
      <c r="K220" s="303"/>
      <c r="L220" s="302">
        <v>3.3092322835803976</v>
      </c>
      <c r="M220" s="302">
        <v>9.0594452914916412E-2</v>
      </c>
      <c r="N220" s="302">
        <v>6.3797665966690816E-3</v>
      </c>
      <c r="O220" s="302">
        <f t="shared" si="107"/>
        <v>3.4062065030919833</v>
      </c>
    </row>
    <row r="221" spans="1:15" s="236" customFormat="1" x14ac:dyDescent="0.2">
      <c r="A221" s="237" t="str">
        <f>name!E$12</f>
        <v>Elementary occupations</v>
      </c>
      <c r="B221" s="302">
        <v>0.42286111223122397</v>
      </c>
      <c r="C221" s="302">
        <v>2.4207633834964146E-2</v>
      </c>
      <c r="D221" s="302">
        <v>6.4453912996854532E-2</v>
      </c>
      <c r="E221" s="302">
        <f t="shared" si="105"/>
        <v>0.51152265906304262</v>
      </c>
      <c r="F221" s="303"/>
      <c r="G221" s="302">
        <v>0.35748420838205924</v>
      </c>
      <c r="H221" s="302">
        <v>3.4229404691256946E-2</v>
      </c>
      <c r="I221" s="302">
        <v>1.1473942129167887E-2</v>
      </c>
      <c r="J221" s="302">
        <f t="shared" si="108"/>
        <v>0.40318755520248412</v>
      </c>
      <c r="K221" s="303"/>
      <c r="L221" s="302">
        <v>0.1944964106866531</v>
      </c>
      <c r="M221" s="302">
        <v>2.519221613109059E-2</v>
      </c>
      <c r="N221" s="302">
        <v>1.1347968290442677E-2</v>
      </c>
      <c r="O221" s="302">
        <f t="shared" si="107"/>
        <v>0.23103659510818639</v>
      </c>
    </row>
    <row r="222" spans="1:15" s="236" customFormat="1" x14ac:dyDescent="0.2">
      <c r="A222" s="237"/>
      <c r="B222" s="302"/>
      <c r="C222" s="302"/>
      <c r="D222" s="302"/>
      <c r="E222" s="302"/>
      <c r="F222" s="303"/>
      <c r="G222" s="302"/>
      <c r="H222" s="302"/>
      <c r="I222" s="302"/>
      <c r="J222" s="302"/>
      <c r="K222" s="303"/>
      <c r="L222" s="302"/>
      <c r="M222" s="302"/>
      <c r="N222" s="302"/>
      <c r="O222" s="302"/>
    </row>
    <row r="223" spans="1:15" s="236" customFormat="1" x14ac:dyDescent="0.2">
      <c r="A223" s="244" t="s">
        <v>32</v>
      </c>
      <c r="B223" s="311">
        <f>SUM(B213:B221)</f>
        <v>7.3300000000195604</v>
      </c>
      <c r="C223" s="311">
        <f t="shared" ref="C223:E223" si="109">SUM(C213:C221)</f>
        <v>0.18300000000272792</v>
      </c>
      <c r="D223" s="311">
        <f t="shared" si="109"/>
        <v>0.33300000000692515</v>
      </c>
      <c r="E223" s="311">
        <f t="shared" si="109"/>
        <v>7.8460000000292132</v>
      </c>
      <c r="F223" s="311"/>
      <c r="G223" s="311">
        <f t="shared" ref="G223:J223" si="110">SUM(G213:G221)</f>
        <v>7.0549999999918693</v>
      </c>
      <c r="H223" s="311">
        <f t="shared" si="110"/>
        <v>0.29400000000018278</v>
      </c>
      <c r="I223" s="311">
        <f t="shared" si="110"/>
        <v>2.0999999999471816E-2</v>
      </c>
      <c r="J223" s="311">
        <f t="shared" si="110"/>
        <v>7.3699999999915242</v>
      </c>
      <c r="K223" s="311"/>
      <c r="L223" s="311">
        <f t="shared" ref="L223:O223" si="111">SUM(L213:L221)</f>
        <v>6.8119999999420653</v>
      </c>
      <c r="M223" s="311">
        <f t="shared" si="111"/>
        <v>0.30299999999986615</v>
      </c>
      <c r="N223" s="311">
        <f t="shared" si="111"/>
        <v>1.8999999999983457E-2</v>
      </c>
      <c r="O223" s="311">
        <f t="shared" si="111"/>
        <v>7.1339999999419152</v>
      </c>
    </row>
    <row r="224" spans="1:15" s="236" customFormat="1" x14ac:dyDescent="0.2">
      <c r="A224" s="237"/>
      <c r="B224" s="237"/>
      <c r="C224" s="237"/>
      <c r="D224" s="237"/>
      <c r="E224" s="237"/>
      <c r="F224" s="237"/>
      <c r="G224" s="237"/>
      <c r="H224" s="237"/>
      <c r="I224" s="237"/>
      <c r="J224" s="237"/>
      <c r="K224" s="237"/>
      <c r="L224" s="237"/>
      <c r="M224" s="237"/>
      <c r="N224" s="240"/>
    </row>
    <row r="225" spans="1:15" s="236" customFormat="1" x14ac:dyDescent="0.2">
      <c r="A225" s="237"/>
      <c r="B225" s="237"/>
      <c r="C225" s="237"/>
      <c r="D225" s="237"/>
      <c r="E225" s="237"/>
      <c r="F225" s="237"/>
      <c r="G225" s="237"/>
      <c r="H225" s="237"/>
      <c r="I225" s="237"/>
      <c r="J225" s="237"/>
      <c r="K225" s="237"/>
      <c r="L225" s="237"/>
      <c r="M225" s="237"/>
      <c r="N225" s="240"/>
      <c r="O225" s="251" t="s">
        <v>35</v>
      </c>
    </row>
    <row r="226" spans="1:15" s="236" customFormat="1" x14ac:dyDescent="0.2">
      <c r="A226" s="242"/>
      <c r="B226" s="242"/>
      <c r="C226" s="242"/>
      <c r="D226" s="242"/>
      <c r="E226" s="242"/>
      <c r="F226" s="242"/>
      <c r="G226" s="242"/>
      <c r="H226" s="242"/>
      <c r="I226" s="242"/>
      <c r="J226" s="242"/>
      <c r="K226" s="242"/>
      <c r="L226" s="242"/>
      <c r="M226" s="242"/>
      <c r="N226" s="242"/>
      <c r="O226" s="242"/>
    </row>
    <row r="227" spans="1:15" s="236" customFormat="1" x14ac:dyDescent="0.2">
      <c r="A227" s="241" t="str">
        <f>name!A16</f>
        <v>Other non-metallic</v>
      </c>
      <c r="B227" s="374">
        <f>$B$6</f>
        <v>2015</v>
      </c>
      <c r="C227" s="374"/>
      <c r="D227" s="374"/>
      <c r="E227" s="374"/>
      <c r="F227" s="263"/>
      <c r="G227" s="374">
        <f>$G$6</f>
        <v>2020</v>
      </c>
      <c r="H227" s="374"/>
      <c r="I227" s="374"/>
      <c r="J227" s="374"/>
      <c r="K227" s="263"/>
      <c r="L227" s="374">
        <f>$L$6</f>
        <v>2035</v>
      </c>
      <c r="M227" s="374"/>
      <c r="N227" s="374"/>
      <c r="O227" s="374"/>
    </row>
    <row r="228" spans="1:15" s="236" customFormat="1" x14ac:dyDescent="0.2">
      <c r="A228" s="254"/>
      <c r="B228" s="268" t="str">
        <f>$B$7</f>
        <v>FT</v>
      </c>
      <c r="C228" s="268" t="str">
        <f>$C$7</f>
        <v>PT</v>
      </c>
      <c r="D228" s="268" t="str">
        <f>$D$7</f>
        <v>SE</v>
      </c>
      <c r="E228" s="268" t="str">
        <f>$E$7</f>
        <v>Total</v>
      </c>
      <c r="F228" s="268"/>
      <c r="G228" s="268" t="str">
        <f>$G$7</f>
        <v>FT</v>
      </c>
      <c r="H228" s="268" t="str">
        <f>$H$7</f>
        <v>PT</v>
      </c>
      <c r="I228" s="268" t="str">
        <f>$I$7</f>
        <v>SE</v>
      </c>
      <c r="J228" s="268" t="str">
        <f>$J$7</f>
        <v>Total</v>
      </c>
      <c r="K228" s="268"/>
      <c r="L228" s="268" t="str">
        <f>$L$7</f>
        <v>FT</v>
      </c>
      <c r="M228" s="268" t="str">
        <f>$M$7</f>
        <v>PT</v>
      </c>
      <c r="N228" s="268" t="str">
        <f>$N$7</f>
        <v>SE</v>
      </c>
      <c r="O228" s="268" t="str">
        <f>$O$7</f>
        <v>Total</v>
      </c>
    </row>
    <row r="229" spans="1:15" s="236" customFormat="1" x14ac:dyDescent="0.2">
      <c r="A229" s="258"/>
      <c r="B229" s="239"/>
      <c r="C229" s="239"/>
      <c r="D229" s="239"/>
      <c r="E229" s="239"/>
      <c r="F229" s="239"/>
      <c r="G229" s="239"/>
      <c r="H229" s="239"/>
      <c r="I229" s="239"/>
      <c r="J229" s="239"/>
      <c r="K229" s="239"/>
      <c r="L229" s="239"/>
      <c r="M229" s="239"/>
      <c r="N229" s="239"/>
      <c r="O229" s="239"/>
    </row>
    <row r="230" spans="1:15" s="236" customFormat="1" x14ac:dyDescent="0.2">
      <c r="A230" s="237" t="str">
        <f>name!E$4</f>
        <v>Managers, directors and senior officials</v>
      </c>
      <c r="B230" s="302">
        <v>0.33420439990979911</v>
      </c>
      <c r="C230" s="302">
        <v>1.9005174978696201E-3</v>
      </c>
      <c r="D230" s="302">
        <v>1.419899182023289E-2</v>
      </c>
      <c r="E230" s="302">
        <f>SUM(B230:D230)</f>
        <v>0.35030390922790161</v>
      </c>
      <c r="F230" s="303"/>
      <c r="G230" s="302">
        <v>0.5908780563651409</v>
      </c>
      <c r="H230" s="302">
        <v>1.3434907948205404E-2</v>
      </c>
      <c r="I230" s="302">
        <v>3.7156032943767213E-4</v>
      </c>
      <c r="J230" s="302">
        <f>SUM(G230:I230)</f>
        <v>0.60468452464278399</v>
      </c>
      <c r="K230" s="303"/>
      <c r="L230" s="302">
        <v>0.58565418074356712</v>
      </c>
      <c r="M230" s="302">
        <v>1.7393684357407749E-2</v>
      </c>
      <c r="N230" s="302">
        <v>3.0348974547734971E-4</v>
      </c>
      <c r="O230" s="302">
        <f>SUM(L230:N230)</f>
        <v>0.60335135484645219</v>
      </c>
    </row>
    <row r="231" spans="1:15" s="236" customFormat="1" x14ac:dyDescent="0.2">
      <c r="A231" s="237" t="str">
        <f>name!E$5</f>
        <v>Professional occupations</v>
      </c>
      <c r="B231" s="302">
        <v>0.19429859295591553</v>
      </c>
      <c r="C231" s="302">
        <v>2.5898542559183247E-3</v>
      </c>
      <c r="D231" s="302">
        <v>3.6868170351182757E-3</v>
      </c>
      <c r="E231" s="302">
        <f t="shared" ref="E231:E238" si="112">SUM(B231:D231)</f>
        <v>0.20057526424695213</v>
      </c>
      <c r="F231" s="303"/>
      <c r="G231" s="302">
        <v>0.39795271497298507</v>
      </c>
      <c r="H231" s="302">
        <v>1.8413256201678871E-2</v>
      </c>
      <c r="I231" s="302">
        <v>3.5203390749514161E-4</v>
      </c>
      <c r="J231" s="302">
        <f t="shared" ref="J231:J233" si="113">SUM(G231:I231)</f>
        <v>0.41671800508215912</v>
      </c>
      <c r="K231" s="303"/>
      <c r="L231" s="302">
        <v>0.46750484696546774</v>
      </c>
      <c r="M231" s="302">
        <v>1.8821541230680892E-2</v>
      </c>
      <c r="N231" s="302">
        <v>1.8005972919927181E-4</v>
      </c>
      <c r="O231" s="302">
        <f t="shared" ref="O231:O238" si="114">SUM(L231:N231)</f>
        <v>0.48650644792534792</v>
      </c>
    </row>
    <row r="232" spans="1:15" s="236" customFormat="1" x14ac:dyDescent="0.2">
      <c r="A232" s="237" t="str">
        <f>name!E$6</f>
        <v>Associate professional occupations</v>
      </c>
      <c r="B232" s="302">
        <v>0.22787015546081335</v>
      </c>
      <c r="C232" s="302">
        <v>4.0900240378403986E-3</v>
      </c>
      <c r="D232" s="302">
        <v>2.9157808087730019E-3</v>
      </c>
      <c r="E232" s="302">
        <f t="shared" si="112"/>
        <v>0.23487596030742675</v>
      </c>
      <c r="F232" s="303"/>
      <c r="G232" s="302">
        <v>0.40597507352495266</v>
      </c>
      <c r="H232" s="302">
        <v>2.593234388109223E-2</v>
      </c>
      <c r="I232" s="302">
        <v>3.343251223809828E-4</v>
      </c>
      <c r="J232" s="302">
        <f t="shared" si="113"/>
        <v>0.43224174252842584</v>
      </c>
      <c r="K232" s="303"/>
      <c r="L232" s="302">
        <v>0.42307549455958476</v>
      </c>
      <c r="M232" s="302">
        <v>2.3897551736733434E-2</v>
      </c>
      <c r="N232" s="302">
        <v>2.1396520025609528E-4</v>
      </c>
      <c r="O232" s="302">
        <f t="shared" si="114"/>
        <v>0.44718701149657425</v>
      </c>
    </row>
    <row r="233" spans="1:15" s="236" customFormat="1" x14ac:dyDescent="0.2">
      <c r="A233" s="237" t="str">
        <f>name!E$7</f>
        <v>Administrative and secretarial occupations</v>
      </c>
      <c r="B233" s="302">
        <v>0.24518591884156815</v>
      </c>
      <c r="C233" s="302">
        <v>1.6615664207309103E-2</v>
      </c>
      <c r="D233" s="302">
        <v>1.8335231751207815E-3</v>
      </c>
      <c r="E233" s="302">
        <f t="shared" si="112"/>
        <v>0.26363510622399799</v>
      </c>
      <c r="F233" s="303"/>
      <c r="G233" s="302">
        <v>0.37418617823964945</v>
      </c>
      <c r="H233" s="302">
        <v>6.7090248065778513E-2</v>
      </c>
      <c r="I233" s="302">
        <v>6.2669786479723031E-4</v>
      </c>
      <c r="J233" s="302">
        <f t="shared" si="113"/>
        <v>0.4419031241702252</v>
      </c>
      <c r="K233" s="303"/>
      <c r="L233" s="302">
        <v>0.29761772272157616</v>
      </c>
      <c r="M233" s="302">
        <v>6.3630249962060667E-2</v>
      </c>
      <c r="N233" s="302">
        <v>9.9487253415273154E-4</v>
      </c>
      <c r="O233" s="302">
        <f t="shared" si="114"/>
        <v>0.3622428452177896</v>
      </c>
    </row>
    <row r="234" spans="1:15" s="236" customFormat="1" x14ac:dyDescent="0.2">
      <c r="A234" s="237" t="str">
        <f>name!E$8</f>
        <v>Skilled trades occupations</v>
      </c>
      <c r="B234" s="302">
        <v>0.44976673729039057</v>
      </c>
      <c r="C234" s="302">
        <v>5.9920399737149379E-3</v>
      </c>
      <c r="D234" s="302">
        <v>6.6230279268629441E-2</v>
      </c>
      <c r="E234" s="302">
        <f t="shared" si="112"/>
        <v>0.52198905653273497</v>
      </c>
      <c r="F234" s="303"/>
      <c r="G234" s="302">
        <v>0.57560921545577648</v>
      </c>
      <c r="H234" s="302">
        <v>1.9149827835171721E-2</v>
      </c>
      <c r="I234" s="302">
        <v>6.3426250618764989E-3</v>
      </c>
      <c r="J234" s="302">
        <f>SUM(G234:I234)</f>
        <v>0.60110166835282475</v>
      </c>
      <c r="K234" s="303"/>
      <c r="L234" s="302">
        <v>0.4419724985045862</v>
      </c>
      <c r="M234" s="302">
        <v>2.4521349476894043E-2</v>
      </c>
      <c r="N234" s="302">
        <v>4.9793093009191216E-3</v>
      </c>
      <c r="O234" s="302">
        <f t="shared" si="114"/>
        <v>0.47147315728239936</v>
      </c>
    </row>
    <row r="235" spans="1:15" s="236" customFormat="1" x14ac:dyDescent="0.2">
      <c r="A235" s="237" t="str">
        <f>name!E$9</f>
        <v>Caring, leisure and other service occupations</v>
      </c>
      <c r="B235" s="302">
        <v>6.1627086610009513E-2</v>
      </c>
      <c r="C235" s="302">
        <v>3.5052508037659944E-3</v>
      </c>
      <c r="D235" s="302">
        <v>3.6482919064562179E-3</v>
      </c>
      <c r="E235" s="302">
        <f t="shared" si="112"/>
        <v>6.8780629320231726E-2</v>
      </c>
      <c r="F235" s="303"/>
      <c r="G235" s="302">
        <v>0.1002387552509125</v>
      </c>
      <c r="H235" s="302">
        <v>1.2692905105597858E-2</v>
      </c>
      <c r="I235" s="302">
        <v>2.0062730464152569E-3</v>
      </c>
      <c r="J235" s="302">
        <f t="shared" ref="J235:J238" si="115">SUM(G235:I235)</f>
        <v>0.11493793340292562</v>
      </c>
      <c r="K235" s="303"/>
      <c r="L235" s="302">
        <v>0.13394081099524777</v>
      </c>
      <c r="M235" s="302">
        <v>1.1186166779006471E-2</v>
      </c>
      <c r="N235" s="302">
        <v>2.397489026433313E-3</v>
      </c>
      <c r="O235" s="302">
        <f t="shared" si="114"/>
        <v>0.14752446680068754</v>
      </c>
    </row>
    <row r="236" spans="1:15" s="236" customFormat="1" x14ac:dyDescent="0.2">
      <c r="A236" s="237" t="str">
        <f>name!E$10</f>
        <v>Sales and customer service occupations</v>
      </c>
      <c r="B236" s="302">
        <v>6.9301131635734189E-2</v>
      </c>
      <c r="C236" s="302">
        <v>2.5093105270685523E-3</v>
      </c>
      <c r="D236" s="302">
        <v>1.8591095568329171E-3</v>
      </c>
      <c r="E236" s="302">
        <f t="shared" si="112"/>
        <v>7.3669551719635656E-2</v>
      </c>
      <c r="F236" s="303"/>
      <c r="G236" s="302">
        <v>0.10395429943056746</v>
      </c>
      <c r="H236" s="302">
        <v>1.0482527037407539E-2</v>
      </c>
      <c r="I236" s="302">
        <v>1.6321701679018527E-4</v>
      </c>
      <c r="J236" s="302">
        <f t="shared" si="115"/>
        <v>0.11460004348476518</v>
      </c>
      <c r="K236" s="303"/>
      <c r="L236" s="302">
        <v>0.11023390133385041</v>
      </c>
      <c r="M236" s="302">
        <v>1.054182554150053E-2</v>
      </c>
      <c r="N236" s="302">
        <v>1.2535746891738933E-4</v>
      </c>
      <c r="O236" s="302">
        <f t="shared" si="114"/>
        <v>0.12090108434426833</v>
      </c>
    </row>
    <row r="237" spans="1:15" s="236" customFormat="1" x14ac:dyDescent="0.2">
      <c r="A237" s="237" t="str">
        <f>name!E$11</f>
        <v>Process, plant and machine operatives</v>
      </c>
      <c r="B237" s="302">
        <v>0.88570534751448393</v>
      </c>
      <c r="C237" s="302">
        <v>4.2393698615461484E-3</v>
      </c>
      <c r="D237" s="302">
        <v>1.0679879020479266E-2</v>
      </c>
      <c r="E237" s="302">
        <f t="shared" si="112"/>
        <v>0.90062459639650938</v>
      </c>
      <c r="F237" s="303"/>
      <c r="G237" s="302">
        <v>1.08828995431553</v>
      </c>
      <c r="H237" s="302">
        <v>2.1492350977111253E-2</v>
      </c>
      <c r="I237" s="302">
        <v>1.1374696061534358E-4</v>
      </c>
      <c r="J237" s="302">
        <f t="shared" si="115"/>
        <v>1.1098960522532566</v>
      </c>
      <c r="K237" s="303"/>
      <c r="L237" s="302">
        <v>1.1519392681392322</v>
      </c>
      <c r="M237" s="302">
        <v>3.5192087616938809E-2</v>
      </c>
      <c r="N237" s="302">
        <v>1.8455344743378065E-4</v>
      </c>
      <c r="O237" s="302">
        <f t="shared" si="114"/>
        <v>1.1873159092036047</v>
      </c>
    </row>
    <row r="238" spans="1:15" s="236" customFormat="1" x14ac:dyDescent="0.2">
      <c r="A238" s="237" t="str">
        <f>name!E$12</f>
        <v>Elementary occupations</v>
      </c>
      <c r="B238" s="302">
        <v>0.34404062978585603</v>
      </c>
      <c r="C238" s="302">
        <v>1.3557968835791684E-2</v>
      </c>
      <c r="D238" s="302">
        <v>5.9473274076781756E-3</v>
      </c>
      <c r="E238" s="302">
        <f t="shared" si="112"/>
        <v>0.36354592602932589</v>
      </c>
      <c r="F238" s="303"/>
      <c r="G238" s="302">
        <v>0.42491575244073759</v>
      </c>
      <c r="H238" s="302">
        <v>4.7311632948139545E-2</v>
      </c>
      <c r="I238" s="302">
        <v>6.8952068997322428E-4</v>
      </c>
      <c r="J238" s="302">
        <f t="shared" si="115"/>
        <v>0.4729169060788504</v>
      </c>
      <c r="K238" s="303"/>
      <c r="L238" s="302">
        <v>0.27906127600902736</v>
      </c>
      <c r="M238" s="302">
        <v>3.8815543299129916E-2</v>
      </c>
      <c r="N238" s="302">
        <v>6.2090354744653831E-4</v>
      </c>
      <c r="O238" s="302">
        <f t="shared" si="114"/>
        <v>0.31849772285560379</v>
      </c>
    </row>
    <row r="239" spans="1:15" s="236" customFormat="1" x14ac:dyDescent="0.2">
      <c r="A239" s="237"/>
      <c r="B239" s="302"/>
      <c r="C239" s="302"/>
      <c r="D239" s="302"/>
      <c r="E239" s="302"/>
      <c r="F239" s="303"/>
      <c r="G239" s="302"/>
      <c r="H239" s="302"/>
      <c r="I239" s="302"/>
      <c r="J239" s="302"/>
      <c r="K239" s="303"/>
      <c r="L239" s="302"/>
      <c r="M239" s="302"/>
      <c r="N239" s="302"/>
      <c r="O239" s="302"/>
    </row>
    <row r="240" spans="1:15" s="236" customFormat="1" x14ac:dyDescent="0.2">
      <c r="A240" s="244" t="s">
        <v>32</v>
      </c>
      <c r="B240" s="311">
        <f>SUM(B230:B238)</f>
        <v>2.8120000000045704</v>
      </c>
      <c r="C240" s="311">
        <f t="shared" ref="C240:E240" si="116">SUM(C230:C238)</f>
        <v>5.5000000000824757E-2</v>
      </c>
      <c r="D240" s="311">
        <f t="shared" si="116"/>
        <v>0.11099999999932095</v>
      </c>
      <c r="E240" s="311">
        <f t="shared" si="116"/>
        <v>2.9780000000047164</v>
      </c>
      <c r="F240" s="311"/>
      <c r="G240" s="311">
        <f t="shared" ref="G240:J240" si="117">SUM(G230:G238)</f>
        <v>4.0619999999962522</v>
      </c>
      <c r="H240" s="311">
        <f t="shared" si="117"/>
        <v>0.23600000000018295</v>
      </c>
      <c r="I240" s="311">
        <f t="shared" si="117"/>
        <v>1.0999999999781535E-2</v>
      </c>
      <c r="J240" s="311">
        <f t="shared" si="117"/>
        <v>4.3089999999962165</v>
      </c>
      <c r="K240" s="311"/>
      <c r="L240" s="311">
        <f t="shared" ref="L240:O240" si="118">SUM(L230:L238)</f>
        <v>3.8909999999721392</v>
      </c>
      <c r="M240" s="311">
        <f t="shared" si="118"/>
        <v>0.24400000000035252</v>
      </c>
      <c r="N240" s="311">
        <f t="shared" si="118"/>
        <v>1.0000000000235591E-2</v>
      </c>
      <c r="O240" s="311">
        <f t="shared" si="118"/>
        <v>4.1449999999727281</v>
      </c>
    </row>
    <row r="241" spans="1:15" s="236" customFormat="1" x14ac:dyDescent="0.2">
      <c r="A241" s="237"/>
      <c r="B241" s="237"/>
      <c r="C241" s="237"/>
      <c r="D241" s="237"/>
      <c r="E241" s="237"/>
      <c r="F241" s="237"/>
      <c r="G241" s="237"/>
      <c r="H241" s="237"/>
      <c r="I241" s="237"/>
      <c r="J241" s="237"/>
      <c r="K241" s="237"/>
      <c r="L241" s="237"/>
      <c r="M241" s="237"/>
      <c r="N241" s="240"/>
    </row>
    <row r="242" spans="1:15" s="236" customFormat="1" x14ac:dyDescent="0.2">
      <c r="A242" s="237"/>
      <c r="B242" s="237"/>
      <c r="C242" s="237"/>
      <c r="D242" s="237"/>
      <c r="E242" s="237"/>
      <c r="F242" s="237"/>
      <c r="G242" s="237"/>
      <c r="H242" s="237"/>
      <c r="I242" s="237"/>
      <c r="J242" s="237"/>
      <c r="K242" s="237"/>
      <c r="L242" s="237"/>
      <c r="M242" s="237"/>
      <c r="N242" s="240"/>
      <c r="O242" s="251" t="s">
        <v>35</v>
      </c>
    </row>
    <row r="243" spans="1:15" s="236" customFormat="1" x14ac:dyDescent="0.2">
      <c r="A243" s="242"/>
      <c r="B243" s="242"/>
      <c r="C243" s="242"/>
      <c r="D243" s="242"/>
      <c r="E243" s="242"/>
      <c r="F243" s="242"/>
      <c r="G243" s="242"/>
      <c r="H243" s="242"/>
      <c r="I243" s="242"/>
      <c r="J243" s="242"/>
      <c r="K243" s="242"/>
      <c r="L243" s="242"/>
      <c r="M243" s="242"/>
      <c r="N243" s="242"/>
      <c r="O243" s="242"/>
    </row>
    <row r="244" spans="1:15" s="236" customFormat="1" x14ac:dyDescent="0.2">
      <c r="A244" s="241" t="str">
        <f>name!A17</f>
        <v>Basic metals</v>
      </c>
      <c r="B244" s="374">
        <f>$B$6</f>
        <v>2015</v>
      </c>
      <c r="C244" s="374"/>
      <c r="D244" s="374"/>
      <c r="E244" s="374"/>
      <c r="F244" s="263"/>
      <c r="G244" s="374">
        <f>$G$6</f>
        <v>2020</v>
      </c>
      <c r="H244" s="374"/>
      <c r="I244" s="374"/>
      <c r="J244" s="374"/>
      <c r="K244" s="263"/>
      <c r="L244" s="374">
        <f>$L$6</f>
        <v>2035</v>
      </c>
      <c r="M244" s="374"/>
      <c r="N244" s="374"/>
      <c r="O244" s="374"/>
    </row>
    <row r="245" spans="1:15" s="236" customFormat="1" x14ac:dyDescent="0.2">
      <c r="A245" s="254"/>
      <c r="B245" s="268" t="str">
        <f>$B$7</f>
        <v>FT</v>
      </c>
      <c r="C245" s="268" t="str">
        <f>$C$7</f>
        <v>PT</v>
      </c>
      <c r="D245" s="268" t="str">
        <f>$D$7</f>
        <v>SE</v>
      </c>
      <c r="E245" s="268" t="str">
        <f>$E$7</f>
        <v>Total</v>
      </c>
      <c r="F245" s="268"/>
      <c r="G245" s="268" t="str">
        <f>$G$7</f>
        <v>FT</v>
      </c>
      <c r="H245" s="268" t="str">
        <f>$H$7</f>
        <v>PT</v>
      </c>
      <c r="I245" s="268" t="str">
        <f>$I$7</f>
        <v>SE</v>
      </c>
      <c r="J245" s="268" t="str">
        <f>$J$7</f>
        <v>Total</v>
      </c>
      <c r="K245" s="268"/>
      <c r="L245" s="268" t="str">
        <f>$L$7</f>
        <v>FT</v>
      </c>
      <c r="M245" s="268" t="str">
        <f>$M$7</f>
        <v>PT</v>
      </c>
      <c r="N245" s="268" t="str">
        <f>$N$7</f>
        <v>SE</v>
      </c>
      <c r="O245" s="268" t="str">
        <f>$O$7</f>
        <v>Total</v>
      </c>
    </row>
    <row r="246" spans="1:15" s="236" customFormat="1" x14ac:dyDescent="0.2">
      <c r="A246" s="258"/>
      <c r="B246" s="239"/>
      <c r="C246" s="239"/>
      <c r="D246" s="239"/>
      <c r="E246" s="239"/>
      <c r="F246" s="239"/>
      <c r="G246" s="239"/>
      <c r="H246" s="239"/>
      <c r="I246" s="239"/>
      <c r="J246" s="239"/>
      <c r="K246" s="239"/>
      <c r="L246" s="239"/>
      <c r="M246" s="239"/>
      <c r="N246" s="239"/>
      <c r="O246" s="239"/>
    </row>
    <row r="247" spans="1:15" s="236" customFormat="1" x14ac:dyDescent="0.2">
      <c r="A247" s="237" t="str">
        <f>name!E$4</f>
        <v>Managers, directors and senior officials</v>
      </c>
      <c r="B247" s="302">
        <v>0.13676429091214895</v>
      </c>
      <c r="C247" s="302">
        <v>3.3613722706829301E-4</v>
      </c>
      <c r="D247" s="302">
        <v>1.3142860499802699E-3</v>
      </c>
      <c r="E247" s="302">
        <f>SUM(B247:D247)</f>
        <v>0.13841471418919751</v>
      </c>
      <c r="F247" s="303"/>
      <c r="G247" s="302">
        <v>0.18781560587812701</v>
      </c>
      <c r="H247" s="302">
        <v>6.0890342533073266E-3</v>
      </c>
      <c r="I247" s="302">
        <v>3.3458021005199046E-4</v>
      </c>
      <c r="J247" s="302">
        <f>SUM(G247:I247)</f>
        <v>0.1942392203414863</v>
      </c>
      <c r="K247" s="303"/>
      <c r="L247" s="302">
        <v>0.16341023998736692</v>
      </c>
      <c r="M247" s="302">
        <v>4.1548122270697917E-3</v>
      </c>
      <c r="N247" s="302">
        <v>3.3963225510680312E-4</v>
      </c>
      <c r="O247" s="302">
        <f>SUM(L247:N247)</f>
        <v>0.16790468446954351</v>
      </c>
    </row>
    <row r="248" spans="1:15" s="236" customFormat="1" x14ac:dyDescent="0.2">
      <c r="A248" s="237" t="str">
        <f>name!E$5</f>
        <v>Professional occupations</v>
      </c>
      <c r="B248" s="302">
        <v>0.33484278969050707</v>
      </c>
      <c r="C248" s="302">
        <v>1.9326156087903957E-4</v>
      </c>
      <c r="D248" s="302">
        <v>7.5264949263672447E-4</v>
      </c>
      <c r="E248" s="302">
        <f t="shared" ref="E248:E255" si="119">SUM(B248:D248)</f>
        <v>0.33578870074402284</v>
      </c>
      <c r="F248" s="303"/>
      <c r="G248" s="302">
        <v>0.50982981091447188</v>
      </c>
      <c r="H248" s="302">
        <v>3.626252892513743E-3</v>
      </c>
      <c r="I248" s="302">
        <v>2.7162645298373127E-4</v>
      </c>
      <c r="J248" s="302">
        <f t="shared" ref="J248:J250" si="120">SUM(G248:I248)</f>
        <v>0.51372769025996934</v>
      </c>
      <c r="K248" s="303"/>
      <c r="L248" s="302">
        <v>0.53303235465807275</v>
      </c>
      <c r="M248" s="302">
        <v>1.9680620671449186E-3</v>
      </c>
      <c r="N248" s="302">
        <v>2.5569953018968216E-4</v>
      </c>
      <c r="O248" s="302">
        <f t="shared" ref="O248:O255" si="121">SUM(L248:N248)</f>
        <v>0.53525611625540737</v>
      </c>
    </row>
    <row r="249" spans="1:15" s="236" customFormat="1" x14ac:dyDescent="0.2">
      <c r="A249" s="237" t="str">
        <f>name!E$6</f>
        <v>Associate professional occupations</v>
      </c>
      <c r="B249" s="302">
        <v>0.27927921499423858</v>
      </c>
      <c r="C249" s="302">
        <v>3.7185000305903627E-4</v>
      </c>
      <c r="D249" s="302">
        <v>6.9198795832160114E-4</v>
      </c>
      <c r="E249" s="302">
        <f t="shared" si="119"/>
        <v>0.28034305295561923</v>
      </c>
      <c r="F249" s="303"/>
      <c r="G249" s="302">
        <v>0.41672094153565398</v>
      </c>
      <c r="H249" s="302">
        <v>6.1114156836910545E-3</v>
      </c>
      <c r="I249" s="302">
        <v>2.0794003329909123E-4</v>
      </c>
      <c r="J249" s="302">
        <f t="shared" si="120"/>
        <v>0.42304029725264414</v>
      </c>
      <c r="K249" s="303"/>
      <c r="L249" s="302">
        <v>0.33355501038576163</v>
      </c>
      <c r="M249" s="302">
        <v>4.1717936027938617E-3</v>
      </c>
      <c r="N249" s="302">
        <v>1.9190320925812623E-4</v>
      </c>
      <c r="O249" s="302">
        <f t="shared" si="121"/>
        <v>0.33791870719781358</v>
      </c>
    </row>
    <row r="250" spans="1:15" s="236" customFormat="1" x14ac:dyDescent="0.2">
      <c r="A250" s="237" t="str">
        <f>name!E$7</f>
        <v>Administrative and secretarial occupations</v>
      </c>
      <c r="B250" s="302">
        <v>0.13508007906829972</v>
      </c>
      <c r="C250" s="302">
        <v>9.8267781661100164E-4</v>
      </c>
      <c r="D250" s="302">
        <v>1.7593787334852878E-4</v>
      </c>
      <c r="E250" s="302">
        <f t="shared" si="119"/>
        <v>0.13623869475825923</v>
      </c>
      <c r="F250" s="303"/>
      <c r="G250" s="302">
        <v>0.18734207284188076</v>
      </c>
      <c r="H250" s="302">
        <v>1.2875244001813141E-2</v>
      </c>
      <c r="I250" s="302">
        <v>6.6753301083191937E-5</v>
      </c>
      <c r="J250" s="302">
        <f t="shared" si="120"/>
        <v>0.20028407014477709</v>
      </c>
      <c r="K250" s="303"/>
      <c r="L250" s="302">
        <v>0.17134703352069519</v>
      </c>
      <c r="M250" s="302">
        <v>7.4165770306118877E-3</v>
      </c>
      <c r="N250" s="302">
        <v>5.7299490609090722E-5</v>
      </c>
      <c r="O250" s="302">
        <f t="shared" si="121"/>
        <v>0.17882091004191616</v>
      </c>
    </row>
    <row r="251" spans="1:15" s="236" customFormat="1" x14ac:dyDescent="0.2">
      <c r="A251" s="237" t="str">
        <f>name!E$8</f>
        <v>Skilled trades occupations</v>
      </c>
      <c r="B251" s="302">
        <v>0.49618791500741694</v>
      </c>
      <c r="C251" s="302">
        <v>1.5997092857525713E-3</v>
      </c>
      <c r="D251" s="302">
        <v>1.9713444243770325E-3</v>
      </c>
      <c r="E251" s="302">
        <f t="shared" si="119"/>
        <v>0.49975896871754655</v>
      </c>
      <c r="F251" s="303"/>
      <c r="G251" s="302">
        <v>0.49687608692695356</v>
      </c>
      <c r="H251" s="302">
        <v>1.2652045343543004E-2</v>
      </c>
      <c r="I251" s="302">
        <v>1.6207653813658318E-4</v>
      </c>
      <c r="J251" s="302">
        <f>SUM(G251:I251)</f>
        <v>0.50969020880863314</v>
      </c>
      <c r="K251" s="303"/>
      <c r="L251" s="302">
        <v>0.30403353493725638</v>
      </c>
      <c r="M251" s="302">
        <v>9.1815205665971393E-3</v>
      </c>
      <c r="N251" s="302">
        <v>3.1241599334082314E-4</v>
      </c>
      <c r="O251" s="302">
        <f t="shared" si="121"/>
        <v>0.31352747149719434</v>
      </c>
    </row>
    <row r="252" spans="1:15" s="236" customFormat="1" x14ac:dyDescent="0.2">
      <c r="A252" s="237" t="str">
        <f>name!E$9</f>
        <v>Caring, leisure and other service occupations</v>
      </c>
      <c r="B252" s="302">
        <v>3.6666413145522263E-2</v>
      </c>
      <c r="C252" s="302">
        <v>1.2345401469803976E-3</v>
      </c>
      <c r="D252" s="302">
        <v>2.4664460001280546E-4</v>
      </c>
      <c r="E252" s="302">
        <f t="shared" si="119"/>
        <v>3.814759789251547E-2</v>
      </c>
      <c r="F252" s="303"/>
      <c r="G252" s="302">
        <v>4.9257963937569829E-2</v>
      </c>
      <c r="H252" s="302">
        <v>1.5241395803958804E-2</v>
      </c>
      <c r="I252" s="302">
        <v>7.1655480717759267E-4</v>
      </c>
      <c r="J252" s="302">
        <f t="shared" ref="J252:J255" si="122">SUM(G252:I252)</f>
        <v>6.5215914548706233E-2</v>
      </c>
      <c r="K252" s="303"/>
      <c r="L252" s="302">
        <v>5.2564284133094615E-2</v>
      </c>
      <c r="M252" s="302">
        <v>1.4351724106159112E-2</v>
      </c>
      <c r="N252" s="302">
        <v>6.5472130449158031E-4</v>
      </c>
      <c r="O252" s="302">
        <f t="shared" si="121"/>
        <v>6.7570729543745309E-2</v>
      </c>
    </row>
    <row r="253" spans="1:15" s="236" customFormat="1" x14ac:dyDescent="0.2">
      <c r="A253" s="237" t="str">
        <f>name!E$10</f>
        <v>Sales and customer service occupations</v>
      </c>
      <c r="B253" s="302">
        <v>2.2517871246655125E-2</v>
      </c>
      <c r="C253" s="302">
        <v>1.9933128706659247E-4</v>
      </c>
      <c r="D253" s="302">
        <v>3.6180328622060901E-4</v>
      </c>
      <c r="E253" s="302">
        <f t="shared" si="119"/>
        <v>2.3079005819942329E-2</v>
      </c>
      <c r="F253" s="303"/>
      <c r="G253" s="302">
        <v>2.7616172465594998E-2</v>
      </c>
      <c r="H253" s="302">
        <v>2.4654932399477466E-3</v>
      </c>
      <c r="I253" s="302">
        <v>5.5748125117386031E-5</v>
      </c>
      <c r="J253" s="302">
        <f t="shared" si="122"/>
        <v>3.0137413830660129E-2</v>
      </c>
      <c r="K253" s="303"/>
      <c r="L253" s="302">
        <v>3.1820285790821988E-2</v>
      </c>
      <c r="M253" s="302">
        <v>2.9515473839007221E-3</v>
      </c>
      <c r="N253" s="302">
        <v>4.8514514603255106E-5</v>
      </c>
      <c r="O253" s="302">
        <f t="shared" si="121"/>
        <v>3.4820347689325966E-2</v>
      </c>
    </row>
    <row r="254" spans="1:15" s="236" customFormat="1" x14ac:dyDescent="0.2">
      <c r="A254" s="237" t="str">
        <f>name!E$11</f>
        <v>Process, plant and machine operatives</v>
      </c>
      <c r="B254" s="302">
        <v>0.5863243550534355</v>
      </c>
      <c r="C254" s="302">
        <v>4.8042858209359565E-3</v>
      </c>
      <c r="D254" s="302">
        <v>5.1535204186716329E-3</v>
      </c>
      <c r="E254" s="302">
        <f t="shared" si="119"/>
        <v>0.59628216129304312</v>
      </c>
      <c r="F254" s="303"/>
      <c r="G254" s="302">
        <v>0.56248040054980242</v>
      </c>
      <c r="H254" s="302">
        <v>4.0525654114745867E-2</v>
      </c>
      <c r="I254" s="302">
        <v>2.490400146357167E-4</v>
      </c>
      <c r="J254" s="302">
        <f t="shared" si="122"/>
        <v>0.60325509467918403</v>
      </c>
      <c r="K254" s="303"/>
      <c r="L254" s="302">
        <v>0.55029559269874018</v>
      </c>
      <c r="M254" s="302">
        <v>4.5171955734770793E-2</v>
      </c>
      <c r="N254" s="302">
        <v>3.5945532976368712E-4</v>
      </c>
      <c r="O254" s="302">
        <f t="shared" si="121"/>
        <v>0.59582700376327469</v>
      </c>
    </row>
    <row r="255" spans="1:15" s="236" customFormat="1" x14ac:dyDescent="0.2">
      <c r="A255" s="237" t="str">
        <f>name!E$12</f>
        <v>Elementary occupations</v>
      </c>
      <c r="B255" s="302">
        <v>0.102337070883673</v>
      </c>
      <c r="C255" s="302">
        <v>5.2782068519319665E-3</v>
      </c>
      <c r="D255" s="302">
        <v>1.9331825896010645E-2</v>
      </c>
      <c r="E255" s="302">
        <f t="shared" si="119"/>
        <v>0.1269471036316156</v>
      </c>
      <c r="F255" s="303"/>
      <c r="G255" s="302">
        <v>9.906094494865525E-2</v>
      </c>
      <c r="H255" s="302">
        <v>5.2413464666437384E-2</v>
      </c>
      <c r="I255" s="302">
        <v>9.3568051745985387E-4</v>
      </c>
      <c r="J255" s="302">
        <f t="shared" si="122"/>
        <v>0.15241009013255247</v>
      </c>
      <c r="K255" s="303"/>
      <c r="L255" s="302">
        <v>5.8941663877352821E-2</v>
      </c>
      <c r="M255" s="302">
        <v>4.3632007280216288E-2</v>
      </c>
      <c r="N255" s="302">
        <v>7.8035837266167743E-4</v>
      </c>
      <c r="O255" s="302">
        <f t="shared" si="121"/>
        <v>0.10335402953023078</v>
      </c>
    </row>
    <row r="256" spans="1:15" s="236" customFormat="1" x14ac:dyDescent="0.2">
      <c r="A256" s="237"/>
      <c r="B256" s="302"/>
      <c r="C256" s="302"/>
      <c r="D256" s="302"/>
      <c r="E256" s="302"/>
      <c r="F256" s="303"/>
      <c r="G256" s="302"/>
      <c r="H256" s="302"/>
      <c r="I256" s="302"/>
      <c r="J256" s="302"/>
      <c r="K256" s="303"/>
      <c r="L256" s="302"/>
      <c r="M256" s="302"/>
      <c r="N256" s="302"/>
      <c r="O256" s="302"/>
    </row>
    <row r="257" spans="1:15" s="236" customFormat="1" x14ac:dyDescent="0.2">
      <c r="A257" s="244" t="s">
        <v>32</v>
      </c>
      <c r="B257" s="311">
        <f>SUM(B247:B255)</f>
        <v>2.130000000001897</v>
      </c>
      <c r="C257" s="311">
        <f t="shared" ref="C257:E257" si="123">SUM(C247:C255)</f>
        <v>1.5000000000284855E-2</v>
      </c>
      <c r="D257" s="311">
        <f t="shared" si="123"/>
        <v>2.9999999999579849E-2</v>
      </c>
      <c r="E257" s="311">
        <f t="shared" si="123"/>
        <v>2.175000000001762</v>
      </c>
      <c r="F257" s="311"/>
      <c r="G257" s="311">
        <f t="shared" ref="G257:J257" si="124">SUM(G247:G255)</f>
        <v>2.5369999999987094</v>
      </c>
      <c r="H257" s="311">
        <f t="shared" si="124"/>
        <v>0.15199999999995806</v>
      </c>
      <c r="I257" s="311">
        <f t="shared" si="124"/>
        <v>2.9999999999451377E-3</v>
      </c>
      <c r="J257" s="311">
        <f t="shared" si="124"/>
        <v>2.6919999999986128</v>
      </c>
      <c r="K257" s="311"/>
      <c r="L257" s="311">
        <f t="shared" ref="L257:O257" si="125">SUM(L247:L255)</f>
        <v>2.1989999999891632</v>
      </c>
      <c r="M257" s="311">
        <f t="shared" si="125"/>
        <v>0.13299999999926451</v>
      </c>
      <c r="N257" s="311">
        <f t="shared" si="125"/>
        <v>3.0000000000247259E-3</v>
      </c>
      <c r="O257" s="311">
        <f t="shared" si="125"/>
        <v>2.3349999999884519</v>
      </c>
    </row>
    <row r="258" spans="1:15" s="236" customFormat="1" x14ac:dyDescent="0.2">
      <c r="A258" s="237"/>
      <c r="B258" s="237"/>
      <c r="C258" s="237"/>
      <c r="D258" s="237"/>
      <c r="E258" s="237"/>
      <c r="F258" s="237"/>
      <c r="G258" s="237"/>
      <c r="H258" s="237"/>
      <c r="I258" s="237"/>
      <c r="J258" s="237"/>
      <c r="K258" s="237"/>
      <c r="L258" s="237"/>
      <c r="M258" s="237"/>
      <c r="N258" s="240"/>
    </row>
    <row r="259" spans="1:15" s="236" customFormat="1" x14ac:dyDescent="0.2">
      <c r="A259" s="237"/>
      <c r="B259" s="237"/>
      <c r="C259" s="237"/>
      <c r="D259" s="237"/>
      <c r="E259" s="237"/>
      <c r="F259" s="237"/>
      <c r="G259" s="237"/>
      <c r="H259" s="237"/>
      <c r="I259" s="237"/>
      <c r="J259" s="237"/>
      <c r="K259" s="237"/>
      <c r="L259" s="237"/>
      <c r="M259" s="237"/>
      <c r="N259" s="240"/>
      <c r="O259" s="251" t="s">
        <v>35</v>
      </c>
    </row>
    <row r="260" spans="1:15" s="236" customFormat="1" x14ac:dyDescent="0.2">
      <c r="A260" s="242"/>
      <c r="B260" s="242"/>
      <c r="C260" s="242"/>
      <c r="D260" s="242"/>
      <c r="E260" s="242"/>
      <c r="F260" s="242"/>
      <c r="G260" s="242"/>
      <c r="H260" s="242"/>
      <c r="I260" s="242"/>
      <c r="J260" s="242"/>
      <c r="K260" s="242"/>
      <c r="L260" s="242"/>
      <c r="M260" s="242"/>
      <c r="N260" s="242"/>
      <c r="O260" s="242"/>
    </row>
    <row r="261" spans="1:15" s="236" customFormat="1" x14ac:dyDescent="0.2">
      <c r="A261" s="241" t="str">
        <f>name!A18</f>
        <v>Metal products</v>
      </c>
      <c r="B261" s="374">
        <f>$B$6</f>
        <v>2015</v>
      </c>
      <c r="C261" s="374"/>
      <c r="D261" s="374"/>
      <c r="E261" s="374"/>
      <c r="F261" s="263"/>
      <c r="G261" s="374">
        <f>$G$6</f>
        <v>2020</v>
      </c>
      <c r="H261" s="374"/>
      <c r="I261" s="374"/>
      <c r="J261" s="374"/>
      <c r="K261" s="263"/>
      <c r="L261" s="374">
        <f>$L$6</f>
        <v>2035</v>
      </c>
      <c r="M261" s="374"/>
      <c r="N261" s="374"/>
      <c r="O261" s="374"/>
    </row>
    <row r="262" spans="1:15" s="236" customFormat="1" x14ac:dyDescent="0.2">
      <c r="A262" s="254"/>
      <c r="B262" s="268" t="str">
        <f>$B$7</f>
        <v>FT</v>
      </c>
      <c r="C262" s="268" t="str">
        <f>$C$7</f>
        <v>PT</v>
      </c>
      <c r="D262" s="268" t="str">
        <f>$D$7</f>
        <v>SE</v>
      </c>
      <c r="E262" s="268" t="str">
        <f>$E$7</f>
        <v>Total</v>
      </c>
      <c r="F262" s="268"/>
      <c r="G262" s="268" t="str">
        <f>$G$7</f>
        <v>FT</v>
      </c>
      <c r="H262" s="268" t="str">
        <f>$H$7</f>
        <v>PT</v>
      </c>
      <c r="I262" s="268" t="str">
        <f>$I$7</f>
        <v>SE</v>
      </c>
      <c r="J262" s="268" t="str">
        <f>$J$7</f>
        <v>Total</v>
      </c>
      <c r="K262" s="268"/>
      <c r="L262" s="268" t="str">
        <f>$L$7</f>
        <v>FT</v>
      </c>
      <c r="M262" s="268" t="str">
        <f>$M$7</f>
        <v>PT</v>
      </c>
      <c r="N262" s="268" t="str">
        <f>$N$7</f>
        <v>SE</v>
      </c>
      <c r="O262" s="268" t="str">
        <f>$O$7</f>
        <v>Total</v>
      </c>
    </row>
    <row r="263" spans="1:15" s="236" customFormat="1" x14ac:dyDescent="0.2">
      <c r="A263" s="258"/>
      <c r="B263" s="239"/>
      <c r="C263" s="239"/>
      <c r="D263" s="239"/>
      <c r="E263" s="239"/>
      <c r="F263" s="239"/>
      <c r="G263" s="239"/>
      <c r="H263" s="239"/>
      <c r="I263" s="239"/>
      <c r="J263" s="239"/>
      <c r="K263" s="239"/>
      <c r="L263" s="239"/>
      <c r="M263" s="239"/>
      <c r="N263" s="239"/>
      <c r="O263" s="239"/>
    </row>
    <row r="264" spans="1:15" s="236" customFormat="1" x14ac:dyDescent="0.2">
      <c r="A264" s="237" t="str">
        <f>name!E$4</f>
        <v>Managers, directors and senior officials</v>
      </c>
      <c r="B264" s="302">
        <v>0.93137929601327474</v>
      </c>
      <c r="C264" s="302">
        <v>3.1157950564109697E-2</v>
      </c>
      <c r="D264" s="302">
        <v>3.5467748888770995E-2</v>
      </c>
      <c r="E264" s="302">
        <f>SUM(B264:D264)</f>
        <v>0.99800499546615551</v>
      </c>
      <c r="F264" s="303"/>
      <c r="G264" s="302">
        <v>0.96791369713856024</v>
      </c>
      <c r="H264" s="302">
        <v>4.728022574794722E-2</v>
      </c>
      <c r="I264" s="302">
        <v>5.3717661275527939E-3</v>
      </c>
      <c r="J264" s="302">
        <f>SUM(G264:I264)</f>
        <v>1.0205656890140602</v>
      </c>
      <c r="K264" s="303"/>
      <c r="L264" s="302">
        <v>0.88999732148547583</v>
      </c>
      <c r="M264" s="302">
        <v>4.6008499640144598E-2</v>
      </c>
      <c r="N264" s="302">
        <v>5.9469989027535223E-3</v>
      </c>
      <c r="O264" s="302">
        <f>SUM(L264:N264)</f>
        <v>0.94195282002837399</v>
      </c>
    </row>
    <row r="265" spans="1:15" s="236" customFormat="1" x14ac:dyDescent="0.2">
      <c r="A265" s="237" t="str">
        <f>name!E$5</f>
        <v>Professional occupations</v>
      </c>
      <c r="B265" s="302">
        <v>1.7339884360126889</v>
      </c>
      <c r="C265" s="302">
        <v>3.3222074561325365E-2</v>
      </c>
      <c r="D265" s="302">
        <v>2.7404037023915376E-2</v>
      </c>
      <c r="E265" s="302">
        <f t="shared" ref="E265:E272" si="126">SUM(B265:D265)</f>
        <v>1.7946145475979298</v>
      </c>
      <c r="F265" s="303"/>
      <c r="G265" s="302">
        <v>1.9965332782830916</v>
      </c>
      <c r="H265" s="302">
        <v>4.7120400244812087E-2</v>
      </c>
      <c r="I265" s="302">
        <v>2.6629846819517813E-3</v>
      </c>
      <c r="J265" s="302">
        <f t="shared" ref="J265:J267" si="127">SUM(G265:I265)</f>
        <v>2.0463166632098555</v>
      </c>
      <c r="K265" s="303"/>
      <c r="L265" s="302">
        <v>2.1614490894685607</v>
      </c>
      <c r="M265" s="302">
        <v>4.3279254435124599E-2</v>
      </c>
      <c r="N265" s="302">
        <v>2.210480058608009E-3</v>
      </c>
      <c r="O265" s="302">
        <f t="shared" ref="O265:O272" si="128">SUM(L265:N265)</f>
        <v>2.2069388239622931</v>
      </c>
    </row>
    <row r="266" spans="1:15" s="236" customFormat="1" x14ac:dyDescent="0.2">
      <c r="A266" s="237" t="str">
        <f>name!E$6</f>
        <v>Associate professional occupations</v>
      </c>
      <c r="B266" s="302">
        <v>1.7435218008391888</v>
      </c>
      <c r="C266" s="302">
        <v>3.4571348907507772E-2</v>
      </c>
      <c r="D266" s="302">
        <v>1.0696173143111469E-2</v>
      </c>
      <c r="E266" s="302">
        <f t="shared" si="126"/>
        <v>1.788789322889808</v>
      </c>
      <c r="F266" s="303"/>
      <c r="G266" s="302">
        <v>1.9220273528023344</v>
      </c>
      <c r="H266" s="302">
        <v>5.1956229927072439E-2</v>
      </c>
      <c r="I266" s="302">
        <v>1.7383984665215462E-3</v>
      </c>
      <c r="J266" s="302">
        <f t="shared" si="127"/>
        <v>1.9757219811959283</v>
      </c>
      <c r="K266" s="303"/>
      <c r="L266" s="302">
        <v>1.6433490437768077</v>
      </c>
      <c r="M266" s="302">
        <v>3.1951154355686427E-2</v>
      </c>
      <c r="N266" s="302">
        <v>1.7048906085829212E-3</v>
      </c>
      <c r="O266" s="302">
        <f t="shared" si="128"/>
        <v>1.6770050887410772</v>
      </c>
    </row>
    <row r="267" spans="1:15" s="236" customFormat="1" x14ac:dyDescent="0.2">
      <c r="A267" s="237" t="str">
        <f>name!E$7</f>
        <v>Administrative and secretarial occupations</v>
      </c>
      <c r="B267" s="302">
        <v>0.67721837560254849</v>
      </c>
      <c r="C267" s="302">
        <v>0.14082689442536833</v>
      </c>
      <c r="D267" s="302">
        <v>7.3550573408609696E-3</v>
      </c>
      <c r="E267" s="302">
        <f t="shared" si="126"/>
        <v>0.82540032736877778</v>
      </c>
      <c r="F267" s="303"/>
      <c r="G267" s="302">
        <v>0.70275251319036303</v>
      </c>
      <c r="H267" s="302">
        <v>0.16992545202889475</v>
      </c>
      <c r="I267" s="302">
        <v>9.4224217516525269E-3</v>
      </c>
      <c r="J267" s="302">
        <f t="shared" si="127"/>
        <v>0.88210038697091031</v>
      </c>
      <c r="K267" s="303"/>
      <c r="L267" s="302">
        <v>0.55669565851440272</v>
      </c>
      <c r="M267" s="302">
        <v>0.10966540090974404</v>
      </c>
      <c r="N267" s="302">
        <v>5.7878283962023921E-3</v>
      </c>
      <c r="O267" s="302">
        <f t="shared" si="128"/>
        <v>0.67214888782034921</v>
      </c>
    </row>
    <row r="268" spans="1:15" s="236" customFormat="1" x14ac:dyDescent="0.2">
      <c r="A268" s="237" t="str">
        <f>name!E$8</f>
        <v>Skilled trades occupations</v>
      </c>
      <c r="B268" s="302">
        <v>7.216133577763066</v>
      </c>
      <c r="C268" s="302">
        <v>0.15620855287115765</v>
      </c>
      <c r="D268" s="302">
        <v>0.1033727554146343</v>
      </c>
      <c r="E268" s="302">
        <f t="shared" si="126"/>
        <v>7.4757148860488574</v>
      </c>
      <c r="F268" s="303"/>
      <c r="G268" s="302">
        <v>5.4326473032358971</v>
      </c>
      <c r="H268" s="302">
        <v>0.11500678672285786</v>
      </c>
      <c r="I268" s="302">
        <v>1.5341045231484259E-3</v>
      </c>
      <c r="J268" s="302">
        <f>SUM(G268:I268)</f>
        <v>5.5491881944819035</v>
      </c>
      <c r="K268" s="303"/>
      <c r="L268" s="302">
        <v>4.1764858608898505</v>
      </c>
      <c r="M268" s="302">
        <v>0.10709808098065197</v>
      </c>
      <c r="N268" s="302">
        <v>2.5762123652116452E-3</v>
      </c>
      <c r="O268" s="302">
        <f t="shared" si="128"/>
        <v>4.2861601542357146</v>
      </c>
    </row>
    <row r="269" spans="1:15" s="236" customFormat="1" x14ac:dyDescent="0.2">
      <c r="A269" s="237" t="str">
        <f>name!E$9</f>
        <v>Caring, leisure and other service occupations</v>
      </c>
      <c r="B269" s="302">
        <v>0.13145648542937693</v>
      </c>
      <c r="C269" s="302">
        <v>6.0372275392111532E-3</v>
      </c>
      <c r="D269" s="302">
        <v>1.47842185210208E-3</v>
      </c>
      <c r="E269" s="302">
        <f t="shared" si="126"/>
        <v>0.13897213482069018</v>
      </c>
      <c r="F269" s="303"/>
      <c r="G269" s="302">
        <v>0.13197556584944675</v>
      </c>
      <c r="H269" s="302">
        <v>7.0069805155618453E-3</v>
      </c>
      <c r="I269" s="302">
        <v>1.3403292228544304E-3</v>
      </c>
      <c r="J269" s="302">
        <f t="shared" ref="J269:J272" si="129">SUM(G269:I269)</f>
        <v>0.14032287558786302</v>
      </c>
      <c r="K269" s="303"/>
      <c r="L269" s="302">
        <v>0.17201606424840843</v>
      </c>
      <c r="M269" s="302">
        <v>5.4023291779011452E-3</v>
      </c>
      <c r="N269" s="302">
        <v>2.4619264753414898E-3</v>
      </c>
      <c r="O269" s="302">
        <f t="shared" si="128"/>
        <v>0.17988031990165107</v>
      </c>
    </row>
    <row r="270" spans="1:15" s="236" customFormat="1" x14ac:dyDescent="0.2">
      <c r="A270" s="237" t="str">
        <f>name!E$10</f>
        <v>Sales and customer service occupations</v>
      </c>
      <c r="B270" s="302">
        <v>0.13152809140871671</v>
      </c>
      <c r="C270" s="302">
        <v>1.5451400252624432E-2</v>
      </c>
      <c r="D270" s="302">
        <v>3.2632890550223633E-3</v>
      </c>
      <c r="E270" s="302">
        <f t="shared" si="126"/>
        <v>0.15024278071636349</v>
      </c>
      <c r="F270" s="303"/>
      <c r="G270" s="302">
        <v>0.12535474791473081</v>
      </c>
      <c r="H270" s="302">
        <v>1.8086352551476885E-2</v>
      </c>
      <c r="I270" s="302">
        <v>1.0077532730931574E-3</v>
      </c>
      <c r="J270" s="302">
        <f t="shared" si="129"/>
        <v>0.14444885373930086</v>
      </c>
      <c r="K270" s="303"/>
      <c r="L270" s="302">
        <v>0.12340430037449235</v>
      </c>
      <c r="M270" s="302">
        <v>1.704566047070525E-2</v>
      </c>
      <c r="N270" s="302">
        <v>1.4003257281498445E-3</v>
      </c>
      <c r="O270" s="302">
        <f t="shared" si="128"/>
        <v>0.14185028657334744</v>
      </c>
    </row>
    <row r="271" spans="1:15" s="236" customFormat="1" x14ac:dyDescent="0.2">
      <c r="A271" s="237" t="str">
        <f>name!E$11</f>
        <v>Process, plant and machine operatives</v>
      </c>
      <c r="B271" s="302">
        <v>2.2716699115812693</v>
      </c>
      <c r="C271" s="302">
        <v>0.11088201426334808</v>
      </c>
      <c r="D271" s="302">
        <v>1.3077699468812711E-2</v>
      </c>
      <c r="E271" s="302">
        <f t="shared" si="126"/>
        <v>2.3956296253134299</v>
      </c>
      <c r="F271" s="303"/>
      <c r="G271" s="302">
        <v>1.6300237387753373</v>
      </c>
      <c r="H271" s="302">
        <v>0.10582004288853926</v>
      </c>
      <c r="I271" s="302">
        <v>2.1427528840894262E-3</v>
      </c>
      <c r="J271" s="302">
        <f t="shared" si="129"/>
        <v>1.7379865345479659</v>
      </c>
      <c r="K271" s="303"/>
      <c r="L271" s="302">
        <v>1.6962128109389476</v>
      </c>
      <c r="M271" s="302">
        <v>0.1476526098391884</v>
      </c>
      <c r="N271" s="302">
        <v>2.841707763751769E-3</v>
      </c>
      <c r="O271" s="302">
        <f t="shared" si="128"/>
        <v>1.8467071285418877</v>
      </c>
    </row>
    <row r="272" spans="1:15" s="236" customFormat="1" x14ac:dyDescent="0.2">
      <c r="A272" s="237" t="str">
        <f>name!E$12</f>
        <v>Elementary occupations</v>
      </c>
      <c r="B272" s="302">
        <v>0.33410402535361261</v>
      </c>
      <c r="C272" s="302">
        <v>3.9642536622271851E-2</v>
      </c>
      <c r="D272" s="302">
        <v>5.8848178121233699E-3</v>
      </c>
      <c r="E272" s="302">
        <f t="shared" si="126"/>
        <v>0.37963137978800782</v>
      </c>
      <c r="F272" s="303"/>
      <c r="G272" s="302">
        <v>0.23877180278358343</v>
      </c>
      <c r="H272" s="302">
        <v>3.9797529373511054E-2</v>
      </c>
      <c r="I272" s="302">
        <v>2.7794890688713041E-3</v>
      </c>
      <c r="J272" s="302">
        <f t="shared" si="129"/>
        <v>0.28134882122596577</v>
      </c>
      <c r="K272" s="303"/>
      <c r="L272" s="302">
        <v>9.9389850231078672E-2</v>
      </c>
      <c r="M272" s="302">
        <v>2.289701018980542E-2</v>
      </c>
      <c r="N272" s="302">
        <v>2.0696297015591206E-3</v>
      </c>
      <c r="O272" s="302">
        <f t="shared" si="128"/>
        <v>0.12435649012244321</v>
      </c>
    </row>
    <row r="273" spans="1:15" s="236" customFormat="1" x14ac:dyDescent="0.2">
      <c r="A273" s="237"/>
      <c r="B273" s="302"/>
      <c r="C273" s="302"/>
      <c r="D273" s="302"/>
      <c r="E273" s="302"/>
      <c r="F273" s="303"/>
      <c r="G273" s="302"/>
      <c r="H273" s="302"/>
      <c r="I273" s="302"/>
      <c r="J273" s="302"/>
      <c r="K273" s="303"/>
      <c r="L273" s="302"/>
      <c r="M273" s="302"/>
      <c r="N273" s="302"/>
      <c r="O273" s="302"/>
    </row>
    <row r="274" spans="1:15" s="236" customFormat="1" x14ac:dyDescent="0.2">
      <c r="A274" s="244" t="s">
        <v>32</v>
      </c>
      <c r="B274" s="311">
        <f>SUM(B264:B272)</f>
        <v>15.171000000003742</v>
      </c>
      <c r="C274" s="311">
        <f t="shared" ref="C274:E274" si="130">SUM(C264:C272)</f>
        <v>0.5680000000069243</v>
      </c>
      <c r="D274" s="311">
        <f t="shared" si="130"/>
        <v>0.20799999999935362</v>
      </c>
      <c r="E274" s="311">
        <f t="shared" si="130"/>
        <v>15.94700000001002</v>
      </c>
      <c r="F274" s="311"/>
      <c r="G274" s="311">
        <f t="shared" ref="G274:J274" si="131">SUM(G264:G272)</f>
        <v>13.147999999973345</v>
      </c>
      <c r="H274" s="311">
        <f t="shared" si="131"/>
        <v>0.60200000000067333</v>
      </c>
      <c r="I274" s="311">
        <f t="shared" si="131"/>
        <v>2.7999999999735386E-2</v>
      </c>
      <c r="J274" s="311">
        <f t="shared" si="131"/>
        <v>13.777999999973751</v>
      </c>
      <c r="K274" s="311"/>
      <c r="L274" s="311">
        <f t="shared" ref="L274:O274" si="132">SUM(L264:L272)</f>
        <v>11.518999999928024</v>
      </c>
      <c r="M274" s="311">
        <f t="shared" si="132"/>
        <v>0.53099999999895187</v>
      </c>
      <c r="N274" s="311">
        <f t="shared" si="132"/>
        <v>2.7000000000160711E-2</v>
      </c>
      <c r="O274" s="311">
        <f t="shared" si="132"/>
        <v>12.076999999927137</v>
      </c>
    </row>
    <row r="275" spans="1:15" s="236" customFormat="1" x14ac:dyDescent="0.2">
      <c r="A275" s="237"/>
      <c r="B275" s="237"/>
      <c r="C275" s="237"/>
      <c r="D275" s="237"/>
      <c r="E275" s="237"/>
      <c r="F275" s="237"/>
      <c r="G275" s="237"/>
      <c r="H275" s="237"/>
      <c r="I275" s="237"/>
      <c r="J275" s="237"/>
      <c r="K275" s="237"/>
      <c r="L275" s="237"/>
      <c r="M275" s="237"/>
      <c r="N275" s="240"/>
    </row>
    <row r="276" spans="1:15" s="236" customFormat="1" x14ac:dyDescent="0.2">
      <c r="A276" s="237"/>
      <c r="B276" s="237"/>
      <c r="C276" s="237"/>
      <c r="D276" s="237"/>
      <c r="E276" s="237"/>
      <c r="F276" s="237"/>
      <c r="G276" s="237"/>
      <c r="H276" s="237"/>
      <c r="I276" s="237"/>
      <c r="J276" s="237"/>
      <c r="K276" s="237"/>
      <c r="L276" s="237"/>
      <c r="M276" s="237"/>
      <c r="N276" s="240"/>
      <c r="O276" s="251" t="s">
        <v>35</v>
      </c>
    </row>
    <row r="277" spans="1:15" s="236" customFormat="1" x14ac:dyDescent="0.2">
      <c r="A277" s="242"/>
      <c r="B277" s="242"/>
      <c r="C277" s="242"/>
      <c r="D277" s="242"/>
      <c r="E277" s="242"/>
      <c r="F277" s="242"/>
      <c r="G277" s="242"/>
      <c r="H277" s="242"/>
      <c r="I277" s="242"/>
      <c r="J277" s="242"/>
      <c r="K277" s="242"/>
      <c r="L277" s="242"/>
      <c r="M277" s="242"/>
      <c r="N277" s="242"/>
      <c r="O277" s="242"/>
    </row>
    <row r="278" spans="1:15" s="236" customFormat="1" x14ac:dyDescent="0.2">
      <c r="A278" s="241" t="str">
        <f>name!A19</f>
        <v>Computer, etc</v>
      </c>
      <c r="B278" s="374">
        <f>$B$6</f>
        <v>2015</v>
      </c>
      <c r="C278" s="374"/>
      <c r="D278" s="374"/>
      <c r="E278" s="374"/>
      <c r="F278" s="263"/>
      <c r="G278" s="374">
        <f>$G$6</f>
        <v>2020</v>
      </c>
      <c r="H278" s="374"/>
      <c r="I278" s="374"/>
      <c r="J278" s="374"/>
      <c r="K278" s="263"/>
      <c r="L278" s="374">
        <f>$L$6</f>
        <v>2035</v>
      </c>
      <c r="M278" s="374"/>
      <c r="N278" s="374"/>
      <c r="O278" s="374"/>
    </row>
    <row r="279" spans="1:15" s="236" customFormat="1" x14ac:dyDescent="0.2">
      <c r="A279" s="254"/>
      <c r="B279" s="268" t="str">
        <f>$B$7</f>
        <v>FT</v>
      </c>
      <c r="C279" s="268" t="str">
        <f>$C$7</f>
        <v>PT</v>
      </c>
      <c r="D279" s="268" t="str">
        <f>$D$7</f>
        <v>SE</v>
      </c>
      <c r="E279" s="268" t="str">
        <f>$E$7</f>
        <v>Total</v>
      </c>
      <c r="F279" s="268"/>
      <c r="G279" s="268" t="str">
        <f>$G$7</f>
        <v>FT</v>
      </c>
      <c r="H279" s="268" t="str">
        <f>$H$7</f>
        <v>PT</v>
      </c>
      <c r="I279" s="268" t="str">
        <f>$I$7</f>
        <v>SE</v>
      </c>
      <c r="J279" s="268" t="str">
        <f>$J$7</f>
        <v>Total</v>
      </c>
      <c r="K279" s="268"/>
      <c r="L279" s="268" t="str">
        <f>$L$7</f>
        <v>FT</v>
      </c>
      <c r="M279" s="268" t="str">
        <f>$M$7</f>
        <v>PT</v>
      </c>
      <c r="N279" s="268" t="str">
        <f>$N$7</f>
        <v>SE</v>
      </c>
      <c r="O279" s="268" t="str">
        <f>$O$7</f>
        <v>Total</v>
      </c>
    </row>
    <row r="280" spans="1:15" s="236" customFormat="1" x14ac:dyDescent="0.2">
      <c r="A280" s="258"/>
      <c r="B280" s="239"/>
      <c r="C280" s="239"/>
      <c r="D280" s="239"/>
      <c r="E280" s="239"/>
      <c r="F280" s="239"/>
      <c r="G280" s="239"/>
      <c r="H280" s="239"/>
      <c r="I280" s="239"/>
      <c r="J280" s="239"/>
      <c r="K280" s="239"/>
      <c r="L280" s="239"/>
      <c r="M280" s="239"/>
      <c r="N280" s="239"/>
      <c r="O280" s="239"/>
    </row>
    <row r="281" spans="1:15" s="236" customFormat="1" x14ac:dyDescent="0.2">
      <c r="A281" s="237" t="str">
        <f>name!E$4</f>
        <v>Managers, directors and senior officials</v>
      </c>
      <c r="B281" s="302">
        <v>0.24480732483105463</v>
      </c>
      <c r="C281" s="302">
        <v>6.8389274650333511E-3</v>
      </c>
      <c r="D281" s="302">
        <v>7.9526874967020527E-3</v>
      </c>
      <c r="E281" s="302">
        <f>SUM(B281:D281)</f>
        <v>0.25959893979279003</v>
      </c>
      <c r="F281" s="303"/>
      <c r="G281" s="302">
        <v>0.22240636948559214</v>
      </c>
      <c r="H281" s="302">
        <v>1.2162892693685482E-2</v>
      </c>
      <c r="I281" s="302">
        <v>2.5413245346981631E-3</v>
      </c>
      <c r="J281" s="302">
        <f>SUM(G281:I281)</f>
        <v>0.23711058671397578</v>
      </c>
      <c r="K281" s="303"/>
      <c r="L281" s="302">
        <v>0.36527000103930357</v>
      </c>
      <c r="M281" s="302">
        <v>2.2634228774447471E-2</v>
      </c>
      <c r="N281" s="302">
        <v>5.0053369202984971E-3</v>
      </c>
      <c r="O281" s="302">
        <f>SUM(L281:N281)</f>
        <v>0.39290956673404953</v>
      </c>
    </row>
    <row r="282" spans="1:15" s="236" customFormat="1" x14ac:dyDescent="0.2">
      <c r="A282" s="237" t="str">
        <f>name!E$5</f>
        <v>Professional occupations</v>
      </c>
      <c r="B282" s="302">
        <v>0.80943004953708531</v>
      </c>
      <c r="C282" s="302">
        <v>9.2685622265715022E-3</v>
      </c>
      <c r="D282" s="302">
        <v>6.0189858200212732E-3</v>
      </c>
      <c r="E282" s="302">
        <f t="shared" ref="E282:E289" si="133">SUM(B282:D282)</f>
        <v>0.82471759758367802</v>
      </c>
      <c r="F282" s="303"/>
      <c r="G282" s="302">
        <v>0.80084576798083407</v>
      </c>
      <c r="H282" s="302">
        <v>2.0166313696265425E-2</v>
      </c>
      <c r="I282" s="302">
        <v>3.3613598557491361E-4</v>
      </c>
      <c r="J282" s="302">
        <f t="shared" ref="J282:J284" si="134">SUM(G282:I282)</f>
        <v>0.82134821766267441</v>
      </c>
      <c r="K282" s="303"/>
      <c r="L282" s="302">
        <v>1.4612132016563419</v>
      </c>
      <c r="M282" s="302">
        <v>4.0852847768310468E-2</v>
      </c>
      <c r="N282" s="302">
        <v>2.9234445668315699E-4</v>
      </c>
      <c r="O282" s="302">
        <f t="shared" ref="O282:O289" si="135">SUM(L282:N282)</f>
        <v>1.5023583938813356</v>
      </c>
    </row>
    <row r="283" spans="1:15" s="236" customFormat="1" x14ac:dyDescent="0.2">
      <c r="A283" s="237" t="str">
        <f>name!E$6</f>
        <v>Associate professional occupations</v>
      </c>
      <c r="B283" s="302">
        <v>0.44944982341153672</v>
      </c>
      <c r="C283" s="302">
        <v>8.1448269921009057E-3</v>
      </c>
      <c r="D283" s="302">
        <v>5.1505758030077559E-3</v>
      </c>
      <c r="E283" s="302">
        <f t="shared" si="133"/>
        <v>0.46274522620664538</v>
      </c>
      <c r="F283" s="303"/>
      <c r="G283" s="302">
        <v>0.43802844637692501</v>
      </c>
      <c r="H283" s="302">
        <v>1.4925006190244105E-2</v>
      </c>
      <c r="I283" s="302">
        <v>3.8119054751601088E-4</v>
      </c>
      <c r="J283" s="302">
        <f t="shared" si="134"/>
        <v>0.45333464311468513</v>
      </c>
      <c r="K283" s="303"/>
      <c r="L283" s="302">
        <v>0.64002673179999447</v>
      </c>
      <c r="M283" s="302">
        <v>1.9874033009644649E-2</v>
      </c>
      <c r="N283" s="302">
        <v>4.0582212705813405E-4</v>
      </c>
      <c r="O283" s="302">
        <f t="shared" si="135"/>
        <v>0.66030658693669719</v>
      </c>
    </row>
    <row r="284" spans="1:15" s="236" customFormat="1" x14ac:dyDescent="0.2">
      <c r="A284" s="237" t="str">
        <f>name!E$7</f>
        <v>Administrative and secretarial occupations</v>
      </c>
      <c r="B284" s="302">
        <v>0.21668680497940845</v>
      </c>
      <c r="C284" s="302">
        <v>2.0762751037723813E-2</v>
      </c>
      <c r="D284" s="302">
        <v>7.3190908479869898E-4</v>
      </c>
      <c r="E284" s="302">
        <f t="shared" si="133"/>
        <v>0.23818146510193097</v>
      </c>
      <c r="F284" s="303"/>
      <c r="G284" s="302">
        <v>0.19769437651929231</v>
      </c>
      <c r="H284" s="302">
        <v>3.5266804511531989E-2</v>
      </c>
      <c r="I284" s="302">
        <v>2.6109646427902917E-4</v>
      </c>
      <c r="J284" s="302">
        <f t="shared" si="134"/>
        <v>0.23322227749510333</v>
      </c>
      <c r="K284" s="303"/>
      <c r="L284" s="302">
        <v>0.20495965197852187</v>
      </c>
      <c r="M284" s="302">
        <v>3.9530791415168541E-2</v>
      </c>
      <c r="N284" s="302">
        <v>2.4281100169893697E-4</v>
      </c>
      <c r="O284" s="302">
        <f t="shared" si="135"/>
        <v>0.24473325439538934</v>
      </c>
    </row>
    <row r="285" spans="1:15" s="236" customFormat="1" x14ac:dyDescent="0.2">
      <c r="A285" s="237" t="str">
        <f>name!E$8</f>
        <v>Skilled trades occupations</v>
      </c>
      <c r="B285" s="302">
        <v>0.4534262044039396</v>
      </c>
      <c r="C285" s="302">
        <v>1.4842546006057108E-2</v>
      </c>
      <c r="D285" s="302">
        <v>1.4853309179795087E-2</v>
      </c>
      <c r="E285" s="302">
        <f t="shared" si="133"/>
        <v>0.48312205958979182</v>
      </c>
      <c r="F285" s="303"/>
      <c r="G285" s="302">
        <v>0.29127711438369441</v>
      </c>
      <c r="H285" s="302">
        <v>1.4218710270954697E-2</v>
      </c>
      <c r="I285" s="302">
        <v>1.0694911137519689E-3</v>
      </c>
      <c r="J285" s="302">
        <f>SUM(G285:I285)</f>
        <v>0.30656531576840107</v>
      </c>
      <c r="K285" s="303"/>
      <c r="L285" s="302">
        <v>0.42745162241493828</v>
      </c>
      <c r="M285" s="302">
        <v>2.1900760314702037E-2</v>
      </c>
      <c r="N285" s="302">
        <v>1.7944088294346995E-3</v>
      </c>
      <c r="O285" s="302">
        <f t="shared" si="135"/>
        <v>0.45114679155907506</v>
      </c>
    </row>
    <row r="286" spans="1:15" s="236" customFormat="1" x14ac:dyDescent="0.2">
      <c r="A286" s="237" t="str">
        <f>name!E$9</f>
        <v>Caring, leisure and other service occupations</v>
      </c>
      <c r="B286" s="302">
        <v>1.9038257452831171E-2</v>
      </c>
      <c r="C286" s="302">
        <v>1.7070172335246663E-3</v>
      </c>
      <c r="D286" s="302">
        <v>2.0408136256290553E-3</v>
      </c>
      <c r="E286" s="302">
        <f t="shared" si="133"/>
        <v>2.2786088311984892E-2</v>
      </c>
      <c r="F286" s="303"/>
      <c r="G286" s="302">
        <v>1.5316374593381846E-2</v>
      </c>
      <c r="H286" s="302">
        <v>2.6178418972441679E-3</v>
      </c>
      <c r="I286" s="302">
        <v>3.1373278635905611E-3</v>
      </c>
      <c r="J286" s="302">
        <f t="shared" ref="J286:J289" si="136">SUM(G286:I286)</f>
        <v>2.1071544354216577E-2</v>
      </c>
      <c r="K286" s="303"/>
      <c r="L286" s="302">
        <v>2.2883531282482796E-2</v>
      </c>
      <c r="M286" s="302">
        <v>3.0583536530621341E-3</v>
      </c>
      <c r="N286" s="302">
        <v>5.293844136108161E-3</v>
      </c>
      <c r="O286" s="302">
        <f t="shared" si="135"/>
        <v>3.1235729071653093E-2</v>
      </c>
    </row>
    <row r="287" spans="1:15" s="236" customFormat="1" x14ac:dyDescent="0.2">
      <c r="A287" s="237" t="str">
        <f>name!E$10</f>
        <v>Sales and customer service occupations</v>
      </c>
      <c r="B287" s="302">
        <v>6.4700456066374618E-2</v>
      </c>
      <c r="C287" s="302">
        <v>6.7252581372830968E-3</v>
      </c>
      <c r="D287" s="302">
        <v>2.465423819608307E-3</v>
      </c>
      <c r="E287" s="302">
        <f t="shared" si="133"/>
        <v>7.3891138023266023E-2</v>
      </c>
      <c r="F287" s="303"/>
      <c r="G287" s="302">
        <v>5.7027817203570759E-2</v>
      </c>
      <c r="H287" s="302">
        <v>1.2455864672962861E-2</v>
      </c>
      <c r="I287" s="302">
        <v>1.0325981959358106E-3</v>
      </c>
      <c r="J287" s="302">
        <f t="shared" si="136"/>
        <v>7.051628007246942E-2</v>
      </c>
      <c r="K287" s="303"/>
      <c r="L287" s="302">
        <v>7.9327439133976718E-2</v>
      </c>
      <c r="M287" s="302">
        <v>2.238699416900532E-2</v>
      </c>
      <c r="N287" s="302">
        <v>1.2114371122730768E-3</v>
      </c>
      <c r="O287" s="302">
        <f t="shared" si="135"/>
        <v>0.10292587041525511</v>
      </c>
    </row>
    <row r="288" spans="1:15" s="236" customFormat="1" x14ac:dyDescent="0.2">
      <c r="A288" s="237" t="str">
        <f>name!E$11</f>
        <v>Process, plant and machine operatives</v>
      </c>
      <c r="B288" s="302">
        <v>0.36777591991689462</v>
      </c>
      <c r="C288" s="302">
        <v>3.5518954183922723E-2</v>
      </c>
      <c r="D288" s="302">
        <v>4.5757961044691972E-3</v>
      </c>
      <c r="E288" s="302">
        <f t="shared" si="133"/>
        <v>0.4078706702052865</v>
      </c>
      <c r="F288" s="303"/>
      <c r="G288" s="302">
        <v>0.24742092709197061</v>
      </c>
      <c r="H288" s="302">
        <v>5.3297727873071098E-2</v>
      </c>
      <c r="I288" s="302">
        <v>2.2533529653579161E-3</v>
      </c>
      <c r="J288" s="302">
        <f t="shared" si="136"/>
        <v>0.30297200793039958</v>
      </c>
      <c r="K288" s="303"/>
      <c r="L288" s="302">
        <v>0.34443576295285133</v>
      </c>
      <c r="M288" s="302">
        <v>0.10722986671160509</v>
      </c>
      <c r="N288" s="302">
        <v>3.6635938227027828E-3</v>
      </c>
      <c r="O288" s="302">
        <f t="shared" si="135"/>
        <v>0.45532922348715921</v>
      </c>
    </row>
    <row r="289" spans="1:15" s="236" customFormat="1" x14ac:dyDescent="0.2">
      <c r="A289" s="237" t="str">
        <f>name!E$12</f>
        <v>Elementary occupations</v>
      </c>
      <c r="B289" s="302">
        <v>5.7685159387055554E-2</v>
      </c>
      <c r="C289" s="302">
        <v>1.719115671930985E-2</v>
      </c>
      <c r="D289" s="302">
        <v>1.1210499066676484E-2</v>
      </c>
      <c r="E289" s="302">
        <f t="shared" si="133"/>
        <v>8.6086815173041883E-2</v>
      </c>
      <c r="F289" s="303"/>
      <c r="G289" s="302">
        <v>3.5982806353643822E-2</v>
      </c>
      <c r="H289" s="302">
        <v>2.3888838194760738E-2</v>
      </c>
      <c r="I289" s="302">
        <v>8.9874823288626938E-3</v>
      </c>
      <c r="J289" s="302">
        <f t="shared" si="136"/>
        <v>6.8859126877267252E-2</v>
      </c>
      <c r="K289" s="303"/>
      <c r="L289" s="302">
        <v>3.6432057734943089E-2</v>
      </c>
      <c r="M289" s="302">
        <v>2.8532124183825575E-2</v>
      </c>
      <c r="N289" s="302">
        <v>1.4090401593549315E-2</v>
      </c>
      <c r="O289" s="302">
        <f t="shared" si="135"/>
        <v>7.9054583512317977E-2</v>
      </c>
    </row>
    <row r="290" spans="1:15" s="236" customFormat="1" x14ac:dyDescent="0.2">
      <c r="A290" s="237"/>
      <c r="B290" s="302"/>
      <c r="C290" s="302"/>
      <c r="D290" s="302"/>
      <c r="E290" s="302"/>
      <c r="F290" s="303"/>
      <c r="G290" s="302"/>
      <c r="H290" s="302"/>
      <c r="I290" s="302"/>
      <c r="J290" s="302"/>
      <c r="K290" s="303"/>
      <c r="L290" s="302"/>
      <c r="M290" s="302"/>
      <c r="N290" s="302"/>
      <c r="O290" s="302"/>
    </row>
    <row r="291" spans="1:15" s="236" customFormat="1" x14ac:dyDescent="0.2">
      <c r="A291" s="244" t="s">
        <v>32</v>
      </c>
      <c r="B291" s="311">
        <f>SUM(B281:B289)</f>
        <v>2.6829999999861807</v>
      </c>
      <c r="C291" s="311">
        <f t="shared" ref="C291:E291" si="137">SUM(C281:C289)</f>
        <v>0.12100000000152702</v>
      </c>
      <c r="D291" s="311">
        <f t="shared" si="137"/>
        <v>5.5000000000707913E-2</v>
      </c>
      <c r="E291" s="311">
        <f t="shared" si="137"/>
        <v>2.858999999988415</v>
      </c>
      <c r="F291" s="311"/>
      <c r="G291" s="311">
        <f t="shared" ref="G291:J291" si="138">SUM(G281:G289)</f>
        <v>2.3059999999889054</v>
      </c>
      <c r="H291" s="311">
        <f t="shared" si="138"/>
        <v>0.18900000000072054</v>
      </c>
      <c r="I291" s="311">
        <f t="shared" si="138"/>
        <v>1.9999999999567065E-2</v>
      </c>
      <c r="J291" s="311">
        <f t="shared" si="138"/>
        <v>2.5149999999891919</v>
      </c>
      <c r="K291" s="311"/>
      <c r="L291" s="311">
        <f t="shared" ref="L291:O291" si="139">SUM(L281:L289)</f>
        <v>3.5819999999933541</v>
      </c>
      <c r="M291" s="311">
        <f t="shared" si="139"/>
        <v>0.30599999999977129</v>
      </c>
      <c r="N291" s="311">
        <f t="shared" si="139"/>
        <v>3.1999999999806759E-2</v>
      </c>
      <c r="O291" s="311">
        <f t="shared" si="139"/>
        <v>3.9199999999929318</v>
      </c>
    </row>
    <row r="292" spans="1:15" s="236" customFormat="1" x14ac:dyDescent="0.2">
      <c r="A292" s="237"/>
      <c r="B292" s="237"/>
      <c r="C292" s="237"/>
      <c r="D292" s="237"/>
      <c r="E292" s="237"/>
      <c r="F292" s="237"/>
      <c r="G292" s="237"/>
      <c r="H292" s="237"/>
      <c r="I292" s="237"/>
      <c r="J292" s="237"/>
      <c r="K292" s="237"/>
      <c r="L292" s="237"/>
      <c r="M292" s="237"/>
      <c r="N292" s="240"/>
    </row>
    <row r="293" spans="1:15" s="236" customFormat="1" x14ac:dyDescent="0.2">
      <c r="A293" s="237"/>
      <c r="B293" s="237"/>
      <c r="C293" s="237"/>
      <c r="D293" s="237"/>
      <c r="E293" s="237"/>
      <c r="F293" s="237"/>
      <c r="G293" s="237"/>
      <c r="H293" s="237"/>
      <c r="I293" s="237"/>
      <c r="J293" s="237"/>
      <c r="K293" s="237"/>
      <c r="L293" s="237"/>
      <c r="M293" s="237"/>
      <c r="N293" s="240"/>
      <c r="O293" s="251" t="s">
        <v>35</v>
      </c>
    </row>
    <row r="294" spans="1:15" s="236" customFormat="1" x14ac:dyDescent="0.2">
      <c r="A294" s="242"/>
      <c r="B294" s="242"/>
      <c r="C294" s="242"/>
      <c r="D294" s="242"/>
      <c r="E294" s="242"/>
      <c r="F294" s="242"/>
      <c r="G294" s="242"/>
      <c r="H294" s="242"/>
      <c r="I294" s="242"/>
      <c r="J294" s="242"/>
      <c r="K294" s="242"/>
      <c r="L294" s="242"/>
      <c r="M294" s="242"/>
      <c r="N294" s="242"/>
      <c r="O294" s="242"/>
    </row>
    <row r="295" spans="1:15" s="236" customFormat="1" x14ac:dyDescent="0.2">
      <c r="A295" s="241" t="str">
        <f>name!A20</f>
        <v>Electrical equipment</v>
      </c>
      <c r="B295" s="374">
        <f>$B$6</f>
        <v>2015</v>
      </c>
      <c r="C295" s="374"/>
      <c r="D295" s="374"/>
      <c r="E295" s="374"/>
      <c r="F295" s="263"/>
      <c r="G295" s="374">
        <f>$G$6</f>
        <v>2020</v>
      </c>
      <c r="H295" s="374"/>
      <c r="I295" s="374"/>
      <c r="J295" s="374"/>
      <c r="K295" s="263"/>
      <c r="L295" s="374">
        <f>$L$6</f>
        <v>2035</v>
      </c>
      <c r="M295" s="374"/>
      <c r="N295" s="374"/>
      <c r="O295" s="374"/>
    </row>
    <row r="296" spans="1:15" s="236" customFormat="1" x14ac:dyDescent="0.2">
      <c r="A296" s="254"/>
      <c r="B296" s="268" t="str">
        <f>$B$7</f>
        <v>FT</v>
      </c>
      <c r="C296" s="268" t="str">
        <f>$C$7</f>
        <v>PT</v>
      </c>
      <c r="D296" s="268" t="str">
        <f>$D$7</f>
        <v>SE</v>
      </c>
      <c r="E296" s="268" t="str">
        <f>$E$7</f>
        <v>Total</v>
      </c>
      <c r="F296" s="268"/>
      <c r="G296" s="268" t="str">
        <f>$G$7</f>
        <v>FT</v>
      </c>
      <c r="H296" s="268" t="str">
        <f>$H$7</f>
        <v>PT</v>
      </c>
      <c r="I296" s="268" t="str">
        <f>$I$7</f>
        <v>SE</v>
      </c>
      <c r="J296" s="268" t="str">
        <f>$J$7</f>
        <v>Total</v>
      </c>
      <c r="K296" s="268"/>
      <c r="L296" s="268" t="str">
        <f>$L$7</f>
        <v>FT</v>
      </c>
      <c r="M296" s="268" t="str">
        <f>$M$7</f>
        <v>PT</v>
      </c>
      <c r="N296" s="268" t="str">
        <f>$N$7</f>
        <v>SE</v>
      </c>
      <c r="O296" s="268" t="str">
        <f>$O$7</f>
        <v>Total</v>
      </c>
    </row>
    <row r="297" spans="1:15" s="236" customFormat="1" x14ac:dyDescent="0.2">
      <c r="A297" s="258"/>
      <c r="B297" s="239"/>
      <c r="C297" s="239"/>
      <c r="D297" s="239"/>
      <c r="E297" s="239"/>
      <c r="F297" s="239"/>
      <c r="G297" s="239"/>
      <c r="H297" s="239"/>
      <c r="I297" s="239"/>
      <c r="J297" s="239"/>
      <c r="K297" s="239"/>
      <c r="L297" s="239"/>
      <c r="M297" s="239"/>
      <c r="N297" s="239"/>
      <c r="O297" s="239"/>
    </row>
    <row r="298" spans="1:15" s="236" customFormat="1" x14ac:dyDescent="0.2">
      <c r="A298" s="237" t="str">
        <f>name!E$4</f>
        <v>Managers, directors and senior officials</v>
      </c>
      <c r="B298" s="302">
        <v>0.52508137062853144</v>
      </c>
      <c r="C298" s="302">
        <v>1.2887342895087167E-2</v>
      </c>
      <c r="D298" s="302">
        <v>1.0742051844700288E-2</v>
      </c>
      <c r="E298" s="302">
        <f>SUM(B298:D298)</f>
        <v>0.54871076536831898</v>
      </c>
      <c r="F298" s="303"/>
      <c r="G298" s="302">
        <v>0.31986033307602346</v>
      </c>
      <c r="H298" s="302">
        <v>1.404628687954214E-2</v>
      </c>
      <c r="I298" s="302">
        <v>1.988185414283054E-2</v>
      </c>
      <c r="J298" s="302">
        <f>SUM(G298:I298)</f>
        <v>0.35378847409839614</v>
      </c>
      <c r="K298" s="303"/>
      <c r="L298" s="302">
        <v>0.28042787287360521</v>
      </c>
      <c r="M298" s="302">
        <v>1.7723811272253375E-2</v>
      </c>
      <c r="N298" s="302">
        <v>2.3113686906817116E-2</v>
      </c>
      <c r="O298" s="302">
        <f>SUM(L298:N298)</f>
        <v>0.32126537105267572</v>
      </c>
    </row>
    <row r="299" spans="1:15" s="236" customFormat="1" x14ac:dyDescent="0.2">
      <c r="A299" s="237" t="str">
        <f>name!E$5</f>
        <v>Professional occupations</v>
      </c>
      <c r="B299" s="302">
        <v>0.94406806575465374</v>
      </c>
      <c r="C299" s="302">
        <v>1.4348941659518165E-2</v>
      </c>
      <c r="D299" s="302">
        <v>5.2190699767978082E-3</v>
      </c>
      <c r="E299" s="302">
        <f t="shared" ref="E299:E306" si="140">SUM(B299:D299)</f>
        <v>0.96363607739096968</v>
      </c>
      <c r="F299" s="303"/>
      <c r="G299" s="302">
        <v>0.64228782229570802</v>
      </c>
      <c r="H299" s="302">
        <v>1.829120615114815E-2</v>
      </c>
      <c r="I299" s="302">
        <v>7.4841665227968306E-3</v>
      </c>
      <c r="J299" s="302">
        <f t="shared" ref="J299:J301" si="141">SUM(G299:I299)</f>
        <v>0.66806319496965294</v>
      </c>
      <c r="K299" s="303"/>
      <c r="L299" s="302">
        <v>0.6451238685678371</v>
      </c>
      <c r="M299" s="302">
        <v>2.2227716079974057E-2</v>
      </c>
      <c r="N299" s="302">
        <v>7.5769532551176579E-3</v>
      </c>
      <c r="O299" s="302">
        <f t="shared" ref="O299:O306" si="142">SUM(L299:N299)</f>
        <v>0.67492853790292884</v>
      </c>
    </row>
    <row r="300" spans="1:15" s="236" customFormat="1" x14ac:dyDescent="0.2">
      <c r="A300" s="237" t="str">
        <f>name!E$6</f>
        <v>Associate professional occupations</v>
      </c>
      <c r="B300" s="302">
        <v>0.71727388776044043</v>
      </c>
      <c r="C300" s="302">
        <v>1.3735312727610445E-2</v>
      </c>
      <c r="D300" s="302">
        <v>3.7100259535677131E-3</v>
      </c>
      <c r="E300" s="302">
        <f t="shared" si="140"/>
        <v>0.73471922644161858</v>
      </c>
      <c r="F300" s="303"/>
      <c r="G300" s="302">
        <v>0.46947927654703531</v>
      </c>
      <c r="H300" s="302">
        <v>1.2776813830891211E-2</v>
      </c>
      <c r="I300" s="302">
        <v>5.0271736958357556E-3</v>
      </c>
      <c r="J300" s="302">
        <f t="shared" si="141"/>
        <v>0.48728326407376227</v>
      </c>
      <c r="K300" s="303"/>
      <c r="L300" s="302">
        <v>0.36881137779214762</v>
      </c>
      <c r="M300" s="302">
        <v>1.0884271412543526E-2</v>
      </c>
      <c r="N300" s="302">
        <v>6.8571027100021885E-3</v>
      </c>
      <c r="O300" s="302">
        <f t="shared" si="142"/>
        <v>0.38655275191469329</v>
      </c>
    </row>
    <row r="301" spans="1:15" s="236" customFormat="1" x14ac:dyDescent="0.2">
      <c r="A301" s="237" t="str">
        <f>name!E$7</f>
        <v>Administrative and secretarial occupations</v>
      </c>
      <c r="B301" s="302">
        <v>0.46071538006101898</v>
      </c>
      <c r="C301" s="302">
        <v>4.380333442591141E-2</v>
      </c>
      <c r="D301" s="302">
        <v>7.0452805734950415E-3</v>
      </c>
      <c r="E301" s="302">
        <f t="shared" si="140"/>
        <v>0.51156399506042549</v>
      </c>
      <c r="F301" s="303"/>
      <c r="G301" s="302">
        <v>0.28993014575698434</v>
      </c>
      <c r="H301" s="302">
        <v>2.9190840367399693E-2</v>
      </c>
      <c r="I301" s="302">
        <v>1.868498676455321E-2</v>
      </c>
      <c r="J301" s="302">
        <f t="shared" si="141"/>
        <v>0.33780597288893727</v>
      </c>
      <c r="K301" s="303"/>
      <c r="L301" s="302">
        <v>0.22967728720618316</v>
      </c>
      <c r="M301" s="302">
        <v>2.7334030243108799E-2</v>
      </c>
      <c r="N301" s="302">
        <v>1.6242923173689812E-2</v>
      </c>
      <c r="O301" s="302">
        <f t="shared" si="142"/>
        <v>0.27325424062298176</v>
      </c>
    </row>
    <row r="302" spans="1:15" s="236" customFormat="1" x14ac:dyDescent="0.2">
      <c r="A302" s="237" t="str">
        <f>name!E$8</f>
        <v>Skilled trades occupations</v>
      </c>
      <c r="B302" s="302">
        <v>1.5302705853499308</v>
      </c>
      <c r="C302" s="302">
        <v>3.1697472515216193E-2</v>
      </c>
      <c r="D302" s="302">
        <v>2.0952130344090814E-2</v>
      </c>
      <c r="E302" s="302">
        <f t="shared" si="140"/>
        <v>1.5829201882092376</v>
      </c>
      <c r="F302" s="303"/>
      <c r="G302" s="302">
        <v>0.65666392598763834</v>
      </c>
      <c r="H302" s="302">
        <v>1.8737922328582828E-2</v>
      </c>
      <c r="I302" s="302">
        <v>3.2821785479586634E-3</v>
      </c>
      <c r="J302" s="302">
        <f>SUM(G302:I302)</f>
        <v>0.67868402686417983</v>
      </c>
      <c r="K302" s="303"/>
      <c r="L302" s="302">
        <v>0.48858783785188675</v>
      </c>
      <c r="M302" s="302">
        <v>1.6313486673924567E-2</v>
      </c>
      <c r="N302" s="302">
        <v>2.7832651338850177E-3</v>
      </c>
      <c r="O302" s="302">
        <f t="shared" si="142"/>
        <v>0.50768458965969632</v>
      </c>
    </row>
    <row r="303" spans="1:15" s="236" customFormat="1" x14ac:dyDescent="0.2">
      <c r="A303" s="237" t="str">
        <f>name!E$9</f>
        <v>Caring, leisure and other service occupations</v>
      </c>
      <c r="B303" s="302">
        <v>5.0072844901414892E-2</v>
      </c>
      <c r="C303" s="302">
        <v>3.4654937653793116E-3</v>
      </c>
      <c r="D303" s="302">
        <v>2.5770496900572233E-3</v>
      </c>
      <c r="E303" s="302">
        <f t="shared" si="140"/>
        <v>5.6115388356851426E-2</v>
      </c>
      <c r="F303" s="303"/>
      <c r="G303" s="302">
        <v>2.8632436284465702E-2</v>
      </c>
      <c r="H303" s="302">
        <v>2.275657199910098E-3</v>
      </c>
      <c r="I303" s="302">
        <v>8.5323490935935182E-3</v>
      </c>
      <c r="J303" s="302">
        <f t="shared" ref="J303:J306" si="143">SUM(G303:I303)</f>
        <v>3.9440442577969317E-2</v>
      </c>
      <c r="K303" s="303"/>
      <c r="L303" s="302">
        <v>2.9333453793846515E-2</v>
      </c>
      <c r="M303" s="302">
        <v>1.7847518916188918E-3</v>
      </c>
      <c r="N303" s="302">
        <v>1.2922779439041748E-2</v>
      </c>
      <c r="O303" s="302">
        <f t="shared" si="142"/>
        <v>4.4040985124507152E-2</v>
      </c>
    </row>
    <row r="304" spans="1:15" s="236" customFormat="1" x14ac:dyDescent="0.2">
      <c r="A304" s="237" t="str">
        <f>name!E$10</f>
        <v>Sales and customer service occupations</v>
      </c>
      <c r="B304" s="302">
        <v>0.13004154812523233</v>
      </c>
      <c r="C304" s="302">
        <v>1.0571902514833363E-2</v>
      </c>
      <c r="D304" s="302">
        <v>2.8674047670002025E-3</v>
      </c>
      <c r="E304" s="302">
        <f t="shared" si="140"/>
        <v>0.1434808554070659</v>
      </c>
      <c r="F304" s="303"/>
      <c r="G304" s="302">
        <v>7.9078756361950636E-2</v>
      </c>
      <c r="H304" s="302">
        <v>7.8371729909294217E-3</v>
      </c>
      <c r="I304" s="302">
        <v>4.9625895711728294E-3</v>
      </c>
      <c r="J304" s="302">
        <f t="shared" si="143"/>
        <v>9.1878518924052896E-2</v>
      </c>
      <c r="K304" s="303"/>
      <c r="L304" s="302">
        <v>7.7835994732533414E-2</v>
      </c>
      <c r="M304" s="302">
        <v>9.1365068674906201E-3</v>
      </c>
      <c r="N304" s="302">
        <v>6.915843631418314E-3</v>
      </c>
      <c r="O304" s="302">
        <f t="shared" si="142"/>
        <v>9.3888345231442349E-2</v>
      </c>
    </row>
    <row r="305" spans="1:15" s="236" customFormat="1" x14ac:dyDescent="0.2">
      <c r="A305" s="237" t="str">
        <f>name!E$11</f>
        <v>Process, plant and machine operatives</v>
      </c>
      <c r="B305" s="302">
        <v>1.1330449185847762</v>
      </c>
      <c r="C305" s="302">
        <v>3.1281836076637613E-2</v>
      </c>
      <c r="D305" s="302">
        <v>5.0075475105647235E-3</v>
      </c>
      <c r="E305" s="302">
        <f t="shared" si="140"/>
        <v>1.1693343021719784</v>
      </c>
      <c r="F305" s="303"/>
      <c r="G305" s="302">
        <v>0.46978921769500825</v>
      </c>
      <c r="H305" s="302">
        <v>2.0262299319102856E-2</v>
      </c>
      <c r="I305" s="302">
        <v>6.4416674867185933E-3</v>
      </c>
      <c r="J305" s="302">
        <f t="shared" si="143"/>
        <v>0.49649318450082969</v>
      </c>
      <c r="K305" s="303"/>
      <c r="L305" s="302">
        <v>0.43390049866058267</v>
      </c>
      <c r="M305" s="302">
        <v>2.3204180537585783E-2</v>
      </c>
      <c r="N305" s="302">
        <v>3.2077648567937541E-3</v>
      </c>
      <c r="O305" s="302">
        <f t="shared" si="142"/>
        <v>0.46031244405496219</v>
      </c>
    </row>
    <row r="306" spans="1:15" s="236" customFormat="1" x14ac:dyDescent="0.2">
      <c r="A306" s="237" t="str">
        <f>name!E$12</f>
        <v>Elementary occupations</v>
      </c>
      <c r="B306" s="302">
        <v>0.17843139881965181</v>
      </c>
      <c r="C306" s="302">
        <v>1.5208363421148945E-2</v>
      </c>
      <c r="D306" s="302">
        <v>7.8794393400113301E-3</v>
      </c>
      <c r="E306" s="302">
        <f t="shared" si="140"/>
        <v>0.2015192015808121</v>
      </c>
      <c r="F306" s="303"/>
      <c r="G306" s="302">
        <v>7.6278085982177918E-2</v>
      </c>
      <c r="H306" s="302">
        <v>1.0581800932472886E-2</v>
      </c>
      <c r="I306" s="302">
        <v>1.2703034173318821E-2</v>
      </c>
      <c r="J306" s="302">
        <f t="shared" si="143"/>
        <v>9.9562921087969616E-2</v>
      </c>
      <c r="K306" s="303"/>
      <c r="L306" s="302">
        <v>4.3301808511092089E-2</v>
      </c>
      <c r="M306" s="302">
        <v>7.3912450213694126E-3</v>
      </c>
      <c r="N306" s="302">
        <v>3.3796808931209812E-3</v>
      </c>
      <c r="O306" s="302">
        <f t="shared" si="142"/>
        <v>5.4072734425582483E-2</v>
      </c>
    </row>
    <row r="307" spans="1:15" s="236" customFormat="1" x14ac:dyDescent="0.2">
      <c r="A307" s="237"/>
      <c r="B307" s="302"/>
      <c r="C307" s="302"/>
      <c r="D307" s="302"/>
      <c r="E307" s="302"/>
      <c r="F307" s="303"/>
      <c r="G307" s="302"/>
      <c r="H307" s="302"/>
      <c r="I307" s="302"/>
      <c r="J307" s="302"/>
      <c r="K307" s="303"/>
      <c r="L307" s="302"/>
      <c r="M307" s="302"/>
      <c r="N307" s="302"/>
      <c r="O307" s="302"/>
    </row>
    <row r="308" spans="1:15" s="236" customFormat="1" x14ac:dyDescent="0.2">
      <c r="A308" s="244" t="s">
        <v>32</v>
      </c>
      <c r="B308" s="311">
        <f>SUM(B298:B306)</f>
        <v>5.6689999999856511</v>
      </c>
      <c r="C308" s="311">
        <f t="shared" ref="C308:E308" si="144">SUM(C298:C306)</f>
        <v>0.17700000000134264</v>
      </c>
      <c r="D308" s="311">
        <f t="shared" si="144"/>
        <v>6.600000000028515E-2</v>
      </c>
      <c r="E308" s="311">
        <f t="shared" si="144"/>
        <v>5.9119999999872777</v>
      </c>
      <c r="F308" s="311"/>
      <c r="G308" s="311">
        <f t="shared" ref="G308:J308" si="145">SUM(G298:G306)</f>
        <v>3.0319999999869922</v>
      </c>
      <c r="H308" s="311">
        <f t="shared" si="145"/>
        <v>0.1339999999999793</v>
      </c>
      <c r="I308" s="311">
        <f t="shared" si="145"/>
        <v>8.6999999998778763E-2</v>
      </c>
      <c r="J308" s="311">
        <f t="shared" si="145"/>
        <v>3.2529999999857502</v>
      </c>
      <c r="K308" s="311"/>
      <c r="L308" s="311">
        <f t="shared" ref="L308:O308" si="146">SUM(L298:L306)</f>
        <v>2.596999999989714</v>
      </c>
      <c r="M308" s="311">
        <f t="shared" si="146"/>
        <v>0.13599999999986903</v>
      </c>
      <c r="N308" s="311">
        <f t="shared" si="146"/>
        <v>8.2999999999886567E-2</v>
      </c>
      <c r="O308" s="311">
        <f t="shared" si="146"/>
        <v>2.8159999999894705</v>
      </c>
    </row>
    <row r="309" spans="1:15" s="236" customFormat="1" x14ac:dyDescent="0.2">
      <c r="A309" s="237"/>
      <c r="B309" s="237"/>
      <c r="C309" s="237"/>
      <c r="D309" s="237"/>
      <c r="E309" s="237"/>
      <c r="F309" s="237"/>
      <c r="G309" s="237"/>
      <c r="H309" s="237"/>
      <c r="I309" s="237"/>
      <c r="J309" s="237"/>
      <c r="K309" s="237"/>
      <c r="L309" s="237"/>
      <c r="M309" s="237"/>
      <c r="N309" s="240"/>
    </row>
    <row r="310" spans="1:15" s="236" customFormat="1" x14ac:dyDescent="0.2">
      <c r="A310" s="237"/>
      <c r="B310" s="237"/>
      <c r="C310" s="237"/>
      <c r="D310" s="237"/>
      <c r="E310" s="237"/>
      <c r="F310" s="237"/>
      <c r="G310" s="237"/>
      <c r="H310" s="237"/>
      <c r="I310" s="237"/>
      <c r="J310" s="237"/>
      <c r="K310" s="237"/>
      <c r="L310" s="237"/>
      <c r="M310" s="237"/>
      <c r="N310" s="240"/>
      <c r="O310" s="251" t="s">
        <v>35</v>
      </c>
    </row>
    <row r="311" spans="1:15" s="236" customFormat="1" x14ac:dyDescent="0.2">
      <c r="A311" s="242"/>
      <c r="B311" s="242"/>
      <c r="C311" s="242"/>
      <c r="D311" s="242"/>
      <c r="E311" s="242"/>
      <c r="F311" s="242"/>
      <c r="G311" s="242"/>
      <c r="H311" s="242"/>
      <c r="I311" s="242"/>
      <c r="J311" s="242"/>
      <c r="K311" s="242"/>
      <c r="L311" s="242"/>
      <c r="M311" s="242"/>
      <c r="N311" s="242"/>
      <c r="O311" s="242"/>
    </row>
    <row r="312" spans="1:15" s="236" customFormat="1" x14ac:dyDescent="0.2">
      <c r="A312" s="241" t="str">
        <f>name!A21</f>
        <v>Machinery n.e.c.</v>
      </c>
      <c r="B312" s="374">
        <f>$B$6</f>
        <v>2015</v>
      </c>
      <c r="C312" s="374"/>
      <c r="D312" s="374"/>
      <c r="E312" s="374"/>
      <c r="F312" s="263"/>
      <c r="G312" s="374">
        <f>$G$6</f>
        <v>2020</v>
      </c>
      <c r="H312" s="374"/>
      <c r="I312" s="374"/>
      <c r="J312" s="374"/>
      <c r="K312" s="263"/>
      <c r="L312" s="374">
        <f>$L$6</f>
        <v>2035</v>
      </c>
      <c r="M312" s="374"/>
      <c r="N312" s="374"/>
      <c r="O312" s="374"/>
    </row>
    <row r="313" spans="1:15" s="236" customFormat="1" x14ac:dyDescent="0.2">
      <c r="A313" s="254"/>
      <c r="B313" s="268" t="str">
        <f>$B$7</f>
        <v>FT</v>
      </c>
      <c r="C313" s="268" t="str">
        <f>$C$7</f>
        <v>PT</v>
      </c>
      <c r="D313" s="268" t="str">
        <f>$D$7</f>
        <v>SE</v>
      </c>
      <c r="E313" s="268" t="str">
        <f>$E$7</f>
        <v>Total</v>
      </c>
      <c r="F313" s="268"/>
      <c r="G313" s="268" t="str">
        <f>$G$7</f>
        <v>FT</v>
      </c>
      <c r="H313" s="268" t="str">
        <f>$H$7</f>
        <v>PT</v>
      </c>
      <c r="I313" s="268" t="str">
        <f>$I$7</f>
        <v>SE</v>
      </c>
      <c r="J313" s="268" t="str">
        <f>$J$7</f>
        <v>Total</v>
      </c>
      <c r="K313" s="268"/>
      <c r="L313" s="268" t="str">
        <f>$L$7</f>
        <v>FT</v>
      </c>
      <c r="M313" s="268" t="str">
        <f>$M$7</f>
        <v>PT</v>
      </c>
      <c r="N313" s="268" t="str">
        <f>$N$7</f>
        <v>SE</v>
      </c>
      <c r="O313" s="268" t="str">
        <f>$O$7</f>
        <v>Total</v>
      </c>
    </row>
    <row r="314" spans="1:15" s="236" customFormat="1" x14ac:dyDescent="0.2">
      <c r="A314" s="258"/>
      <c r="B314" s="239"/>
      <c r="C314" s="239"/>
      <c r="D314" s="239"/>
      <c r="E314" s="239"/>
      <c r="F314" s="239"/>
      <c r="G314" s="239"/>
      <c r="H314" s="239"/>
      <c r="I314" s="239"/>
      <c r="J314" s="239"/>
      <c r="K314" s="239"/>
      <c r="L314" s="239"/>
      <c r="M314" s="239"/>
      <c r="N314" s="239"/>
      <c r="O314" s="239"/>
    </row>
    <row r="315" spans="1:15" s="236" customFormat="1" x14ac:dyDescent="0.2">
      <c r="A315" s="237" t="str">
        <f>name!E$4</f>
        <v>Managers, directors and senior officials</v>
      </c>
      <c r="B315" s="302">
        <v>0.97082509439525044</v>
      </c>
      <c r="C315" s="302">
        <v>1.3652471234213977E-2</v>
      </c>
      <c r="D315" s="302">
        <v>4.5463557207754066E-2</v>
      </c>
      <c r="E315" s="302">
        <f>SUM(B315:D315)</f>
        <v>1.0299411228372184</v>
      </c>
      <c r="F315" s="303"/>
      <c r="G315" s="302">
        <v>1.0595710141024901</v>
      </c>
      <c r="H315" s="302">
        <v>3.1914214416894515E-2</v>
      </c>
      <c r="I315" s="302">
        <v>1.7533296910929586E-2</v>
      </c>
      <c r="J315" s="302">
        <f>SUM(G315:I315)</f>
        <v>1.1090185254303142</v>
      </c>
      <c r="K315" s="303"/>
      <c r="L315" s="302">
        <v>0.92682328247391876</v>
      </c>
      <c r="M315" s="302">
        <v>3.0205047691621672E-2</v>
      </c>
      <c r="N315" s="302">
        <v>1.7463140466584724E-2</v>
      </c>
      <c r="O315" s="302">
        <f>SUM(L315:N315)</f>
        <v>0.97449147063212516</v>
      </c>
    </row>
    <row r="316" spans="1:15" s="236" customFormat="1" x14ac:dyDescent="0.2">
      <c r="A316" s="237" t="str">
        <f>name!E$5</f>
        <v>Professional occupations</v>
      </c>
      <c r="B316" s="302">
        <v>2.0811096903683057</v>
      </c>
      <c r="C316" s="302">
        <v>1.330261380478614E-2</v>
      </c>
      <c r="D316" s="302">
        <v>3.3815261738563959E-2</v>
      </c>
      <c r="E316" s="302">
        <f t="shared" ref="E316:E323" si="147">SUM(B316:D316)</f>
        <v>2.1282275659116556</v>
      </c>
      <c r="F316" s="303"/>
      <c r="G316" s="302">
        <v>2.5022619285234917</v>
      </c>
      <c r="H316" s="302">
        <v>3.2508917884758348E-2</v>
      </c>
      <c r="I316" s="302">
        <v>6.8684748493076531E-3</v>
      </c>
      <c r="J316" s="302">
        <f t="shared" ref="J316:J318" si="148">SUM(G316:I316)</f>
        <v>2.5416393212575579</v>
      </c>
      <c r="K316" s="303"/>
      <c r="L316" s="302">
        <v>2.5095131112450519</v>
      </c>
      <c r="M316" s="302">
        <v>3.4189096824605171E-2</v>
      </c>
      <c r="N316" s="302">
        <v>5.4739689123321934E-3</v>
      </c>
      <c r="O316" s="302">
        <f t="shared" ref="O316:O323" si="149">SUM(L316:N316)</f>
        <v>2.5491761769819892</v>
      </c>
    </row>
    <row r="317" spans="1:15" s="236" customFormat="1" x14ac:dyDescent="0.2">
      <c r="A317" s="237" t="str">
        <f>name!E$6</f>
        <v>Associate professional occupations</v>
      </c>
      <c r="B317" s="302">
        <v>1.3228872225779666</v>
      </c>
      <c r="C317" s="302">
        <v>1.0393692817310446E-2</v>
      </c>
      <c r="D317" s="302">
        <v>1.8645126122315198E-2</v>
      </c>
      <c r="E317" s="302">
        <f t="shared" si="147"/>
        <v>1.3519260415175924</v>
      </c>
      <c r="F317" s="303"/>
      <c r="G317" s="302">
        <v>1.5677668960543649</v>
      </c>
      <c r="H317" s="302">
        <v>2.190922107354755E-2</v>
      </c>
      <c r="I317" s="302">
        <v>4.5470655531261554E-3</v>
      </c>
      <c r="J317" s="302">
        <f t="shared" si="148"/>
        <v>1.5942231826810387</v>
      </c>
      <c r="K317" s="303"/>
      <c r="L317" s="302">
        <v>1.2087993967718871</v>
      </c>
      <c r="M317" s="302">
        <v>1.8131823462566941E-2</v>
      </c>
      <c r="N317" s="302">
        <v>4.9081176407754067E-3</v>
      </c>
      <c r="O317" s="302">
        <f t="shared" si="149"/>
        <v>1.2318393378752295</v>
      </c>
    </row>
    <row r="318" spans="1:15" s="236" customFormat="1" x14ac:dyDescent="0.2">
      <c r="A318" s="237" t="str">
        <f>name!E$7</f>
        <v>Administrative and secretarial occupations</v>
      </c>
      <c r="B318" s="302">
        <v>0.64679716721027902</v>
      </c>
      <c r="C318" s="302">
        <v>4.9329899183291143E-2</v>
      </c>
      <c r="D318" s="302">
        <v>2.1059151501197814E-2</v>
      </c>
      <c r="E318" s="302">
        <f t="shared" si="147"/>
        <v>0.717186217894768</v>
      </c>
      <c r="F318" s="303"/>
      <c r="G318" s="302">
        <v>0.78906737344687727</v>
      </c>
      <c r="H318" s="302">
        <v>9.7348563231880431E-2</v>
      </c>
      <c r="I318" s="302">
        <v>1.7406535300213959E-2</v>
      </c>
      <c r="J318" s="302">
        <f t="shared" si="148"/>
        <v>0.9038224719789717</v>
      </c>
      <c r="K318" s="303"/>
      <c r="L318" s="302">
        <v>0.53071926285340687</v>
      </c>
      <c r="M318" s="302">
        <v>6.3165355583420874E-2</v>
      </c>
      <c r="N318" s="302">
        <v>9.9094898259309804E-3</v>
      </c>
      <c r="O318" s="302">
        <f t="shared" si="149"/>
        <v>0.6037941082627587</v>
      </c>
    </row>
    <row r="319" spans="1:15" s="236" customFormat="1" x14ac:dyDescent="0.2">
      <c r="A319" s="237" t="str">
        <f>name!E$8</f>
        <v>Skilled trades occupations</v>
      </c>
      <c r="B319" s="302">
        <v>3.6333721010808477</v>
      </c>
      <c r="C319" s="302">
        <v>2.0521894880427407E-2</v>
      </c>
      <c r="D319" s="302">
        <v>0.11177176362072358</v>
      </c>
      <c r="E319" s="302">
        <f t="shared" si="147"/>
        <v>3.7656657595819989</v>
      </c>
      <c r="F319" s="303"/>
      <c r="G319" s="302">
        <v>2.7588538443925645</v>
      </c>
      <c r="H319" s="302">
        <v>1.8748424208540088E-2</v>
      </c>
      <c r="I319" s="302">
        <v>2.7713045937794575E-3</v>
      </c>
      <c r="J319" s="302">
        <f>SUM(G319:I319)</f>
        <v>2.7803735731948844</v>
      </c>
      <c r="K319" s="303"/>
      <c r="L319" s="302">
        <v>1.9901560720657654</v>
      </c>
      <c r="M319" s="302">
        <v>1.7914382642661399E-2</v>
      </c>
      <c r="N319" s="302">
        <v>2.54592192120358E-3</v>
      </c>
      <c r="O319" s="302">
        <f t="shared" si="149"/>
        <v>2.0106163766296303</v>
      </c>
    </row>
    <row r="320" spans="1:15" s="236" customFormat="1" x14ac:dyDescent="0.2">
      <c r="A320" s="237" t="str">
        <f>name!E$9</f>
        <v>Caring, leisure and other service occupations</v>
      </c>
      <c r="B320" s="302">
        <v>4.3746600073422209E-2</v>
      </c>
      <c r="C320" s="302">
        <v>2.8775058277602885E-3</v>
      </c>
      <c r="D320" s="302">
        <v>5.6222903661927786E-3</v>
      </c>
      <c r="E320" s="302">
        <f t="shared" si="147"/>
        <v>5.2246396267375275E-2</v>
      </c>
      <c r="F320" s="303"/>
      <c r="G320" s="302">
        <v>4.8596446231402531E-2</v>
      </c>
      <c r="H320" s="302">
        <v>5.0371102001088436E-3</v>
      </c>
      <c r="I320" s="302">
        <v>6.8296143253028024E-3</v>
      </c>
      <c r="J320" s="302">
        <f t="shared" ref="J320:J323" si="150">SUM(G320:I320)</f>
        <v>6.0463170756814177E-2</v>
      </c>
      <c r="K320" s="303"/>
      <c r="L320" s="302">
        <v>4.0643846990659156E-2</v>
      </c>
      <c r="M320" s="302">
        <v>3.3262629971835145E-3</v>
      </c>
      <c r="N320" s="302">
        <v>9.9557681046746373E-3</v>
      </c>
      <c r="O320" s="302">
        <f t="shared" si="149"/>
        <v>5.392587809251731E-2</v>
      </c>
    </row>
    <row r="321" spans="1:15" s="236" customFormat="1" x14ac:dyDescent="0.2">
      <c r="A321" s="237" t="str">
        <f>name!E$10</f>
        <v>Sales and customer service occupations</v>
      </c>
      <c r="B321" s="302">
        <v>0.23866862807746339</v>
      </c>
      <c r="C321" s="302">
        <v>7.1914995329660182E-3</v>
      </c>
      <c r="D321" s="302">
        <v>7.3547633857429292E-3</v>
      </c>
      <c r="E321" s="302">
        <f t="shared" si="147"/>
        <v>0.25321489099617234</v>
      </c>
      <c r="F321" s="303"/>
      <c r="G321" s="302">
        <v>0.26044353496338646</v>
      </c>
      <c r="H321" s="302">
        <v>1.4726519136890727E-2</v>
      </c>
      <c r="I321" s="302">
        <v>4.2443227122015287E-3</v>
      </c>
      <c r="J321" s="302">
        <f t="shared" si="150"/>
        <v>0.27941437681247872</v>
      </c>
      <c r="K321" s="303"/>
      <c r="L321" s="302">
        <v>0.21118661379533693</v>
      </c>
      <c r="M321" s="302">
        <v>1.3592162203722662E-2</v>
      </c>
      <c r="N321" s="302">
        <v>4.9423803333779577E-3</v>
      </c>
      <c r="O321" s="302">
        <f t="shared" si="149"/>
        <v>0.22972115633243756</v>
      </c>
    </row>
    <row r="322" spans="1:15" s="236" customFormat="1" x14ac:dyDescent="0.2">
      <c r="A322" s="237" t="str">
        <f>name!E$11</f>
        <v>Process, plant and machine operatives</v>
      </c>
      <c r="B322" s="302">
        <v>1.7671066698974809</v>
      </c>
      <c r="C322" s="302">
        <v>2.0429703330454727E-2</v>
      </c>
      <c r="D322" s="302">
        <v>1.7769595863212938E-2</v>
      </c>
      <c r="E322" s="302">
        <f t="shared" si="147"/>
        <v>1.8053059690911486</v>
      </c>
      <c r="F322" s="303"/>
      <c r="G322" s="302">
        <v>1.3494480138401941</v>
      </c>
      <c r="H322" s="302">
        <v>3.0611856671718157E-2</v>
      </c>
      <c r="I322" s="302">
        <v>5.1920303761335031E-3</v>
      </c>
      <c r="J322" s="302">
        <f t="shared" si="150"/>
        <v>1.3852519008880457</v>
      </c>
      <c r="K322" s="303"/>
      <c r="L322" s="302">
        <v>1.2795142054937814</v>
      </c>
      <c r="M322" s="302">
        <v>3.7679721983393123E-2</v>
      </c>
      <c r="N322" s="302">
        <v>3.9230919863570933E-3</v>
      </c>
      <c r="O322" s="302">
        <f t="shared" si="149"/>
        <v>1.3211170194635316</v>
      </c>
    </row>
    <row r="323" spans="1:15" s="236" customFormat="1" x14ac:dyDescent="0.2">
      <c r="A323" s="237" t="str">
        <f>name!E$12</f>
        <v>Elementary occupations</v>
      </c>
      <c r="B323" s="302">
        <v>0.29548682629306677</v>
      </c>
      <c r="C323" s="302">
        <v>1.2300719389788209E-2</v>
      </c>
      <c r="D323" s="302">
        <v>2.0498490194641415E-2</v>
      </c>
      <c r="E323" s="302">
        <f t="shared" si="147"/>
        <v>0.32828603587749638</v>
      </c>
      <c r="F323" s="303"/>
      <c r="G323" s="302">
        <v>0.22999094841082612</v>
      </c>
      <c r="H323" s="302">
        <v>1.9195173175295295E-2</v>
      </c>
      <c r="I323" s="302">
        <v>8.6073553780194045E-3</v>
      </c>
      <c r="J323" s="302">
        <f t="shared" si="150"/>
        <v>0.25779347696414079</v>
      </c>
      <c r="K323" s="303"/>
      <c r="L323" s="302">
        <v>0.11664420827018974</v>
      </c>
      <c r="M323" s="302">
        <v>1.1796146610537201E-2</v>
      </c>
      <c r="N323" s="302">
        <v>6.8781208086572156E-3</v>
      </c>
      <c r="O323" s="302">
        <f t="shared" si="149"/>
        <v>0.13531847568938415</v>
      </c>
    </row>
    <row r="324" spans="1:15" s="236" customFormat="1" x14ac:dyDescent="0.2">
      <c r="A324" s="237"/>
      <c r="B324" s="302"/>
      <c r="C324" s="302"/>
      <c r="D324" s="302"/>
      <c r="E324" s="302"/>
      <c r="F324" s="303"/>
      <c r="G324" s="302"/>
      <c r="H324" s="302"/>
      <c r="I324" s="302"/>
      <c r="J324" s="302"/>
      <c r="K324" s="303"/>
      <c r="L324" s="302"/>
      <c r="M324" s="302"/>
      <c r="N324" s="302"/>
      <c r="O324" s="302"/>
    </row>
    <row r="325" spans="1:15" s="236" customFormat="1" x14ac:dyDescent="0.2">
      <c r="A325" s="244" t="s">
        <v>32</v>
      </c>
      <c r="B325" s="311">
        <f>SUM(B315:B323)</f>
        <v>10.999999999974083</v>
      </c>
      <c r="C325" s="311">
        <f t="shared" ref="C325:E325" si="151">SUM(C315:C323)</f>
        <v>0.15000000000099839</v>
      </c>
      <c r="D325" s="311">
        <f t="shared" si="151"/>
        <v>0.28200000000034464</v>
      </c>
      <c r="E325" s="311">
        <f t="shared" si="151"/>
        <v>11.431999999975426</v>
      </c>
      <c r="F325" s="311"/>
      <c r="G325" s="311">
        <f t="shared" ref="G325:J325" si="152">SUM(G315:G323)</f>
        <v>10.565999999965596</v>
      </c>
      <c r="H325" s="311">
        <f t="shared" si="152"/>
        <v>0.27199999999963398</v>
      </c>
      <c r="I325" s="311">
        <f t="shared" si="152"/>
        <v>7.3999999999014049E-2</v>
      </c>
      <c r="J325" s="311">
        <f t="shared" si="152"/>
        <v>10.911999999964245</v>
      </c>
      <c r="K325" s="311"/>
      <c r="L325" s="311">
        <f t="shared" ref="L325:O325" si="153">SUM(L315:L323)</f>
        <v>8.8139999999599965</v>
      </c>
      <c r="M325" s="311">
        <f t="shared" si="153"/>
        <v>0.22999999999971257</v>
      </c>
      <c r="N325" s="311">
        <f t="shared" si="153"/>
        <v>6.5999999999893783E-2</v>
      </c>
      <c r="O325" s="311">
        <f t="shared" si="153"/>
        <v>9.1099999999596033</v>
      </c>
    </row>
    <row r="326" spans="1:15" s="236" customFormat="1" x14ac:dyDescent="0.2">
      <c r="A326" s="237"/>
      <c r="B326" s="237"/>
      <c r="C326" s="237"/>
      <c r="D326" s="237"/>
      <c r="E326" s="237"/>
      <c r="F326" s="237"/>
      <c r="G326" s="237"/>
      <c r="H326" s="237"/>
      <c r="I326" s="237"/>
      <c r="J326" s="237"/>
      <c r="K326" s="237"/>
      <c r="L326" s="237"/>
      <c r="M326" s="237"/>
      <c r="N326" s="240"/>
    </row>
    <row r="327" spans="1:15" s="236" customFormat="1" x14ac:dyDescent="0.2">
      <c r="A327" s="237"/>
      <c r="B327" s="237"/>
      <c r="C327" s="237"/>
      <c r="D327" s="237"/>
      <c r="E327" s="237"/>
      <c r="F327" s="237"/>
      <c r="G327" s="237"/>
      <c r="H327" s="237"/>
      <c r="I327" s="237"/>
      <c r="J327" s="237"/>
      <c r="K327" s="237"/>
      <c r="L327" s="237"/>
      <c r="M327" s="237"/>
      <c r="N327" s="240"/>
      <c r="O327" s="251" t="s">
        <v>35</v>
      </c>
    </row>
    <row r="328" spans="1:15" s="236" customFormat="1" x14ac:dyDescent="0.2">
      <c r="A328" s="242"/>
      <c r="B328" s="242"/>
      <c r="C328" s="242"/>
      <c r="D328" s="242"/>
      <c r="E328" s="242"/>
      <c r="F328" s="242"/>
      <c r="G328" s="242"/>
      <c r="H328" s="242"/>
      <c r="I328" s="242"/>
      <c r="J328" s="242"/>
      <c r="K328" s="242"/>
      <c r="L328" s="242"/>
      <c r="M328" s="242"/>
      <c r="N328" s="242"/>
      <c r="O328" s="242"/>
    </row>
    <row r="329" spans="1:15" s="236" customFormat="1" x14ac:dyDescent="0.2">
      <c r="A329" s="241" t="str">
        <f>name!A22</f>
        <v>Motor vehicles, etc</v>
      </c>
      <c r="B329" s="374">
        <f>$B$6</f>
        <v>2015</v>
      </c>
      <c r="C329" s="374"/>
      <c r="D329" s="374"/>
      <c r="E329" s="374"/>
      <c r="F329" s="263"/>
      <c r="G329" s="374">
        <f>$G$6</f>
        <v>2020</v>
      </c>
      <c r="H329" s="374"/>
      <c r="I329" s="374"/>
      <c r="J329" s="374"/>
      <c r="K329" s="263"/>
      <c r="L329" s="374">
        <f>$L$6</f>
        <v>2035</v>
      </c>
      <c r="M329" s="374"/>
      <c r="N329" s="374"/>
      <c r="O329" s="374"/>
    </row>
    <row r="330" spans="1:15" s="236" customFormat="1" x14ac:dyDescent="0.2">
      <c r="A330" s="254"/>
      <c r="B330" s="268" t="str">
        <f>$B$7</f>
        <v>FT</v>
      </c>
      <c r="C330" s="268" t="str">
        <f>$C$7</f>
        <v>PT</v>
      </c>
      <c r="D330" s="268" t="str">
        <f>$D$7</f>
        <v>SE</v>
      </c>
      <c r="E330" s="268" t="str">
        <f>$E$7</f>
        <v>Total</v>
      </c>
      <c r="F330" s="268"/>
      <c r="G330" s="268" t="str">
        <f>$G$7</f>
        <v>FT</v>
      </c>
      <c r="H330" s="268" t="str">
        <f>$H$7</f>
        <v>PT</v>
      </c>
      <c r="I330" s="268" t="str">
        <f>$I$7</f>
        <v>SE</v>
      </c>
      <c r="J330" s="268" t="str">
        <f>$J$7</f>
        <v>Total</v>
      </c>
      <c r="K330" s="268"/>
      <c r="L330" s="268" t="str">
        <f>$L$7</f>
        <v>FT</v>
      </c>
      <c r="M330" s="268" t="str">
        <f>$M$7</f>
        <v>PT</v>
      </c>
      <c r="N330" s="268" t="str">
        <f>$N$7</f>
        <v>SE</v>
      </c>
      <c r="O330" s="268" t="str">
        <f>$O$7</f>
        <v>Total</v>
      </c>
    </row>
    <row r="331" spans="1:15" s="236" customFormat="1" x14ac:dyDescent="0.2">
      <c r="A331" s="258"/>
      <c r="B331" s="239"/>
      <c r="C331" s="239"/>
      <c r="D331" s="239"/>
      <c r="E331" s="239"/>
      <c r="F331" s="239"/>
      <c r="G331" s="239"/>
      <c r="H331" s="239"/>
      <c r="I331" s="239"/>
      <c r="J331" s="239"/>
      <c r="K331" s="239"/>
      <c r="L331" s="239"/>
      <c r="M331" s="239"/>
      <c r="N331" s="239"/>
      <c r="O331" s="239"/>
    </row>
    <row r="332" spans="1:15" s="236" customFormat="1" x14ac:dyDescent="0.2">
      <c r="A332" s="237" t="str">
        <f>name!E$4</f>
        <v>Managers, directors and senior officials</v>
      </c>
      <c r="B332" s="302">
        <v>0.59454847579174019</v>
      </c>
      <c r="C332" s="302">
        <v>3.1835828603202524E-3</v>
      </c>
      <c r="D332" s="302">
        <v>1.6615221537917113E-2</v>
      </c>
      <c r="E332" s="302">
        <f>SUM(B332:D332)</f>
        <v>0.61434728018997764</v>
      </c>
      <c r="F332" s="303"/>
      <c r="G332" s="302">
        <v>0.70021384298450307</v>
      </c>
      <c r="H332" s="302">
        <v>5.8896840509240567E-3</v>
      </c>
      <c r="I332" s="302">
        <v>2.0337048870694269E-3</v>
      </c>
      <c r="J332" s="302">
        <f>SUM(G332:I332)</f>
        <v>0.70813723192249656</v>
      </c>
      <c r="K332" s="303"/>
      <c r="L332" s="302">
        <v>0.59960089825087559</v>
      </c>
      <c r="M332" s="302">
        <v>4.8877065709991216E-3</v>
      </c>
      <c r="N332" s="302">
        <v>1.9940221352155577E-3</v>
      </c>
      <c r="O332" s="302">
        <f>SUM(L332:N332)</f>
        <v>0.60648262695709032</v>
      </c>
    </row>
    <row r="333" spans="1:15" s="236" customFormat="1" x14ac:dyDescent="0.2">
      <c r="A333" s="237" t="str">
        <f>name!E$5</f>
        <v>Professional occupations</v>
      </c>
      <c r="B333" s="302">
        <v>2.1415572356086572</v>
      </c>
      <c r="C333" s="302">
        <v>6.9740931330989327E-3</v>
      </c>
      <c r="D333" s="302">
        <v>9.3901243909954267E-3</v>
      </c>
      <c r="E333" s="302">
        <f t="shared" ref="E333:E340" si="154">SUM(B333:D333)</f>
        <v>2.1579214531327517</v>
      </c>
      <c r="F333" s="303"/>
      <c r="G333" s="302">
        <v>2.7706389117679198</v>
      </c>
      <c r="H333" s="302">
        <v>1.0779419954301225E-2</v>
      </c>
      <c r="I333" s="302">
        <v>9.2638564384447714E-4</v>
      </c>
      <c r="J333" s="302">
        <f t="shared" ref="J333:J335" si="155">SUM(G333:I333)</f>
        <v>2.7823447173660658</v>
      </c>
      <c r="K333" s="303"/>
      <c r="L333" s="302">
        <v>2.7947044955350977</v>
      </c>
      <c r="M333" s="302">
        <v>8.3350283824211828E-3</v>
      </c>
      <c r="N333" s="302">
        <v>7.1509798272218568E-4</v>
      </c>
      <c r="O333" s="302">
        <f t="shared" ref="O333:O340" si="156">SUM(L333:N333)</f>
        <v>2.8037546219002412</v>
      </c>
    </row>
    <row r="334" spans="1:15" s="236" customFormat="1" x14ac:dyDescent="0.2">
      <c r="A334" s="237" t="str">
        <f>name!E$6</f>
        <v>Associate professional occupations</v>
      </c>
      <c r="B334" s="302">
        <v>0.97409860012895111</v>
      </c>
      <c r="C334" s="302">
        <v>1.0831962487786955E-2</v>
      </c>
      <c r="D334" s="302">
        <v>7.2835119548541796E-3</v>
      </c>
      <c r="E334" s="302">
        <f t="shared" si="154"/>
        <v>0.99221407457159227</v>
      </c>
      <c r="F334" s="303"/>
      <c r="G334" s="302">
        <v>1.2921711771440649</v>
      </c>
      <c r="H334" s="302">
        <v>1.2543876709444178E-2</v>
      </c>
      <c r="I334" s="302">
        <v>4.9667677968894181E-4</v>
      </c>
      <c r="J334" s="302">
        <f t="shared" si="155"/>
        <v>1.3052117306331981</v>
      </c>
      <c r="K334" s="303"/>
      <c r="L334" s="302">
        <v>0.99152614682210283</v>
      </c>
      <c r="M334" s="302">
        <v>7.6871316976411704E-3</v>
      </c>
      <c r="N334" s="302">
        <v>5.5107604079160789E-4</v>
      </c>
      <c r="O334" s="302">
        <f t="shared" si="156"/>
        <v>0.99976435456053558</v>
      </c>
    </row>
    <row r="335" spans="1:15" s="236" customFormat="1" x14ac:dyDescent="0.2">
      <c r="A335" s="237" t="str">
        <f>name!E$7</f>
        <v>Administrative and secretarial occupations</v>
      </c>
      <c r="B335" s="302">
        <v>0.74111032596027004</v>
      </c>
      <c r="C335" s="302">
        <v>3.00017037733523E-2</v>
      </c>
      <c r="D335" s="302">
        <v>1.8351778786128729E-3</v>
      </c>
      <c r="E335" s="302">
        <f t="shared" si="154"/>
        <v>0.77294720761223523</v>
      </c>
      <c r="F335" s="303"/>
      <c r="G335" s="302">
        <v>0.96959945983890239</v>
      </c>
      <c r="H335" s="302">
        <v>2.6582256279143818E-2</v>
      </c>
      <c r="I335" s="302">
        <v>6.3055759258433405E-4</v>
      </c>
      <c r="J335" s="302">
        <f t="shared" si="155"/>
        <v>0.99681227371063053</v>
      </c>
      <c r="K335" s="303"/>
      <c r="L335" s="302">
        <v>0.7756702520670854</v>
      </c>
      <c r="M335" s="302">
        <v>1.5330772969524174E-2</v>
      </c>
      <c r="N335" s="302">
        <v>3.3539757719452875E-4</v>
      </c>
      <c r="O335" s="302">
        <f t="shared" si="156"/>
        <v>0.79133642261380399</v>
      </c>
    </row>
    <row r="336" spans="1:15" s="236" customFormat="1" x14ac:dyDescent="0.2">
      <c r="A336" s="237" t="str">
        <f>name!E$8</f>
        <v>Skilled trades occupations</v>
      </c>
      <c r="B336" s="302">
        <v>3.966916111279418</v>
      </c>
      <c r="C336" s="302">
        <v>7.0572398417995362E-3</v>
      </c>
      <c r="D336" s="302">
        <v>4.3608875243810366E-2</v>
      </c>
      <c r="E336" s="302">
        <f t="shared" si="154"/>
        <v>4.017582226365028</v>
      </c>
      <c r="F336" s="303"/>
      <c r="G336" s="302">
        <v>3.428460004338298</v>
      </c>
      <c r="H336" s="302">
        <v>1.3149204655979289E-2</v>
      </c>
      <c r="I336" s="302">
        <v>4.9988357974857229E-4</v>
      </c>
      <c r="J336" s="302">
        <f>SUM(G336:I336)</f>
        <v>3.4421090925740256</v>
      </c>
      <c r="K336" s="303"/>
      <c r="L336" s="302">
        <v>2.4660706466244782</v>
      </c>
      <c r="M336" s="302">
        <v>1.6008275442385068E-2</v>
      </c>
      <c r="N336" s="302">
        <v>6.4820284807349778E-4</v>
      </c>
      <c r="O336" s="302">
        <f t="shared" si="156"/>
        <v>2.4827271249149367</v>
      </c>
    </row>
    <row r="337" spans="1:15" s="236" customFormat="1" x14ac:dyDescent="0.2">
      <c r="A337" s="237" t="str">
        <f>name!E$9</f>
        <v>Caring, leisure and other service occupations</v>
      </c>
      <c r="B337" s="302">
        <v>0.15679619420087992</v>
      </c>
      <c r="C337" s="302">
        <v>4.6256638346294371E-3</v>
      </c>
      <c r="D337" s="302">
        <v>2.2559268445104699E-3</v>
      </c>
      <c r="E337" s="302">
        <f t="shared" si="154"/>
        <v>0.16367778488001983</v>
      </c>
      <c r="F337" s="303"/>
      <c r="G337" s="302">
        <v>0.18490641027530208</v>
      </c>
      <c r="H337" s="302">
        <v>4.3108726750737247E-3</v>
      </c>
      <c r="I337" s="302">
        <v>1.4948539841287067E-3</v>
      </c>
      <c r="J337" s="302">
        <f t="shared" ref="J337:J340" si="157">SUM(G337:I337)</f>
        <v>0.19071213693450451</v>
      </c>
      <c r="K337" s="303"/>
      <c r="L337" s="302">
        <v>0.24291501233324589</v>
      </c>
      <c r="M337" s="302">
        <v>2.6852484712017316E-3</v>
      </c>
      <c r="N337" s="302">
        <v>1.5934863412644796E-3</v>
      </c>
      <c r="O337" s="302">
        <f t="shared" si="156"/>
        <v>0.2471937471457121</v>
      </c>
    </row>
    <row r="338" spans="1:15" s="236" customFormat="1" x14ac:dyDescent="0.2">
      <c r="A338" s="237" t="str">
        <f>name!E$10</f>
        <v>Sales and customer service occupations</v>
      </c>
      <c r="B338" s="302">
        <v>0.21643938085972417</v>
      </c>
      <c r="C338" s="302">
        <v>9.0525348125793745E-3</v>
      </c>
      <c r="D338" s="302">
        <v>1.9232779436781445E-3</v>
      </c>
      <c r="E338" s="302">
        <f t="shared" si="154"/>
        <v>0.22741519361598167</v>
      </c>
      <c r="F338" s="303"/>
      <c r="G338" s="302">
        <v>0.23274259093068167</v>
      </c>
      <c r="H338" s="302">
        <v>1.0273987127383963E-2</v>
      </c>
      <c r="I338" s="302">
        <v>1.5457853935817856E-4</v>
      </c>
      <c r="J338" s="302">
        <f t="shared" si="157"/>
        <v>0.24317115659742383</v>
      </c>
      <c r="K338" s="303"/>
      <c r="L338" s="302">
        <v>0.2175462258085693</v>
      </c>
      <c r="M338" s="302">
        <v>8.3754367971472267E-3</v>
      </c>
      <c r="N338" s="302">
        <v>1.6982236756972845E-4</v>
      </c>
      <c r="O338" s="302">
        <f t="shared" si="156"/>
        <v>0.22609148497328627</v>
      </c>
    </row>
    <row r="339" spans="1:15" s="236" customFormat="1" x14ac:dyDescent="0.2">
      <c r="A339" s="237" t="str">
        <f>name!E$11</f>
        <v>Process, plant and machine operatives</v>
      </c>
      <c r="B339" s="302">
        <v>3.1966035004750757</v>
      </c>
      <c r="C339" s="302">
        <v>2.5580588018391408E-2</v>
      </c>
      <c r="D339" s="302">
        <v>7.3594927739021E-3</v>
      </c>
      <c r="E339" s="302">
        <f t="shared" si="154"/>
        <v>3.2295435812673694</v>
      </c>
      <c r="F339" s="303"/>
      <c r="G339" s="302">
        <v>2.6652720746513956</v>
      </c>
      <c r="H339" s="302">
        <v>3.077162624016622E-2</v>
      </c>
      <c r="I339" s="302">
        <v>8.7945912155155438E-4</v>
      </c>
      <c r="J339" s="302">
        <f t="shared" si="157"/>
        <v>2.6969231600131134</v>
      </c>
      <c r="K339" s="303"/>
      <c r="L339" s="302">
        <v>2.6160392281583724</v>
      </c>
      <c r="M339" s="302">
        <v>4.3522075091030302E-2</v>
      </c>
      <c r="N339" s="302">
        <v>7.2378344439424176E-4</v>
      </c>
      <c r="O339" s="302">
        <f t="shared" si="156"/>
        <v>2.6602850866937966</v>
      </c>
    </row>
    <row r="340" spans="1:15" s="236" customFormat="1" x14ac:dyDescent="0.2">
      <c r="A340" s="237" t="str">
        <f>name!E$12</f>
        <v>Elementary occupations</v>
      </c>
      <c r="B340" s="302">
        <v>0.41993017570024099</v>
      </c>
      <c r="C340" s="302">
        <v>2.7692631240409403E-2</v>
      </c>
      <c r="D340" s="302">
        <v>2.7283914318866386E-3</v>
      </c>
      <c r="E340" s="302">
        <f t="shared" si="154"/>
        <v>0.45035119837253701</v>
      </c>
      <c r="F340" s="303"/>
      <c r="G340" s="302">
        <v>0.34999552804102674</v>
      </c>
      <c r="H340" s="302">
        <v>2.3699072307979525E-2</v>
      </c>
      <c r="I340" s="302">
        <v>8.8389987192566855E-4</v>
      </c>
      <c r="J340" s="302">
        <f t="shared" si="157"/>
        <v>0.37457850022093192</v>
      </c>
      <c r="K340" s="303"/>
      <c r="L340" s="302">
        <v>0.16692709434328243</v>
      </c>
      <c r="M340" s="302">
        <v>1.0168324577617821E-2</v>
      </c>
      <c r="N340" s="302">
        <v>2.6911126281979603E-4</v>
      </c>
      <c r="O340" s="302">
        <f t="shared" si="156"/>
        <v>0.17736453018372003</v>
      </c>
    </row>
    <row r="341" spans="1:15" s="236" customFormat="1" x14ac:dyDescent="0.2">
      <c r="A341" s="237"/>
      <c r="B341" s="302"/>
      <c r="C341" s="302"/>
      <c r="D341" s="302"/>
      <c r="E341" s="302"/>
      <c r="F341" s="303"/>
      <c r="G341" s="302"/>
      <c r="H341" s="302"/>
      <c r="I341" s="302"/>
      <c r="J341" s="302"/>
      <c r="K341" s="303"/>
      <c r="L341" s="302"/>
      <c r="M341" s="302"/>
      <c r="N341" s="302"/>
      <c r="O341" s="302"/>
    </row>
    <row r="342" spans="1:15" s="236" customFormat="1" x14ac:dyDescent="0.2">
      <c r="A342" s="244" t="s">
        <v>32</v>
      </c>
      <c r="B342" s="311">
        <f>SUM(B332:B340)</f>
        <v>12.408000000004957</v>
      </c>
      <c r="C342" s="311">
        <f t="shared" ref="C342:E342" si="158">SUM(C332:C340)</f>
        <v>0.12500000000236761</v>
      </c>
      <c r="D342" s="311">
        <f t="shared" si="158"/>
        <v>9.300000000016731E-2</v>
      </c>
      <c r="E342" s="311">
        <f t="shared" si="158"/>
        <v>12.626000000007494</v>
      </c>
      <c r="F342" s="311"/>
      <c r="G342" s="311">
        <f t="shared" ref="G342:J342" si="159">SUM(G332:G340)</f>
        <v>12.593999999972095</v>
      </c>
      <c r="H342" s="311">
        <f t="shared" si="159"/>
        <v>0.138000000000396</v>
      </c>
      <c r="I342" s="311">
        <f t="shared" si="159"/>
        <v>7.9999999998998615E-3</v>
      </c>
      <c r="J342" s="311">
        <f t="shared" si="159"/>
        <v>12.73999999997239</v>
      </c>
      <c r="K342" s="311"/>
      <c r="L342" s="311">
        <f t="shared" ref="L342:O342" si="160">SUM(L332:L340)</f>
        <v>10.870999999943109</v>
      </c>
      <c r="M342" s="311">
        <f t="shared" si="160"/>
        <v>0.1169999999999678</v>
      </c>
      <c r="N342" s="311">
        <f t="shared" si="160"/>
        <v>7.0000000000456234E-3</v>
      </c>
      <c r="O342" s="311">
        <f t="shared" si="160"/>
        <v>10.994999999943122</v>
      </c>
    </row>
    <row r="343" spans="1:15" s="236" customFormat="1" x14ac:dyDescent="0.2">
      <c r="A343" s="237"/>
      <c r="B343" s="237"/>
      <c r="C343" s="237"/>
      <c r="D343" s="237"/>
      <c r="E343" s="237"/>
      <c r="F343" s="237"/>
      <c r="G343" s="237"/>
      <c r="H343" s="237"/>
      <c r="I343" s="237"/>
      <c r="J343" s="237"/>
      <c r="K343" s="237"/>
      <c r="L343" s="237"/>
      <c r="M343" s="237"/>
      <c r="N343" s="240"/>
    </row>
    <row r="344" spans="1:15" s="236" customFormat="1" x14ac:dyDescent="0.2">
      <c r="A344" s="237"/>
      <c r="B344" s="237"/>
      <c r="C344" s="237"/>
      <c r="D344" s="237"/>
      <c r="E344" s="237"/>
      <c r="F344" s="237"/>
      <c r="G344" s="237"/>
      <c r="H344" s="237"/>
      <c r="I344" s="237"/>
      <c r="J344" s="237"/>
      <c r="K344" s="237"/>
      <c r="L344" s="237"/>
      <c r="M344" s="237"/>
      <c r="N344" s="240"/>
      <c r="O344" s="251" t="s">
        <v>35</v>
      </c>
    </row>
    <row r="345" spans="1:15" s="236" customFormat="1" x14ac:dyDescent="0.2">
      <c r="A345" s="242"/>
      <c r="B345" s="242"/>
      <c r="C345" s="242"/>
      <c r="D345" s="242"/>
      <c r="E345" s="242"/>
      <c r="F345" s="242"/>
      <c r="G345" s="242"/>
      <c r="H345" s="242"/>
      <c r="I345" s="242"/>
      <c r="J345" s="242"/>
      <c r="K345" s="242"/>
      <c r="L345" s="242"/>
      <c r="M345" s="242"/>
      <c r="N345" s="242"/>
      <c r="O345" s="242"/>
    </row>
    <row r="346" spans="1:15" s="236" customFormat="1" x14ac:dyDescent="0.2">
      <c r="A346" s="241" t="str">
        <f>name!A23</f>
        <v>Other transport equipment</v>
      </c>
      <c r="B346" s="374">
        <f>$B$6</f>
        <v>2015</v>
      </c>
      <c r="C346" s="374"/>
      <c r="D346" s="374"/>
      <c r="E346" s="374"/>
      <c r="F346" s="263"/>
      <c r="G346" s="374">
        <f>$G$6</f>
        <v>2020</v>
      </c>
      <c r="H346" s="374"/>
      <c r="I346" s="374"/>
      <c r="J346" s="374"/>
      <c r="K346" s="263"/>
      <c r="L346" s="374">
        <f>$L$6</f>
        <v>2035</v>
      </c>
      <c r="M346" s="374"/>
      <c r="N346" s="374"/>
      <c r="O346" s="374"/>
    </row>
    <row r="347" spans="1:15" s="236" customFormat="1" x14ac:dyDescent="0.2">
      <c r="A347" s="254"/>
      <c r="B347" s="268" t="str">
        <f>$B$7</f>
        <v>FT</v>
      </c>
      <c r="C347" s="268" t="str">
        <f>$C$7</f>
        <v>PT</v>
      </c>
      <c r="D347" s="268" t="str">
        <f>$D$7</f>
        <v>SE</v>
      </c>
      <c r="E347" s="268" t="str">
        <f>$E$7</f>
        <v>Total</v>
      </c>
      <c r="F347" s="268"/>
      <c r="G347" s="268" t="str">
        <f>$G$7</f>
        <v>FT</v>
      </c>
      <c r="H347" s="268" t="str">
        <f>$H$7</f>
        <v>PT</v>
      </c>
      <c r="I347" s="268" t="str">
        <f>$I$7</f>
        <v>SE</v>
      </c>
      <c r="J347" s="268" t="str">
        <f>$J$7</f>
        <v>Total</v>
      </c>
      <c r="K347" s="268"/>
      <c r="L347" s="268" t="str">
        <f>$L$7</f>
        <v>FT</v>
      </c>
      <c r="M347" s="268" t="str">
        <f>$M$7</f>
        <v>PT</v>
      </c>
      <c r="N347" s="268" t="str">
        <f>$N$7</f>
        <v>SE</v>
      </c>
      <c r="O347" s="268" t="str">
        <f>$O$7</f>
        <v>Total</v>
      </c>
    </row>
    <row r="348" spans="1:15" s="236" customFormat="1" x14ac:dyDescent="0.2">
      <c r="A348" s="258"/>
      <c r="B348" s="239"/>
      <c r="C348" s="239"/>
      <c r="D348" s="239"/>
      <c r="E348" s="239"/>
      <c r="F348" s="239"/>
      <c r="G348" s="239"/>
      <c r="H348" s="239"/>
      <c r="I348" s="239"/>
      <c r="J348" s="239"/>
      <c r="K348" s="239"/>
      <c r="L348" s="239"/>
      <c r="M348" s="239"/>
      <c r="N348" s="239"/>
      <c r="O348" s="239"/>
    </row>
    <row r="349" spans="1:15" s="236" customFormat="1" x14ac:dyDescent="0.2">
      <c r="A349" s="237" t="str">
        <f>name!E$4</f>
        <v>Managers, directors and senior officials</v>
      </c>
      <c r="B349" s="302">
        <v>0.11274808446396767</v>
      </c>
      <c r="C349" s="302">
        <v>1.5141648062278554E-3</v>
      </c>
      <c r="D349" s="302">
        <v>1.2909948472257171E-3</v>
      </c>
      <c r="E349" s="302">
        <f>SUM(B349:D349)</f>
        <v>0.11555324411742125</v>
      </c>
      <c r="F349" s="303"/>
      <c r="G349" s="302">
        <v>0.17897744915819516</v>
      </c>
      <c r="H349" s="302">
        <v>1.3313101837538486E-3</v>
      </c>
      <c r="I349" s="302">
        <v>2.54655635001469E-4</v>
      </c>
      <c r="J349" s="302">
        <f>SUM(G349:I349)</f>
        <v>0.18056341497695047</v>
      </c>
      <c r="K349" s="303"/>
      <c r="L349" s="302">
        <v>0.1065853181299599</v>
      </c>
      <c r="M349" s="302">
        <v>5.3080058044324848E-4</v>
      </c>
      <c r="N349" s="302">
        <v>2.5809584738294432E-4</v>
      </c>
      <c r="O349" s="302">
        <f>SUM(L349:N349)</f>
        <v>0.10737421455778609</v>
      </c>
    </row>
    <row r="350" spans="1:15" s="236" customFormat="1" x14ac:dyDescent="0.2">
      <c r="A350" s="237" t="str">
        <f>name!E$5</f>
        <v>Professional occupations</v>
      </c>
      <c r="B350" s="302">
        <v>0.41301342898396443</v>
      </c>
      <c r="C350" s="302">
        <v>1.8734709947146816E-3</v>
      </c>
      <c r="D350" s="302">
        <v>2.0013435868921157E-3</v>
      </c>
      <c r="E350" s="302">
        <f t="shared" ref="E350:E357" si="161">SUM(B350:D350)</f>
        <v>0.41688824356557125</v>
      </c>
      <c r="F350" s="303"/>
      <c r="G350" s="302">
        <v>0.73962106925426185</v>
      </c>
      <c r="H350" s="302">
        <v>3.0617293719743346E-3</v>
      </c>
      <c r="I350" s="302">
        <v>2.9673897525669425E-4</v>
      </c>
      <c r="J350" s="302">
        <f t="shared" ref="J350:J352" si="162">SUM(G350:I350)</f>
        <v>0.74297953760149293</v>
      </c>
      <c r="K350" s="303"/>
      <c r="L350" s="302">
        <v>0.55460308625275379</v>
      </c>
      <c r="M350" s="302">
        <v>2.1150891515452222E-3</v>
      </c>
      <c r="N350" s="302">
        <v>2.1657183280894505E-4</v>
      </c>
      <c r="O350" s="302">
        <f t="shared" ref="O350:O357" si="163">SUM(L350:N350)</f>
        <v>0.55693474723710801</v>
      </c>
    </row>
    <row r="351" spans="1:15" s="236" customFormat="1" x14ac:dyDescent="0.2">
      <c r="A351" s="237" t="str">
        <f>name!E$6</f>
        <v>Associate professional occupations</v>
      </c>
      <c r="B351" s="302">
        <v>0.18118488732820931</v>
      </c>
      <c r="C351" s="302">
        <v>8.4161745997119559E-4</v>
      </c>
      <c r="D351" s="302">
        <v>1.3424744163129301E-3</v>
      </c>
      <c r="E351" s="302">
        <f t="shared" si="161"/>
        <v>0.18336897920449344</v>
      </c>
      <c r="F351" s="303"/>
      <c r="G351" s="302">
        <v>0.3255855379222759</v>
      </c>
      <c r="H351" s="302">
        <v>1.9870091927511996E-3</v>
      </c>
      <c r="I351" s="302">
        <v>2.3140551360062108E-4</v>
      </c>
      <c r="J351" s="302">
        <f t="shared" si="162"/>
        <v>0.32780395262862771</v>
      </c>
      <c r="K351" s="303"/>
      <c r="L351" s="302">
        <v>0.19257026928213605</v>
      </c>
      <c r="M351" s="302">
        <v>8.2208238211067862E-4</v>
      </c>
      <c r="N351" s="302">
        <v>2.4525899747550355E-4</v>
      </c>
      <c r="O351" s="302">
        <f t="shared" si="163"/>
        <v>0.19363761066172225</v>
      </c>
    </row>
    <row r="352" spans="1:15" s="236" customFormat="1" x14ac:dyDescent="0.2">
      <c r="A352" s="237" t="str">
        <f>name!E$7</f>
        <v>Administrative and secretarial occupations</v>
      </c>
      <c r="B352" s="302">
        <v>0.10263279035646741</v>
      </c>
      <c r="C352" s="302">
        <v>1.7120039924090856E-3</v>
      </c>
      <c r="D352" s="302">
        <v>2.4705038467764121E-4</v>
      </c>
      <c r="E352" s="302">
        <f t="shared" si="161"/>
        <v>0.10459184473355414</v>
      </c>
      <c r="F352" s="303"/>
      <c r="G352" s="302">
        <v>0.1859584758391534</v>
      </c>
      <c r="H352" s="302">
        <v>2.1079880595921453E-3</v>
      </c>
      <c r="I352" s="302">
        <v>5.7808206708676454E-5</v>
      </c>
      <c r="J352" s="302">
        <f t="shared" si="162"/>
        <v>0.18812427210545421</v>
      </c>
      <c r="K352" s="303"/>
      <c r="L352" s="302">
        <v>0.1109590667371448</v>
      </c>
      <c r="M352" s="302">
        <v>1.006020243467486E-3</v>
      </c>
      <c r="N352" s="302">
        <v>4.3187459305340253E-5</v>
      </c>
      <c r="O352" s="302">
        <f t="shared" si="163"/>
        <v>0.11200827443991763</v>
      </c>
    </row>
    <row r="353" spans="1:15" s="236" customFormat="1" x14ac:dyDescent="0.2">
      <c r="A353" s="237" t="str">
        <f>name!E$8</f>
        <v>Skilled trades occupations</v>
      </c>
      <c r="B353" s="302">
        <v>0.80519633747977026</v>
      </c>
      <c r="C353" s="302">
        <v>2.1028618088134621E-3</v>
      </c>
      <c r="D353" s="302">
        <v>9.5367790020346403E-3</v>
      </c>
      <c r="E353" s="302">
        <f t="shared" si="161"/>
        <v>0.81683597829061838</v>
      </c>
      <c r="F353" s="303"/>
      <c r="G353" s="302">
        <v>0.91568033356393708</v>
      </c>
      <c r="H353" s="302">
        <v>1.1442304673276477E-3</v>
      </c>
      <c r="I353" s="302">
        <v>7.1716144853657541E-4</v>
      </c>
      <c r="J353" s="302">
        <f>SUM(G353:I353)</f>
        <v>0.9175417254798014</v>
      </c>
      <c r="K353" s="303"/>
      <c r="L353" s="302">
        <v>0.45219493442049907</v>
      </c>
      <c r="M353" s="302">
        <v>3.305846305328438E-4</v>
      </c>
      <c r="N353" s="302">
        <v>8.0795671068479864E-4</v>
      </c>
      <c r="O353" s="302">
        <f t="shared" si="163"/>
        <v>0.45333347576171673</v>
      </c>
    </row>
    <row r="354" spans="1:15" s="236" customFormat="1" x14ac:dyDescent="0.2">
      <c r="A354" s="237" t="str">
        <f>name!E$9</f>
        <v>Caring, leisure and other service occupations</v>
      </c>
      <c r="B354" s="302">
        <v>4.9089786667108927E-3</v>
      </c>
      <c r="C354" s="302">
        <v>2.0890489732214049E-4</v>
      </c>
      <c r="D354" s="302">
        <v>3.5076898097684842E-4</v>
      </c>
      <c r="E354" s="302">
        <f t="shared" si="161"/>
        <v>5.4686525450098819E-3</v>
      </c>
      <c r="F354" s="303"/>
      <c r="G354" s="302">
        <v>8.0653363994662251E-3</v>
      </c>
      <c r="H354" s="302">
        <v>1.4350996116726531E-3</v>
      </c>
      <c r="I354" s="302">
        <v>1.6742104052384235E-4</v>
      </c>
      <c r="J354" s="302">
        <f t="shared" ref="J354:J357" si="164">SUM(G354:I354)</f>
        <v>9.6678570516627212E-3</v>
      </c>
      <c r="K354" s="303"/>
      <c r="L354" s="302">
        <v>5.6897894380444633E-3</v>
      </c>
      <c r="M354" s="302">
        <v>1.1562410270542908E-3</v>
      </c>
      <c r="N354" s="302">
        <v>1.3269948404770883E-4</v>
      </c>
      <c r="O354" s="302">
        <f t="shared" si="163"/>
        <v>6.9787299491464632E-3</v>
      </c>
    </row>
    <row r="355" spans="1:15" s="236" customFormat="1" x14ac:dyDescent="0.2">
      <c r="A355" s="237" t="str">
        <f>name!E$10</f>
        <v>Sales and customer service occupations</v>
      </c>
      <c r="B355" s="302">
        <v>1.4020143508329998E-2</v>
      </c>
      <c r="C355" s="302">
        <v>9.5486522809162279E-4</v>
      </c>
      <c r="D355" s="302">
        <v>2.733994572304362E-4</v>
      </c>
      <c r="E355" s="302">
        <f t="shared" si="161"/>
        <v>1.5248408193652058E-2</v>
      </c>
      <c r="F355" s="303"/>
      <c r="G355" s="302">
        <v>2.195192461424899E-2</v>
      </c>
      <c r="H355" s="302">
        <v>3.5937140990290298E-3</v>
      </c>
      <c r="I355" s="302">
        <v>4.7917135887591573E-5</v>
      </c>
      <c r="J355" s="302">
        <f t="shared" si="164"/>
        <v>2.559355584916561E-2</v>
      </c>
      <c r="K355" s="303"/>
      <c r="L355" s="302">
        <v>1.6273206612124728E-2</v>
      </c>
      <c r="M355" s="302">
        <v>2.8108414438515229E-3</v>
      </c>
      <c r="N355" s="302">
        <v>3.4342866526682972E-5</v>
      </c>
      <c r="O355" s="302">
        <f t="shared" si="163"/>
        <v>1.9118390922502934E-2</v>
      </c>
    </row>
    <row r="356" spans="1:15" s="236" customFormat="1" x14ac:dyDescent="0.2">
      <c r="A356" s="237" t="str">
        <f>name!E$11</f>
        <v>Process, plant and machine operatives</v>
      </c>
      <c r="B356" s="302">
        <v>0.21026562980857358</v>
      </c>
      <c r="C356" s="302">
        <v>3.1321909312393963E-3</v>
      </c>
      <c r="D356" s="302">
        <v>1.4357227540902761E-3</v>
      </c>
      <c r="E356" s="302">
        <f t="shared" si="161"/>
        <v>0.21483354349390324</v>
      </c>
      <c r="F356" s="303"/>
      <c r="G356" s="302">
        <v>0.23015575962356874</v>
      </c>
      <c r="H356" s="302">
        <v>1.6716025557770794E-3</v>
      </c>
      <c r="I356" s="302">
        <v>1.2156341494295192E-4</v>
      </c>
      <c r="J356" s="302">
        <f t="shared" si="164"/>
        <v>0.23194892559428879</v>
      </c>
      <c r="K356" s="303"/>
      <c r="L356" s="302">
        <v>0.16622408468973532</v>
      </c>
      <c r="M356" s="302">
        <v>7.2958882211862088E-4</v>
      </c>
      <c r="N356" s="302">
        <v>1.5833394466674717E-4</v>
      </c>
      <c r="O356" s="302">
        <f t="shared" si="163"/>
        <v>0.16711200745652069</v>
      </c>
    </row>
    <row r="357" spans="1:15" s="236" customFormat="1" x14ac:dyDescent="0.2">
      <c r="A357" s="237" t="str">
        <f>name!E$12</f>
        <v>Elementary occupations</v>
      </c>
      <c r="B357" s="302">
        <v>3.1029719401630858E-2</v>
      </c>
      <c r="C357" s="302">
        <v>6.5991988120854214E-4</v>
      </c>
      <c r="D357" s="302">
        <v>5.2146657039585831E-4</v>
      </c>
      <c r="E357" s="302">
        <f t="shared" si="161"/>
        <v>3.2211105853235264E-2</v>
      </c>
      <c r="F357" s="303"/>
      <c r="G357" s="302">
        <v>3.5004113619113958E-2</v>
      </c>
      <c r="H357" s="302">
        <v>4.6673164581810455E-3</v>
      </c>
      <c r="I357" s="302">
        <v>1.053286295262934E-4</v>
      </c>
      <c r="J357" s="302">
        <f t="shared" si="164"/>
        <v>3.9776758706821298E-2</v>
      </c>
      <c r="K357" s="303"/>
      <c r="L357" s="302">
        <v>1.0900244433523061E-2</v>
      </c>
      <c r="M357" s="302">
        <v>3.4987517188238299E-3</v>
      </c>
      <c r="N357" s="302">
        <v>1.0355285707777773E-4</v>
      </c>
      <c r="O357" s="302">
        <f t="shared" si="163"/>
        <v>1.4502549009424669E-2</v>
      </c>
    </row>
    <row r="358" spans="1:15" s="236" customFormat="1" x14ac:dyDescent="0.2">
      <c r="A358" s="237"/>
      <c r="B358" s="302"/>
      <c r="C358" s="302"/>
      <c r="D358" s="302"/>
      <c r="E358" s="302"/>
      <c r="F358" s="303"/>
      <c r="G358" s="302"/>
      <c r="H358" s="302"/>
      <c r="I358" s="302"/>
      <c r="J358" s="302"/>
      <c r="K358" s="303"/>
      <c r="L358" s="302"/>
      <c r="M358" s="302"/>
      <c r="N358" s="302"/>
      <c r="O358" s="302"/>
    </row>
    <row r="359" spans="1:15" s="236" customFormat="1" x14ac:dyDescent="0.2">
      <c r="A359" s="244" t="s">
        <v>32</v>
      </c>
      <c r="B359" s="311">
        <f>SUM(B349:B357)</f>
        <v>1.8749999999976246</v>
      </c>
      <c r="C359" s="311">
        <f t="shared" ref="C359:E359" si="165">SUM(C349:C357)</f>
        <v>1.2999999999997984E-2</v>
      </c>
      <c r="D359" s="311">
        <f t="shared" si="165"/>
        <v>1.6999999999836462E-2</v>
      </c>
      <c r="E359" s="311">
        <f t="shared" si="165"/>
        <v>1.9049999999974589</v>
      </c>
      <c r="F359" s="311"/>
      <c r="G359" s="311">
        <f t="shared" ref="G359:J359" si="166">SUM(G349:G357)</f>
        <v>2.6409999999942211</v>
      </c>
      <c r="H359" s="311">
        <f t="shared" si="166"/>
        <v>2.1000000000058985E-2</v>
      </c>
      <c r="I359" s="311">
        <f t="shared" si="166"/>
        <v>1.9999999999847154E-3</v>
      </c>
      <c r="J359" s="311">
        <f t="shared" si="166"/>
        <v>2.6639999999942652</v>
      </c>
      <c r="K359" s="311"/>
      <c r="L359" s="311">
        <f t="shared" ref="L359:O359" si="167">SUM(L349:L357)</f>
        <v>1.6159999999959214</v>
      </c>
      <c r="M359" s="311">
        <f t="shared" si="167"/>
        <v>1.2999999999947744E-2</v>
      </c>
      <c r="N359" s="311">
        <f t="shared" si="167"/>
        <v>1.9999999999764486E-3</v>
      </c>
      <c r="O359" s="311">
        <f t="shared" si="167"/>
        <v>1.6309999999958453</v>
      </c>
    </row>
    <row r="360" spans="1:15" s="236" customFormat="1" x14ac:dyDescent="0.2">
      <c r="A360" s="237"/>
      <c r="B360" s="237"/>
      <c r="C360" s="237"/>
      <c r="D360" s="237"/>
      <c r="E360" s="237"/>
      <c r="F360" s="237"/>
      <c r="G360" s="237"/>
      <c r="H360" s="237"/>
      <c r="I360" s="237"/>
      <c r="J360" s="237"/>
      <c r="K360" s="237"/>
      <c r="L360" s="237"/>
      <c r="M360" s="237"/>
      <c r="N360" s="240"/>
    </row>
    <row r="361" spans="1:15" s="236" customFormat="1" x14ac:dyDescent="0.2">
      <c r="A361" s="237"/>
      <c r="B361" s="237"/>
      <c r="C361" s="237"/>
      <c r="D361" s="237"/>
      <c r="E361" s="237"/>
      <c r="F361" s="237"/>
      <c r="G361" s="237"/>
      <c r="H361" s="237"/>
      <c r="I361" s="237"/>
      <c r="J361" s="237"/>
      <c r="K361" s="237"/>
      <c r="L361" s="237"/>
      <c r="M361" s="237"/>
      <c r="N361" s="240"/>
      <c r="O361" s="251" t="s">
        <v>35</v>
      </c>
    </row>
    <row r="362" spans="1:15" s="236" customFormat="1" x14ac:dyDescent="0.2">
      <c r="A362" s="242"/>
      <c r="B362" s="242"/>
      <c r="C362" s="242"/>
      <c r="D362" s="242"/>
      <c r="E362" s="242"/>
      <c r="F362" s="242"/>
      <c r="G362" s="242"/>
      <c r="H362" s="242"/>
      <c r="I362" s="242"/>
      <c r="J362" s="242"/>
      <c r="K362" s="242"/>
      <c r="L362" s="242"/>
      <c r="M362" s="242"/>
      <c r="N362" s="242"/>
      <c r="O362" s="242"/>
    </row>
    <row r="363" spans="1:15" s="236" customFormat="1" x14ac:dyDescent="0.2">
      <c r="A363" s="241" t="str">
        <f>name!A24</f>
        <v>Furniture</v>
      </c>
      <c r="B363" s="374">
        <f>$B$6</f>
        <v>2015</v>
      </c>
      <c r="C363" s="374"/>
      <c r="D363" s="374"/>
      <c r="E363" s="374"/>
      <c r="F363" s="263"/>
      <c r="G363" s="374">
        <f>$G$6</f>
        <v>2020</v>
      </c>
      <c r="H363" s="374"/>
      <c r="I363" s="374"/>
      <c r="J363" s="374"/>
      <c r="K363" s="263"/>
      <c r="L363" s="374">
        <f>$L$6</f>
        <v>2035</v>
      </c>
      <c r="M363" s="374"/>
      <c r="N363" s="374"/>
      <c r="O363" s="374"/>
    </row>
    <row r="364" spans="1:15" s="236" customFormat="1" x14ac:dyDescent="0.2">
      <c r="A364" s="254"/>
      <c r="B364" s="268" t="str">
        <f>$B$7</f>
        <v>FT</v>
      </c>
      <c r="C364" s="268" t="str">
        <f>$C$7</f>
        <v>PT</v>
      </c>
      <c r="D364" s="268" t="str">
        <f>$D$7</f>
        <v>SE</v>
      </c>
      <c r="E364" s="268" t="str">
        <f>$E$7</f>
        <v>Total</v>
      </c>
      <c r="F364" s="268"/>
      <c r="G364" s="268" t="str">
        <f>$G$7</f>
        <v>FT</v>
      </c>
      <c r="H364" s="268" t="str">
        <f>$H$7</f>
        <v>PT</v>
      </c>
      <c r="I364" s="268" t="str">
        <f>$I$7</f>
        <v>SE</v>
      </c>
      <c r="J364" s="268" t="str">
        <f>$J$7</f>
        <v>Total</v>
      </c>
      <c r="K364" s="268"/>
      <c r="L364" s="268" t="str">
        <f>$L$7</f>
        <v>FT</v>
      </c>
      <c r="M364" s="268" t="str">
        <f>$M$7</f>
        <v>PT</v>
      </c>
      <c r="N364" s="268" t="str">
        <f>$N$7</f>
        <v>SE</v>
      </c>
      <c r="O364" s="268" t="str">
        <f>$O$7</f>
        <v>Total</v>
      </c>
    </row>
    <row r="365" spans="1:15" s="236" customFormat="1" x14ac:dyDescent="0.2">
      <c r="A365" s="258"/>
      <c r="B365" s="239"/>
      <c r="C365" s="239"/>
      <c r="D365" s="239"/>
      <c r="E365" s="239"/>
      <c r="F365" s="239"/>
      <c r="G365" s="239"/>
      <c r="H365" s="239"/>
      <c r="I365" s="239"/>
      <c r="J365" s="239"/>
      <c r="K365" s="239"/>
      <c r="L365" s="239"/>
      <c r="M365" s="239"/>
      <c r="N365" s="239"/>
      <c r="O365" s="239"/>
    </row>
    <row r="366" spans="1:15" s="236" customFormat="1" x14ac:dyDescent="0.2">
      <c r="A366" s="237" t="str">
        <f>name!E$4</f>
        <v>Managers, directors and senior officials</v>
      </c>
      <c r="B366" s="302">
        <v>0.34088342650455516</v>
      </c>
      <c r="C366" s="302">
        <v>1.0777161222914302E-2</v>
      </c>
      <c r="D366" s="302">
        <v>5.8765834621289523E-2</v>
      </c>
      <c r="E366" s="302">
        <f>SUM(B366:D366)</f>
        <v>0.41042642234875898</v>
      </c>
      <c r="F366" s="303"/>
      <c r="G366" s="302">
        <v>0.23338067111593289</v>
      </c>
      <c r="H366" s="302">
        <v>1.4101586040937008E-2</v>
      </c>
      <c r="I366" s="302">
        <v>5.9181406108614967E-4</v>
      </c>
      <c r="J366" s="302">
        <f>SUM(G366:I366)</f>
        <v>0.24807407121795605</v>
      </c>
      <c r="K366" s="303"/>
      <c r="L366" s="302">
        <v>0.22369332760595165</v>
      </c>
      <c r="M366" s="302">
        <v>1.4068496418084922E-2</v>
      </c>
      <c r="N366" s="302">
        <v>3.1752262037061668E-4</v>
      </c>
      <c r="O366" s="302">
        <f>SUM(L366:N366)</f>
        <v>0.23807934664440719</v>
      </c>
    </row>
    <row r="367" spans="1:15" s="236" customFormat="1" x14ac:dyDescent="0.2">
      <c r="A367" s="237" t="str">
        <f>name!E$5</f>
        <v>Professional occupations</v>
      </c>
      <c r="B367" s="302">
        <v>0.38688530355758805</v>
      </c>
      <c r="C367" s="302">
        <v>9.1358895587687512E-3</v>
      </c>
      <c r="D367" s="302">
        <v>2.2629624025541625E-2</v>
      </c>
      <c r="E367" s="302">
        <f t="shared" ref="E367:E374" si="168">SUM(B367:D367)</f>
        <v>0.41865081714189845</v>
      </c>
      <c r="F367" s="303"/>
      <c r="G367" s="302">
        <v>0.29434592244452373</v>
      </c>
      <c r="H367" s="302">
        <v>1.0511784465449306E-2</v>
      </c>
      <c r="I367" s="302">
        <v>1.659793070843134E-4</v>
      </c>
      <c r="J367" s="302">
        <f t="shared" ref="J367:J369" si="169">SUM(G367:I367)</f>
        <v>0.30502368621705739</v>
      </c>
      <c r="K367" s="303"/>
      <c r="L367" s="302">
        <v>0.33378890984196996</v>
      </c>
      <c r="M367" s="302">
        <v>9.6461134307181742E-3</v>
      </c>
      <c r="N367" s="302">
        <v>1.0309169960147853E-4</v>
      </c>
      <c r="O367" s="302">
        <f t="shared" ref="O367:O374" si="170">SUM(L367:N367)</f>
        <v>0.34353811497228964</v>
      </c>
    </row>
    <row r="368" spans="1:15" s="236" customFormat="1" x14ac:dyDescent="0.2">
      <c r="A368" s="237" t="str">
        <f>name!E$6</f>
        <v>Associate professional occupations</v>
      </c>
      <c r="B368" s="302">
        <v>0.2736796490215776</v>
      </c>
      <c r="C368" s="302">
        <v>1.4180362520630945E-2</v>
      </c>
      <c r="D368" s="302">
        <v>2.0114004869953597E-2</v>
      </c>
      <c r="E368" s="302">
        <f t="shared" si="168"/>
        <v>0.3079740164121621</v>
      </c>
      <c r="F368" s="303"/>
      <c r="G368" s="302">
        <v>0.19786719552715418</v>
      </c>
      <c r="H368" s="302">
        <v>1.3711359555808482E-2</v>
      </c>
      <c r="I368" s="302">
        <v>2.2217271299330906E-4</v>
      </c>
      <c r="J368" s="302">
        <f t="shared" si="169"/>
        <v>0.21180072779595596</v>
      </c>
      <c r="K368" s="303"/>
      <c r="L368" s="302">
        <v>0.1788023662601588</v>
      </c>
      <c r="M368" s="302">
        <v>1.0184022216214818E-2</v>
      </c>
      <c r="N368" s="302">
        <v>3.6830653141548622E-5</v>
      </c>
      <c r="O368" s="302">
        <f t="shared" si="170"/>
        <v>0.18902321912951517</v>
      </c>
    </row>
    <row r="369" spans="1:15" s="236" customFormat="1" x14ac:dyDescent="0.2">
      <c r="A369" s="237" t="str">
        <f>name!E$7</f>
        <v>Administrative and secretarial occupations</v>
      </c>
      <c r="B369" s="302">
        <v>0.25617284620434955</v>
      </c>
      <c r="C369" s="302">
        <v>8.2921194053124703E-2</v>
      </c>
      <c r="D369" s="302">
        <v>6.6327663261066616E-3</v>
      </c>
      <c r="E369" s="302">
        <f t="shared" si="168"/>
        <v>0.3457268065835809</v>
      </c>
      <c r="F369" s="303"/>
      <c r="G369" s="302">
        <v>0.17012549013981479</v>
      </c>
      <c r="H369" s="302">
        <v>5.5942104670440404E-2</v>
      </c>
      <c r="I369" s="302">
        <v>7.5326786943709026E-5</v>
      </c>
      <c r="J369" s="302">
        <f t="shared" si="169"/>
        <v>0.2261429215971989</v>
      </c>
      <c r="K369" s="303"/>
      <c r="L369" s="302">
        <v>0.14713138601410586</v>
      </c>
      <c r="M369" s="302">
        <v>3.953536301624129E-2</v>
      </c>
      <c r="N369" s="302">
        <v>1.2313934447015147E-6</v>
      </c>
      <c r="O369" s="302">
        <f t="shared" si="170"/>
        <v>0.18666798042379185</v>
      </c>
    </row>
    <row r="370" spans="1:15" s="236" customFormat="1" x14ac:dyDescent="0.2">
      <c r="A370" s="237" t="str">
        <f>name!E$8</f>
        <v>Skilled trades occupations</v>
      </c>
      <c r="B370" s="302">
        <v>1.9518656854531877</v>
      </c>
      <c r="C370" s="302">
        <v>2.6084578743776093E-2</v>
      </c>
      <c r="D370" s="302">
        <v>0.53160342269455596</v>
      </c>
      <c r="E370" s="302">
        <f t="shared" si="168"/>
        <v>2.5095536868915196</v>
      </c>
      <c r="F370" s="303"/>
      <c r="G370" s="302">
        <v>0.91997995150869405</v>
      </c>
      <c r="H370" s="302">
        <v>2.4059590476441243E-2</v>
      </c>
      <c r="I370" s="302">
        <v>9.5710990916638404E-4</v>
      </c>
      <c r="J370" s="302">
        <f>SUM(G370:I370)</f>
        <v>0.94499665189430171</v>
      </c>
      <c r="K370" s="303"/>
      <c r="L370" s="302">
        <v>0.71359409851421851</v>
      </c>
      <c r="M370" s="302">
        <v>2.5483576946779267E-2</v>
      </c>
      <c r="N370" s="302">
        <v>3.8317884539444246E-4</v>
      </c>
      <c r="O370" s="302">
        <f t="shared" si="170"/>
        <v>0.73946085430639219</v>
      </c>
    </row>
    <row r="371" spans="1:15" s="236" customFormat="1" x14ac:dyDescent="0.2">
      <c r="A371" s="237" t="str">
        <f>name!E$9</f>
        <v>Caring, leisure and other service occupations</v>
      </c>
      <c r="B371" s="302">
        <v>6.2890163397947701E-3</v>
      </c>
      <c r="C371" s="302">
        <v>2.8467722695414872E-3</v>
      </c>
      <c r="D371" s="302">
        <v>4.2253015209164071E-3</v>
      </c>
      <c r="E371" s="302">
        <f t="shared" si="168"/>
        <v>1.3361090130252665E-2</v>
      </c>
      <c r="F371" s="303"/>
      <c r="G371" s="302">
        <v>4.0219350384325505E-3</v>
      </c>
      <c r="H371" s="302">
        <v>1.8559889652990957E-3</v>
      </c>
      <c r="I371" s="302">
        <v>7.9533683385957384E-4</v>
      </c>
      <c r="J371" s="302">
        <f t="shared" ref="J371:J374" si="171">SUM(G371:I371)</f>
        <v>6.6732608375912206E-3</v>
      </c>
      <c r="K371" s="303"/>
      <c r="L371" s="302">
        <v>3.6230945296372302E-3</v>
      </c>
      <c r="M371" s="302">
        <v>1.1928497974955637E-3</v>
      </c>
      <c r="N371" s="302">
        <v>5.1432562996350599E-4</v>
      </c>
      <c r="O371" s="302">
        <f t="shared" si="170"/>
        <v>5.3302699570963001E-3</v>
      </c>
    </row>
    <row r="372" spans="1:15" s="236" customFormat="1" x14ac:dyDescent="0.2">
      <c r="A372" s="237" t="str">
        <f>name!E$10</f>
        <v>Sales and customer service occupations</v>
      </c>
      <c r="B372" s="302">
        <v>0.1214215681060932</v>
      </c>
      <c r="C372" s="302">
        <v>2.7379164079938883E-2</v>
      </c>
      <c r="D372" s="302">
        <v>1.1750311354946927E-2</v>
      </c>
      <c r="E372" s="302">
        <f t="shared" si="168"/>
        <v>0.16055104354097899</v>
      </c>
      <c r="F372" s="303"/>
      <c r="G372" s="302">
        <v>6.975925912754799E-2</v>
      </c>
      <c r="H372" s="302">
        <v>1.9964912051620876E-2</v>
      </c>
      <c r="I372" s="302">
        <v>5.6010546882807931E-4</v>
      </c>
      <c r="J372" s="302">
        <f t="shared" si="171"/>
        <v>9.0284276647996944E-2</v>
      </c>
      <c r="K372" s="303"/>
      <c r="L372" s="302">
        <v>6.9742133069824394E-2</v>
      </c>
      <c r="M372" s="302">
        <v>1.79425704201127E-2</v>
      </c>
      <c r="N372" s="302">
        <v>3.3875513216881012E-4</v>
      </c>
      <c r="O372" s="302">
        <f t="shared" si="170"/>
        <v>8.8023458622105907E-2</v>
      </c>
    </row>
    <row r="373" spans="1:15" s="236" customFormat="1" x14ac:dyDescent="0.2">
      <c r="A373" s="237" t="str">
        <f>name!E$11</f>
        <v>Process, plant and machine operatives</v>
      </c>
      <c r="B373" s="302">
        <v>1.2004751736849131</v>
      </c>
      <c r="C373" s="302">
        <v>4.4801870043950295E-2</v>
      </c>
      <c r="D373" s="302">
        <v>9.588833026797966E-2</v>
      </c>
      <c r="E373" s="302">
        <f t="shared" si="168"/>
        <v>1.341165373996843</v>
      </c>
      <c r="F373" s="303"/>
      <c r="G373" s="302">
        <v>0.5788681940512902</v>
      </c>
      <c r="H373" s="302">
        <v>3.1636195211948791E-2</v>
      </c>
      <c r="I373" s="302">
        <v>8.2760707836011145E-3</v>
      </c>
      <c r="J373" s="302">
        <f t="shared" si="171"/>
        <v>0.61878046004684018</v>
      </c>
      <c r="K373" s="303"/>
      <c r="L373" s="302">
        <v>0.63254836281083682</v>
      </c>
      <c r="M373" s="302">
        <v>4.2152717345393685E-2</v>
      </c>
      <c r="N373" s="302">
        <v>9.2889086052624463E-3</v>
      </c>
      <c r="O373" s="302">
        <f t="shared" si="170"/>
        <v>0.68398998876149297</v>
      </c>
    </row>
    <row r="374" spans="1:15" s="236" customFormat="1" x14ac:dyDescent="0.2">
      <c r="A374" s="237" t="str">
        <f>name!E$12</f>
        <v>Elementary occupations</v>
      </c>
      <c r="B374" s="302">
        <v>0.33632733114224095</v>
      </c>
      <c r="C374" s="302">
        <v>1.4873007510999741E-2</v>
      </c>
      <c r="D374" s="302">
        <v>0.1473904043214869</v>
      </c>
      <c r="E374" s="302">
        <f t="shared" si="168"/>
        <v>0.49859074297472761</v>
      </c>
      <c r="F374" s="303"/>
      <c r="G374" s="302">
        <v>0.16065138104529564</v>
      </c>
      <c r="H374" s="302">
        <v>1.2216478562231493E-2</v>
      </c>
      <c r="I374" s="302">
        <v>3.0356084134824431E-2</v>
      </c>
      <c r="J374" s="302">
        <f t="shared" si="171"/>
        <v>0.20322394374235156</v>
      </c>
      <c r="K374" s="303"/>
      <c r="L374" s="302">
        <v>9.2076321331329578E-2</v>
      </c>
      <c r="M374" s="302">
        <v>5.7942904086817461E-3</v>
      </c>
      <c r="N374" s="302">
        <v>2.4016155420657971E-2</v>
      </c>
      <c r="O374" s="302">
        <f t="shared" si="170"/>
        <v>0.12188676716066929</v>
      </c>
    </row>
    <row r="375" spans="1:15" s="236" customFormat="1" x14ac:dyDescent="0.2">
      <c r="A375" s="237"/>
      <c r="B375" s="302"/>
      <c r="C375" s="302"/>
      <c r="D375" s="302"/>
      <c r="E375" s="302"/>
      <c r="F375" s="303"/>
      <c r="G375" s="302"/>
      <c r="H375" s="302"/>
      <c r="I375" s="302"/>
      <c r="J375" s="302"/>
      <c r="K375" s="303"/>
      <c r="L375" s="302"/>
      <c r="M375" s="302"/>
      <c r="N375" s="302"/>
      <c r="O375" s="302"/>
    </row>
    <row r="376" spans="1:15" s="236" customFormat="1" x14ac:dyDescent="0.2">
      <c r="A376" s="244" t="s">
        <v>32</v>
      </c>
      <c r="B376" s="311">
        <f>SUM(B366:B374)</f>
        <v>4.8740000000142993</v>
      </c>
      <c r="C376" s="311">
        <f t="shared" ref="C376:E376" si="172">SUM(C366:C374)</f>
        <v>0.23300000000364518</v>
      </c>
      <c r="D376" s="311">
        <f t="shared" si="172"/>
        <v>0.89900000000277736</v>
      </c>
      <c r="E376" s="311">
        <f t="shared" si="172"/>
        <v>6.0060000000207214</v>
      </c>
      <c r="F376" s="311"/>
      <c r="G376" s="311">
        <f t="shared" ref="G376:J376" si="173">SUM(G366:G374)</f>
        <v>2.6289999999986859</v>
      </c>
      <c r="H376" s="311">
        <f t="shared" si="173"/>
        <v>0.18400000000017669</v>
      </c>
      <c r="I376" s="311">
        <f t="shared" si="173"/>
        <v>4.1999999998387064E-2</v>
      </c>
      <c r="J376" s="311">
        <f t="shared" si="173"/>
        <v>2.8549999999972502</v>
      </c>
      <c r="K376" s="311"/>
      <c r="L376" s="311">
        <f t="shared" ref="L376:O376" si="174">SUM(L366:L374)</f>
        <v>2.3949999999780327</v>
      </c>
      <c r="M376" s="311">
        <f t="shared" si="174"/>
        <v>0.16599999999972215</v>
      </c>
      <c r="N376" s="311">
        <f t="shared" si="174"/>
        <v>3.500000000000552E-2</v>
      </c>
      <c r="O376" s="311">
        <f t="shared" si="174"/>
        <v>2.5959999999777601</v>
      </c>
    </row>
    <row r="377" spans="1:15" s="236" customFormat="1" x14ac:dyDescent="0.2">
      <c r="A377" s="237"/>
      <c r="B377" s="237"/>
      <c r="C377" s="237"/>
      <c r="D377" s="237"/>
      <c r="E377" s="237"/>
      <c r="F377" s="237"/>
      <c r="G377" s="237"/>
      <c r="H377" s="237"/>
      <c r="I377" s="237"/>
      <c r="J377" s="237"/>
      <c r="K377" s="237"/>
      <c r="L377" s="237"/>
      <c r="M377" s="237"/>
      <c r="N377" s="240"/>
    </row>
    <row r="378" spans="1:15" s="236" customFormat="1" x14ac:dyDescent="0.2">
      <c r="A378" s="237"/>
      <c r="B378" s="237"/>
      <c r="C378" s="237"/>
      <c r="D378" s="237"/>
      <c r="E378" s="237"/>
      <c r="F378" s="237"/>
      <c r="G378" s="237"/>
      <c r="H378" s="237"/>
      <c r="I378" s="237"/>
      <c r="J378" s="237"/>
      <c r="K378" s="237"/>
      <c r="L378" s="237"/>
      <c r="M378" s="237"/>
      <c r="N378" s="240"/>
      <c r="O378" s="251" t="s">
        <v>35</v>
      </c>
    </row>
    <row r="379" spans="1:15" s="236" customFormat="1" x14ac:dyDescent="0.2">
      <c r="A379" s="242"/>
      <c r="B379" s="242"/>
      <c r="C379" s="242"/>
      <c r="D379" s="242"/>
      <c r="E379" s="242"/>
      <c r="F379" s="242"/>
      <c r="G379" s="242"/>
      <c r="H379" s="242"/>
      <c r="I379" s="242"/>
      <c r="J379" s="242"/>
      <c r="K379" s="242"/>
      <c r="L379" s="242"/>
      <c r="M379" s="242"/>
      <c r="N379" s="242"/>
      <c r="O379" s="242"/>
    </row>
    <row r="380" spans="1:15" s="236" customFormat="1" x14ac:dyDescent="0.2">
      <c r="A380" s="241" t="str">
        <f>name!A25</f>
        <v>Other manufacturing</v>
      </c>
      <c r="B380" s="374">
        <f>$B$6</f>
        <v>2015</v>
      </c>
      <c r="C380" s="374"/>
      <c r="D380" s="374"/>
      <c r="E380" s="374"/>
      <c r="F380" s="263"/>
      <c r="G380" s="374">
        <f>$G$6</f>
        <v>2020</v>
      </c>
      <c r="H380" s="374"/>
      <c r="I380" s="374"/>
      <c r="J380" s="374"/>
      <c r="K380" s="263"/>
      <c r="L380" s="374">
        <f>$L$6</f>
        <v>2035</v>
      </c>
      <c r="M380" s="374"/>
      <c r="N380" s="374"/>
      <c r="O380" s="374"/>
    </row>
    <row r="381" spans="1:15" s="236" customFormat="1" x14ac:dyDescent="0.2">
      <c r="A381" s="254"/>
      <c r="B381" s="268" t="str">
        <f>$B$7</f>
        <v>FT</v>
      </c>
      <c r="C381" s="268" t="str">
        <f>$C$7</f>
        <v>PT</v>
      </c>
      <c r="D381" s="268" t="str">
        <f>$D$7</f>
        <v>SE</v>
      </c>
      <c r="E381" s="268" t="str">
        <f>$E$7</f>
        <v>Total</v>
      </c>
      <c r="F381" s="268"/>
      <c r="G381" s="268" t="str">
        <f>$G$7</f>
        <v>FT</v>
      </c>
      <c r="H381" s="268" t="str">
        <f>$H$7</f>
        <v>PT</v>
      </c>
      <c r="I381" s="268" t="str">
        <f>$I$7</f>
        <v>SE</v>
      </c>
      <c r="J381" s="268" t="str">
        <f>$J$7</f>
        <v>Total</v>
      </c>
      <c r="K381" s="268"/>
      <c r="L381" s="268" t="str">
        <f>$L$7</f>
        <v>FT</v>
      </c>
      <c r="M381" s="268" t="str">
        <f>$M$7</f>
        <v>PT</v>
      </c>
      <c r="N381" s="268" t="str">
        <f>$N$7</f>
        <v>SE</v>
      </c>
      <c r="O381" s="268" t="str">
        <f>$O$7</f>
        <v>Total</v>
      </c>
    </row>
    <row r="382" spans="1:15" s="236" customFormat="1" x14ac:dyDescent="0.2">
      <c r="A382" s="258"/>
      <c r="B382" s="239"/>
      <c r="C382" s="239"/>
      <c r="D382" s="239"/>
      <c r="E382" s="239"/>
      <c r="F382" s="239"/>
      <c r="G382" s="239"/>
      <c r="H382" s="239"/>
      <c r="I382" s="239"/>
      <c r="J382" s="239"/>
      <c r="K382" s="239"/>
      <c r="L382" s="239"/>
      <c r="M382" s="239"/>
      <c r="N382" s="239"/>
      <c r="O382" s="239"/>
    </row>
    <row r="383" spans="1:15" s="236" customFormat="1" x14ac:dyDescent="0.2">
      <c r="A383" s="237" t="str">
        <f>name!E$4</f>
        <v>Managers, directors and senior officials</v>
      </c>
      <c r="B383" s="302">
        <v>0.32482912646451956</v>
      </c>
      <c r="C383" s="302">
        <v>1.5944004296360233E-2</v>
      </c>
      <c r="D383" s="302">
        <v>3.5514037223881675E-2</v>
      </c>
      <c r="E383" s="302">
        <f>SUM(B383:D383)</f>
        <v>0.37628716798476147</v>
      </c>
      <c r="F383" s="303"/>
      <c r="G383" s="302">
        <v>0.28161204182749489</v>
      </c>
      <c r="H383" s="302">
        <v>1.1232701755787091E-3</v>
      </c>
      <c r="I383" s="302">
        <v>8.3135784771575828E-4</v>
      </c>
      <c r="J383" s="302">
        <f>SUM(G383:I383)</f>
        <v>0.28356666985078938</v>
      </c>
      <c r="K383" s="303"/>
      <c r="L383" s="302">
        <v>0.27326935536632208</v>
      </c>
      <c r="M383" s="302">
        <v>1.2314240887209482E-3</v>
      </c>
      <c r="N383" s="302">
        <v>4.44531668518514E-4</v>
      </c>
      <c r="O383" s="302">
        <f>SUM(L383:N383)</f>
        <v>0.27494531112356152</v>
      </c>
    </row>
    <row r="384" spans="1:15" s="236" customFormat="1" x14ac:dyDescent="0.2">
      <c r="A384" s="237" t="str">
        <f>name!E$5</f>
        <v>Professional occupations</v>
      </c>
      <c r="B384" s="302">
        <v>0.41190420423711693</v>
      </c>
      <c r="C384" s="302">
        <v>1.2578081068121562E-2</v>
      </c>
      <c r="D384" s="302">
        <v>1.8138472663419003E-2</v>
      </c>
      <c r="E384" s="302">
        <f t="shared" ref="E384:E391" si="175">SUM(B384:D384)</f>
        <v>0.44262075796865752</v>
      </c>
      <c r="F384" s="303"/>
      <c r="G384" s="302">
        <v>0.39884756197283416</v>
      </c>
      <c r="H384" s="302">
        <v>8.6236629454257061E-4</v>
      </c>
      <c r="I384" s="302">
        <v>2.3316140757054867E-4</v>
      </c>
      <c r="J384" s="302">
        <f t="shared" ref="J384:J386" si="176">SUM(G384:I384)</f>
        <v>0.39994308967494729</v>
      </c>
      <c r="K384" s="303"/>
      <c r="L384" s="302">
        <v>0.44987157067603528</v>
      </c>
      <c r="M384" s="302">
        <v>8.5377871372367957E-4</v>
      </c>
      <c r="N384" s="302">
        <v>1.443283794408749E-4</v>
      </c>
      <c r="O384" s="302">
        <f t="shared" ref="O384:O391" si="177">SUM(L384:N384)</f>
        <v>0.45086967776919984</v>
      </c>
    </row>
    <row r="385" spans="1:15" s="236" customFormat="1" x14ac:dyDescent="0.2">
      <c r="A385" s="237" t="str">
        <f>name!E$6</f>
        <v>Associate professional occupations</v>
      </c>
      <c r="B385" s="302">
        <v>0.34817694966977036</v>
      </c>
      <c r="C385" s="302">
        <v>1.833076336159533E-2</v>
      </c>
      <c r="D385" s="302">
        <v>1.5276618461946927E-2</v>
      </c>
      <c r="E385" s="302">
        <f t="shared" si="175"/>
        <v>0.38178433149331265</v>
      </c>
      <c r="F385" s="303"/>
      <c r="G385" s="302">
        <v>0.31629068199387744</v>
      </c>
      <c r="H385" s="302">
        <v>1.0590796664149283E-3</v>
      </c>
      <c r="I385" s="302">
        <v>3.1209976349079585E-4</v>
      </c>
      <c r="J385" s="302">
        <f t="shared" si="176"/>
        <v>0.31766186142378317</v>
      </c>
      <c r="K385" s="303"/>
      <c r="L385" s="302">
        <v>0.288798047515612</v>
      </c>
      <c r="M385" s="302">
        <v>7.7822961303616704E-4</v>
      </c>
      <c r="N385" s="302">
        <v>5.156291439819878E-5</v>
      </c>
      <c r="O385" s="302">
        <f t="shared" si="177"/>
        <v>0.28962784004304631</v>
      </c>
    </row>
    <row r="386" spans="1:15" s="236" customFormat="1" x14ac:dyDescent="0.2">
      <c r="A386" s="237" t="str">
        <f>name!E$7</f>
        <v>Administrative and secretarial occupations</v>
      </c>
      <c r="B386" s="302">
        <v>0.61596689172633956</v>
      </c>
      <c r="C386" s="302">
        <v>9.0285937919728637E-2</v>
      </c>
      <c r="D386" s="302">
        <v>4.0474646874208283E-3</v>
      </c>
      <c r="E386" s="302">
        <f t="shared" si="175"/>
        <v>0.71030029433348896</v>
      </c>
      <c r="F386" s="303"/>
      <c r="G386" s="302">
        <v>0.45908951730220349</v>
      </c>
      <c r="H386" s="302">
        <v>3.285978686827529E-3</v>
      </c>
      <c r="I386" s="302">
        <v>1.0581620070641436E-4</v>
      </c>
      <c r="J386" s="302">
        <f t="shared" si="176"/>
        <v>0.46248131218973743</v>
      </c>
      <c r="K386" s="303"/>
      <c r="L386" s="302">
        <v>0.34296484497148</v>
      </c>
      <c r="M386" s="302">
        <v>2.1975823805550853E-3</v>
      </c>
      <c r="N386" s="302">
        <v>1.72395082259787E-6</v>
      </c>
      <c r="O386" s="302">
        <f t="shared" si="177"/>
        <v>0.34516415130285766</v>
      </c>
    </row>
    <row r="387" spans="1:15" s="236" customFormat="1" x14ac:dyDescent="0.2">
      <c r="A387" s="237" t="str">
        <f>name!E$8</f>
        <v>Skilled trades occupations</v>
      </c>
      <c r="B387" s="302">
        <v>1.204844392394314</v>
      </c>
      <c r="C387" s="302">
        <v>4.1920455027128246E-2</v>
      </c>
      <c r="D387" s="302">
        <v>0.29323152204735281</v>
      </c>
      <c r="E387" s="302">
        <f t="shared" si="175"/>
        <v>1.539996369468795</v>
      </c>
      <c r="F387" s="303"/>
      <c r="G387" s="302">
        <v>0.71096198800942667</v>
      </c>
      <c r="H387" s="302">
        <v>1.8577868796108116E-3</v>
      </c>
      <c r="I387" s="302">
        <v>1.3445115390683319E-3</v>
      </c>
      <c r="J387" s="302">
        <f>SUM(G387:I387)</f>
        <v>0.71416428642810581</v>
      </c>
      <c r="K387" s="303"/>
      <c r="L387" s="302">
        <v>0.56173063119009714</v>
      </c>
      <c r="M387" s="302">
        <v>2.0467561928167516E-3</v>
      </c>
      <c r="N387" s="302">
        <v>5.3645038356855545E-4</v>
      </c>
      <c r="O387" s="302">
        <f t="shared" si="177"/>
        <v>0.56431383776648247</v>
      </c>
    </row>
    <row r="388" spans="1:15" s="236" customFormat="1" x14ac:dyDescent="0.2">
      <c r="A388" s="237" t="str">
        <f>name!E$9</f>
        <v>Caring, leisure and other service occupations</v>
      </c>
      <c r="B388" s="302">
        <v>1.4360832479127521E-2</v>
      </c>
      <c r="C388" s="302">
        <v>3.5238301335851229E-3</v>
      </c>
      <c r="D388" s="302">
        <v>4.2324531812792622E-3</v>
      </c>
      <c r="E388" s="302">
        <f t="shared" si="175"/>
        <v>2.2117115793991907E-2</v>
      </c>
      <c r="F388" s="303"/>
      <c r="G388" s="302">
        <v>1.03740876343992E-2</v>
      </c>
      <c r="H388" s="302">
        <v>1.3588043930590394E-4</v>
      </c>
      <c r="I388" s="302">
        <v>1.1172588856608163E-3</v>
      </c>
      <c r="J388" s="302">
        <f t="shared" ref="J388:J391" si="178">SUM(G388:I388)</f>
        <v>1.1627226959365921E-2</v>
      </c>
      <c r="K388" s="303"/>
      <c r="L388" s="302">
        <v>8.7755986438351301E-3</v>
      </c>
      <c r="M388" s="302">
        <v>9.3040757888534852E-5</v>
      </c>
      <c r="N388" s="302">
        <v>7.2005588195046117E-4</v>
      </c>
      <c r="O388" s="302">
        <f t="shared" si="177"/>
        <v>9.5886952836741254E-3</v>
      </c>
    </row>
    <row r="389" spans="1:15" s="236" customFormat="1" x14ac:dyDescent="0.2">
      <c r="A389" s="237" t="str">
        <f>name!E$10</f>
        <v>Sales and customer service occupations</v>
      </c>
      <c r="B389" s="302">
        <v>0.15864079778320925</v>
      </c>
      <c r="C389" s="302">
        <v>3.1467917233292224E-2</v>
      </c>
      <c r="D389" s="302">
        <v>1.0206707972382975E-2</v>
      </c>
      <c r="E389" s="302">
        <f t="shared" si="175"/>
        <v>0.20031542298888444</v>
      </c>
      <c r="F389" s="303"/>
      <c r="G389" s="302">
        <v>0.11433643212997061</v>
      </c>
      <c r="H389" s="302">
        <v>1.2621991602819881E-3</v>
      </c>
      <c r="I389" s="302">
        <v>7.8681482525763701E-4</v>
      </c>
      <c r="J389" s="302">
        <f t="shared" si="178"/>
        <v>0.11638544611551023</v>
      </c>
      <c r="K389" s="303"/>
      <c r="L389" s="302">
        <v>0.10741936267520422</v>
      </c>
      <c r="M389" s="302">
        <v>1.1733621672645161E-3</v>
      </c>
      <c r="N389" s="302">
        <v>4.7425718503556663E-4</v>
      </c>
      <c r="O389" s="302">
        <f t="shared" si="177"/>
        <v>0.1090669820275043</v>
      </c>
    </row>
    <row r="390" spans="1:15" s="236" customFormat="1" x14ac:dyDescent="0.2">
      <c r="A390" s="237" t="str">
        <f>name!E$11</f>
        <v>Process, plant and machine operatives</v>
      </c>
      <c r="B390" s="302">
        <v>1.0225095651361644</v>
      </c>
      <c r="C390" s="302">
        <v>6.2457747215059339E-2</v>
      </c>
      <c r="D390" s="302">
        <v>6.9427598041627639E-2</v>
      </c>
      <c r="E390" s="302">
        <f t="shared" si="175"/>
        <v>1.1543949103928515</v>
      </c>
      <c r="F390" s="303"/>
      <c r="G390" s="302">
        <v>0.60072620342009164</v>
      </c>
      <c r="H390" s="302">
        <v>2.4318147499402492E-3</v>
      </c>
      <c r="I390" s="302">
        <v>1.1625908957929495E-2</v>
      </c>
      <c r="J390" s="302">
        <f t="shared" si="178"/>
        <v>0.61478392712796137</v>
      </c>
      <c r="K390" s="303"/>
      <c r="L390" s="302">
        <v>0.66621174623235491</v>
      </c>
      <c r="M390" s="302">
        <v>3.0996176309107766E-3</v>
      </c>
      <c r="N390" s="302">
        <v>1.3004472047369892E-2</v>
      </c>
      <c r="O390" s="302">
        <f t="shared" si="177"/>
        <v>0.6823158359106356</v>
      </c>
    </row>
    <row r="391" spans="1:15" s="236" customFormat="1" x14ac:dyDescent="0.2">
      <c r="A391" s="237" t="str">
        <f>name!E$12</f>
        <v>Elementary occupations</v>
      </c>
      <c r="B391" s="302">
        <v>0.26876724010572117</v>
      </c>
      <c r="C391" s="302">
        <v>2.2491263749560453E-2</v>
      </c>
      <c r="D391" s="302">
        <v>0.20492512572787519</v>
      </c>
      <c r="E391" s="302">
        <f t="shared" si="175"/>
        <v>0.49618362958315682</v>
      </c>
      <c r="F391" s="303"/>
      <c r="G391" s="302">
        <v>0.15176148569485554</v>
      </c>
      <c r="H391" s="302">
        <v>9.8162394751153455E-4</v>
      </c>
      <c r="I391" s="302">
        <v>4.2643070570334438E-2</v>
      </c>
      <c r="J391" s="302">
        <f t="shared" si="178"/>
        <v>0.19538618021270149</v>
      </c>
      <c r="K391" s="303"/>
      <c r="L391" s="302">
        <v>8.5958842713131395E-2</v>
      </c>
      <c r="M391" s="302">
        <v>5.262084550641603E-4</v>
      </c>
      <c r="N391" s="302">
        <v>3.362261758890308E-2</v>
      </c>
      <c r="O391" s="302">
        <f t="shared" si="177"/>
        <v>0.12010766875709863</v>
      </c>
    </row>
    <row r="392" spans="1:15" s="236" customFormat="1" x14ac:dyDescent="0.2">
      <c r="A392" s="237"/>
      <c r="B392" s="302"/>
      <c r="C392" s="302"/>
      <c r="D392" s="302"/>
      <c r="E392" s="302"/>
      <c r="F392" s="303"/>
      <c r="G392" s="302"/>
      <c r="H392" s="302"/>
      <c r="I392" s="302"/>
      <c r="J392" s="302"/>
      <c r="K392" s="303"/>
      <c r="L392" s="302"/>
      <c r="M392" s="302"/>
      <c r="N392" s="302"/>
      <c r="O392" s="302"/>
    </row>
    <row r="393" spans="1:15" s="236" customFormat="1" x14ac:dyDescent="0.2">
      <c r="A393" s="244" t="s">
        <v>32</v>
      </c>
      <c r="B393" s="311">
        <f>SUM(B383:B391)</f>
        <v>4.3699999999962831</v>
      </c>
      <c r="C393" s="311">
        <f t="shared" ref="C393:E393" si="179">SUM(C383:C391)</f>
        <v>0.29900000000443117</v>
      </c>
      <c r="D393" s="311">
        <f t="shared" si="179"/>
        <v>0.65500000000718628</v>
      </c>
      <c r="E393" s="311">
        <f t="shared" si="179"/>
        <v>5.3240000000079002</v>
      </c>
      <c r="F393" s="311"/>
      <c r="G393" s="311">
        <f t="shared" ref="G393:J393" si="180">SUM(G383:G391)</f>
        <v>3.0439999999851537</v>
      </c>
      <c r="H393" s="311">
        <f t="shared" si="180"/>
        <v>1.3000000000014226E-2</v>
      </c>
      <c r="I393" s="311">
        <f t="shared" si="180"/>
        <v>5.8999999997734233E-2</v>
      </c>
      <c r="J393" s="311">
        <f t="shared" si="180"/>
        <v>3.1159999999829022</v>
      </c>
      <c r="K393" s="311"/>
      <c r="L393" s="311">
        <f t="shared" ref="L393:O393" si="181">SUM(L383:L391)</f>
        <v>2.784999999984072</v>
      </c>
      <c r="M393" s="311">
        <f t="shared" si="181"/>
        <v>1.199999999998062E-2</v>
      </c>
      <c r="N393" s="311">
        <f t="shared" si="181"/>
        <v>4.9000000000007739E-2</v>
      </c>
      <c r="O393" s="311">
        <f t="shared" si="181"/>
        <v>2.8459999999840599</v>
      </c>
    </row>
    <row r="394" spans="1:15" s="236" customFormat="1" x14ac:dyDescent="0.2">
      <c r="A394" s="237"/>
      <c r="B394" s="237"/>
      <c r="C394" s="237"/>
      <c r="D394" s="237"/>
      <c r="E394" s="237"/>
      <c r="F394" s="237"/>
      <c r="G394" s="237"/>
      <c r="H394" s="237"/>
      <c r="I394" s="237"/>
      <c r="J394" s="237"/>
      <c r="K394" s="237"/>
      <c r="L394" s="237"/>
      <c r="M394" s="237"/>
      <c r="N394" s="240"/>
    </row>
    <row r="395" spans="1:15" s="236" customFormat="1" x14ac:dyDescent="0.2">
      <c r="A395" s="237"/>
      <c r="B395" s="237"/>
      <c r="C395" s="237"/>
      <c r="D395" s="237"/>
      <c r="E395" s="237"/>
      <c r="F395" s="237"/>
      <c r="G395" s="237"/>
      <c r="H395" s="237"/>
      <c r="I395" s="237"/>
      <c r="J395" s="237"/>
      <c r="K395" s="237"/>
      <c r="L395" s="237"/>
      <c r="M395" s="237"/>
      <c r="N395" s="240"/>
      <c r="O395" s="251" t="s">
        <v>35</v>
      </c>
    </row>
    <row r="396" spans="1:15" s="236" customFormat="1" x14ac:dyDescent="0.2">
      <c r="A396" s="242"/>
      <c r="B396" s="242"/>
      <c r="C396" s="242"/>
      <c r="D396" s="242"/>
      <c r="E396" s="242"/>
      <c r="F396" s="242"/>
      <c r="G396" s="242"/>
      <c r="H396" s="242"/>
      <c r="I396" s="242"/>
      <c r="J396" s="242"/>
      <c r="K396" s="242"/>
      <c r="L396" s="242"/>
      <c r="M396" s="242"/>
      <c r="N396" s="242"/>
      <c r="O396" s="242"/>
    </row>
    <row r="397" spans="1:15" s="236" customFormat="1" x14ac:dyDescent="0.2">
      <c r="A397" s="241" t="str">
        <f>name!A26</f>
        <v>Repair and installation</v>
      </c>
      <c r="B397" s="374">
        <f>$B$6</f>
        <v>2015</v>
      </c>
      <c r="C397" s="374"/>
      <c r="D397" s="374"/>
      <c r="E397" s="374"/>
      <c r="F397" s="263"/>
      <c r="G397" s="374">
        <f>$G$6</f>
        <v>2020</v>
      </c>
      <c r="H397" s="374"/>
      <c r="I397" s="374"/>
      <c r="J397" s="374"/>
      <c r="K397" s="263"/>
      <c r="L397" s="374">
        <f>$L$6</f>
        <v>2035</v>
      </c>
      <c r="M397" s="374"/>
      <c r="N397" s="374"/>
      <c r="O397" s="374"/>
    </row>
    <row r="398" spans="1:15" s="236" customFormat="1" x14ac:dyDescent="0.2">
      <c r="A398" s="254"/>
      <c r="B398" s="268" t="str">
        <f>$B$7</f>
        <v>FT</v>
      </c>
      <c r="C398" s="268" t="str">
        <f>$C$7</f>
        <v>PT</v>
      </c>
      <c r="D398" s="268" t="str">
        <f>$D$7</f>
        <v>SE</v>
      </c>
      <c r="E398" s="268" t="str">
        <f>$E$7</f>
        <v>Total</v>
      </c>
      <c r="F398" s="268"/>
      <c r="G398" s="268" t="str">
        <f>$G$7</f>
        <v>FT</v>
      </c>
      <c r="H398" s="268" t="str">
        <f>$H$7</f>
        <v>PT</v>
      </c>
      <c r="I398" s="268" t="str">
        <f>$I$7</f>
        <v>SE</v>
      </c>
      <c r="J398" s="268" t="str">
        <f>$J$7</f>
        <v>Total</v>
      </c>
      <c r="K398" s="268"/>
      <c r="L398" s="268" t="str">
        <f>$L$7</f>
        <v>FT</v>
      </c>
      <c r="M398" s="268" t="str">
        <f>$M$7</f>
        <v>PT</v>
      </c>
      <c r="N398" s="268" t="str">
        <f>$N$7</f>
        <v>SE</v>
      </c>
      <c r="O398" s="268" t="str">
        <f>$O$7</f>
        <v>Total</v>
      </c>
    </row>
    <row r="399" spans="1:15" s="236" customFormat="1" x14ac:dyDescent="0.2">
      <c r="A399" s="258"/>
      <c r="B399" s="239"/>
      <c r="C399" s="239"/>
      <c r="D399" s="239"/>
      <c r="E399" s="239"/>
      <c r="F399" s="239"/>
      <c r="G399" s="239"/>
      <c r="H399" s="239"/>
      <c r="I399" s="239"/>
      <c r="J399" s="239"/>
      <c r="K399" s="239"/>
      <c r="L399" s="239"/>
      <c r="M399" s="239"/>
      <c r="N399" s="239"/>
      <c r="O399" s="239"/>
    </row>
    <row r="400" spans="1:15" s="236" customFormat="1" x14ac:dyDescent="0.2">
      <c r="A400" s="237" t="str">
        <f>name!E$4</f>
        <v>Managers, directors and senior officials</v>
      </c>
      <c r="B400" s="302">
        <v>0.23050583443853656</v>
      </c>
      <c r="C400" s="302">
        <v>3.4823181333646876E-2</v>
      </c>
      <c r="D400" s="302">
        <v>0.11619818488529786</v>
      </c>
      <c r="E400" s="302">
        <f>SUM(B400:D400)</f>
        <v>0.3815272006574813</v>
      </c>
      <c r="F400" s="303"/>
      <c r="G400" s="302">
        <v>0.13732105199876726</v>
      </c>
      <c r="H400" s="302">
        <v>6.1682372108347056E-3</v>
      </c>
      <c r="I400" s="302">
        <v>3.5710281908382978E-3</v>
      </c>
      <c r="J400" s="302">
        <f>SUM(G400:I400)</f>
        <v>0.14706031740044026</v>
      </c>
      <c r="K400" s="303"/>
      <c r="L400" s="302">
        <v>0.12522564754059148</v>
      </c>
      <c r="M400" s="302">
        <v>6.5184743824998901E-3</v>
      </c>
      <c r="N400" s="302">
        <v>3.142478289995706E-3</v>
      </c>
      <c r="O400" s="302">
        <f>SUM(L400:N400)</f>
        <v>0.13488660021308707</v>
      </c>
    </row>
    <row r="401" spans="1:15" s="236" customFormat="1" x14ac:dyDescent="0.2">
      <c r="A401" s="237" t="str">
        <f>name!E$5</f>
        <v>Professional occupations</v>
      </c>
      <c r="B401" s="302">
        <v>0.69345961231068975</v>
      </c>
      <c r="C401" s="302">
        <v>4.2402404172465498E-2</v>
      </c>
      <c r="D401" s="302">
        <v>8.7556433662445296E-2</v>
      </c>
      <c r="E401" s="302">
        <f t="shared" ref="E401:E408" si="182">SUM(B401:D401)</f>
        <v>0.82341845014560056</v>
      </c>
      <c r="F401" s="303"/>
      <c r="G401" s="302">
        <v>0.46404140857468346</v>
      </c>
      <c r="H401" s="302">
        <v>7.5413457392706322E-3</v>
      </c>
      <c r="I401" s="302">
        <v>1.3133826274870377E-3</v>
      </c>
      <c r="J401" s="302">
        <f t="shared" ref="J401:J403" si="183">SUM(G401:I401)</f>
        <v>0.47289613694144111</v>
      </c>
      <c r="K401" s="303"/>
      <c r="L401" s="302">
        <v>0.51129313761123663</v>
      </c>
      <c r="M401" s="302">
        <v>7.4063796156125595E-3</v>
      </c>
      <c r="N401" s="302">
        <v>8.3381342074548E-4</v>
      </c>
      <c r="O401" s="302">
        <f t="shared" ref="O401:O408" si="184">SUM(L401:N401)</f>
        <v>0.51953333064759466</v>
      </c>
    </row>
    <row r="402" spans="1:15" s="236" customFormat="1" x14ac:dyDescent="0.2">
      <c r="A402" s="237" t="str">
        <f>name!E$6</f>
        <v>Associate professional occupations</v>
      </c>
      <c r="B402" s="302">
        <v>0.35100401302396472</v>
      </c>
      <c r="C402" s="302">
        <v>3.29569948025802E-2</v>
      </c>
      <c r="D402" s="302">
        <v>5.0508300763212513E-2</v>
      </c>
      <c r="E402" s="302">
        <f t="shared" si="182"/>
        <v>0.43446930858975741</v>
      </c>
      <c r="F402" s="303"/>
      <c r="G402" s="302">
        <v>0.23336621947206579</v>
      </c>
      <c r="H402" s="302">
        <v>4.8712863271723125E-3</v>
      </c>
      <c r="I402" s="302">
        <v>8.5595137318033362E-4</v>
      </c>
      <c r="J402" s="302">
        <f t="shared" si="183"/>
        <v>0.23909345717241845</v>
      </c>
      <c r="K402" s="303"/>
      <c r="L402" s="302">
        <v>0.19520438596163658</v>
      </c>
      <c r="M402" s="302">
        <v>3.4474245436945899E-3</v>
      </c>
      <c r="N402" s="302">
        <v>6.5761426501446691E-4</v>
      </c>
      <c r="O402" s="302">
        <f t="shared" si="184"/>
        <v>0.19930942477034563</v>
      </c>
    </row>
    <row r="403" spans="1:15" s="236" customFormat="1" x14ac:dyDescent="0.2">
      <c r="A403" s="237" t="str">
        <f>name!E$7</f>
        <v>Administrative and secretarial occupations</v>
      </c>
      <c r="B403" s="302">
        <v>0.10125399099693246</v>
      </c>
      <c r="C403" s="302">
        <v>0.12061747839847264</v>
      </c>
      <c r="D403" s="302">
        <v>3.243123660609061E-2</v>
      </c>
      <c r="E403" s="302">
        <f t="shared" si="182"/>
        <v>0.25430270600149568</v>
      </c>
      <c r="F403" s="303"/>
      <c r="G403" s="302">
        <v>6.0189303495349809E-2</v>
      </c>
      <c r="H403" s="302">
        <v>1.1616530148679751E-2</v>
      </c>
      <c r="I403" s="302">
        <v>3.8679884849176466E-3</v>
      </c>
      <c r="J403" s="302">
        <f t="shared" si="183"/>
        <v>7.5673822128947216E-2</v>
      </c>
      <c r="K403" s="303"/>
      <c r="L403" s="302">
        <v>4.8770764005867294E-2</v>
      </c>
      <c r="M403" s="302">
        <v>9.9551009363037408E-3</v>
      </c>
      <c r="N403" s="302">
        <v>3.1364695019830244E-3</v>
      </c>
      <c r="O403" s="302">
        <f t="shared" si="184"/>
        <v>6.1862334444154066E-2</v>
      </c>
    </row>
    <row r="404" spans="1:15" s="236" customFormat="1" x14ac:dyDescent="0.2">
      <c r="A404" s="237" t="str">
        <f>name!E$8</f>
        <v>Skilled trades occupations</v>
      </c>
      <c r="B404" s="302">
        <v>1.1155447120446096</v>
      </c>
      <c r="C404" s="302">
        <v>5.7041355681345697E-2</v>
      </c>
      <c r="D404" s="302">
        <v>0.33049191601002159</v>
      </c>
      <c r="E404" s="302">
        <f t="shared" si="182"/>
        <v>1.5030779837359769</v>
      </c>
      <c r="F404" s="303"/>
      <c r="G404" s="302">
        <v>0.49479682539467795</v>
      </c>
      <c r="H404" s="302">
        <v>6.0434747035248756E-3</v>
      </c>
      <c r="I404" s="302">
        <v>6.2748361456271406E-4</v>
      </c>
      <c r="J404" s="302">
        <f>SUM(G404:I404)</f>
        <v>0.50146778371276546</v>
      </c>
      <c r="K404" s="303"/>
      <c r="L404" s="302">
        <v>0.37732282415740587</v>
      </c>
      <c r="M404" s="302">
        <v>5.8432518715931282E-3</v>
      </c>
      <c r="N404" s="302">
        <v>7.0324756291356759E-4</v>
      </c>
      <c r="O404" s="302">
        <f t="shared" si="184"/>
        <v>0.38386932359191256</v>
      </c>
    </row>
    <row r="405" spans="1:15" s="236" customFormat="1" x14ac:dyDescent="0.2">
      <c r="A405" s="237" t="str">
        <f>name!E$9</f>
        <v>Caring, leisure and other service occupations</v>
      </c>
      <c r="B405" s="302">
        <v>2.3842647861494259E-2</v>
      </c>
      <c r="C405" s="302">
        <v>9.0898737487861894E-3</v>
      </c>
      <c r="D405" s="302">
        <v>8.4261253728411915E-3</v>
      </c>
      <c r="E405" s="302">
        <f t="shared" si="182"/>
        <v>4.1358646983121639E-2</v>
      </c>
      <c r="F405" s="303"/>
      <c r="G405" s="302">
        <v>1.3884028153866834E-2</v>
      </c>
      <c r="H405" s="302">
        <v>8.8019858275793772E-4</v>
      </c>
      <c r="I405" s="302">
        <v>1.4551381133040375E-3</v>
      </c>
      <c r="J405" s="302">
        <f t="shared" ref="J405:J408" si="185">SUM(G405:I405)</f>
        <v>1.6219364849928808E-2</v>
      </c>
      <c r="K405" s="303"/>
      <c r="L405" s="302">
        <v>1.8415500772898219E-2</v>
      </c>
      <c r="M405" s="302">
        <v>6.8204389736194117E-4</v>
      </c>
      <c r="N405" s="302">
        <v>2.2683971750169815E-3</v>
      </c>
      <c r="O405" s="302">
        <f t="shared" si="184"/>
        <v>2.1365941845277143E-2</v>
      </c>
    </row>
    <row r="406" spans="1:15" s="236" customFormat="1" x14ac:dyDescent="0.2">
      <c r="A406" s="237" t="str">
        <f>name!E$10</f>
        <v>Sales and customer service occupations</v>
      </c>
      <c r="B406" s="302">
        <v>4.5517119669601799E-2</v>
      </c>
      <c r="C406" s="302">
        <v>2.4287518444311759E-2</v>
      </c>
      <c r="D406" s="302">
        <v>1.5832390046113864E-2</v>
      </c>
      <c r="E406" s="302">
        <f t="shared" si="182"/>
        <v>8.5637028160027426E-2</v>
      </c>
      <c r="F406" s="303"/>
      <c r="G406" s="302">
        <v>2.3480642133313748E-2</v>
      </c>
      <c r="H406" s="302">
        <v>2.5877650236417631E-3</v>
      </c>
      <c r="I406" s="302">
        <v>8.3236488631038656E-4</v>
      </c>
      <c r="J406" s="302">
        <f t="shared" si="185"/>
        <v>2.6900772043265901E-2</v>
      </c>
      <c r="K406" s="303"/>
      <c r="L406" s="302">
        <v>2.2766135156068061E-2</v>
      </c>
      <c r="M406" s="302">
        <v>2.6111985456214494E-3</v>
      </c>
      <c r="N406" s="302">
        <v>8.5650106980762405E-4</v>
      </c>
      <c r="O406" s="302">
        <f t="shared" si="184"/>
        <v>2.6233834771497135E-2</v>
      </c>
    </row>
    <row r="407" spans="1:15" s="236" customFormat="1" x14ac:dyDescent="0.2">
      <c r="A407" s="237" t="str">
        <f>name!E$11</f>
        <v>Process, plant and machine operatives</v>
      </c>
      <c r="B407" s="302">
        <v>0.62021545805170752</v>
      </c>
      <c r="C407" s="302">
        <v>7.6720050815782231E-2</v>
      </c>
      <c r="D407" s="302">
        <v>5.4357831341325998E-2</v>
      </c>
      <c r="E407" s="302">
        <f t="shared" si="182"/>
        <v>0.75129334020881577</v>
      </c>
      <c r="F407" s="303"/>
      <c r="G407" s="302">
        <v>0.25577255861035564</v>
      </c>
      <c r="H407" s="302">
        <v>7.9996315224830934E-3</v>
      </c>
      <c r="I407" s="302">
        <v>1.5494139967373178E-3</v>
      </c>
      <c r="J407" s="302">
        <f t="shared" si="185"/>
        <v>0.26532160412957606</v>
      </c>
      <c r="K407" s="303"/>
      <c r="L407" s="302">
        <v>0.25115218804033135</v>
      </c>
      <c r="M407" s="302">
        <v>8.3000583140559209E-3</v>
      </c>
      <c r="N407" s="302">
        <v>2.030077726815763E-4</v>
      </c>
      <c r="O407" s="302">
        <f t="shared" si="184"/>
        <v>0.25965525412706886</v>
      </c>
    </row>
    <row r="408" spans="1:15" s="236" customFormat="1" x14ac:dyDescent="0.2">
      <c r="A408" s="237" t="str">
        <f>name!E$12</f>
        <v>Elementary occupations</v>
      </c>
      <c r="B408" s="302">
        <v>8.4656611599058518E-2</v>
      </c>
      <c r="C408" s="302">
        <v>4.6061142606637448E-2</v>
      </c>
      <c r="D408" s="302">
        <v>3.9197581313472202E-2</v>
      </c>
      <c r="E408" s="302">
        <f t="shared" si="182"/>
        <v>0.16991533551916818</v>
      </c>
      <c r="F408" s="303"/>
      <c r="G408" s="302">
        <v>3.5147962163583513E-2</v>
      </c>
      <c r="H408" s="302">
        <v>4.2915307416451828E-3</v>
      </c>
      <c r="I408" s="302">
        <v>1.9272487124658516E-3</v>
      </c>
      <c r="J408" s="302">
        <f t="shared" si="185"/>
        <v>4.1366741617694547E-2</v>
      </c>
      <c r="K408" s="303"/>
      <c r="L408" s="302">
        <v>1.4849416749447116E-2</v>
      </c>
      <c r="M408" s="302">
        <v>2.2360678933042752E-3</v>
      </c>
      <c r="N408" s="302">
        <v>1.1984709422483411E-3</v>
      </c>
      <c r="O408" s="302">
        <f t="shared" si="184"/>
        <v>1.8283955584999734E-2</v>
      </c>
    </row>
    <row r="409" spans="1:15" s="236" customFormat="1" x14ac:dyDescent="0.2">
      <c r="A409" s="237"/>
      <c r="B409" s="302"/>
      <c r="C409" s="302"/>
      <c r="D409" s="302"/>
      <c r="E409" s="302"/>
      <c r="F409" s="303"/>
      <c r="G409" s="302"/>
      <c r="H409" s="302"/>
      <c r="I409" s="302"/>
      <c r="J409" s="302"/>
      <c r="K409" s="303"/>
      <c r="L409" s="302"/>
      <c r="M409" s="302"/>
      <c r="N409" s="302"/>
      <c r="O409" s="302"/>
    </row>
    <row r="410" spans="1:15" s="236" customFormat="1" x14ac:dyDescent="0.2">
      <c r="A410" s="244" t="s">
        <v>32</v>
      </c>
      <c r="B410" s="311">
        <f>SUM(B400:B408)</f>
        <v>3.2659999999965952</v>
      </c>
      <c r="C410" s="311">
        <f t="shared" ref="C410:E410" si="186">SUM(C400:C408)</f>
        <v>0.44400000000402856</v>
      </c>
      <c r="D410" s="311">
        <f t="shared" si="186"/>
        <v>0.735000000000821</v>
      </c>
      <c r="E410" s="311">
        <f t="shared" si="186"/>
        <v>4.4450000000014454</v>
      </c>
      <c r="F410" s="311"/>
      <c r="G410" s="311">
        <f t="shared" ref="G410:J410" si="187">SUM(G400:G408)</f>
        <v>1.717999999996664</v>
      </c>
      <c r="H410" s="311">
        <f t="shared" si="187"/>
        <v>5.2000000000010253E-2</v>
      </c>
      <c r="I410" s="311">
        <f t="shared" si="187"/>
        <v>1.5999999999803623E-2</v>
      </c>
      <c r="J410" s="311">
        <f t="shared" si="187"/>
        <v>1.7859999999964782</v>
      </c>
      <c r="K410" s="311"/>
      <c r="L410" s="311">
        <f t="shared" ref="L410:O410" si="188">SUM(L400:L408)</f>
        <v>1.5649999999954827</v>
      </c>
      <c r="M410" s="311">
        <f t="shared" si="188"/>
        <v>4.700000000004749E-2</v>
      </c>
      <c r="N410" s="311">
        <f t="shared" si="188"/>
        <v>1.300000000040677E-2</v>
      </c>
      <c r="O410" s="311">
        <f t="shared" si="188"/>
        <v>1.624999999995937</v>
      </c>
    </row>
    <row r="411" spans="1:15" s="236" customFormat="1" x14ac:dyDescent="0.2">
      <c r="A411" s="237"/>
      <c r="B411" s="237"/>
      <c r="C411" s="237"/>
      <c r="D411" s="237"/>
      <c r="E411" s="237"/>
      <c r="F411" s="237"/>
      <c r="G411" s="237"/>
      <c r="H411" s="237"/>
      <c r="I411" s="237"/>
      <c r="J411" s="237"/>
      <c r="K411" s="237"/>
      <c r="L411" s="237"/>
      <c r="M411" s="237"/>
      <c r="N411" s="240"/>
    </row>
    <row r="412" spans="1:15" s="236" customFormat="1" x14ac:dyDescent="0.2">
      <c r="A412" s="237"/>
      <c r="B412" s="237"/>
      <c r="C412" s="237"/>
      <c r="D412" s="237"/>
      <c r="E412" s="237"/>
      <c r="F412" s="237"/>
      <c r="G412" s="237"/>
      <c r="H412" s="237"/>
      <c r="I412" s="237"/>
      <c r="J412" s="237"/>
      <c r="K412" s="237"/>
      <c r="L412" s="237"/>
      <c r="M412" s="237"/>
      <c r="N412" s="240"/>
      <c r="O412" s="251" t="s">
        <v>35</v>
      </c>
    </row>
    <row r="413" spans="1:15" s="236" customFormat="1" x14ac:dyDescent="0.2">
      <c r="A413" s="242"/>
      <c r="B413" s="242"/>
      <c r="C413" s="242"/>
      <c r="D413" s="242"/>
      <c r="E413" s="242"/>
      <c r="F413" s="242"/>
      <c r="G413" s="242"/>
      <c r="H413" s="242"/>
      <c r="I413" s="242"/>
      <c r="J413" s="242"/>
      <c r="K413" s="242"/>
      <c r="L413" s="242"/>
      <c r="M413" s="242"/>
      <c r="N413" s="242"/>
      <c r="O413" s="242"/>
    </row>
    <row r="414" spans="1:15" s="236" customFormat="1" x14ac:dyDescent="0.2">
      <c r="A414" s="241" t="str">
        <f>name!A27</f>
        <v>Electricity, gas, etc</v>
      </c>
      <c r="B414" s="374">
        <f>$B$6</f>
        <v>2015</v>
      </c>
      <c r="C414" s="374"/>
      <c r="D414" s="374"/>
      <c r="E414" s="374"/>
      <c r="F414" s="263"/>
      <c r="G414" s="374">
        <f>$G$6</f>
        <v>2020</v>
      </c>
      <c r="H414" s="374"/>
      <c r="I414" s="374"/>
      <c r="J414" s="374"/>
      <c r="K414" s="263"/>
      <c r="L414" s="374">
        <f>$L$6</f>
        <v>2035</v>
      </c>
      <c r="M414" s="374"/>
      <c r="N414" s="374"/>
      <c r="O414" s="374"/>
    </row>
    <row r="415" spans="1:15" s="236" customFormat="1" x14ac:dyDescent="0.2">
      <c r="A415" s="254"/>
      <c r="B415" s="268" t="str">
        <f>$B$7</f>
        <v>FT</v>
      </c>
      <c r="C415" s="268" t="str">
        <f>$C$7</f>
        <v>PT</v>
      </c>
      <c r="D415" s="268" t="str">
        <f>$D$7</f>
        <v>SE</v>
      </c>
      <c r="E415" s="268" t="str">
        <f>$E$7</f>
        <v>Total</v>
      </c>
      <c r="F415" s="268"/>
      <c r="G415" s="268" t="str">
        <f>$G$7</f>
        <v>FT</v>
      </c>
      <c r="H415" s="268" t="str">
        <f>$H$7</f>
        <v>PT</v>
      </c>
      <c r="I415" s="268" t="str">
        <f>$I$7</f>
        <v>SE</v>
      </c>
      <c r="J415" s="268" t="str">
        <f>$J$7</f>
        <v>Total</v>
      </c>
      <c r="K415" s="268"/>
      <c r="L415" s="268" t="str">
        <f>$L$7</f>
        <v>FT</v>
      </c>
      <c r="M415" s="268" t="str">
        <f>$M$7</f>
        <v>PT</v>
      </c>
      <c r="N415" s="268" t="str">
        <f>$N$7</f>
        <v>SE</v>
      </c>
      <c r="O415" s="268" t="str">
        <f>$O$7</f>
        <v>Total</v>
      </c>
    </row>
    <row r="416" spans="1:15" s="236" customFormat="1" x14ac:dyDescent="0.2">
      <c r="A416" s="258"/>
      <c r="B416" s="239"/>
      <c r="C416" s="239"/>
      <c r="D416" s="239"/>
      <c r="E416" s="239"/>
      <c r="F416" s="239"/>
      <c r="G416" s="239"/>
      <c r="H416" s="239"/>
      <c r="I416" s="239"/>
      <c r="J416" s="239"/>
      <c r="K416" s="239"/>
      <c r="L416" s="239"/>
      <c r="M416" s="239"/>
      <c r="N416" s="239"/>
      <c r="O416" s="239"/>
    </row>
    <row r="417" spans="1:15" s="236" customFormat="1" x14ac:dyDescent="0.2">
      <c r="A417" s="237" t="str">
        <f>name!E$4</f>
        <v>Managers, directors and senior officials</v>
      </c>
      <c r="B417" s="302">
        <v>0.55629048006029047</v>
      </c>
      <c r="C417" s="302">
        <v>2.0450813985275901E-2</v>
      </c>
      <c r="D417" s="302">
        <v>2.9167089754888299E-4</v>
      </c>
      <c r="E417" s="302">
        <f>SUM(B417:D417)</f>
        <v>0.57703296494311529</v>
      </c>
      <c r="F417" s="303"/>
      <c r="G417" s="302">
        <v>1.3419965600183323</v>
      </c>
      <c r="H417" s="302">
        <v>5.5441149167944952E-2</v>
      </c>
      <c r="I417" s="302">
        <v>0.13841311729708866</v>
      </c>
      <c r="J417" s="302">
        <f>SUM(G417:I417)</f>
        <v>1.5358508264833659</v>
      </c>
      <c r="K417" s="303"/>
      <c r="L417" s="302">
        <v>1.4802951471992292</v>
      </c>
      <c r="M417" s="302">
        <v>6.0238188927062376E-2</v>
      </c>
      <c r="N417" s="302">
        <v>0.18645636048978348</v>
      </c>
      <c r="O417" s="302">
        <f>SUM(L417:N417)</f>
        <v>1.7269896966160752</v>
      </c>
    </row>
    <row r="418" spans="1:15" s="236" customFormat="1" x14ac:dyDescent="0.2">
      <c r="A418" s="237" t="str">
        <f>name!E$5</f>
        <v>Professional occupations</v>
      </c>
      <c r="B418" s="302">
        <v>1.0321686064584201</v>
      </c>
      <c r="C418" s="302">
        <v>2.9309573744057977E-2</v>
      </c>
      <c r="D418" s="302">
        <v>3.3427776499713634E-4</v>
      </c>
      <c r="E418" s="302">
        <f t="shared" ref="E418:E425" si="189">SUM(B418:D418)</f>
        <v>1.0618124579674753</v>
      </c>
      <c r="F418" s="303"/>
      <c r="G418" s="302">
        <v>2.8124103724387792</v>
      </c>
      <c r="H418" s="302">
        <v>7.3975991957339796E-2</v>
      </c>
      <c r="I418" s="302">
        <v>0.17465138192865626</v>
      </c>
      <c r="J418" s="302">
        <f t="shared" ref="J418:J420" si="190">SUM(G418:I418)</f>
        <v>3.0610377463247751</v>
      </c>
      <c r="K418" s="303"/>
      <c r="L418" s="302">
        <v>3.2604407206073711</v>
      </c>
      <c r="M418" s="302">
        <v>8.7659864158012094E-2</v>
      </c>
      <c r="N418" s="302">
        <v>0.13092701508742396</v>
      </c>
      <c r="O418" s="302">
        <f t="shared" ref="O418:O425" si="191">SUM(L418:N418)</f>
        <v>3.4790275998528073</v>
      </c>
    </row>
    <row r="419" spans="1:15" s="236" customFormat="1" x14ac:dyDescent="0.2">
      <c r="A419" s="237" t="str">
        <f>name!E$6</f>
        <v>Associate professional occupations</v>
      </c>
      <c r="B419" s="302">
        <v>0.72745232310461894</v>
      </c>
      <c r="C419" s="302">
        <v>3.4622395210152791E-2</v>
      </c>
      <c r="D419" s="302">
        <v>2.3768207099307903E-4</v>
      </c>
      <c r="E419" s="302">
        <f t="shared" si="189"/>
        <v>0.76231240038576475</v>
      </c>
      <c r="F419" s="303"/>
      <c r="G419" s="302">
        <v>1.9122858764142456</v>
      </c>
      <c r="H419" s="302">
        <v>7.2426853735958446E-2</v>
      </c>
      <c r="I419" s="302">
        <v>6.2631694891543035E-2</v>
      </c>
      <c r="J419" s="302">
        <f t="shared" si="190"/>
        <v>2.047344425041747</v>
      </c>
      <c r="K419" s="303"/>
      <c r="L419" s="302">
        <v>1.7287133100729164</v>
      </c>
      <c r="M419" s="302">
        <v>7.8630964871879594E-2</v>
      </c>
      <c r="N419" s="302">
        <v>6.6110048409823374E-2</v>
      </c>
      <c r="O419" s="302">
        <f t="shared" si="191"/>
        <v>1.8734543233546193</v>
      </c>
    </row>
    <row r="420" spans="1:15" s="236" customFormat="1" x14ac:dyDescent="0.2">
      <c r="A420" s="237" t="str">
        <f>name!E$7</f>
        <v>Administrative and secretarial occupations</v>
      </c>
      <c r="B420" s="302">
        <v>0.15106526588839786</v>
      </c>
      <c r="C420" s="302">
        <v>4.2620696158278015E-2</v>
      </c>
      <c r="D420" s="302">
        <v>1.0831603591559362E-4</v>
      </c>
      <c r="E420" s="302">
        <f t="shared" si="189"/>
        <v>0.19379427808259148</v>
      </c>
      <c r="F420" s="303"/>
      <c r="G420" s="302">
        <v>0.33319019344412154</v>
      </c>
      <c r="H420" s="302">
        <v>8.0442296150893919E-2</v>
      </c>
      <c r="I420" s="302">
        <v>3.1014939072394589E-2</v>
      </c>
      <c r="J420" s="302">
        <f t="shared" si="190"/>
        <v>0.44464742866741008</v>
      </c>
      <c r="K420" s="303"/>
      <c r="L420" s="302">
        <v>0.24297319737067102</v>
      </c>
      <c r="M420" s="302">
        <v>6.3687268318303847E-2</v>
      </c>
      <c r="N420" s="302">
        <v>3.5391645467262901E-2</v>
      </c>
      <c r="O420" s="302">
        <f t="shared" si="191"/>
        <v>0.34205211115623779</v>
      </c>
    </row>
    <row r="421" spans="1:15" s="236" customFormat="1" x14ac:dyDescent="0.2">
      <c r="A421" s="237" t="str">
        <f>name!E$8</f>
        <v>Skilled trades occupations</v>
      </c>
      <c r="B421" s="302">
        <v>0.4779824232750281</v>
      </c>
      <c r="C421" s="302">
        <v>2.2242912417276179E-2</v>
      </c>
      <c r="D421" s="302">
        <v>3.9336434055723817E-4</v>
      </c>
      <c r="E421" s="302">
        <f t="shared" si="189"/>
        <v>0.50061870003286157</v>
      </c>
      <c r="F421" s="303"/>
      <c r="G421" s="302">
        <v>0.84518746432297454</v>
      </c>
      <c r="H421" s="302">
        <v>2.9027250117121456E-2</v>
      </c>
      <c r="I421" s="302">
        <v>0.14277206629600056</v>
      </c>
      <c r="J421" s="302">
        <f>SUM(G421:I421)</f>
        <v>1.0169867807360966</v>
      </c>
      <c r="K421" s="303"/>
      <c r="L421" s="302">
        <v>0.51769034956987658</v>
      </c>
      <c r="M421" s="302">
        <v>2.4868102663078116E-2</v>
      </c>
      <c r="N421" s="302">
        <v>0.14533082429856858</v>
      </c>
      <c r="O421" s="302">
        <f t="shared" si="191"/>
        <v>0.68788927653152332</v>
      </c>
    </row>
    <row r="422" spans="1:15" s="236" customFormat="1" x14ac:dyDescent="0.2">
      <c r="A422" s="237" t="str">
        <f>name!E$9</f>
        <v>Caring, leisure and other service occupations</v>
      </c>
      <c r="B422" s="302">
        <v>0.31057735645203671</v>
      </c>
      <c r="C422" s="302">
        <v>4.2288782287937685E-2</v>
      </c>
      <c r="D422" s="302">
        <v>1.5639845757180499E-4</v>
      </c>
      <c r="E422" s="302">
        <f t="shared" si="189"/>
        <v>0.35302253719754623</v>
      </c>
      <c r="F422" s="303"/>
      <c r="G422" s="302">
        <v>0.61226246568998333</v>
      </c>
      <c r="H422" s="302">
        <v>6.6308989117743619E-2</v>
      </c>
      <c r="I422" s="302">
        <v>5.9697552954005471E-3</v>
      </c>
      <c r="J422" s="302">
        <f t="shared" ref="J422:J425" si="192">SUM(G422:I422)</f>
        <v>0.68454121010312752</v>
      </c>
      <c r="K422" s="303"/>
      <c r="L422" s="302">
        <v>0.64947171276980842</v>
      </c>
      <c r="M422" s="302">
        <v>6.1246160563109983E-2</v>
      </c>
      <c r="N422" s="302">
        <v>9.3930101549603417E-3</v>
      </c>
      <c r="O422" s="302">
        <f t="shared" si="191"/>
        <v>0.72011088348787866</v>
      </c>
    </row>
    <row r="423" spans="1:15" s="236" customFormat="1" x14ac:dyDescent="0.2">
      <c r="A423" s="237" t="str">
        <f>name!E$10</f>
        <v>Sales and customer service occupations</v>
      </c>
      <c r="B423" s="302">
        <v>0.16387897604383767</v>
      </c>
      <c r="C423" s="302">
        <v>0.10976129615241413</v>
      </c>
      <c r="D423" s="302">
        <v>1.6607833224855124E-4</v>
      </c>
      <c r="E423" s="302">
        <f t="shared" si="189"/>
        <v>0.27380635052850039</v>
      </c>
      <c r="F423" s="303"/>
      <c r="G423" s="302">
        <v>0.32197007489294649</v>
      </c>
      <c r="H423" s="302">
        <v>0.22150091600846353</v>
      </c>
      <c r="I423" s="302">
        <v>5.4561336336595261E-2</v>
      </c>
      <c r="J423" s="302">
        <f t="shared" si="192"/>
        <v>0.59803232723800526</v>
      </c>
      <c r="K423" s="303"/>
      <c r="L423" s="302">
        <v>0.29773756715891586</v>
      </c>
      <c r="M423" s="302">
        <v>0.26323254589177802</v>
      </c>
      <c r="N423" s="302">
        <v>5.5090253635830484E-2</v>
      </c>
      <c r="O423" s="302">
        <f t="shared" si="191"/>
        <v>0.61606036668652442</v>
      </c>
    </row>
    <row r="424" spans="1:15" s="236" customFormat="1" x14ac:dyDescent="0.2">
      <c r="A424" s="237" t="str">
        <f>name!E$11</f>
        <v>Process, plant and machine operatives</v>
      </c>
      <c r="B424" s="302">
        <v>0.27975953177408275</v>
      </c>
      <c r="C424" s="302">
        <v>1.0200634132820713E-2</v>
      </c>
      <c r="D424" s="302">
        <v>1.3133378932311969E-4</v>
      </c>
      <c r="E424" s="302">
        <f t="shared" si="189"/>
        <v>0.29009149969622655</v>
      </c>
      <c r="F424" s="303"/>
      <c r="G424" s="302">
        <v>0.50425342525865691</v>
      </c>
      <c r="H424" s="302">
        <v>1.7713486888415196E-2</v>
      </c>
      <c r="I424" s="302">
        <v>8.0301824443286554E-2</v>
      </c>
      <c r="J424" s="302">
        <f t="shared" si="192"/>
        <v>0.60226873659035873</v>
      </c>
      <c r="K424" s="303"/>
      <c r="L424" s="302">
        <v>0.55510477475682307</v>
      </c>
      <c r="M424" s="302">
        <v>2.7660199825507291E-2</v>
      </c>
      <c r="N424" s="302">
        <v>8.1489398553393891E-2</v>
      </c>
      <c r="O424" s="302">
        <f t="shared" si="191"/>
        <v>0.66425437313572422</v>
      </c>
    </row>
    <row r="425" spans="1:15" s="236" customFormat="1" x14ac:dyDescent="0.2">
      <c r="A425" s="237" t="str">
        <f>name!E$12</f>
        <v>Elementary occupations</v>
      </c>
      <c r="B425" s="302">
        <v>7.0825036912364081E-2</v>
      </c>
      <c r="C425" s="302">
        <v>6.4502895916511926E-2</v>
      </c>
      <c r="D425" s="302">
        <v>1.8087831083982354E-4</v>
      </c>
      <c r="E425" s="302">
        <f t="shared" si="189"/>
        <v>0.13550881113971583</v>
      </c>
      <c r="F425" s="303"/>
      <c r="G425" s="302">
        <v>0.12944356745334273</v>
      </c>
      <c r="H425" s="302">
        <v>8.9163066858109374E-2</v>
      </c>
      <c r="I425" s="302">
        <v>2.5683884433110725E-2</v>
      </c>
      <c r="J425" s="302">
        <f t="shared" si="192"/>
        <v>0.24429051874456284</v>
      </c>
      <c r="K425" s="303"/>
      <c r="L425" s="302">
        <v>7.9573220561258415E-2</v>
      </c>
      <c r="M425" s="302">
        <v>4.6776704779105067E-2</v>
      </c>
      <c r="N425" s="302">
        <v>2.0811443925489059E-2</v>
      </c>
      <c r="O425" s="302">
        <f t="shared" si="191"/>
        <v>0.14716136926585255</v>
      </c>
    </row>
    <row r="426" spans="1:15" s="236" customFormat="1" x14ac:dyDescent="0.2">
      <c r="A426" s="237"/>
      <c r="B426" s="302"/>
      <c r="C426" s="302"/>
      <c r="D426" s="302"/>
      <c r="E426" s="302"/>
      <c r="F426" s="303"/>
      <c r="G426" s="302"/>
      <c r="H426" s="302"/>
      <c r="I426" s="302"/>
      <c r="J426" s="302"/>
      <c r="K426" s="303"/>
      <c r="L426" s="302"/>
      <c r="M426" s="302"/>
      <c r="N426" s="302"/>
      <c r="O426" s="302"/>
    </row>
    <row r="427" spans="1:15" s="236" customFormat="1" x14ac:dyDescent="0.2">
      <c r="A427" s="244" t="s">
        <v>32</v>
      </c>
      <c r="B427" s="311">
        <f>SUM(B417:B425)</f>
        <v>3.7699999999690772</v>
      </c>
      <c r="C427" s="311">
        <f t="shared" ref="C427:E427" si="193">SUM(C417:C425)</f>
        <v>0.37600000000472533</v>
      </c>
      <c r="D427" s="311">
        <f t="shared" si="193"/>
        <v>1.9999999999952296E-3</v>
      </c>
      <c r="E427" s="311">
        <f t="shared" si="193"/>
        <v>4.1479999999737975</v>
      </c>
      <c r="F427" s="311"/>
      <c r="G427" s="311">
        <f t="shared" ref="G427:J427" si="194">SUM(G417:G425)</f>
        <v>8.8129999999333837</v>
      </c>
      <c r="H427" s="311">
        <f t="shared" si="194"/>
        <v>0.70600000000199037</v>
      </c>
      <c r="I427" s="311">
        <f t="shared" si="194"/>
        <v>0.71599999999407626</v>
      </c>
      <c r="J427" s="311">
        <f t="shared" si="194"/>
        <v>10.23499999992945</v>
      </c>
      <c r="K427" s="311"/>
      <c r="L427" s="311">
        <f t="shared" ref="L427:O427" si="195">SUM(L417:L425)</f>
        <v>8.8120000000668703</v>
      </c>
      <c r="M427" s="311">
        <f t="shared" si="195"/>
        <v>0.71399999999783648</v>
      </c>
      <c r="N427" s="311">
        <f t="shared" si="195"/>
        <v>0.73100000002253607</v>
      </c>
      <c r="O427" s="311">
        <f t="shared" si="195"/>
        <v>10.257000000087242</v>
      </c>
    </row>
    <row r="428" spans="1:15" s="236" customFormat="1" x14ac:dyDescent="0.2">
      <c r="A428" s="237"/>
      <c r="B428" s="237"/>
      <c r="C428" s="237"/>
      <c r="D428" s="237"/>
      <c r="E428" s="237"/>
      <c r="F428" s="237"/>
      <c r="G428" s="237"/>
      <c r="H428" s="237"/>
      <c r="I428" s="237"/>
      <c r="J428" s="237"/>
      <c r="K428" s="237"/>
      <c r="L428" s="237"/>
      <c r="M428" s="237"/>
      <c r="N428" s="240"/>
    </row>
    <row r="429" spans="1:15" s="236" customFormat="1" x14ac:dyDescent="0.2">
      <c r="A429" s="237"/>
      <c r="B429" s="237"/>
      <c r="C429" s="237"/>
      <c r="D429" s="237"/>
      <c r="E429" s="237"/>
      <c r="F429" s="237"/>
      <c r="G429" s="237"/>
      <c r="H429" s="237"/>
      <c r="I429" s="237"/>
      <c r="J429" s="237"/>
      <c r="K429" s="237"/>
      <c r="L429" s="237"/>
      <c r="M429" s="237"/>
      <c r="N429" s="240"/>
      <c r="O429" s="251" t="s">
        <v>35</v>
      </c>
    </row>
    <row r="430" spans="1:15" s="236" customFormat="1" x14ac:dyDescent="0.2">
      <c r="A430" s="242"/>
      <c r="B430" s="242"/>
      <c r="C430" s="242"/>
      <c r="D430" s="242"/>
      <c r="E430" s="242"/>
      <c r="F430" s="242"/>
      <c r="G430" s="242"/>
      <c r="H430" s="242"/>
      <c r="I430" s="242"/>
      <c r="J430" s="242"/>
      <c r="K430" s="242"/>
      <c r="L430" s="242"/>
      <c r="M430" s="242"/>
      <c r="N430" s="242"/>
      <c r="O430" s="242"/>
    </row>
    <row r="431" spans="1:15" s="236" customFormat="1" x14ac:dyDescent="0.2">
      <c r="A431" s="241" t="str">
        <f>name!A28</f>
        <v>Water</v>
      </c>
      <c r="B431" s="374">
        <f>$B$6</f>
        <v>2015</v>
      </c>
      <c r="C431" s="374"/>
      <c r="D431" s="374"/>
      <c r="E431" s="374"/>
      <c r="F431" s="263"/>
      <c r="G431" s="374">
        <f>$G$6</f>
        <v>2020</v>
      </c>
      <c r="H431" s="374"/>
      <c r="I431" s="374"/>
      <c r="J431" s="374"/>
      <c r="K431" s="263"/>
      <c r="L431" s="374">
        <f>$L$6</f>
        <v>2035</v>
      </c>
      <c r="M431" s="374"/>
      <c r="N431" s="374"/>
      <c r="O431" s="374"/>
    </row>
    <row r="432" spans="1:15" s="236" customFormat="1" x14ac:dyDescent="0.2">
      <c r="A432" s="254"/>
      <c r="B432" s="268" t="str">
        <f>$B$7</f>
        <v>FT</v>
      </c>
      <c r="C432" s="268" t="str">
        <f>$C$7</f>
        <v>PT</v>
      </c>
      <c r="D432" s="268" t="str">
        <f>$D$7</f>
        <v>SE</v>
      </c>
      <c r="E432" s="268" t="str">
        <f>$E$7</f>
        <v>Total</v>
      </c>
      <c r="F432" s="268"/>
      <c r="G432" s="268" t="str">
        <f>$G$7</f>
        <v>FT</v>
      </c>
      <c r="H432" s="268" t="str">
        <f>$H$7</f>
        <v>PT</v>
      </c>
      <c r="I432" s="268" t="str">
        <f>$I$7</f>
        <v>SE</v>
      </c>
      <c r="J432" s="268" t="str">
        <f>$J$7</f>
        <v>Total</v>
      </c>
      <c r="K432" s="268"/>
      <c r="L432" s="268" t="str">
        <f>$L$7</f>
        <v>FT</v>
      </c>
      <c r="M432" s="268" t="str">
        <f>$M$7</f>
        <v>PT</v>
      </c>
      <c r="N432" s="268" t="str">
        <f>$N$7</f>
        <v>SE</v>
      </c>
      <c r="O432" s="268" t="str">
        <f>$O$7</f>
        <v>Total</v>
      </c>
    </row>
    <row r="433" spans="1:15" s="236" customFormat="1" x14ac:dyDescent="0.2">
      <c r="A433" s="258"/>
      <c r="B433" s="239"/>
      <c r="C433" s="239"/>
      <c r="D433" s="239"/>
      <c r="E433" s="239"/>
      <c r="F433" s="239"/>
      <c r="G433" s="239"/>
      <c r="H433" s="239"/>
      <c r="I433" s="239"/>
      <c r="J433" s="239"/>
      <c r="K433" s="239"/>
      <c r="L433" s="239"/>
      <c r="M433" s="239"/>
      <c r="N433" s="239"/>
      <c r="O433" s="239"/>
    </row>
    <row r="434" spans="1:15" s="236" customFormat="1" x14ac:dyDescent="0.2">
      <c r="A434" s="237" t="str">
        <f>name!E$4</f>
        <v>Managers, directors and senior officials</v>
      </c>
      <c r="B434" s="302">
        <v>0.36810306053064434</v>
      </c>
      <c r="C434" s="302">
        <v>3.5608989154862256E-2</v>
      </c>
      <c r="D434" s="302">
        <v>0</v>
      </c>
      <c r="E434" s="302">
        <f>SUM(B434:D434)</f>
        <v>0.40371204968550661</v>
      </c>
      <c r="F434" s="303"/>
      <c r="G434" s="302">
        <v>0.38313943699727471</v>
      </c>
      <c r="H434" s="302">
        <v>6.1812875330789108E-2</v>
      </c>
      <c r="I434" s="302">
        <v>4.3944158923983588E-2</v>
      </c>
      <c r="J434" s="302">
        <f>SUM(G434:I434)</f>
        <v>0.48889647125204738</v>
      </c>
      <c r="K434" s="303"/>
      <c r="L434" s="302">
        <v>0.40831697891131186</v>
      </c>
      <c r="M434" s="302">
        <v>6.9803967598985536E-2</v>
      </c>
      <c r="N434" s="302">
        <v>4.1215198612615987E-2</v>
      </c>
      <c r="O434" s="302">
        <f>SUM(L434:N434)</f>
        <v>0.51933614512291337</v>
      </c>
    </row>
    <row r="435" spans="1:15" s="236" customFormat="1" x14ac:dyDescent="0.2">
      <c r="A435" s="237" t="str">
        <f>name!E$5</f>
        <v>Professional occupations</v>
      </c>
      <c r="B435" s="302">
        <v>0.43794681688248283</v>
      </c>
      <c r="C435" s="302">
        <v>5.1626527295183501E-2</v>
      </c>
      <c r="D435" s="302">
        <v>0</v>
      </c>
      <c r="E435" s="302">
        <f t="shared" ref="E435:E442" si="196">SUM(B435:D435)</f>
        <v>0.48957334417766635</v>
      </c>
      <c r="F435" s="303"/>
      <c r="G435" s="302">
        <v>0.4979466416324998</v>
      </c>
      <c r="H435" s="302">
        <v>7.6830107317415852E-2</v>
      </c>
      <c r="I435" s="302">
        <v>0.10202357897470503</v>
      </c>
      <c r="J435" s="302">
        <f t="shared" ref="J435:J437" si="197">SUM(G435:I435)</f>
        <v>0.67680032792462064</v>
      </c>
      <c r="K435" s="303"/>
      <c r="L435" s="302">
        <v>0.62901442027186993</v>
      </c>
      <c r="M435" s="302">
        <v>8.7207325977479072E-2</v>
      </c>
      <c r="N435" s="302">
        <v>0.10257240346245811</v>
      </c>
      <c r="O435" s="302">
        <f t="shared" ref="O435:O442" si="198">SUM(L435:N435)</f>
        <v>0.81879414971180708</v>
      </c>
    </row>
    <row r="436" spans="1:15" s="236" customFormat="1" x14ac:dyDescent="0.2">
      <c r="A436" s="237" t="str">
        <f>name!E$6</f>
        <v>Associate professional occupations</v>
      </c>
      <c r="B436" s="302">
        <v>0.46351497669643343</v>
      </c>
      <c r="C436" s="302">
        <v>9.7572075051360591E-2</v>
      </c>
      <c r="D436" s="302">
        <v>0</v>
      </c>
      <c r="E436" s="302">
        <f t="shared" si="196"/>
        <v>0.56108705174779405</v>
      </c>
      <c r="F436" s="303"/>
      <c r="G436" s="302">
        <v>0.46516795103668029</v>
      </c>
      <c r="H436" s="302">
        <v>0.1253593485818521</v>
      </c>
      <c r="I436" s="302">
        <v>2.4315251112513599E-2</v>
      </c>
      <c r="J436" s="302">
        <f t="shared" si="197"/>
        <v>0.6148425507310461</v>
      </c>
      <c r="K436" s="303"/>
      <c r="L436" s="302">
        <v>0.47358229135384988</v>
      </c>
      <c r="M436" s="302">
        <v>0.13874418807605177</v>
      </c>
      <c r="N436" s="302">
        <v>2.4609811748225931E-2</v>
      </c>
      <c r="O436" s="302">
        <f t="shared" si="198"/>
        <v>0.63693629117812767</v>
      </c>
    </row>
    <row r="437" spans="1:15" s="236" customFormat="1" x14ac:dyDescent="0.2">
      <c r="A437" s="237" t="str">
        <f>name!E$7</f>
        <v>Administrative and secretarial occupations</v>
      </c>
      <c r="B437" s="302">
        <v>8.5257922323000876E-2</v>
      </c>
      <c r="C437" s="302">
        <v>2.0616035507888597E-2</v>
      </c>
      <c r="D437" s="302">
        <v>0</v>
      </c>
      <c r="E437" s="302">
        <f t="shared" si="196"/>
        <v>0.10587395783088947</v>
      </c>
      <c r="F437" s="303"/>
      <c r="G437" s="302">
        <v>6.4187251317762081E-2</v>
      </c>
      <c r="H437" s="302">
        <v>2.6946208113664119E-2</v>
      </c>
      <c r="I437" s="302">
        <v>9.8392828379444113E-3</v>
      </c>
      <c r="J437" s="302">
        <f t="shared" si="197"/>
        <v>0.10097274226937061</v>
      </c>
      <c r="K437" s="303"/>
      <c r="L437" s="302">
        <v>6.6251551072663159E-2</v>
      </c>
      <c r="M437" s="302">
        <v>2.6812600289869978E-2</v>
      </c>
      <c r="N437" s="302">
        <v>2.0116633451564829E-2</v>
      </c>
      <c r="O437" s="302">
        <f t="shared" si="198"/>
        <v>0.11318078481409796</v>
      </c>
    </row>
    <row r="438" spans="1:15" s="236" customFormat="1" x14ac:dyDescent="0.2">
      <c r="A438" s="237" t="str">
        <f>name!E$8</f>
        <v>Skilled trades occupations</v>
      </c>
      <c r="B438" s="302">
        <v>0.24428393742239268</v>
      </c>
      <c r="C438" s="302">
        <v>1.4561755393924106E-2</v>
      </c>
      <c r="D438" s="302">
        <v>0</v>
      </c>
      <c r="E438" s="302">
        <f t="shared" si="196"/>
        <v>0.25884569281631681</v>
      </c>
      <c r="F438" s="303"/>
      <c r="G438" s="302">
        <v>0.18956190871246043</v>
      </c>
      <c r="H438" s="302">
        <v>1.1068802862384212E-2</v>
      </c>
      <c r="I438" s="302">
        <v>6.4126915661388478E-2</v>
      </c>
      <c r="J438" s="302">
        <f>SUM(G438:I438)</f>
        <v>0.26475762723623308</v>
      </c>
      <c r="K438" s="303"/>
      <c r="L438" s="302">
        <v>0.15330250971956533</v>
      </c>
      <c r="M438" s="302">
        <v>1.7113040917870834E-2</v>
      </c>
      <c r="N438" s="302">
        <v>6.2798213192736652E-2</v>
      </c>
      <c r="O438" s="302">
        <f t="shared" si="198"/>
        <v>0.23321376383017281</v>
      </c>
    </row>
    <row r="439" spans="1:15" s="236" customFormat="1" x14ac:dyDescent="0.2">
      <c r="A439" s="237" t="str">
        <f>name!E$9</f>
        <v>Caring, leisure and other service occupations</v>
      </c>
      <c r="B439" s="302">
        <v>6.7478378647172516E-2</v>
      </c>
      <c r="C439" s="302">
        <v>8.7052132252580072E-2</v>
      </c>
      <c r="D439" s="302">
        <v>0</v>
      </c>
      <c r="E439" s="302">
        <f t="shared" si="196"/>
        <v>0.15453051089975259</v>
      </c>
      <c r="F439" s="303"/>
      <c r="G439" s="302">
        <v>4.5421684670426177E-2</v>
      </c>
      <c r="H439" s="302">
        <v>9.4935077414831176E-2</v>
      </c>
      <c r="I439" s="302">
        <v>8.0445678286268398E-3</v>
      </c>
      <c r="J439" s="302">
        <f t="shared" ref="J439:J442" si="199">SUM(G439:I439)</f>
        <v>0.14840132991388419</v>
      </c>
      <c r="K439" s="303"/>
      <c r="L439" s="302">
        <v>5.5893817404225402E-2</v>
      </c>
      <c r="M439" s="302">
        <v>9.3753723370292474E-2</v>
      </c>
      <c r="N439" s="302">
        <v>8.7936123116375015E-3</v>
      </c>
      <c r="O439" s="302">
        <f t="shared" si="198"/>
        <v>0.15844115308615536</v>
      </c>
    </row>
    <row r="440" spans="1:15" s="236" customFormat="1" x14ac:dyDescent="0.2">
      <c r="A440" s="237" t="str">
        <f>name!E$10</f>
        <v>Sales and customer service occupations</v>
      </c>
      <c r="B440" s="302">
        <v>5.113917330408687E-2</v>
      </c>
      <c r="C440" s="302">
        <v>2.2651161700682741E-2</v>
      </c>
      <c r="D440" s="302">
        <v>0</v>
      </c>
      <c r="E440" s="302">
        <f t="shared" si="196"/>
        <v>7.3790335004769614E-2</v>
      </c>
      <c r="F440" s="303"/>
      <c r="G440" s="302">
        <v>4.1958804092709197E-2</v>
      </c>
      <c r="H440" s="302">
        <v>2.7821575020399721E-2</v>
      </c>
      <c r="I440" s="302">
        <v>1.2073513401565115E-2</v>
      </c>
      <c r="J440" s="302">
        <f t="shared" si="199"/>
        <v>8.1853892514674037E-2</v>
      </c>
      <c r="K440" s="303"/>
      <c r="L440" s="302">
        <v>4.6080285717029039E-2</v>
      </c>
      <c r="M440" s="302">
        <v>2.6567657964651333E-2</v>
      </c>
      <c r="N440" s="302">
        <v>1.0922952803211415E-2</v>
      </c>
      <c r="O440" s="302">
        <f t="shared" si="198"/>
        <v>8.3570896484891785E-2</v>
      </c>
    </row>
    <row r="441" spans="1:15" s="236" customFormat="1" x14ac:dyDescent="0.2">
      <c r="A441" s="237" t="str">
        <f>name!E$11</f>
        <v>Process, plant and machine operatives</v>
      </c>
      <c r="B441" s="302">
        <v>0.42699839391154565</v>
      </c>
      <c r="C441" s="302">
        <v>2.8653985783155898E-2</v>
      </c>
      <c r="D441" s="302">
        <v>0</v>
      </c>
      <c r="E441" s="302">
        <f t="shared" si="196"/>
        <v>0.45565237969470157</v>
      </c>
      <c r="F441" s="303"/>
      <c r="G441" s="302">
        <v>0.32685778979987995</v>
      </c>
      <c r="H441" s="302">
        <v>2.4287420596704402E-2</v>
      </c>
      <c r="I441" s="302">
        <v>5.4117049307549972E-2</v>
      </c>
      <c r="J441" s="302">
        <f t="shared" si="199"/>
        <v>0.40526225970413432</v>
      </c>
      <c r="K441" s="303"/>
      <c r="L441" s="302">
        <v>0.32242485875649851</v>
      </c>
      <c r="M441" s="302">
        <v>3.7211563017874517E-2</v>
      </c>
      <c r="N441" s="302">
        <v>5.3494855099640283E-2</v>
      </c>
      <c r="O441" s="302">
        <f t="shared" si="198"/>
        <v>0.41313127687401335</v>
      </c>
    </row>
    <row r="442" spans="1:15" s="236" customFormat="1" x14ac:dyDescent="0.2">
      <c r="A442" s="237" t="str">
        <f>name!E$12</f>
        <v>Elementary occupations</v>
      </c>
      <c r="B442" s="302">
        <v>5.927734026580897E-2</v>
      </c>
      <c r="C442" s="302">
        <v>0.11665733786053117</v>
      </c>
      <c r="D442" s="302">
        <v>0</v>
      </c>
      <c r="E442" s="302">
        <f t="shared" si="196"/>
        <v>0.17593467812634014</v>
      </c>
      <c r="F442" s="303"/>
      <c r="G442" s="302">
        <v>4.3758531729396415E-2</v>
      </c>
      <c r="H442" s="302">
        <v>0.11593858476261079</v>
      </c>
      <c r="I442" s="302">
        <v>5.2515681949974254E-2</v>
      </c>
      <c r="J442" s="302">
        <f t="shared" si="199"/>
        <v>0.21221279844198146</v>
      </c>
      <c r="K442" s="303"/>
      <c r="L442" s="302">
        <v>2.6133286807705457E-2</v>
      </c>
      <c r="M442" s="302">
        <v>0.11578593278990937</v>
      </c>
      <c r="N442" s="302">
        <v>5.3476319320484217E-2</v>
      </c>
      <c r="O442" s="302">
        <f t="shared" si="198"/>
        <v>0.19539553891809905</v>
      </c>
    </row>
    <row r="443" spans="1:15" s="236" customFormat="1" x14ac:dyDescent="0.2">
      <c r="A443" s="237"/>
      <c r="B443" s="302"/>
      <c r="C443" s="302"/>
      <c r="D443" s="302"/>
      <c r="E443" s="302"/>
      <c r="F443" s="303"/>
      <c r="G443" s="302"/>
      <c r="H443" s="302"/>
      <c r="I443" s="302"/>
      <c r="J443" s="302"/>
      <c r="K443" s="303"/>
      <c r="L443" s="302"/>
      <c r="M443" s="302"/>
      <c r="N443" s="302"/>
      <c r="O443" s="302"/>
    </row>
    <row r="444" spans="1:15" s="236" customFormat="1" x14ac:dyDescent="0.2">
      <c r="A444" s="244" t="s">
        <v>32</v>
      </c>
      <c r="B444" s="311">
        <f>SUM(B434:B442)</f>
        <v>2.203999999983568</v>
      </c>
      <c r="C444" s="311">
        <f t="shared" ref="C444:E444" si="200">SUM(C434:C442)</f>
        <v>0.47500000000016895</v>
      </c>
      <c r="D444" s="311">
        <f t="shared" si="200"/>
        <v>0</v>
      </c>
      <c r="E444" s="311">
        <f t="shared" si="200"/>
        <v>2.6789999999837373</v>
      </c>
      <c r="F444" s="311"/>
      <c r="G444" s="311">
        <f t="shared" ref="G444:J444" si="201">SUM(G434:G442)</f>
        <v>2.057999999989089</v>
      </c>
      <c r="H444" s="311">
        <f t="shared" si="201"/>
        <v>0.56500000000065143</v>
      </c>
      <c r="I444" s="311">
        <f t="shared" si="201"/>
        <v>0.37099999999825123</v>
      </c>
      <c r="J444" s="311">
        <f t="shared" si="201"/>
        <v>2.9939999999879912</v>
      </c>
      <c r="K444" s="311"/>
      <c r="L444" s="311">
        <f t="shared" ref="L444:O444" si="202">SUM(L434:L442)</f>
        <v>2.1810000000147185</v>
      </c>
      <c r="M444" s="311">
        <f t="shared" si="202"/>
        <v>0.61300000000298493</v>
      </c>
      <c r="N444" s="311">
        <f t="shared" si="202"/>
        <v>0.37800000000257494</v>
      </c>
      <c r="O444" s="311">
        <f t="shared" si="202"/>
        <v>3.1720000000202786</v>
      </c>
    </row>
    <row r="445" spans="1:15" s="236" customFormat="1" x14ac:dyDescent="0.2">
      <c r="A445" s="237"/>
      <c r="B445" s="237"/>
      <c r="C445" s="237"/>
      <c r="D445" s="237"/>
      <c r="E445" s="237"/>
      <c r="F445" s="237"/>
      <c r="G445" s="237"/>
      <c r="H445" s="237"/>
      <c r="I445" s="237"/>
      <c r="J445" s="237"/>
      <c r="K445" s="237"/>
      <c r="L445" s="237"/>
      <c r="M445" s="237"/>
      <c r="N445" s="240"/>
    </row>
    <row r="446" spans="1:15" s="236" customFormat="1" x14ac:dyDescent="0.2">
      <c r="A446" s="237"/>
      <c r="B446" s="237"/>
      <c r="C446" s="237"/>
      <c r="D446" s="237"/>
      <c r="E446" s="237"/>
      <c r="F446" s="237"/>
      <c r="G446" s="237"/>
      <c r="H446" s="237"/>
      <c r="I446" s="237"/>
      <c r="J446" s="237"/>
      <c r="K446" s="237"/>
      <c r="L446" s="237"/>
      <c r="M446" s="237"/>
      <c r="N446" s="240"/>
      <c r="O446" s="251" t="s">
        <v>35</v>
      </c>
    </row>
    <row r="447" spans="1:15" s="236" customFormat="1" x14ac:dyDescent="0.2">
      <c r="A447" s="242"/>
      <c r="B447" s="242"/>
      <c r="C447" s="242"/>
      <c r="D447" s="242"/>
      <c r="E447" s="242"/>
      <c r="F447" s="242"/>
      <c r="G447" s="242"/>
      <c r="H447" s="242"/>
      <c r="I447" s="242"/>
      <c r="J447" s="242"/>
      <c r="K447" s="242"/>
      <c r="L447" s="242"/>
      <c r="M447" s="242"/>
      <c r="N447" s="242"/>
      <c r="O447" s="242"/>
    </row>
    <row r="448" spans="1:15" s="236" customFormat="1" x14ac:dyDescent="0.2">
      <c r="A448" s="241" t="str">
        <f>name!A29</f>
        <v>Sewerage</v>
      </c>
      <c r="B448" s="374">
        <f>$B$6</f>
        <v>2015</v>
      </c>
      <c r="C448" s="374"/>
      <c r="D448" s="374"/>
      <c r="E448" s="374"/>
      <c r="F448" s="263"/>
      <c r="G448" s="374">
        <f>$G$6</f>
        <v>2020</v>
      </c>
      <c r="H448" s="374"/>
      <c r="I448" s="374"/>
      <c r="J448" s="374"/>
      <c r="K448" s="263"/>
      <c r="L448" s="374">
        <f>$L$6</f>
        <v>2035</v>
      </c>
      <c r="M448" s="374"/>
      <c r="N448" s="374"/>
      <c r="O448" s="374"/>
    </row>
    <row r="449" spans="1:15" s="236" customFormat="1" x14ac:dyDescent="0.2">
      <c r="A449" s="254"/>
      <c r="B449" s="268" t="str">
        <f>$B$7</f>
        <v>FT</v>
      </c>
      <c r="C449" s="268" t="str">
        <f>$C$7</f>
        <v>PT</v>
      </c>
      <c r="D449" s="268" t="str">
        <f>$D$7</f>
        <v>SE</v>
      </c>
      <c r="E449" s="268" t="str">
        <f>$E$7</f>
        <v>Total</v>
      </c>
      <c r="F449" s="268"/>
      <c r="G449" s="268" t="str">
        <f>$G$7</f>
        <v>FT</v>
      </c>
      <c r="H449" s="268" t="str">
        <f>$H$7</f>
        <v>PT</v>
      </c>
      <c r="I449" s="268" t="str">
        <f>$I$7</f>
        <v>SE</v>
      </c>
      <c r="J449" s="268" t="str">
        <f>$J$7</f>
        <v>Total</v>
      </c>
      <c r="K449" s="268"/>
      <c r="L449" s="268" t="str">
        <f>$L$7</f>
        <v>FT</v>
      </c>
      <c r="M449" s="268" t="str">
        <f>$M$7</f>
        <v>PT</v>
      </c>
      <c r="N449" s="268" t="str">
        <f>$N$7</f>
        <v>SE</v>
      </c>
      <c r="O449" s="268" t="str">
        <f>$O$7</f>
        <v>Total</v>
      </c>
    </row>
    <row r="450" spans="1:15" s="236" customFormat="1" x14ac:dyDescent="0.2">
      <c r="A450" s="258"/>
      <c r="B450" s="239"/>
      <c r="C450" s="239"/>
      <c r="D450" s="239"/>
      <c r="E450" s="239"/>
      <c r="F450" s="239"/>
      <c r="G450" s="239"/>
      <c r="H450" s="239"/>
      <c r="I450" s="239"/>
      <c r="J450" s="239"/>
      <c r="K450" s="239"/>
      <c r="L450" s="239"/>
      <c r="M450" s="239"/>
      <c r="N450" s="239"/>
      <c r="O450" s="239"/>
    </row>
    <row r="451" spans="1:15" s="236" customFormat="1" x14ac:dyDescent="0.2">
      <c r="A451" s="237" t="str">
        <f>name!E$4</f>
        <v>Managers, directors and senior officials</v>
      </c>
      <c r="B451" s="302">
        <v>8.5446852824140884E-3</v>
      </c>
      <c r="C451" s="302">
        <v>1.7904836547473079E-4</v>
      </c>
      <c r="D451" s="302">
        <v>0</v>
      </c>
      <c r="E451" s="302">
        <f>SUM(B451:D451)</f>
        <v>8.7237336478888199E-3</v>
      </c>
      <c r="F451" s="303"/>
      <c r="G451" s="302">
        <v>7.7914618137548642E-3</v>
      </c>
      <c r="H451" s="302">
        <v>5.3210526923790416E-4</v>
      </c>
      <c r="I451" s="302">
        <v>7.2833233951766089E-4</v>
      </c>
      <c r="J451" s="302">
        <f>SUM(G451:I451)</f>
        <v>9.0518994225104281E-3</v>
      </c>
      <c r="K451" s="303"/>
      <c r="L451" s="302">
        <v>7.8735038496364311E-3</v>
      </c>
      <c r="M451" s="302">
        <v>6.1211037263114428E-4</v>
      </c>
      <c r="N451" s="302">
        <v>8.7310076553287789E-4</v>
      </c>
      <c r="O451" s="302">
        <f>SUM(L451:N451)</f>
        <v>9.3587149878004532E-3</v>
      </c>
    </row>
    <row r="452" spans="1:15" s="236" customFormat="1" x14ac:dyDescent="0.2">
      <c r="A452" s="237" t="str">
        <f>name!E$5</f>
        <v>Professional occupations</v>
      </c>
      <c r="B452" s="302">
        <v>7.4462867893635223E-3</v>
      </c>
      <c r="C452" s="302">
        <v>5.1026395168061013E-4</v>
      </c>
      <c r="D452" s="302">
        <v>0</v>
      </c>
      <c r="E452" s="302">
        <f t="shared" ref="E452:E459" si="203">SUM(B452:D452)</f>
        <v>7.956550741044132E-3</v>
      </c>
      <c r="F452" s="303"/>
      <c r="G452" s="302">
        <v>7.6873582242206291E-3</v>
      </c>
      <c r="H452" s="302">
        <v>1.4409523024099665E-3</v>
      </c>
      <c r="I452" s="302">
        <v>7.9714974805842839E-4</v>
      </c>
      <c r="J452" s="302">
        <f t="shared" ref="J452:J454" si="204">SUM(G452:I452)</f>
        <v>9.9254602746890238E-3</v>
      </c>
      <c r="K452" s="303"/>
      <c r="L452" s="302">
        <v>7.7602718182537738E-3</v>
      </c>
      <c r="M452" s="302">
        <v>1.6727947101819124E-3</v>
      </c>
      <c r="N452" s="302">
        <v>8.2412256247167519E-4</v>
      </c>
      <c r="O452" s="302">
        <f t="shared" ref="O452:O459" si="205">SUM(L452:N452)</f>
        <v>1.0257189090907361E-2</v>
      </c>
    </row>
    <row r="453" spans="1:15" s="236" customFormat="1" x14ac:dyDescent="0.2">
      <c r="A453" s="237" t="str">
        <f>name!E$6</f>
        <v>Associate professional occupations</v>
      </c>
      <c r="B453" s="302">
        <v>7.0819117781508803E-3</v>
      </c>
      <c r="C453" s="302">
        <v>1.441515860363927E-3</v>
      </c>
      <c r="D453" s="302">
        <v>0</v>
      </c>
      <c r="E453" s="302">
        <f t="shared" si="203"/>
        <v>8.5234276385148071E-3</v>
      </c>
      <c r="F453" s="303"/>
      <c r="G453" s="302">
        <v>6.5303210418055672E-3</v>
      </c>
      <c r="H453" s="302">
        <v>3.2850178147692585E-3</v>
      </c>
      <c r="I453" s="302">
        <v>5.1787464245463689E-4</v>
      </c>
      <c r="J453" s="302">
        <f t="shared" si="204"/>
        <v>1.0333213499029461E-2</v>
      </c>
      <c r="K453" s="303"/>
      <c r="L453" s="302">
        <v>5.9506840269590378E-3</v>
      </c>
      <c r="M453" s="302">
        <v>3.8951184471083858E-3</v>
      </c>
      <c r="N453" s="302">
        <v>5.1468218506319906E-4</v>
      </c>
      <c r="O453" s="302">
        <f t="shared" si="205"/>
        <v>1.0360484659130623E-2</v>
      </c>
    </row>
    <row r="454" spans="1:15" s="236" customFormat="1" x14ac:dyDescent="0.2">
      <c r="A454" s="237" t="str">
        <f>name!E$7</f>
        <v>Administrative and secretarial occupations</v>
      </c>
      <c r="B454" s="302">
        <v>4.1805420118248855E-3</v>
      </c>
      <c r="C454" s="302">
        <v>2.5311766006323854E-3</v>
      </c>
      <c r="D454" s="302">
        <v>0</v>
      </c>
      <c r="E454" s="302">
        <f t="shared" si="203"/>
        <v>6.7117186124572709E-3</v>
      </c>
      <c r="F454" s="303"/>
      <c r="G454" s="302">
        <v>3.8652474780035747E-3</v>
      </c>
      <c r="H454" s="302">
        <v>5.1644109887122947E-3</v>
      </c>
      <c r="I454" s="302">
        <v>9.7062868707451392E-5</v>
      </c>
      <c r="J454" s="302">
        <f t="shared" si="204"/>
        <v>9.1267213354233219E-3</v>
      </c>
      <c r="K454" s="303"/>
      <c r="L454" s="302">
        <v>3.9048981695121851E-3</v>
      </c>
      <c r="M454" s="302">
        <v>5.3863013043771151E-3</v>
      </c>
      <c r="N454" s="302">
        <v>1.1860317244725331E-4</v>
      </c>
      <c r="O454" s="302">
        <f t="shared" si="205"/>
        <v>9.4098026463365521E-3</v>
      </c>
    </row>
    <row r="455" spans="1:15" s="236" customFormat="1" x14ac:dyDescent="0.2">
      <c r="A455" s="237" t="str">
        <f>name!E$8</f>
        <v>Skilled trades occupations</v>
      </c>
      <c r="B455" s="302">
        <v>1.0500720923885626E-2</v>
      </c>
      <c r="C455" s="302">
        <v>2.0566396829046704E-4</v>
      </c>
      <c r="D455" s="302">
        <v>0</v>
      </c>
      <c r="E455" s="302">
        <f t="shared" si="203"/>
        <v>1.0706384892176093E-2</v>
      </c>
      <c r="F455" s="303"/>
      <c r="G455" s="302">
        <v>6.6854008685229447E-3</v>
      </c>
      <c r="H455" s="302">
        <v>2.5021613165607275E-4</v>
      </c>
      <c r="I455" s="302">
        <v>1.7852911062764278E-3</v>
      </c>
      <c r="J455" s="302">
        <f>SUM(G455:I455)</f>
        <v>8.7209081064554446E-3</v>
      </c>
      <c r="K455" s="303"/>
      <c r="L455" s="302">
        <v>5.093518639723623E-3</v>
      </c>
      <c r="M455" s="302">
        <v>3.9645877678995249E-4</v>
      </c>
      <c r="N455" s="302">
        <v>2.3033068708725331E-3</v>
      </c>
      <c r="O455" s="302">
        <f t="shared" si="205"/>
        <v>7.793284287386109E-3</v>
      </c>
    </row>
    <row r="456" spans="1:15" s="236" customFormat="1" x14ac:dyDescent="0.2">
      <c r="A456" s="237" t="str">
        <f>name!E$9</f>
        <v>Caring, leisure and other service occupations</v>
      </c>
      <c r="B456" s="302">
        <v>2.8050709175605959E-3</v>
      </c>
      <c r="C456" s="302">
        <v>3.3917232481834892E-4</v>
      </c>
      <c r="D456" s="302">
        <v>0</v>
      </c>
      <c r="E456" s="302">
        <f t="shared" si="203"/>
        <v>3.1442432423789447E-3</v>
      </c>
      <c r="F456" s="303"/>
      <c r="G456" s="302">
        <v>2.6705207820331652E-3</v>
      </c>
      <c r="H456" s="302">
        <v>6.7138605359499145E-4</v>
      </c>
      <c r="I456" s="302">
        <v>2.1321979513686166E-4</v>
      </c>
      <c r="J456" s="302">
        <f t="shared" ref="J456:J459" si="206">SUM(G456:I456)</f>
        <v>3.5551266307650179E-3</v>
      </c>
      <c r="K456" s="303"/>
      <c r="L456" s="302">
        <v>3.0989472360372821E-3</v>
      </c>
      <c r="M456" s="302">
        <v>7.8897998822252116E-4</v>
      </c>
      <c r="N456" s="302">
        <v>2.6806284007387332E-4</v>
      </c>
      <c r="O456" s="302">
        <f t="shared" si="205"/>
        <v>4.1559900643336764E-3</v>
      </c>
    </row>
    <row r="457" spans="1:15" s="236" customFormat="1" x14ac:dyDescent="0.2">
      <c r="A457" s="237" t="str">
        <f>name!E$10</f>
        <v>Sales and customer service occupations</v>
      </c>
      <c r="B457" s="302">
        <v>1.8296715344334144E-3</v>
      </c>
      <c r="C457" s="302">
        <v>7.1335978665956041E-4</v>
      </c>
      <c r="D457" s="302">
        <v>0</v>
      </c>
      <c r="E457" s="302">
        <f t="shared" si="203"/>
        <v>2.5430313210929745E-3</v>
      </c>
      <c r="F457" s="303"/>
      <c r="G457" s="302">
        <v>1.5817546314319346E-3</v>
      </c>
      <c r="H457" s="302">
        <v>1.2950028351551149E-3</v>
      </c>
      <c r="I457" s="302">
        <v>1.6558187190570929E-4</v>
      </c>
      <c r="J457" s="302">
        <f t="shared" si="206"/>
        <v>3.0423393384927588E-3</v>
      </c>
      <c r="K457" s="303"/>
      <c r="L457" s="302">
        <v>1.8249028284423657E-3</v>
      </c>
      <c r="M457" s="302">
        <v>1.3427528433630977E-3</v>
      </c>
      <c r="N457" s="302">
        <v>1.4822661352841199E-4</v>
      </c>
      <c r="O457" s="302">
        <f t="shared" si="205"/>
        <v>3.3158822853338755E-3</v>
      </c>
    </row>
    <row r="458" spans="1:15" s="236" customFormat="1" x14ac:dyDescent="0.2">
      <c r="A458" s="237" t="str">
        <f>name!E$11</f>
        <v>Process, plant and machine operatives</v>
      </c>
      <c r="B458" s="302">
        <v>6.6867788788323002E-2</v>
      </c>
      <c r="C458" s="302">
        <v>1.7339453857016213E-4</v>
      </c>
      <c r="D458" s="302">
        <v>0</v>
      </c>
      <c r="E458" s="302">
        <f t="shared" si="203"/>
        <v>6.704118332689317E-2</v>
      </c>
      <c r="F458" s="303"/>
      <c r="G458" s="302">
        <v>4.6598388400763968E-2</v>
      </c>
      <c r="H458" s="302">
        <v>2.8143686487658802E-4</v>
      </c>
      <c r="I458" s="302">
        <v>4.0960415202088009E-4</v>
      </c>
      <c r="J458" s="302">
        <f t="shared" si="206"/>
        <v>4.7289429417661441E-2</v>
      </c>
      <c r="K458" s="303"/>
      <c r="L458" s="302">
        <v>5.0527582814348632E-2</v>
      </c>
      <c r="M458" s="302">
        <v>4.927357191805503E-4</v>
      </c>
      <c r="N458" s="302">
        <v>5.1461339028626221E-4</v>
      </c>
      <c r="O458" s="302">
        <f t="shared" si="205"/>
        <v>5.1534931923815447E-2</v>
      </c>
    </row>
    <row r="459" spans="1:15" s="236" customFormat="1" x14ac:dyDescent="0.2">
      <c r="A459" s="237" t="str">
        <f>name!E$12</f>
        <v>Elementary occupations</v>
      </c>
      <c r="B459" s="302">
        <v>6.8743321975469646E-2</v>
      </c>
      <c r="C459" s="302">
        <v>1.9064046035669308E-3</v>
      </c>
      <c r="D459" s="302">
        <v>0</v>
      </c>
      <c r="E459" s="302">
        <f t="shared" si="203"/>
        <v>7.0649726579036579E-2</v>
      </c>
      <c r="F459" s="303"/>
      <c r="G459" s="302">
        <v>5.1589546759748826E-2</v>
      </c>
      <c r="H459" s="302">
        <v>3.0794717396570867E-3</v>
      </c>
      <c r="I459" s="302">
        <v>2.8588347589564279E-4</v>
      </c>
      <c r="J459" s="302">
        <f t="shared" si="206"/>
        <v>5.4954901975301555E-2</v>
      </c>
      <c r="K459" s="303"/>
      <c r="L459" s="302">
        <v>5.2965690615323441E-2</v>
      </c>
      <c r="M459" s="302">
        <v>3.4127478381940648E-3</v>
      </c>
      <c r="N459" s="302">
        <v>4.3528159970662316E-4</v>
      </c>
      <c r="O459" s="302">
        <f t="shared" si="205"/>
        <v>5.6813720053224125E-2</v>
      </c>
    </row>
    <row r="460" spans="1:15" s="236" customFormat="1" x14ac:dyDescent="0.2">
      <c r="A460" s="237"/>
      <c r="B460" s="302"/>
      <c r="C460" s="302"/>
      <c r="D460" s="302"/>
      <c r="E460" s="302"/>
      <c r="F460" s="303"/>
      <c r="G460" s="302"/>
      <c r="H460" s="302"/>
      <c r="I460" s="302"/>
      <c r="J460" s="302"/>
      <c r="K460" s="303"/>
      <c r="L460" s="302"/>
      <c r="M460" s="302"/>
      <c r="N460" s="302"/>
      <c r="O460" s="302"/>
    </row>
    <row r="461" spans="1:15" s="236" customFormat="1" x14ac:dyDescent="0.2">
      <c r="A461" s="244" t="s">
        <v>32</v>
      </c>
      <c r="B461" s="311">
        <f>SUM(B451:B459)</f>
        <v>0.17800000000142566</v>
      </c>
      <c r="C461" s="311">
        <f t="shared" ref="C461:E461" si="207">SUM(C451:C459)</f>
        <v>8.0000000000571229E-3</v>
      </c>
      <c r="D461" s="311">
        <f t="shared" si="207"/>
        <v>0</v>
      </c>
      <c r="E461" s="311">
        <f t="shared" si="207"/>
        <v>0.18600000000148278</v>
      </c>
      <c r="F461" s="311"/>
      <c r="G461" s="311">
        <f t="shared" ref="G461:J461" si="208">SUM(G451:G459)</f>
        <v>0.13500000000028547</v>
      </c>
      <c r="H461" s="311">
        <f t="shared" si="208"/>
        <v>1.6000000000069278E-2</v>
      </c>
      <c r="I461" s="311">
        <f t="shared" si="208"/>
        <v>4.9999999999736991E-3</v>
      </c>
      <c r="J461" s="311">
        <f t="shared" si="208"/>
        <v>0.15600000000032846</v>
      </c>
      <c r="K461" s="311"/>
      <c r="L461" s="311">
        <f t="shared" ref="L461:O461" si="209">SUM(L451:L459)</f>
        <v>0.13899999999823676</v>
      </c>
      <c r="M461" s="311">
        <f t="shared" si="209"/>
        <v>1.8000000000048741E-2</v>
      </c>
      <c r="N461" s="311">
        <f t="shared" si="209"/>
        <v>5.9999999999827084E-3</v>
      </c>
      <c r="O461" s="311">
        <f t="shared" si="209"/>
        <v>0.16299999999826822</v>
      </c>
    </row>
    <row r="462" spans="1:15" s="236" customFormat="1" x14ac:dyDescent="0.2">
      <c r="A462" s="237"/>
      <c r="B462" s="237"/>
      <c r="C462" s="237"/>
      <c r="D462" s="237"/>
      <c r="E462" s="237"/>
      <c r="F462" s="237"/>
      <c r="G462" s="237"/>
      <c r="H462" s="237"/>
      <c r="I462" s="237"/>
      <c r="J462" s="237"/>
      <c r="K462" s="237"/>
      <c r="L462" s="237"/>
      <c r="M462" s="237"/>
      <c r="N462" s="240"/>
    </row>
    <row r="463" spans="1:15" s="236" customFormat="1" x14ac:dyDescent="0.2">
      <c r="A463" s="237"/>
      <c r="B463" s="237"/>
      <c r="C463" s="237"/>
      <c r="D463" s="237"/>
      <c r="E463" s="237"/>
      <c r="F463" s="237"/>
      <c r="G463" s="237"/>
      <c r="H463" s="237"/>
      <c r="I463" s="237"/>
      <c r="J463" s="237"/>
      <c r="K463" s="237"/>
      <c r="L463" s="237"/>
      <c r="M463" s="237"/>
      <c r="N463" s="240"/>
      <c r="O463" s="251" t="s">
        <v>35</v>
      </c>
    </row>
    <row r="464" spans="1:15" s="236" customFormat="1" x14ac:dyDescent="0.2">
      <c r="A464" s="242"/>
      <c r="B464" s="242"/>
      <c r="C464" s="242"/>
      <c r="D464" s="242"/>
      <c r="E464" s="242"/>
      <c r="F464" s="242"/>
      <c r="G464" s="242"/>
      <c r="H464" s="242"/>
      <c r="I464" s="242"/>
      <c r="J464" s="242"/>
      <c r="K464" s="242"/>
      <c r="L464" s="242"/>
      <c r="M464" s="242"/>
      <c r="N464" s="242"/>
      <c r="O464" s="242"/>
    </row>
    <row r="465" spans="1:15" s="236" customFormat="1" x14ac:dyDescent="0.2">
      <c r="A465" s="241" t="str">
        <f>name!A30</f>
        <v>Waste management</v>
      </c>
      <c r="B465" s="374">
        <f>$B$6</f>
        <v>2015</v>
      </c>
      <c r="C465" s="374"/>
      <c r="D465" s="374"/>
      <c r="E465" s="374"/>
      <c r="F465" s="263"/>
      <c r="G465" s="374">
        <f>$G$6</f>
        <v>2020</v>
      </c>
      <c r="H465" s="374"/>
      <c r="I465" s="374"/>
      <c r="J465" s="374"/>
      <c r="K465" s="263"/>
      <c r="L465" s="374">
        <f>$L$6</f>
        <v>2035</v>
      </c>
      <c r="M465" s="374"/>
      <c r="N465" s="374"/>
      <c r="O465" s="374"/>
    </row>
    <row r="466" spans="1:15" s="236" customFormat="1" x14ac:dyDescent="0.2">
      <c r="A466" s="254"/>
      <c r="B466" s="268" t="str">
        <f>$B$7</f>
        <v>FT</v>
      </c>
      <c r="C466" s="268" t="str">
        <f>$C$7</f>
        <v>PT</v>
      </c>
      <c r="D466" s="268" t="str">
        <f>$D$7</f>
        <v>SE</v>
      </c>
      <c r="E466" s="268" t="str">
        <f>$E$7</f>
        <v>Total</v>
      </c>
      <c r="F466" s="268"/>
      <c r="G466" s="268" t="str">
        <f>$G$7</f>
        <v>FT</v>
      </c>
      <c r="H466" s="268" t="str">
        <f>$H$7</f>
        <v>PT</v>
      </c>
      <c r="I466" s="268" t="str">
        <f>$I$7</f>
        <v>SE</v>
      </c>
      <c r="J466" s="268" t="str">
        <f>$J$7</f>
        <v>Total</v>
      </c>
      <c r="K466" s="268"/>
      <c r="L466" s="268" t="str">
        <f>$L$7</f>
        <v>FT</v>
      </c>
      <c r="M466" s="268" t="str">
        <f>$M$7</f>
        <v>PT</v>
      </c>
      <c r="N466" s="268" t="str">
        <f>$N$7</f>
        <v>SE</v>
      </c>
      <c r="O466" s="268" t="str">
        <f>$O$7</f>
        <v>Total</v>
      </c>
    </row>
    <row r="467" spans="1:15" s="236" customFormat="1" x14ac:dyDescent="0.2">
      <c r="A467" s="258"/>
      <c r="B467" s="239"/>
      <c r="C467" s="239"/>
      <c r="D467" s="239"/>
      <c r="E467" s="239"/>
      <c r="F467" s="239"/>
      <c r="G467" s="239"/>
      <c r="H467" s="239"/>
      <c r="I467" s="239"/>
      <c r="J467" s="239"/>
      <c r="K467" s="239"/>
      <c r="L467" s="239"/>
      <c r="M467" s="239"/>
      <c r="N467" s="239"/>
      <c r="O467" s="239"/>
    </row>
    <row r="468" spans="1:15" s="236" customFormat="1" x14ac:dyDescent="0.2">
      <c r="A468" s="237" t="str">
        <f>name!E$4</f>
        <v>Managers, directors and senior officials</v>
      </c>
      <c r="B468" s="302">
        <v>0.17722651755456617</v>
      </c>
      <c r="C468" s="302">
        <v>1.2574206601482733E-2</v>
      </c>
      <c r="D468" s="302">
        <v>0</v>
      </c>
      <c r="E468" s="302">
        <f>SUM(B468:D468)</f>
        <v>0.1898007241560489</v>
      </c>
      <c r="F468" s="303"/>
      <c r="G468" s="302">
        <v>0.22081150515501854</v>
      </c>
      <c r="H468" s="302">
        <v>1.2558816029645288E-2</v>
      </c>
      <c r="I468" s="302">
        <v>0.13709089802460142</v>
      </c>
      <c r="J468" s="302">
        <f>SUM(G468:I468)</f>
        <v>0.37046121920926522</v>
      </c>
      <c r="K468" s="303"/>
      <c r="L468" s="302">
        <v>0.2111376194649883</v>
      </c>
      <c r="M468" s="302">
        <v>9.3894078367648386E-3</v>
      </c>
      <c r="N468" s="302">
        <v>0.14061483316250262</v>
      </c>
      <c r="O468" s="302">
        <f>SUM(L468:N468)</f>
        <v>0.36114186046425578</v>
      </c>
    </row>
    <row r="469" spans="1:15" s="236" customFormat="1" x14ac:dyDescent="0.2">
      <c r="A469" s="237" t="str">
        <f>name!E$5</f>
        <v>Professional occupations</v>
      </c>
      <c r="B469" s="302">
        <v>0.17735581501589959</v>
      </c>
      <c r="C469" s="302">
        <v>2.4516498972834967E-2</v>
      </c>
      <c r="D469" s="302">
        <v>0</v>
      </c>
      <c r="E469" s="302">
        <f t="shared" ref="E469:E476" si="210">SUM(B469:D469)</f>
        <v>0.20187231398873456</v>
      </c>
      <c r="F469" s="303"/>
      <c r="G469" s="302">
        <v>0.25362026347692668</v>
      </c>
      <c r="H469" s="302">
        <v>2.3628378848684826E-2</v>
      </c>
      <c r="I469" s="302">
        <v>3.2983441817380846E-2</v>
      </c>
      <c r="J469" s="302">
        <f t="shared" ref="J469:J471" si="211">SUM(G469:I469)</f>
        <v>0.31023208414299236</v>
      </c>
      <c r="K469" s="303"/>
      <c r="L469" s="302">
        <v>0.26989170771779231</v>
      </c>
      <c r="M469" s="302">
        <v>2.0877279913818079E-2</v>
      </c>
      <c r="N469" s="302">
        <v>2.8965759877981164E-2</v>
      </c>
      <c r="O469" s="302">
        <f t="shared" ref="O469:O476" si="212">SUM(L469:N469)</f>
        <v>0.31973474750959158</v>
      </c>
    </row>
    <row r="470" spans="1:15" s="236" customFormat="1" x14ac:dyDescent="0.2">
      <c r="A470" s="237" t="str">
        <f>name!E$6</f>
        <v>Associate professional occupations</v>
      </c>
      <c r="B470" s="302">
        <v>0.26706759634399702</v>
      </c>
      <c r="C470" s="302">
        <v>2.6837893947376706E-2</v>
      </c>
      <c r="D470" s="302">
        <v>0</v>
      </c>
      <c r="E470" s="302">
        <f t="shared" si="210"/>
        <v>0.29390549029137369</v>
      </c>
      <c r="F470" s="303"/>
      <c r="G470" s="302">
        <v>0.36382175152846308</v>
      </c>
      <c r="H470" s="302">
        <v>5.9038363680508993E-2</v>
      </c>
      <c r="I470" s="302">
        <v>2.6324139523501509E-2</v>
      </c>
      <c r="J470" s="302">
        <f t="shared" si="211"/>
        <v>0.44918425473247353</v>
      </c>
      <c r="K470" s="303"/>
      <c r="L470" s="302">
        <v>0.51183915370819322</v>
      </c>
      <c r="M470" s="302">
        <v>8.1482625780717605E-2</v>
      </c>
      <c r="N470" s="302">
        <v>2.5038557458271202E-2</v>
      </c>
      <c r="O470" s="302">
        <f t="shared" si="212"/>
        <v>0.61836033694718207</v>
      </c>
    </row>
    <row r="471" spans="1:15" s="236" customFormat="1" x14ac:dyDescent="0.2">
      <c r="A471" s="237" t="str">
        <f>name!E$7</f>
        <v>Administrative and secretarial occupations</v>
      </c>
      <c r="B471" s="302">
        <v>0.33665800196671947</v>
      </c>
      <c r="C471" s="302">
        <v>0.11496013676005634</v>
      </c>
      <c r="D471" s="302">
        <v>0</v>
      </c>
      <c r="E471" s="302">
        <f t="shared" si="210"/>
        <v>0.45161813872677581</v>
      </c>
      <c r="F471" s="303"/>
      <c r="G471" s="302">
        <v>0.34970721730992316</v>
      </c>
      <c r="H471" s="302">
        <v>0.10079357698688854</v>
      </c>
      <c r="I471" s="302">
        <v>5.6214498846733109E-3</v>
      </c>
      <c r="J471" s="302">
        <f t="shared" si="211"/>
        <v>0.456122244181485</v>
      </c>
      <c r="K471" s="303"/>
      <c r="L471" s="302">
        <v>0.34443912898378132</v>
      </c>
      <c r="M471" s="302">
        <v>0.10222393939945705</v>
      </c>
      <c r="N471" s="302">
        <v>6.3339684759570877E-3</v>
      </c>
      <c r="O471" s="302">
        <f t="shared" si="212"/>
        <v>0.45299703685919546</v>
      </c>
    </row>
    <row r="472" spans="1:15" s="236" customFormat="1" x14ac:dyDescent="0.2">
      <c r="A472" s="237" t="str">
        <f>name!E$8</f>
        <v>Skilled trades occupations</v>
      </c>
      <c r="B472" s="302">
        <v>0.17507983847179692</v>
      </c>
      <c r="C472" s="302">
        <v>2.7238334072875368E-2</v>
      </c>
      <c r="D472" s="302">
        <v>0</v>
      </c>
      <c r="E472" s="302">
        <f t="shared" si="210"/>
        <v>0.2023181725446723</v>
      </c>
      <c r="F472" s="303"/>
      <c r="G472" s="302">
        <v>0.15659462810245689</v>
      </c>
      <c r="H472" s="302">
        <v>7.3726498806562114E-3</v>
      </c>
      <c r="I472" s="302">
        <v>0.23034258669845856</v>
      </c>
      <c r="J472" s="302">
        <f>SUM(G472:I472)</f>
        <v>0.3943098646815717</v>
      </c>
      <c r="K472" s="303"/>
      <c r="L472" s="302">
        <v>0.10543390764443739</v>
      </c>
      <c r="M472" s="302">
        <v>5.4218980482344064E-4</v>
      </c>
      <c r="N472" s="302">
        <v>0.18595598141643435</v>
      </c>
      <c r="O472" s="302">
        <f t="shared" si="212"/>
        <v>0.29193207886569517</v>
      </c>
    </row>
    <row r="473" spans="1:15" s="236" customFormat="1" x14ac:dyDescent="0.2">
      <c r="A473" s="237" t="str">
        <f>name!E$9</f>
        <v>Caring, leisure and other service occupations</v>
      </c>
      <c r="B473" s="302">
        <v>7.6014134763504076E-2</v>
      </c>
      <c r="C473" s="302">
        <v>1.0564691173001198E-2</v>
      </c>
      <c r="D473" s="302">
        <v>0</v>
      </c>
      <c r="E473" s="302">
        <f t="shared" si="210"/>
        <v>8.6578825936505274E-2</v>
      </c>
      <c r="F473" s="303"/>
      <c r="G473" s="302">
        <v>9.2308389688294995E-2</v>
      </c>
      <c r="H473" s="302">
        <v>7.917264544931895E-3</v>
      </c>
      <c r="I473" s="302">
        <v>4.0106499069720511E-3</v>
      </c>
      <c r="J473" s="302">
        <f t="shared" ref="J473:J476" si="213">SUM(G473:I473)</f>
        <v>0.10423630414019894</v>
      </c>
      <c r="K473" s="303"/>
      <c r="L473" s="302">
        <v>0.11778940969485864</v>
      </c>
      <c r="M473" s="302">
        <v>1.1008038525350792E-2</v>
      </c>
      <c r="N473" s="302">
        <v>5.4234984605067444E-3</v>
      </c>
      <c r="O473" s="302">
        <f t="shared" si="212"/>
        <v>0.13422094668071619</v>
      </c>
    </row>
    <row r="474" spans="1:15" s="236" customFormat="1" x14ac:dyDescent="0.2">
      <c r="A474" s="237" t="str">
        <f>name!E$10</f>
        <v>Sales and customer service occupations</v>
      </c>
      <c r="B474" s="302">
        <v>7.3338575303509942E-2</v>
      </c>
      <c r="C474" s="302">
        <v>3.1113497943694959E-2</v>
      </c>
      <c r="D474" s="302">
        <v>0</v>
      </c>
      <c r="E474" s="302">
        <f t="shared" si="210"/>
        <v>0.1044520732472049</v>
      </c>
      <c r="F474" s="303"/>
      <c r="G474" s="302">
        <v>7.7295565696494886E-2</v>
      </c>
      <c r="H474" s="302">
        <v>1.8060045020874525E-2</v>
      </c>
      <c r="I474" s="302">
        <v>2.2209015824679147E-2</v>
      </c>
      <c r="J474" s="302">
        <f t="shared" si="213"/>
        <v>0.11756462654204855</v>
      </c>
      <c r="K474" s="303"/>
      <c r="L474" s="302">
        <v>8.1683405369569584E-2</v>
      </c>
      <c r="M474" s="302">
        <v>2.2797978256373662E-2</v>
      </c>
      <c r="N474" s="302">
        <v>1.7195888571368081E-2</v>
      </c>
      <c r="O474" s="302">
        <f t="shared" si="212"/>
        <v>0.12167727219731134</v>
      </c>
    </row>
    <row r="475" spans="1:15" s="236" customFormat="1" x14ac:dyDescent="0.2">
      <c r="A475" s="237" t="str">
        <f>name!E$11</f>
        <v>Process, plant and machine operatives</v>
      </c>
      <c r="B475" s="302">
        <v>1.0225722082815183</v>
      </c>
      <c r="C475" s="302">
        <v>4.6581841170325274E-2</v>
      </c>
      <c r="D475" s="302">
        <v>0</v>
      </c>
      <c r="E475" s="302">
        <f t="shared" si="210"/>
        <v>1.0691540494518437</v>
      </c>
      <c r="F475" s="303"/>
      <c r="G475" s="302">
        <v>1.0171569098378805</v>
      </c>
      <c r="H475" s="302">
        <v>9.2825794005191413E-3</v>
      </c>
      <c r="I475" s="302">
        <v>4.5486998503692248E-2</v>
      </c>
      <c r="J475" s="302">
        <f t="shared" si="213"/>
        <v>1.071926487742092</v>
      </c>
      <c r="K475" s="303"/>
      <c r="L475" s="302">
        <v>1.0709679065885329</v>
      </c>
      <c r="M475" s="302">
        <v>7.2205525832227219E-4</v>
      </c>
      <c r="N475" s="302">
        <v>3.6549892844904279E-2</v>
      </c>
      <c r="O475" s="302">
        <f t="shared" si="212"/>
        <v>1.1082398546917593</v>
      </c>
    </row>
    <row r="476" spans="1:15" s="236" customFormat="1" x14ac:dyDescent="0.2">
      <c r="A476" s="237" t="str">
        <f>name!E$12</f>
        <v>Elementary occupations</v>
      </c>
      <c r="B476" s="302">
        <v>0.99868731231246866</v>
      </c>
      <c r="C476" s="302">
        <v>3.9612899361268793E-2</v>
      </c>
      <c r="D476" s="302">
        <v>0</v>
      </c>
      <c r="E476" s="302">
        <f t="shared" si="210"/>
        <v>1.0383002116737374</v>
      </c>
      <c r="F476" s="303"/>
      <c r="G476" s="302">
        <v>1.090683769205234</v>
      </c>
      <c r="H476" s="302">
        <v>4.3348325608471447E-2</v>
      </c>
      <c r="I476" s="302">
        <v>2.5930819807387782E-2</v>
      </c>
      <c r="J476" s="302">
        <f t="shared" si="213"/>
        <v>1.1599629146210932</v>
      </c>
      <c r="K476" s="303"/>
      <c r="L476" s="302">
        <v>1.1368177607968404</v>
      </c>
      <c r="M476" s="302">
        <v>5.6956485225349081E-2</v>
      </c>
      <c r="N476" s="302">
        <v>2.7921619727240488E-2</v>
      </c>
      <c r="O476" s="302">
        <f t="shared" si="212"/>
        <v>1.2216958657494299</v>
      </c>
    </row>
    <row r="477" spans="1:15" s="236" customFormat="1" x14ac:dyDescent="0.2">
      <c r="A477" s="237"/>
      <c r="B477" s="302"/>
      <c r="C477" s="302"/>
      <c r="D477" s="302"/>
      <c r="E477" s="302"/>
      <c r="F477" s="303"/>
      <c r="G477" s="302"/>
      <c r="H477" s="302"/>
      <c r="I477" s="302"/>
      <c r="J477" s="302"/>
      <c r="K477" s="303"/>
      <c r="L477" s="302"/>
      <c r="M477" s="302"/>
      <c r="N477" s="302"/>
      <c r="O477" s="302"/>
    </row>
    <row r="478" spans="1:15" s="236" customFormat="1" x14ac:dyDescent="0.2">
      <c r="A478" s="244" t="s">
        <v>32</v>
      </c>
      <c r="B478" s="311">
        <f>SUM(B468:B476)</f>
        <v>3.3040000000139802</v>
      </c>
      <c r="C478" s="311">
        <f t="shared" ref="C478:E478" si="214">SUM(C468:C476)</f>
        <v>0.3340000000029163</v>
      </c>
      <c r="D478" s="311">
        <f t="shared" si="214"/>
        <v>0</v>
      </c>
      <c r="E478" s="311">
        <f t="shared" si="214"/>
        <v>3.6380000000168966</v>
      </c>
      <c r="F478" s="311"/>
      <c r="G478" s="311">
        <f t="shared" ref="G478:J478" si="215">SUM(G468:G476)</f>
        <v>3.6220000000006927</v>
      </c>
      <c r="H478" s="311">
        <f t="shared" si="215"/>
        <v>0.28200000000118086</v>
      </c>
      <c r="I478" s="311">
        <f t="shared" si="215"/>
        <v>0.52999999999134684</v>
      </c>
      <c r="J478" s="311">
        <f t="shared" si="215"/>
        <v>4.4339999999932207</v>
      </c>
      <c r="K478" s="311"/>
      <c r="L478" s="311">
        <f t="shared" ref="L478:O478" si="216">SUM(L468:L476)</f>
        <v>3.8499999999689942</v>
      </c>
      <c r="M478" s="311">
        <f t="shared" si="216"/>
        <v>0.30600000000097682</v>
      </c>
      <c r="N478" s="311">
        <f t="shared" si="216"/>
        <v>0.47399999999516607</v>
      </c>
      <c r="O478" s="311">
        <f t="shared" si="216"/>
        <v>4.6299999999651362</v>
      </c>
    </row>
    <row r="479" spans="1:15" s="236" customFormat="1" x14ac:dyDescent="0.2">
      <c r="A479" s="237"/>
      <c r="B479" s="237"/>
      <c r="C479" s="237"/>
      <c r="D479" s="237"/>
      <c r="E479" s="237"/>
      <c r="F479" s="237"/>
      <c r="G479" s="237"/>
      <c r="H479" s="237"/>
      <c r="I479" s="237"/>
      <c r="J479" s="237"/>
      <c r="K479" s="237"/>
      <c r="L479" s="237"/>
      <c r="M479" s="237"/>
      <c r="N479" s="240"/>
    </row>
    <row r="480" spans="1:15" s="236" customFormat="1" x14ac:dyDescent="0.2">
      <c r="A480" s="237"/>
      <c r="B480" s="237"/>
      <c r="C480" s="237"/>
      <c r="D480" s="237"/>
      <c r="E480" s="237"/>
      <c r="F480" s="237"/>
      <c r="G480" s="237"/>
      <c r="H480" s="237"/>
      <c r="I480" s="237"/>
      <c r="J480" s="237"/>
      <c r="K480" s="237"/>
      <c r="L480" s="237"/>
      <c r="M480" s="237"/>
      <c r="N480" s="240"/>
      <c r="O480" s="251" t="s">
        <v>35</v>
      </c>
    </row>
    <row r="481" spans="1:15" s="236" customFormat="1" x14ac:dyDescent="0.2">
      <c r="A481" s="242"/>
      <c r="B481" s="242"/>
      <c r="C481" s="242"/>
      <c r="D481" s="242"/>
      <c r="E481" s="242"/>
      <c r="F481" s="242"/>
      <c r="G481" s="242"/>
      <c r="H481" s="242"/>
      <c r="I481" s="242"/>
      <c r="J481" s="242"/>
      <c r="K481" s="242"/>
      <c r="L481" s="242"/>
      <c r="M481" s="242"/>
      <c r="N481" s="242"/>
      <c r="O481" s="242"/>
    </row>
    <row r="482" spans="1:15" s="236" customFormat="1" x14ac:dyDescent="0.2">
      <c r="A482" s="241" t="str">
        <f>name!A31</f>
        <v>Construction</v>
      </c>
      <c r="B482" s="374">
        <f>$B$6</f>
        <v>2015</v>
      </c>
      <c r="C482" s="374"/>
      <c r="D482" s="374"/>
      <c r="E482" s="374"/>
      <c r="F482" s="263"/>
      <c r="G482" s="374">
        <f>$G$6</f>
        <v>2020</v>
      </c>
      <c r="H482" s="374"/>
      <c r="I482" s="374"/>
      <c r="J482" s="374"/>
      <c r="K482" s="263"/>
      <c r="L482" s="374">
        <f>$L$6</f>
        <v>2035</v>
      </c>
      <c r="M482" s="374"/>
      <c r="N482" s="374"/>
      <c r="O482" s="374"/>
    </row>
    <row r="483" spans="1:15" s="236" customFormat="1" x14ac:dyDescent="0.2">
      <c r="A483" s="254"/>
      <c r="B483" s="268" t="str">
        <f>$B$7</f>
        <v>FT</v>
      </c>
      <c r="C483" s="268" t="str">
        <f>$C$7</f>
        <v>PT</v>
      </c>
      <c r="D483" s="268" t="str">
        <f>$D$7</f>
        <v>SE</v>
      </c>
      <c r="E483" s="268" t="str">
        <f>$E$7</f>
        <v>Total</v>
      </c>
      <c r="F483" s="268"/>
      <c r="G483" s="268" t="str">
        <f>$G$7</f>
        <v>FT</v>
      </c>
      <c r="H483" s="268" t="str">
        <f>$H$7</f>
        <v>PT</v>
      </c>
      <c r="I483" s="268" t="str">
        <f>$I$7</f>
        <v>SE</v>
      </c>
      <c r="J483" s="268" t="str">
        <f>$J$7</f>
        <v>Total</v>
      </c>
      <c r="K483" s="268"/>
      <c r="L483" s="268" t="str">
        <f>$L$7</f>
        <v>FT</v>
      </c>
      <c r="M483" s="268" t="str">
        <f>$M$7</f>
        <v>PT</v>
      </c>
      <c r="N483" s="268" t="str">
        <f>$N$7</f>
        <v>SE</v>
      </c>
      <c r="O483" s="268" t="str">
        <f>$O$7</f>
        <v>Total</v>
      </c>
    </row>
    <row r="484" spans="1:15" s="236" customFormat="1" x14ac:dyDescent="0.2">
      <c r="A484" s="258"/>
      <c r="B484" s="239"/>
      <c r="C484" s="239"/>
      <c r="D484" s="239"/>
      <c r="E484" s="239"/>
      <c r="F484" s="239"/>
      <c r="G484" s="239"/>
      <c r="H484" s="239"/>
      <c r="I484" s="239"/>
      <c r="J484" s="239"/>
      <c r="K484" s="239"/>
      <c r="L484" s="239"/>
      <c r="M484" s="239"/>
      <c r="N484" s="239"/>
      <c r="O484" s="239"/>
    </row>
    <row r="485" spans="1:15" s="236" customFormat="1" x14ac:dyDescent="0.2">
      <c r="A485" s="237" t="str">
        <f>name!E$4</f>
        <v>Managers, directors and senior officials</v>
      </c>
      <c r="B485" s="302">
        <v>1.0821814718455292</v>
      </c>
      <c r="C485" s="302">
        <v>7.7184027977292777E-2</v>
      </c>
      <c r="D485" s="302">
        <v>0.29039807153620728</v>
      </c>
      <c r="E485" s="302">
        <f>SUM(B485:D485)</f>
        <v>1.4497635713590293</v>
      </c>
      <c r="F485" s="303"/>
      <c r="G485" s="302">
        <v>1.1738380256505576</v>
      </c>
      <c r="H485" s="302">
        <v>0.18507719561290339</v>
      </c>
      <c r="I485" s="302">
        <v>0.41661212296628425</v>
      </c>
      <c r="J485" s="302">
        <f>SUM(G485:I485)</f>
        <v>1.7755273442297452</v>
      </c>
      <c r="K485" s="303"/>
      <c r="L485" s="302">
        <v>1.2300844273577596</v>
      </c>
      <c r="M485" s="302">
        <v>0.19600053654911972</v>
      </c>
      <c r="N485" s="302">
        <v>0.41533851871582012</v>
      </c>
      <c r="O485" s="302">
        <f>SUM(L485:N485)</f>
        <v>1.8414234826226994</v>
      </c>
    </row>
    <row r="486" spans="1:15" s="236" customFormat="1" x14ac:dyDescent="0.2">
      <c r="A486" s="237" t="str">
        <f>name!E$5</f>
        <v>Professional occupations</v>
      </c>
      <c r="B486" s="302">
        <v>1.1808481973114988</v>
      </c>
      <c r="C486" s="302">
        <v>4.8240577117380327E-2</v>
      </c>
      <c r="D486" s="302">
        <v>0.10906543334419021</v>
      </c>
      <c r="E486" s="302">
        <f t="shared" ref="E486:E493" si="217">SUM(B486:D486)</f>
        <v>1.3381542077730695</v>
      </c>
      <c r="F486" s="303"/>
      <c r="G486" s="302">
        <v>1.4461025548272921</v>
      </c>
      <c r="H486" s="302">
        <v>0.10408736039425605</v>
      </c>
      <c r="I486" s="302">
        <v>0.15069006158433529</v>
      </c>
      <c r="J486" s="302">
        <f t="shared" ref="J486:J488" si="218">SUM(G486:I486)</f>
        <v>1.7008799768058833</v>
      </c>
      <c r="K486" s="303"/>
      <c r="L486" s="302">
        <v>1.7182016587375888</v>
      </c>
      <c r="M486" s="302">
        <v>0.11408093041826149</v>
      </c>
      <c r="N486" s="302">
        <v>0.11802657510254594</v>
      </c>
      <c r="O486" s="302">
        <f t="shared" ref="O486:O493" si="219">SUM(L486:N486)</f>
        <v>1.9503091642583963</v>
      </c>
    </row>
    <row r="487" spans="1:15" s="236" customFormat="1" x14ac:dyDescent="0.2">
      <c r="A487" s="237" t="str">
        <f>name!E$6</f>
        <v>Associate professional occupations</v>
      </c>
      <c r="B487" s="302">
        <v>0.86820524583033143</v>
      </c>
      <c r="C487" s="302">
        <v>7.0188281174131187E-2</v>
      </c>
      <c r="D487" s="302">
        <v>7.5904085710234145E-2</v>
      </c>
      <c r="E487" s="302">
        <f t="shared" si="217"/>
        <v>1.0142976127146968</v>
      </c>
      <c r="F487" s="303"/>
      <c r="G487" s="302">
        <v>0.98797298527501609</v>
      </c>
      <c r="H487" s="302">
        <v>0.1377571223139899</v>
      </c>
      <c r="I487" s="302">
        <v>7.5060922539746888E-2</v>
      </c>
      <c r="J487" s="302">
        <f t="shared" si="218"/>
        <v>1.200791030128753</v>
      </c>
      <c r="K487" s="303"/>
      <c r="L487" s="302">
        <v>0.95505015547870198</v>
      </c>
      <c r="M487" s="302">
        <v>0.12207581380097478</v>
      </c>
      <c r="N487" s="302">
        <v>7.1495379677285767E-2</v>
      </c>
      <c r="O487" s="302">
        <f t="shared" si="219"/>
        <v>1.1486213489569626</v>
      </c>
    </row>
    <row r="488" spans="1:15" s="236" customFormat="1" x14ac:dyDescent="0.2">
      <c r="A488" s="237" t="str">
        <f>name!E$7</f>
        <v>Administrative and secretarial occupations</v>
      </c>
      <c r="B488" s="302">
        <v>1.0290511719608018</v>
      </c>
      <c r="C488" s="302">
        <v>0.31395995218743461</v>
      </c>
      <c r="D488" s="302">
        <v>0.31490449784558433</v>
      </c>
      <c r="E488" s="302">
        <f t="shared" si="217"/>
        <v>1.6579156219938207</v>
      </c>
      <c r="F488" s="303"/>
      <c r="G488" s="302">
        <v>0.87142765238326425</v>
      </c>
      <c r="H488" s="302">
        <v>0.4365101731741427</v>
      </c>
      <c r="I488" s="302">
        <v>0.14517681021009496</v>
      </c>
      <c r="J488" s="302">
        <f t="shared" si="218"/>
        <v>1.453114635767502</v>
      </c>
      <c r="K488" s="303"/>
      <c r="L488" s="302">
        <v>0.60692324424978528</v>
      </c>
      <c r="M488" s="302">
        <v>0.41857896741789102</v>
      </c>
      <c r="N488" s="302">
        <v>8.5927376509569692E-2</v>
      </c>
      <c r="O488" s="302">
        <f t="shared" si="219"/>
        <v>1.1114295881772458</v>
      </c>
    </row>
    <row r="489" spans="1:15" s="236" customFormat="1" x14ac:dyDescent="0.2">
      <c r="A489" s="237" t="str">
        <f>name!E$8</f>
        <v>Skilled trades occupations</v>
      </c>
      <c r="B489" s="302">
        <v>8.3968355557138992</v>
      </c>
      <c r="C489" s="302">
        <v>0.27924580491053791</v>
      </c>
      <c r="D489" s="302">
        <v>4.2823611954867795</v>
      </c>
      <c r="E489" s="302">
        <f t="shared" si="217"/>
        <v>12.958442556111216</v>
      </c>
      <c r="F489" s="303"/>
      <c r="G489" s="302">
        <v>6.4276905573080487</v>
      </c>
      <c r="H489" s="302">
        <v>0.25896690219809387</v>
      </c>
      <c r="I489" s="302">
        <v>4.5988178281774568</v>
      </c>
      <c r="J489" s="302">
        <f>SUM(G489:I489)</f>
        <v>11.2854752876836</v>
      </c>
      <c r="K489" s="303"/>
      <c r="L489" s="302">
        <v>5.6528394551973999</v>
      </c>
      <c r="M489" s="302">
        <v>0.36907105909795612</v>
      </c>
      <c r="N489" s="302">
        <v>4.4800850068303371</v>
      </c>
      <c r="O489" s="302">
        <f t="shared" si="219"/>
        <v>10.501995521125693</v>
      </c>
    </row>
    <row r="490" spans="1:15" s="236" customFormat="1" x14ac:dyDescent="0.2">
      <c r="A490" s="237" t="str">
        <f>name!E$9</f>
        <v>Caring, leisure and other service occupations</v>
      </c>
      <c r="B490" s="302">
        <v>3.1389603236304811E-2</v>
      </c>
      <c r="C490" s="302">
        <v>8.3669342384483196E-3</v>
      </c>
      <c r="D490" s="302">
        <v>7.0650894880500258E-3</v>
      </c>
      <c r="E490" s="302">
        <f t="shared" si="217"/>
        <v>4.6821626962803162E-2</v>
      </c>
      <c r="F490" s="303"/>
      <c r="G490" s="302">
        <v>3.0670795695534724E-2</v>
      </c>
      <c r="H490" s="302">
        <v>1.3165599096683866E-2</v>
      </c>
      <c r="I490" s="302">
        <v>4.9992073919697478E-3</v>
      </c>
      <c r="J490" s="302">
        <f t="shared" ref="J490:J493" si="220">SUM(G490:I490)</f>
        <v>4.8835602184188337E-2</v>
      </c>
      <c r="K490" s="303"/>
      <c r="L490" s="302">
        <v>2.9246873015806391E-2</v>
      </c>
      <c r="M490" s="302">
        <v>9.8625361419051611E-3</v>
      </c>
      <c r="N490" s="302">
        <v>8.2287115166222898E-3</v>
      </c>
      <c r="O490" s="302">
        <f t="shared" si="219"/>
        <v>4.7338120674333836E-2</v>
      </c>
    </row>
    <row r="491" spans="1:15" s="236" customFormat="1" x14ac:dyDescent="0.2">
      <c r="A491" s="237" t="str">
        <f>name!E$10</f>
        <v>Sales and customer service occupations</v>
      </c>
      <c r="B491" s="302">
        <v>0.25713260755106332</v>
      </c>
      <c r="C491" s="302">
        <v>9.787800931189318E-2</v>
      </c>
      <c r="D491" s="302">
        <v>4.0500572878656139E-2</v>
      </c>
      <c r="E491" s="302">
        <f t="shared" si="217"/>
        <v>0.39551118974161265</v>
      </c>
      <c r="F491" s="303"/>
      <c r="G491" s="302">
        <v>0.22071328559602346</v>
      </c>
      <c r="H491" s="302">
        <v>0.13990608984926869</v>
      </c>
      <c r="I491" s="302">
        <v>2.6513252756424136E-2</v>
      </c>
      <c r="J491" s="302">
        <f t="shared" si="220"/>
        <v>0.38713262820171629</v>
      </c>
      <c r="K491" s="303"/>
      <c r="L491" s="302">
        <v>0.22955339057570073</v>
      </c>
      <c r="M491" s="302">
        <v>0.13863096064648223</v>
      </c>
      <c r="N491" s="302">
        <v>3.0379511309129782E-2</v>
      </c>
      <c r="O491" s="302">
        <f t="shared" si="219"/>
        <v>0.39856386253131276</v>
      </c>
    </row>
    <row r="492" spans="1:15" s="236" customFormat="1" x14ac:dyDescent="0.2">
      <c r="A492" s="237" t="str">
        <f>name!E$11</f>
        <v>Process, plant and machine operatives</v>
      </c>
      <c r="B492" s="302">
        <v>1.3367187727538021</v>
      </c>
      <c r="C492" s="302">
        <v>5.0663679929802259E-2</v>
      </c>
      <c r="D492" s="302">
        <v>0.21052228824398597</v>
      </c>
      <c r="E492" s="302">
        <f t="shared" si="217"/>
        <v>1.5979047409275904</v>
      </c>
      <c r="F492" s="303"/>
      <c r="G492" s="302">
        <v>1.0306278063407652</v>
      </c>
      <c r="H492" s="302">
        <v>8.5642455472644083E-2</v>
      </c>
      <c r="I492" s="302">
        <v>0.32296175518128889</v>
      </c>
      <c r="J492" s="302">
        <f t="shared" si="220"/>
        <v>1.4392320169946982</v>
      </c>
      <c r="K492" s="303"/>
      <c r="L492" s="302">
        <v>1.0805544437334584</v>
      </c>
      <c r="M492" s="302">
        <v>9.2324138315808879E-2</v>
      </c>
      <c r="N492" s="302">
        <v>0.44024971328230134</v>
      </c>
      <c r="O492" s="302">
        <f t="shared" si="219"/>
        <v>1.6131282953315687</v>
      </c>
    </row>
    <row r="493" spans="1:15" s="236" customFormat="1" x14ac:dyDescent="0.2">
      <c r="A493" s="237" t="str">
        <f>name!E$12</f>
        <v>Elementary occupations</v>
      </c>
      <c r="B493" s="302">
        <v>0.5936373738448808</v>
      </c>
      <c r="C493" s="302">
        <v>0.16227273316462826</v>
      </c>
      <c r="D493" s="302">
        <v>0.24927876533866836</v>
      </c>
      <c r="E493" s="302">
        <f t="shared" si="217"/>
        <v>1.0051888723481774</v>
      </c>
      <c r="F493" s="303"/>
      <c r="G493" s="302">
        <v>0.44395633692862341</v>
      </c>
      <c r="H493" s="302">
        <v>0.19788710189052541</v>
      </c>
      <c r="I493" s="302">
        <v>0.29016803897913435</v>
      </c>
      <c r="J493" s="302">
        <f t="shared" si="220"/>
        <v>0.93201147779828319</v>
      </c>
      <c r="K493" s="303"/>
      <c r="L493" s="302">
        <v>0.30254635152629328</v>
      </c>
      <c r="M493" s="302">
        <v>0.11937505760900063</v>
      </c>
      <c r="N493" s="302">
        <v>0.37226920654824941</v>
      </c>
      <c r="O493" s="302">
        <f t="shared" si="219"/>
        <v>0.79419061568354332</v>
      </c>
    </row>
    <row r="494" spans="1:15" s="236" customFormat="1" x14ac:dyDescent="0.2">
      <c r="A494" s="237"/>
      <c r="B494" s="302"/>
      <c r="C494" s="302"/>
      <c r="D494" s="302"/>
      <c r="E494" s="302"/>
      <c r="F494" s="303"/>
      <c r="G494" s="302"/>
      <c r="H494" s="302"/>
      <c r="I494" s="302"/>
      <c r="J494" s="302"/>
      <c r="K494" s="303"/>
      <c r="L494" s="302"/>
      <c r="M494" s="302"/>
      <c r="N494" s="302"/>
      <c r="O494" s="302"/>
    </row>
    <row r="495" spans="1:15" s="236" customFormat="1" x14ac:dyDescent="0.2">
      <c r="A495" s="244" t="s">
        <v>32</v>
      </c>
      <c r="B495" s="311">
        <f>SUM(B485:B493)</f>
        <v>14.776000000048112</v>
      </c>
      <c r="C495" s="311">
        <f t="shared" ref="C495:E495" si="221">SUM(C485:C493)</f>
        <v>1.1080000000115489</v>
      </c>
      <c r="D495" s="311">
        <f t="shared" si="221"/>
        <v>5.5799999998723555</v>
      </c>
      <c r="E495" s="311">
        <f t="shared" si="221"/>
        <v>21.463999999932014</v>
      </c>
      <c r="F495" s="311"/>
      <c r="G495" s="311">
        <f t="shared" ref="G495:J495" si="222">SUM(G485:G493)</f>
        <v>12.633000000005126</v>
      </c>
      <c r="H495" s="311">
        <f t="shared" si="222"/>
        <v>1.5590000000025082</v>
      </c>
      <c r="I495" s="311">
        <f t="shared" si="222"/>
        <v>6.0309999997867347</v>
      </c>
      <c r="J495" s="311">
        <f t="shared" si="222"/>
        <v>20.222999999794368</v>
      </c>
      <c r="K495" s="311"/>
      <c r="L495" s="311">
        <f t="shared" ref="L495:O495" si="223">SUM(L485:L493)</f>
        <v>11.804999999872495</v>
      </c>
      <c r="M495" s="311">
        <f t="shared" si="223"/>
        <v>1.5799999999974002</v>
      </c>
      <c r="N495" s="311">
        <f t="shared" si="223"/>
        <v>6.0219999994918618</v>
      </c>
      <c r="O495" s="311">
        <f t="shared" si="223"/>
        <v>19.406999999361755</v>
      </c>
    </row>
    <row r="496" spans="1:15" s="236" customFormat="1" x14ac:dyDescent="0.2">
      <c r="A496" s="237"/>
      <c r="B496" s="237"/>
      <c r="C496" s="237"/>
      <c r="D496" s="237"/>
      <c r="E496" s="237"/>
      <c r="F496" s="237"/>
      <c r="G496" s="237"/>
      <c r="H496" s="237"/>
      <c r="I496" s="237"/>
      <c r="J496" s="237"/>
      <c r="K496" s="237"/>
      <c r="L496" s="237"/>
      <c r="M496" s="237"/>
      <c r="N496" s="240"/>
    </row>
    <row r="497" spans="1:15" s="236" customFormat="1" x14ac:dyDescent="0.2">
      <c r="A497" s="237"/>
      <c r="B497" s="237"/>
      <c r="C497" s="237"/>
      <c r="D497" s="237"/>
      <c r="E497" s="237"/>
      <c r="F497" s="237"/>
      <c r="G497" s="237"/>
      <c r="H497" s="237"/>
      <c r="I497" s="237"/>
      <c r="J497" s="237"/>
      <c r="K497" s="237"/>
      <c r="L497" s="237"/>
      <c r="M497" s="237"/>
      <c r="N497" s="240"/>
      <c r="O497" s="251" t="s">
        <v>35</v>
      </c>
    </row>
    <row r="498" spans="1:15" s="236" customFormat="1" x14ac:dyDescent="0.2">
      <c r="A498" s="242"/>
      <c r="B498" s="242"/>
      <c r="C498" s="242"/>
      <c r="D498" s="242"/>
      <c r="E498" s="242"/>
      <c r="F498" s="242"/>
      <c r="G498" s="242"/>
      <c r="H498" s="242"/>
      <c r="I498" s="242"/>
      <c r="J498" s="242"/>
      <c r="K498" s="242"/>
      <c r="L498" s="242"/>
      <c r="M498" s="242"/>
      <c r="N498" s="242"/>
      <c r="O498" s="242"/>
    </row>
    <row r="499" spans="1:15" s="236" customFormat="1" x14ac:dyDescent="0.2">
      <c r="A499" s="241" t="str">
        <f>name!A32</f>
        <v>Civil engineering</v>
      </c>
      <c r="B499" s="374">
        <f>$B$6</f>
        <v>2015</v>
      </c>
      <c r="C499" s="374"/>
      <c r="D499" s="374"/>
      <c r="E499" s="374"/>
      <c r="F499" s="263"/>
      <c r="G499" s="374">
        <f>$G$6</f>
        <v>2020</v>
      </c>
      <c r="H499" s="374"/>
      <c r="I499" s="374"/>
      <c r="J499" s="374"/>
      <c r="K499" s="263"/>
      <c r="L499" s="374">
        <f>$L$6</f>
        <v>2035</v>
      </c>
      <c r="M499" s="374"/>
      <c r="N499" s="374"/>
      <c r="O499" s="374"/>
    </row>
    <row r="500" spans="1:15" s="236" customFormat="1" x14ac:dyDescent="0.2">
      <c r="A500" s="254"/>
      <c r="B500" s="268" t="str">
        <f>$B$7</f>
        <v>FT</v>
      </c>
      <c r="C500" s="268" t="str">
        <f>$C$7</f>
        <v>PT</v>
      </c>
      <c r="D500" s="268" t="str">
        <f>$D$7</f>
        <v>SE</v>
      </c>
      <c r="E500" s="268" t="str">
        <f>$E$7</f>
        <v>Total</v>
      </c>
      <c r="F500" s="268"/>
      <c r="G500" s="268" t="str">
        <f>$G$7</f>
        <v>FT</v>
      </c>
      <c r="H500" s="268" t="str">
        <f>$H$7</f>
        <v>PT</v>
      </c>
      <c r="I500" s="268" t="str">
        <f>$I$7</f>
        <v>SE</v>
      </c>
      <c r="J500" s="268" t="str">
        <f>$J$7</f>
        <v>Total</v>
      </c>
      <c r="K500" s="268"/>
      <c r="L500" s="268" t="str">
        <f>$L$7</f>
        <v>FT</v>
      </c>
      <c r="M500" s="268" t="str">
        <f>$M$7</f>
        <v>PT</v>
      </c>
      <c r="N500" s="268" t="str">
        <f>$N$7</f>
        <v>SE</v>
      </c>
      <c r="O500" s="268" t="str">
        <f>$O$7</f>
        <v>Total</v>
      </c>
    </row>
    <row r="501" spans="1:15" s="236" customFormat="1" x14ac:dyDescent="0.2">
      <c r="A501" s="258"/>
      <c r="B501" s="239"/>
      <c r="C501" s="239"/>
      <c r="D501" s="239"/>
      <c r="E501" s="239"/>
      <c r="F501" s="239"/>
      <c r="G501" s="239"/>
      <c r="H501" s="239"/>
      <c r="I501" s="239"/>
      <c r="J501" s="239"/>
      <c r="K501" s="239"/>
      <c r="L501" s="239"/>
      <c r="M501" s="239"/>
      <c r="N501" s="239"/>
      <c r="O501" s="239"/>
    </row>
    <row r="502" spans="1:15" s="236" customFormat="1" x14ac:dyDescent="0.2">
      <c r="A502" s="237" t="str">
        <f>name!E$4</f>
        <v>Managers, directors and senior officials</v>
      </c>
      <c r="B502" s="302">
        <v>0.45862129040169158</v>
      </c>
      <c r="C502" s="302">
        <v>4.7434284897922667E-2</v>
      </c>
      <c r="D502" s="302">
        <v>0.1042839353139548</v>
      </c>
      <c r="E502" s="302">
        <f>SUM(B502:D502)</f>
        <v>0.61033951061356895</v>
      </c>
      <c r="F502" s="303"/>
      <c r="G502" s="302">
        <v>0.54476933473140754</v>
      </c>
      <c r="H502" s="302">
        <v>6.2178893869691006E-2</v>
      </c>
      <c r="I502" s="302">
        <v>0.1610817719821005</v>
      </c>
      <c r="J502" s="302">
        <f>SUM(G502:I502)</f>
        <v>0.76803000058319904</v>
      </c>
      <c r="K502" s="303"/>
      <c r="L502" s="302">
        <v>0.57748826971589862</v>
      </c>
      <c r="M502" s="302">
        <v>6.6149032506869279E-2</v>
      </c>
      <c r="N502" s="302">
        <v>0.16361022815118781</v>
      </c>
      <c r="O502" s="302">
        <f>SUM(L502:N502)</f>
        <v>0.80724753037395569</v>
      </c>
    </row>
    <row r="503" spans="1:15" s="236" customFormat="1" x14ac:dyDescent="0.2">
      <c r="A503" s="237" t="str">
        <f>name!E$5</f>
        <v>Professional occupations</v>
      </c>
      <c r="B503" s="302">
        <v>0.49422801368061964</v>
      </c>
      <c r="C503" s="302">
        <v>2.9041417346305432E-2</v>
      </c>
      <c r="D503" s="302">
        <v>4.2231131280012255E-2</v>
      </c>
      <c r="E503" s="302">
        <f t="shared" ref="E503:E510" si="224">SUM(B503:D503)</f>
        <v>0.56550056230693724</v>
      </c>
      <c r="F503" s="303"/>
      <c r="G503" s="302">
        <v>0.66368510564986627</v>
      </c>
      <c r="H503" s="302">
        <v>3.4151274185723085E-2</v>
      </c>
      <c r="I503" s="302">
        <v>6.1766043704184044E-2</v>
      </c>
      <c r="J503" s="302">
        <f t="shared" ref="J503:J505" si="225">SUM(G503:I503)</f>
        <v>0.75960242353977336</v>
      </c>
      <c r="K503" s="303"/>
      <c r="L503" s="302">
        <v>0.79133262704202911</v>
      </c>
      <c r="M503" s="302">
        <v>3.7452892465025867E-2</v>
      </c>
      <c r="N503" s="302">
        <v>4.6987771406179053E-2</v>
      </c>
      <c r="O503" s="302">
        <f t="shared" ref="O503:O510" si="226">SUM(L503:N503)</f>
        <v>0.87577329091323408</v>
      </c>
    </row>
    <row r="504" spans="1:15" s="236" customFormat="1" x14ac:dyDescent="0.2">
      <c r="A504" s="237" t="str">
        <f>name!E$6</f>
        <v>Associate professional occupations</v>
      </c>
      <c r="B504" s="302">
        <v>0.37229675878073432</v>
      </c>
      <c r="C504" s="302">
        <v>4.424070699690634E-2</v>
      </c>
      <c r="D504" s="302">
        <v>2.5775761608120347E-2</v>
      </c>
      <c r="E504" s="302">
        <f t="shared" si="224"/>
        <v>0.44231322738576101</v>
      </c>
      <c r="F504" s="303"/>
      <c r="G504" s="302">
        <v>0.46246498906019379</v>
      </c>
      <c r="H504" s="302">
        <v>4.6241289694647747E-2</v>
      </c>
      <c r="I504" s="302">
        <v>2.8482299593288456E-2</v>
      </c>
      <c r="J504" s="302">
        <f t="shared" si="225"/>
        <v>0.53718857834812994</v>
      </c>
      <c r="K504" s="303"/>
      <c r="L504" s="302">
        <v>0.45099493848400107</v>
      </c>
      <c r="M504" s="302">
        <v>4.2247428644026669E-2</v>
      </c>
      <c r="N504" s="302">
        <v>2.5987780835063062E-2</v>
      </c>
      <c r="O504" s="302">
        <f t="shared" si="226"/>
        <v>0.51923014796309075</v>
      </c>
    </row>
    <row r="505" spans="1:15" s="236" customFormat="1" x14ac:dyDescent="0.2">
      <c r="A505" s="237" t="str">
        <f>name!E$7</f>
        <v>Administrative and secretarial occupations</v>
      </c>
      <c r="B505" s="302">
        <v>0.50551184827466578</v>
      </c>
      <c r="C505" s="302">
        <v>0.21144002538916223</v>
      </c>
      <c r="D505" s="302">
        <v>7.5758366438071267E-2</v>
      </c>
      <c r="E505" s="302">
        <f t="shared" si="224"/>
        <v>0.79271024010189928</v>
      </c>
      <c r="F505" s="303"/>
      <c r="G505" s="302">
        <v>0.46452670410348046</v>
      </c>
      <c r="H505" s="302">
        <v>0.16124016950882344</v>
      </c>
      <c r="I505" s="302">
        <v>1.3901481029653589E-2</v>
      </c>
      <c r="J505" s="302">
        <f t="shared" si="225"/>
        <v>0.63966835464195748</v>
      </c>
      <c r="K505" s="303"/>
      <c r="L505" s="302">
        <v>0.31492694550934003</v>
      </c>
      <c r="M505" s="302">
        <v>0.15444963846658852</v>
      </c>
      <c r="N505" s="302">
        <v>1.6695687436097874E-2</v>
      </c>
      <c r="O505" s="302">
        <f t="shared" si="226"/>
        <v>0.48607227141202641</v>
      </c>
    </row>
    <row r="506" spans="1:15" s="236" customFormat="1" x14ac:dyDescent="0.2">
      <c r="A506" s="237" t="str">
        <f>name!E$8</f>
        <v>Skilled trades occupations</v>
      </c>
      <c r="B506" s="302">
        <v>3.3462288262159463</v>
      </c>
      <c r="C506" s="302">
        <v>0.14774370216020136</v>
      </c>
      <c r="D506" s="302">
        <v>1.8797349999206763</v>
      </c>
      <c r="E506" s="302">
        <f t="shared" si="224"/>
        <v>5.3737075282968236</v>
      </c>
      <c r="F506" s="303"/>
      <c r="G506" s="302">
        <v>2.8232712293064814</v>
      </c>
      <c r="H506" s="302">
        <v>7.7975579105298509E-2</v>
      </c>
      <c r="I506" s="302">
        <v>2.0627840967963436</v>
      </c>
      <c r="J506" s="302">
        <f>SUM(G506:I506)</f>
        <v>4.9640309052081228</v>
      </c>
      <c r="K506" s="303"/>
      <c r="L506" s="302">
        <v>2.4981534332689703</v>
      </c>
      <c r="M506" s="302">
        <v>0.11161493527633642</v>
      </c>
      <c r="N506" s="302">
        <v>2.0059306384975923</v>
      </c>
      <c r="O506" s="302">
        <f t="shared" si="226"/>
        <v>4.6156990070428989</v>
      </c>
    </row>
    <row r="507" spans="1:15" s="236" customFormat="1" x14ac:dyDescent="0.2">
      <c r="A507" s="237" t="str">
        <f>name!E$9</f>
        <v>Caring, leisure and other service occupations</v>
      </c>
      <c r="B507" s="302">
        <v>1.3671957004689072E-2</v>
      </c>
      <c r="C507" s="302">
        <v>4.9424362941324022E-3</v>
      </c>
      <c r="D507" s="302">
        <v>1.8465720967402795E-3</v>
      </c>
      <c r="E507" s="302">
        <f t="shared" si="224"/>
        <v>2.0460965395561755E-2</v>
      </c>
      <c r="F507" s="303"/>
      <c r="G507" s="302">
        <v>1.4425581059188527E-2</v>
      </c>
      <c r="H507" s="302">
        <v>4.1864381147299953E-3</v>
      </c>
      <c r="I507" s="302">
        <v>8.6396457878918254E-4</v>
      </c>
      <c r="J507" s="302">
        <f t="shared" ref="J507:J510" si="227">SUM(G507:I507)</f>
        <v>1.9475983752707704E-2</v>
      </c>
      <c r="K507" s="303"/>
      <c r="L507" s="302">
        <v>1.3712443166080533E-2</v>
      </c>
      <c r="M507" s="302">
        <v>3.1720885278851679E-3</v>
      </c>
      <c r="N507" s="302">
        <v>1.741233686516843E-3</v>
      </c>
      <c r="O507" s="302">
        <f t="shared" si="226"/>
        <v>1.862576538048254E-2</v>
      </c>
    </row>
    <row r="508" spans="1:15" s="236" customFormat="1" x14ac:dyDescent="0.2">
      <c r="A508" s="237" t="str">
        <f>name!E$10</f>
        <v>Sales and customer service occupations</v>
      </c>
      <c r="B508" s="302">
        <v>0.12200212206902088</v>
      </c>
      <c r="C508" s="302">
        <v>6.5263573546800041E-2</v>
      </c>
      <c r="D508" s="302">
        <v>1.1917572816764118E-2</v>
      </c>
      <c r="E508" s="302">
        <f t="shared" si="224"/>
        <v>0.19918326843258502</v>
      </c>
      <c r="F508" s="303"/>
      <c r="G508" s="302">
        <v>0.11363889624387209</v>
      </c>
      <c r="H508" s="302">
        <v>5.115835700418405E-2</v>
      </c>
      <c r="I508" s="302">
        <v>7.9584106315640259E-3</v>
      </c>
      <c r="J508" s="302">
        <f t="shared" si="227"/>
        <v>0.17275566387962016</v>
      </c>
      <c r="K508" s="303"/>
      <c r="L508" s="302">
        <v>0.11674751731184552</v>
      </c>
      <c r="M508" s="302">
        <v>5.0327766314962399E-2</v>
      </c>
      <c r="N508" s="302">
        <v>8.6264051535088187E-3</v>
      </c>
      <c r="O508" s="302">
        <f t="shared" si="226"/>
        <v>0.17570168878031672</v>
      </c>
    </row>
    <row r="509" spans="1:15" s="236" customFormat="1" x14ac:dyDescent="0.2">
      <c r="A509" s="237" t="str">
        <f>name!E$11</f>
        <v>Process, plant and machine operatives</v>
      </c>
      <c r="B509" s="302">
        <v>0.53195437233617227</v>
      </c>
      <c r="C509" s="302">
        <v>2.6958102973560348E-2</v>
      </c>
      <c r="D509" s="302">
        <v>9.7898819012671168E-2</v>
      </c>
      <c r="E509" s="302">
        <f t="shared" si="224"/>
        <v>0.65681129432240382</v>
      </c>
      <c r="F509" s="303"/>
      <c r="G509" s="302">
        <v>0.45080619003152139</v>
      </c>
      <c r="H509" s="302">
        <v>2.5124134539566412E-2</v>
      </c>
      <c r="I509" s="302">
        <v>0.15294884675656215</v>
      </c>
      <c r="J509" s="302">
        <f t="shared" si="227"/>
        <v>0.62887917132764992</v>
      </c>
      <c r="K509" s="303"/>
      <c r="L509" s="302">
        <v>0.47207168195184218</v>
      </c>
      <c r="M509" s="302">
        <v>2.7250015795661837E-2</v>
      </c>
      <c r="N509" s="302">
        <v>0.2045423956311426</v>
      </c>
      <c r="O509" s="302">
        <f t="shared" si="226"/>
        <v>0.70386409337864664</v>
      </c>
    </row>
    <row r="510" spans="1:15" s="236" customFormat="1" x14ac:dyDescent="0.2">
      <c r="A510" s="237" t="str">
        <f>name!E$12</f>
        <v>Elementary occupations</v>
      </c>
      <c r="B510" s="302">
        <v>0.23648481125355528</v>
      </c>
      <c r="C510" s="302">
        <v>9.3935750402219811E-2</v>
      </c>
      <c r="D510" s="302">
        <v>0.10755284144558368</v>
      </c>
      <c r="E510" s="302">
        <f t="shared" si="224"/>
        <v>0.43797340310135879</v>
      </c>
      <c r="F510" s="303"/>
      <c r="G510" s="302">
        <v>0.19441196981492784</v>
      </c>
      <c r="H510" s="302">
        <v>6.274386397824705E-2</v>
      </c>
      <c r="I510" s="302">
        <v>0.13421308483202721</v>
      </c>
      <c r="J510" s="302">
        <f t="shared" si="227"/>
        <v>0.39136891862520207</v>
      </c>
      <c r="K510" s="303"/>
      <c r="L510" s="302">
        <v>0.13257214349498361</v>
      </c>
      <c r="M510" s="302">
        <v>3.8336202001845066E-2</v>
      </c>
      <c r="N510" s="302">
        <v>0.17387785895972749</v>
      </c>
      <c r="O510" s="302">
        <f t="shared" si="226"/>
        <v>0.34478620445655617</v>
      </c>
    </row>
    <row r="511" spans="1:15" s="236" customFormat="1" x14ac:dyDescent="0.2">
      <c r="A511" s="237"/>
      <c r="B511" s="302"/>
      <c r="C511" s="302"/>
      <c r="D511" s="302"/>
      <c r="E511" s="302"/>
      <c r="F511" s="303"/>
      <c r="G511" s="302"/>
      <c r="H511" s="302"/>
      <c r="I511" s="302"/>
      <c r="J511" s="302"/>
      <c r="K511" s="303"/>
      <c r="L511" s="302"/>
      <c r="M511" s="302"/>
      <c r="N511" s="302"/>
      <c r="O511" s="302"/>
    </row>
    <row r="512" spans="1:15" s="236" customFormat="1" x14ac:dyDescent="0.2">
      <c r="A512" s="244" t="s">
        <v>32</v>
      </c>
      <c r="B512" s="311">
        <f>SUM(B502:B510)</f>
        <v>6.0810000000170952</v>
      </c>
      <c r="C512" s="311">
        <f t="shared" ref="C512:E512" si="228">SUM(C502:C510)</f>
        <v>0.67100000000721061</v>
      </c>
      <c r="D512" s="311">
        <f t="shared" si="228"/>
        <v>2.3469999999325943</v>
      </c>
      <c r="E512" s="311">
        <f t="shared" si="228"/>
        <v>9.0989999999568987</v>
      </c>
      <c r="F512" s="311"/>
      <c r="G512" s="311">
        <f t="shared" ref="G512:J512" si="229">SUM(G502:G510)</f>
        <v>5.7320000000009381</v>
      </c>
      <c r="H512" s="311">
        <f t="shared" si="229"/>
        <v>0.52500000000091129</v>
      </c>
      <c r="I512" s="311">
        <f t="shared" si="229"/>
        <v>2.6239999999045125</v>
      </c>
      <c r="J512" s="311">
        <f t="shared" si="229"/>
        <v>8.8809999999063631</v>
      </c>
      <c r="K512" s="311"/>
      <c r="L512" s="311">
        <f t="shared" ref="L512:O512" si="230">SUM(L502:L510)</f>
        <v>5.367999999944991</v>
      </c>
      <c r="M512" s="311">
        <f t="shared" si="230"/>
        <v>0.53099999999920122</v>
      </c>
      <c r="N512" s="311">
        <f t="shared" si="230"/>
        <v>2.6479999997570158</v>
      </c>
      <c r="O512" s="311">
        <f t="shared" si="230"/>
        <v>8.5469999997012067</v>
      </c>
    </row>
    <row r="513" spans="1:15" s="236" customFormat="1" x14ac:dyDescent="0.2">
      <c r="A513" s="237"/>
      <c r="B513" s="237"/>
      <c r="C513" s="237"/>
      <c r="D513" s="237"/>
      <c r="E513" s="237"/>
      <c r="F513" s="237"/>
      <c r="G513" s="237"/>
      <c r="H513" s="237"/>
      <c r="I513" s="237"/>
      <c r="J513" s="237"/>
      <c r="K513" s="237"/>
      <c r="L513" s="237"/>
      <c r="M513" s="237"/>
      <c r="N513" s="240"/>
    </row>
    <row r="514" spans="1:15" s="236" customFormat="1" x14ac:dyDescent="0.2">
      <c r="A514" s="237"/>
      <c r="B514" s="237"/>
      <c r="C514" s="237"/>
      <c r="D514" s="237"/>
      <c r="E514" s="237"/>
      <c r="F514" s="237"/>
      <c r="G514" s="237"/>
      <c r="H514" s="237"/>
      <c r="I514" s="237"/>
      <c r="J514" s="237"/>
      <c r="K514" s="237"/>
      <c r="L514" s="237"/>
      <c r="M514" s="237"/>
      <c r="N514" s="240"/>
      <c r="O514" s="251" t="s">
        <v>35</v>
      </c>
    </row>
    <row r="515" spans="1:15" s="236" customFormat="1" x14ac:dyDescent="0.2">
      <c r="A515" s="242"/>
      <c r="B515" s="242"/>
      <c r="C515" s="242"/>
      <c r="D515" s="242"/>
      <c r="E515" s="242"/>
      <c r="F515" s="242"/>
      <c r="G515" s="242"/>
      <c r="H515" s="242"/>
      <c r="I515" s="242"/>
      <c r="J515" s="242"/>
      <c r="K515" s="242"/>
      <c r="L515" s="242"/>
      <c r="M515" s="242"/>
      <c r="N515" s="242"/>
      <c r="O515" s="242"/>
    </row>
    <row r="516" spans="1:15" s="236" customFormat="1" x14ac:dyDescent="0.2">
      <c r="A516" s="241" t="str">
        <f>name!A33</f>
        <v>Specialised construction</v>
      </c>
      <c r="B516" s="374">
        <f>$B$6</f>
        <v>2015</v>
      </c>
      <c r="C516" s="374"/>
      <c r="D516" s="374"/>
      <c r="E516" s="374"/>
      <c r="F516" s="263"/>
      <c r="G516" s="374">
        <f>$G$6</f>
        <v>2020</v>
      </c>
      <c r="H516" s="374"/>
      <c r="I516" s="374"/>
      <c r="J516" s="374"/>
      <c r="K516" s="263"/>
      <c r="L516" s="374">
        <f>$L$6</f>
        <v>2035</v>
      </c>
      <c r="M516" s="374"/>
      <c r="N516" s="374"/>
      <c r="O516" s="374"/>
    </row>
    <row r="517" spans="1:15" s="236" customFormat="1" x14ac:dyDescent="0.2">
      <c r="A517" s="254"/>
      <c r="B517" s="268" t="str">
        <f>$B$7</f>
        <v>FT</v>
      </c>
      <c r="C517" s="268" t="str">
        <f>$C$7</f>
        <v>PT</v>
      </c>
      <c r="D517" s="268" t="str">
        <f>$D$7</f>
        <v>SE</v>
      </c>
      <c r="E517" s="268" t="str">
        <f>$E$7</f>
        <v>Total</v>
      </c>
      <c r="F517" s="268"/>
      <c r="G517" s="268" t="str">
        <f>$G$7</f>
        <v>FT</v>
      </c>
      <c r="H517" s="268" t="str">
        <f>$H$7</f>
        <v>PT</v>
      </c>
      <c r="I517" s="268" t="str">
        <f>$I$7</f>
        <v>SE</v>
      </c>
      <c r="J517" s="268" t="str">
        <f>$J$7</f>
        <v>Total</v>
      </c>
      <c r="K517" s="268"/>
      <c r="L517" s="268" t="str">
        <f>$L$7</f>
        <v>FT</v>
      </c>
      <c r="M517" s="268" t="str">
        <f>$M$7</f>
        <v>PT</v>
      </c>
      <c r="N517" s="268" t="str">
        <f>$N$7</f>
        <v>SE</v>
      </c>
      <c r="O517" s="268" t="str">
        <f>$O$7</f>
        <v>Total</v>
      </c>
    </row>
    <row r="518" spans="1:15" s="236" customFormat="1" x14ac:dyDescent="0.2">
      <c r="A518" s="258"/>
      <c r="B518" s="239"/>
      <c r="C518" s="239"/>
      <c r="D518" s="239"/>
      <c r="E518" s="239"/>
      <c r="F518" s="239"/>
      <c r="G518" s="239"/>
      <c r="H518" s="239"/>
      <c r="I518" s="239"/>
      <c r="J518" s="239"/>
      <c r="K518" s="239"/>
      <c r="L518" s="239"/>
      <c r="M518" s="239"/>
      <c r="N518" s="239"/>
      <c r="O518" s="239"/>
    </row>
    <row r="519" spans="1:15" s="236" customFormat="1" x14ac:dyDescent="0.2">
      <c r="A519" s="237" t="str">
        <f>name!E$4</f>
        <v>Managers, directors and senior officials</v>
      </c>
      <c r="B519" s="302">
        <v>1.7603069720879079</v>
      </c>
      <c r="C519" s="302">
        <v>0.14723061434116516</v>
      </c>
      <c r="D519" s="302">
        <v>0.42184811067026923</v>
      </c>
      <c r="E519" s="302">
        <f>SUM(B519:D519)</f>
        <v>2.3293856970993425</v>
      </c>
      <c r="F519" s="303"/>
      <c r="G519" s="302">
        <v>2.2581360584867749</v>
      </c>
      <c r="H519" s="302">
        <v>0.32431717965387546</v>
      </c>
      <c r="I519" s="302">
        <v>0.76684005117678589</v>
      </c>
      <c r="J519" s="302">
        <f>SUM(G519:I519)</f>
        <v>3.3492932893174361</v>
      </c>
      <c r="K519" s="303"/>
      <c r="L519" s="302">
        <v>2.3344133980277246</v>
      </c>
      <c r="M519" s="302">
        <v>0.34843715263855085</v>
      </c>
      <c r="N519" s="302">
        <v>0.76319850250069077</v>
      </c>
      <c r="O519" s="302">
        <f>SUM(L519:N519)</f>
        <v>3.4460490531669663</v>
      </c>
    </row>
    <row r="520" spans="1:15" s="236" customFormat="1" x14ac:dyDescent="0.2">
      <c r="A520" s="237" t="str">
        <f>name!E$5</f>
        <v>Professional occupations</v>
      </c>
      <c r="B520" s="302">
        <v>1.9486862587459408</v>
      </c>
      <c r="C520" s="302">
        <v>8.6868262949626907E-2</v>
      </c>
      <c r="D520" s="302">
        <v>0.17134142973804084</v>
      </c>
      <c r="E520" s="302">
        <f t="shared" ref="E520:E527" si="231">SUM(B520:D520)</f>
        <v>2.2068959514336086</v>
      </c>
      <c r="F520" s="303"/>
      <c r="G520" s="302">
        <v>2.8177470342523714</v>
      </c>
      <c r="H520" s="302">
        <v>0.17040207906535546</v>
      </c>
      <c r="I520" s="302">
        <v>0.29266588954719458</v>
      </c>
      <c r="J520" s="302">
        <f t="shared" ref="J520:J522" si="232">SUM(G520:I520)</f>
        <v>3.2808150028649212</v>
      </c>
      <c r="K520" s="303"/>
      <c r="L520" s="302">
        <v>3.3346134153074165</v>
      </c>
      <c r="M520" s="302">
        <v>0.18744358888462609</v>
      </c>
      <c r="N520" s="302">
        <v>0.21923895823333373</v>
      </c>
      <c r="O520" s="302">
        <f t="shared" ref="O520:O527" si="233">SUM(L520:N520)</f>
        <v>3.7412959624253763</v>
      </c>
    </row>
    <row r="521" spans="1:15" s="236" customFormat="1" x14ac:dyDescent="0.2">
      <c r="A521" s="237" t="str">
        <f>name!E$6</f>
        <v>Associate professional occupations</v>
      </c>
      <c r="B521" s="302">
        <v>1.3926742672396051</v>
      </c>
      <c r="C521" s="302">
        <v>0.14329651589093914</v>
      </c>
      <c r="D521" s="302">
        <v>0.10402190600099795</v>
      </c>
      <c r="E521" s="302">
        <f t="shared" si="231"/>
        <v>1.6399926891315422</v>
      </c>
      <c r="F521" s="303"/>
      <c r="G521" s="302">
        <v>1.8815303990410974</v>
      </c>
      <c r="H521" s="302">
        <v>0.24081221139251527</v>
      </c>
      <c r="I521" s="302">
        <v>0.13580377007641822</v>
      </c>
      <c r="J521" s="302">
        <f t="shared" si="232"/>
        <v>2.258146380510031</v>
      </c>
      <c r="K521" s="303"/>
      <c r="L521" s="302">
        <v>1.7997890435655843</v>
      </c>
      <c r="M521" s="302">
        <v>0.23236316653666042</v>
      </c>
      <c r="N521" s="302">
        <v>0.12099122519895324</v>
      </c>
      <c r="O521" s="302">
        <f t="shared" si="233"/>
        <v>2.1531434353011982</v>
      </c>
    </row>
    <row r="522" spans="1:15" s="236" customFormat="1" x14ac:dyDescent="0.2">
      <c r="A522" s="237" t="str">
        <f>name!E$7</f>
        <v>Administrative and secretarial occupations</v>
      </c>
      <c r="B522" s="302">
        <v>1.3620996991939978</v>
      </c>
      <c r="C522" s="302">
        <v>0.7562697192557517</v>
      </c>
      <c r="D522" s="302">
        <v>0.30026336994454889</v>
      </c>
      <c r="E522" s="302">
        <f t="shared" si="231"/>
        <v>2.4186327883942984</v>
      </c>
      <c r="F522" s="303"/>
      <c r="G522" s="302">
        <v>1.3867741986053235</v>
      </c>
      <c r="H522" s="302">
        <v>0.97879564514746731</v>
      </c>
      <c r="I522" s="302">
        <v>8.2762709503403045E-2</v>
      </c>
      <c r="J522" s="302">
        <f t="shared" si="232"/>
        <v>2.4483325532561939</v>
      </c>
      <c r="K522" s="303"/>
      <c r="L522" s="302">
        <v>1.0071036406279406</v>
      </c>
      <c r="M522" s="302">
        <v>0.93720842641823066</v>
      </c>
      <c r="N522" s="302">
        <v>7.6028987111290594E-2</v>
      </c>
      <c r="O522" s="302">
        <f t="shared" si="233"/>
        <v>2.0203410541574618</v>
      </c>
    </row>
    <row r="523" spans="1:15" s="236" customFormat="1" x14ac:dyDescent="0.2">
      <c r="A523" s="237" t="str">
        <f>name!E$8</f>
        <v>Skilled trades occupations</v>
      </c>
      <c r="B523" s="302">
        <v>14.612181292137828</v>
      </c>
      <c r="C523" s="302">
        <v>0.32952188416105022</v>
      </c>
      <c r="D523" s="302">
        <v>7.6606138903480767</v>
      </c>
      <c r="E523" s="302">
        <f t="shared" si="231"/>
        <v>22.602317066646954</v>
      </c>
      <c r="F523" s="303"/>
      <c r="G523" s="302">
        <v>13.134934204882226</v>
      </c>
      <c r="H523" s="302">
        <v>0.321452072796654</v>
      </c>
      <c r="I523" s="302">
        <v>9.7082282141439293</v>
      </c>
      <c r="J523" s="302">
        <f>SUM(G523:I523)</f>
        <v>23.16461449182281</v>
      </c>
      <c r="K523" s="303"/>
      <c r="L523" s="302">
        <v>11.478818424558211</v>
      </c>
      <c r="M523" s="302">
        <v>0.46650120655970123</v>
      </c>
      <c r="N523" s="302">
        <v>9.3831718481518607</v>
      </c>
      <c r="O523" s="302">
        <f t="shared" si="233"/>
        <v>21.328491479269772</v>
      </c>
    </row>
    <row r="524" spans="1:15" s="236" customFormat="1" x14ac:dyDescent="0.2">
      <c r="A524" s="237" t="str">
        <f>name!E$9</f>
        <v>Caring, leisure and other service occupations</v>
      </c>
      <c r="B524" s="302">
        <v>4.9400488098662314E-2</v>
      </c>
      <c r="C524" s="302">
        <v>1.4261823793469085E-2</v>
      </c>
      <c r="D524" s="302">
        <v>7.3551489775054357E-3</v>
      </c>
      <c r="E524" s="302">
        <f t="shared" si="231"/>
        <v>7.1017460869636825E-2</v>
      </c>
      <c r="F524" s="303"/>
      <c r="G524" s="302">
        <v>5.8079306889728795E-2</v>
      </c>
      <c r="H524" s="302">
        <v>1.9600422790981377E-2</v>
      </c>
      <c r="I524" s="302">
        <v>4.5327362032733919E-3</v>
      </c>
      <c r="J524" s="302">
        <f t="shared" ref="J524:J527" si="234">SUM(G524:I524)</f>
        <v>8.2212465883983565E-2</v>
      </c>
      <c r="K524" s="303"/>
      <c r="L524" s="302">
        <v>5.5591055646363394E-2</v>
      </c>
      <c r="M524" s="302">
        <v>1.5241159048399349E-2</v>
      </c>
      <c r="N524" s="302">
        <v>7.960416918082457E-3</v>
      </c>
      <c r="O524" s="302">
        <f t="shared" si="233"/>
        <v>7.8792631612845193E-2</v>
      </c>
    </row>
    <row r="525" spans="1:15" s="236" customFormat="1" x14ac:dyDescent="0.2">
      <c r="A525" s="237" t="str">
        <f>name!E$10</f>
        <v>Sales and customer service occupations</v>
      </c>
      <c r="B525" s="302">
        <v>0.35972213682699</v>
      </c>
      <c r="C525" s="302">
        <v>0.23020759116415909</v>
      </c>
      <c r="D525" s="302">
        <v>4.7773015821605806E-2</v>
      </c>
      <c r="E525" s="302">
        <f t="shared" si="231"/>
        <v>0.63770274381275482</v>
      </c>
      <c r="F525" s="303"/>
      <c r="G525" s="302">
        <v>0.37058731421256086</v>
      </c>
      <c r="H525" s="302">
        <v>0.30607908375052334</v>
      </c>
      <c r="I525" s="302">
        <v>3.878691688278204E-2</v>
      </c>
      <c r="J525" s="302">
        <f t="shared" si="234"/>
        <v>0.71545331484586627</v>
      </c>
      <c r="K525" s="303"/>
      <c r="L525" s="302">
        <v>0.39232356134244251</v>
      </c>
      <c r="M525" s="302">
        <v>0.29831241850210016</v>
      </c>
      <c r="N525" s="302">
        <v>3.9879207922567758E-2</v>
      </c>
      <c r="O525" s="302">
        <f t="shared" si="233"/>
        <v>0.73051518776711044</v>
      </c>
    </row>
    <row r="526" spans="1:15" s="236" customFormat="1" x14ac:dyDescent="0.2">
      <c r="A526" s="237" t="str">
        <f>name!E$11</f>
        <v>Process, plant and machine operatives</v>
      </c>
      <c r="B526" s="302">
        <v>2.3294940785854958</v>
      </c>
      <c r="C526" s="302">
        <v>6.1086587685936403E-2</v>
      </c>
      <c r="D526" s="302">
        <v>0.39971913154758926</v>
      </c>
      <c r="E526" s="302">
        <f t="shared" si="231"/>
        <v>2.7902997978190216</v>
      </c>
      <c r="F526" s="303"/>
      <c r="G526" s="302">
        <v>2.1151497311177283</v>
      </c>
      <c r="H526" s="302">
        <v>9.6586738200499275E-2</v>
      </c>
      <c r="I526" s="302">
        <v>0.71709713291964006</v>
      </c>
      <c r="J526" s="302">
        <f t="shared" si="234"/>
        <v>2.9288336022378676</v>
      </c>
      <c r="K526" s="303"/>
      <c r="L526" s="302">
        <v>2.2205280166982462</v>
      </c>
      <c r="M526" s="302">
        <v>0.10687115518257594</v>
      </c>
      <c r="N526" s="302">
        <v>0.95749617434230294</v>
      </c>
      <c r="O526" s="302">
        <f t="shared" si="233"/>
        <v>3.2848953462231254</v>
      </c>
    </row>
    <row r="527" spans="1:15" s="236" customFormat="1" x14ac:dyDescent="0.2">
      <c r="A527" s="237" t="str">
        <f>name!E$12</f>
        <v>Elementary occupations</v>
      </c>
      <c r="B527" s="302">
        <v>1.0334348071766599</v>
      </c>
      <c r="C527" s="302">
        <v>0.26025700078089642</v>
      </c>
      <c r="D527" s="302">
        <v>0.43806399667511697</v>
      </c>
      <c r="E527" s="302">
        <f t="shared" si="231"/>
        <v>1.7317558046326733</v>
      </c>
      <c r="F527" s="303"/>
      <c r="G527" s="302">
        <v>0.91006175252896193</v>
      </c>
      <c r="H527" s="302">
        <v>0.29195456720752894</v>
      </c>
      <c r="I527" s="302">
        <v>0.63028257909711305</v>
      </c>
      <c r="J527" s="302">
        <f t="shared" si="234"/>
        <v>1.8322988988336038</v>
      </c>
      <c r="K527" s="303"/>
      <c r="L527" s="302">
        <v>0.61981944396068223</v>
      </c>
      <c r="M527" s="302">
        <v>0.18362172622568584</v>
      </c>
      <c r="N527" s="302">
        <v>0.81403467848284139</v>
      </c>
      <c r="O527" s="302">
        <f t="shared" si="233"/>
        <v>1.6174758486692093</v>
      </c>
    </row>
    <row r="528" spans="1:15" s="236" customFormat="1" x14ac:dyDescent="0.2">
      <c r="A528" s="237"/>
      <c r="B528" s="302"/>
      <c r="C528" s="302"/>
      <c r="D528" s="302"/>
      <c r="E528" s="302"/>
      <c r="F528" s="303"/>
      <c r="G528" s="302"/>
      <c r="H528" s="302"/>
      <c r="I528" s="302"/>
      <c r="J528" s="302"/>
      <c r="K528" s="303"/>
      <c r="L528" s="302"/>
      <c r="M528" s="302"/>
      <c r="N528" s="302"/>
      <c r="O528" s="302"/>
    </row>
    <row r="529" spans="1:15" s="236" customFormat="1" x14ac:dyDescent="0.2">
      <c r="A529" s="244" t="s">
        <v>32</v>
      </c>
      <c r="B529" s="311">
        <f>SUM(B519:B527)</f>
        <v>24.848000000093087</v>
      </c>
      <c r="C529" s="311">
        <f t="shared" ref="C529:E529" si="235">SUM(C519:C527)</f>
        <v>2.029000000022994</v>
      </c>
      <c r="D529" s="311">
        <f t="shared" si="235"/>
        <v>9.5509999997237518</v>
      </c>
      <c r="E529" s="311">
        <f t="shared" si="235"/>
        <v>36.427999999839841</v>
      </c>
      <c r="F529" s="311"/>
      <c r="G529" s="311">
        <f t="shared" ref="G529:J529" si="236">SUM(G519:G527)</f>
        <v>24.933000000016772</v>
      </c>
      <c r="H529" s="311">
        <f t="shared" si="236"/>
        <v>2.7500000000054006</v>
      </c>
      <c r="I529" s="311">
        <f t="shared" si="236"/>
        <v>12.37699999955054</v>
      </c>
      <c r="J529" s="311">
        <f t="shared" si="236"/>
        <v>40.059999999572717</v>
      </c>
      <c r="K529" s="311"/>
      <c r="L529" s="311">
        <f t="shared" ref="L529:O529" si="237">SUM(L519:L527)</f>
        <v>23.242999999734614</v>
      </c>
      <c r="M529" s="311">
        <f t="shared" si="237"/>
        <v>2.775999999996531</v>
      </c>
      <c r="N529" s="311">
        <f t="shared" si="237"/>
        <v>12.381999998861923</v>
      </c>
      <c r="O529" s="311">
        <f t="shared" si="237"/>
        <v>38.400999998593058</v>
      </c>
    </row>
    <row r="530" spans="1:15" s="236" customFormat="1" x14ac:dyDescent="0.2">
      <c r="A530" s="237"/>
      <c r="B530" s="237"/>
      <c r="C530" s="237"/>
      <c r="D530" s="237"/>
      <c r="E530" s="237"/>
      <c r="F530" s="237"/>
      <c r="G530" s="237"/>
      <c r="H530" s="237"/>
      <c r="I530" s="237"/>
      <c r="J530" s="237"/>
      <c r="K530" s="237"/>
      <c r="L530" s="237"/>
      <c r="M530" s="237"/>
      <c r="N530" s="240"/>
    </row>
    <row r="531" spans="1:15" s="236" customFormat="1" x14ac:dyDescent="0.2">
      <c r="A531" s="237"/>
      <c r="B531" s="237"/>
      <c r="C531" s="237"/>
      <c r="D531" s="237"/>
      <c r="E531" s="237"/>
      <c r="F531" s="237"/>
      <c r="G531" s="237"/>
      <c r="H531" s="237"/>
      <c r="I531" s="237"/>
      <c r="J531" s="237"/>
      <c r="K531" s="237"/>
      <c r="L531" s="237"/>
      <c r="M531" s="237"/>
      <c r="N531" s="240"/>
      <c r="O531" s="251" t="s">
        <v>35</v>
      </c>
    </row>
    <row r="532" spans="1:15" s="236" customFormat="1" x14ac:dyDescent="0.2">
      <c r="A532" s="242"/>
      <c r="B532" s="242"/>
      <c r="C532" s="242"/>
      <c r="D532" s="242"/>
      <c r="E532" s="242"/>
      <c r="F532" s="242"/>
      <c r="G532" s="242"/>
      <c r="H532" s="242"/>
      <c r="I532" s="242"/>
      <c r="J532" s="242"/>
      <c r="K532" s="242"/>
      <c r="L532" s="242"/>
      <c r="M532" s="242"/>
      <c r="N532" s="242"/>
      <c r="O532" s="242"/>
    </row>
    <row r="533" spans="1:15" s="236" customFormat="1" x14ac:dyDescent="0.2">
      <c r="A533" s="241" t="str">
        <f>name!A34</f>
        <v>Motor vehicle trade</v>
      </c>
      <c r="B533" s="374">
        <f>$B$6</f>
        <v>2015</v>
      </c>
      <c r="C533" s="374"/>
      <c r="D533" s="374"/>
      <c r="E533" s="374"/>
      <c r="F533" s="263"/>
      <c r="G533" s="374">
        <f>$G$6</f>
        <v>2020</v>
      </c>
      <c r="H533" s="374"/>
      <c r="I533" s="374"/>
      <c r="J533" s="374"/>
      <c r="K533" s="263"/>
      <c r="L533" s="374">
        <f>$L$6</f>
        <v>2035</v>
      </c>
      <c r="M533" s="374"/>
      <c r="N533" s="374"/>
      <c r="O533" s="374"/>
    </row>
    <row r="534" spans="1:15" s="236" customFormat="1" x14ac:dyDescent="0.2">
      <c r="A534" s="254"/>
      <c r="B534" s="268" t="str">
        <f>$B$7</f>
        <v>FT</v>
      </c>
      <c r="C534" s="268" t="str">
        <f>$C$7</f>
        <v>PT</v>
      </c>
      <c r="D534" s="268" t="str">
        <f>$D$7</f>
        <v>SE</v>
      </c>
      <c r="E534" s="268" t="str">
        <f>$E$7</f>
        <v>Total</v>
      </c>
      <c r="F534" s="268"/>
      <c r="G534" s="268" t="str">
        <f>$G$7</f>
        <v>FT</v>
      </c>
      <c r="H534" s="268" t="str">
        <f>$H$7</f>
        <v>PT</v>
      </c>
      <c r="I534" s="268" t="str">
        <f>$I$7</f>
        <v>SE</v>
      </c>
      <c r="J534" s="268" t="str">
        <f>$J$7</f>
        <v>Total</v>
      </c>
      <c r="K534" s="268"/>
      <c r="L534" s="268" t="str">
        <f>$L$7</f>
        <v>FT</v>
      </c>
      <c r="M534" s="268" t="str">
        <f>$M$7</f>
        <v>PT</v>
      </c>
      <c r="N534" s="268" t="str">
        <f>$N$7</f>
        <v>SE</v>
      </c>
      <c r="O534" s="268" t="str">
        <f>$O$7</f>
        <v>Total</v>
      </c>
    </row>
    <row r="535" spans="1:15" s="236" customFormat="1" x14ac:dyDescent="0.2">
      <c r="A535" s="258"/>
      <c r="B535" s="239"/>
      <c r="C535" s="239"/>
      <c r="D535" s="239"/>
      <c r="E535" s="239"/>
      <c r="F535" s="239"/>
      <c r="G535" s="239"/>
      <c r="H535" s="239"/>
      <c r="I535" s="239"/>
      <c r="J535" s="239"/>
      <c r="K535" s="239"/>
      <c r="L535" s="239"/>
      <c r="M535" s="239"/>
      <c r="N535" s="239"/>
      <c r="O535" s="239"/>
    </row>
    <row r="536" spans="1:15" s="236" customFormat="1" x14ac:dyDescent="0.2">
      <c r="A536" s="237" t="str">
        <f>name!E$4</f>
        <v>Managers, directors and senior officials</v>
      </c>
      <c r="B536" s="302">
        <v>1.3860789490322072</v>
      </c>
      <c r="C536" s="302">
        <v>7.1206323070821531E-2</v>
      </c>
      <c r="D536" s="302">
        <v>0.99784632133055762</v>
      </c>
      <c r="E536" s="302">
        <f>SUM(B536:D536)</f>
        <v>2.4551315934335864</v>
      </c>
      <c r="F536" s="303"/>
      <c r="G536" s="302">
        <v>1.6491015988140838</v>
      </c>
      <c r="H536" s="302">
        <v>7.3927318690874586E-2</v>
      </c>
      <c r="I536" s="302">
        <v>0.56412144463076552</v>
      </c>
      <c r="J536" s="302">
        <f>SUM(G536:I536)</f>
        <v>2.2871503621357241</v>
      </c>
      <c r="K536" s="303"/>
      <c r="L536" s="302">
        <v>2.2486228116282887</v>
      </c>
      <c r="M536" s="302">
        <v>8.9536318359939915E-2</v>
      </c>
      <c r="N536" s="302">
        <v>0.7943975402856488</v>
      </c>
      <c r="O536" s="302">
        <f>SUM(L536:N536)</f>
        <v>3.1325566702738774</v>
      </c>
    </row>
    <row r="537" spans="1:15" s="236" customFormat="1" x14ac:dyDescent="0.2">
      <c r="A537" s="237" t="str">
        <f>name!E$5</f>
        <v>Professional occupations</v>
      </c>
      <c r="B537" s="302">
        <v>0.68883622303585579</v>
      </c>
      <c r="C537" s="302">
        <v>2.4409679576342064E-2</v>
      </c>
      <c r="D537" s="302">
        <v>0.13735139702584576</v>
      </c>
      <c r="E537" s="302">
        <f t="shared" ref="E537:E544" si="238">SUM(B537:D537)</f>
        <v>0.85059729963804365</v>
      </c>
      <c r="F537" s="303"/>
      <c r="G537" s="302">
        <v>0.91840513876796537</v>
      </c>
      <c r="H537" s="302">
        <v>2.6137831134610049E-2</v>
      </c>
      <c r="I537" s="302">
        <v>7.9870762622357483E-2</v>
      </c>
      <c r="J537" s="302">
        <f t="shared" ref="J537:J539" si="239">SUM(G537:I537)</f>
        <v>1.024413732524933</v>
      </c>
      <c r="K537" s="303"/>
      <c r="L537" s="302">
        <v>1.3415547371356833</v>
      </c>
      <c r="M537" s="302">
        <v>3.0164886392515924E-2</v>
      </c>
      <c r="N537" s="302">
        <v>6.7232666768305818E-2</v>
      </c>
      <c r="O537" s="302">
        <f t="shared" ref="O537:O544" si="240">SUM(L537:N537)</f>
        <v>1.4389522902965051</v>
      </c>
    </row>
    <row r="538" spans="1:15" s="236" customFormat="1" x14ac:dyDescent="0.2">
      <c r="A538" s="237" t="str">
        <f>name!E$6</f>
        <v>Associate professional occupations</v>
      </c>
      <c r="B538" s="302">
        <v>0.89704535405402996</v>
      </c>
      <c r="C538" s="302">
        <v>6.7941935832049813E-2</v>
      </c>
      <c r="D538" s="302">
        <v>9.3545957483429587E-2</v>
      </c>
      <c r="E538" s="302">
        <f t="shared" si="238"/>
        <v>1.0585332473695093</v>
      </c>
      <c r="F538" s="303"/>
      <c r="G538" s="302">
        <v>1.0173544561637542</v>
      </c>
      <c r="H538" s="302">
        <v>5.796154791403238E-2</v>
      </c>
      <c r="I538" s="302">
        <v>5.430689849484352E-2</v>
      </c>
      <c r="J538" s="302">
        <f t="shared" si="239"/>
        <v>1.1296229025726301</v>
      </c>
      <c r="K538" s="303"/>
      <c r="L538" s="302">
        <v>1.2371395620900658</v>
      </c>
      <c r="M538" s="302">
        <v>5.449282875811122E-2</v>
      </c>
      <c r="N538" s="302">
        <v>4.743354248809474E-2</v>
      </c>
      <c r="O538" s="302">
        <f t="shared" si="240"/>
        <v>1.3390659333362718</v>
      </c>
    </row>
    <row r="539" spans="1:15" s="236" customFormat="1" x14ac:dyDescent="0.2">
      <c r="A539" s="237" t="str">
        <f>name!E$7</f>
        <v>Administrative and secretarial occupations</v>
      </c>
      <c r="B539" s="302">
        <v>1.3441207928543821</v>
      </c>
      <c r="C539" s="302">
        <v>0.18225223845581964</v>
      </c>
      <c r="D539" s="302">
        <v>6.3303048384151225E-2</v>
      </c>
      <c r="E539" s="302">
        <f t="shared" si="238"/>
        <v>1.589676079694353</v>
      </c>
      <c r="F539" s="303"/>
      <c r="G539" s="302">
        <v>1.2388140640953658</v>
      </c>
      <c r="H539" s="302">
        <v>0.13329071953793503</v>
      </c>
      <c r="I539" s="302">
        <v>4.8951937981958675E-2</v>
      </c>
      <c r="J539" s="302">
        <f t="shared" si="239"/>
        <v>1.4210567216152594</v>
      </c>
      <c r="K539" s="303"/>
      <c r="L539" s="302">
        <v>1.3939570878682146</v>
      </c>
      <c r="M539" s="302">
        <v>0.13091022806960315</v>
      </c>
      <c r="N539" s="302">
        <v>4.5933141747655649E-2</v>
      </c>
      <c r="O539" s="302">
        <f t="shared" si="240"/>
        <v>1.5708004576854733</v>
      </c>
    </row>
    <row r="540" spans="1:15" s="236" customFormat="1" x14ac:dyDescent="0.2">
      <c r="A540" s="237" t="str">
        <f>name!E$8</f>
        <v>Skilled trades occupations</v>
      </c>
      <c r="B540" s="302">
        <v>5.4771044785195544</v>
      </c>
      <c r="C540" s="302">
        <v>0.51974219616865713</v>
      </c>
      <c r="D540" s="302">
        <v>1.7090625983927534</v>
      </c>
      <c r="E540" s="302">
        <f t="shared" si="238"/>
        <v>7.7059092730809651</v>
      </c>
      <c r="F540" s="303"/>
      <c r="G540" s="302">
        <v>4.8762689860439705</v>
      </c>
      <c r="H540" s="302">
        <v>0.22769274390684013</v>
      </c>
      <c r="I540" s="302">
        <v>0.8428318753729499</v>
      </c>
      <c r="J540" s="302">
        <f>SUM(G540:I540)</f>
        <v>5.9467936053237604</v>
      </c>
      <c r="K540" s="303"/>
      <c r="L540" s="302">
        <v>4.6061866181993016</v>
      </c>
      <c r="M540" s="302">
        <v>0.27969709890662053</v>
      </c>
      <c r="N540" s="302">
        <v>0.84933743234096792</v>
      </c>
      <c r="O540" s="302">
        <f t="shared" si="240"/>
        <v>5.7352211494468897</v>
      </c>
    </row>
    <row r="541" spans="1:15" s="236" customFormat="1" x14ac:dyDescent="0.2">
      <c r="A541" s="237" t="str">
        <f>name!E$9</f>
        <v>Caring, leisure and other service occupations</v>
      </c>
      <c r="B541" s="302">
        <v>0.92982655013258009</v>
      </c>
      <c r="C541" s="302">
        <v>1.267975601152059E-2</v>
      </c>
      <c r="D541" s="302">
        <v>4.2502202313010981E-2</v>
      </c>
      <c r="E541" s="302">
        <f t="shared" si="238"/>
        <v>0.98500850845711163</v>
      </c>
      <c r="F541" s="303"/>
      <c r="G541" s="302">
        <v>0.65845491996491379</v>
      </c>
      <c r="H541" s="302">
        <v>7.4269675776162817E-3</v>
      </c>
      <c r="I541" s="302">
        <v>4.1044510436953285E-2</v>
      </c>
      <c r="J541" s="302">
        <f t="shared" ref="J541:J544" si="241">SUM(G541:I541)</f>
        <v>0.70692639797948331</v>
      </c>
      <c r="K541" s="303"/>
      <c r="L541" s="302">
        <v>1.072575840831818</v>
      </c>
      <c r="M541" s="302">
        <v>6.2630867529610817E-3</v>
      </c>
      <c r="N541" s="302">
        <v>5.1860589135550236E-2</v>
      </c>
      <c r="O541" s="302">
        <f t="shared" si="240"/>
        <v>1.1306995167203293</v>
      </c>
    </row>
    <row r="542" spans="1:15" s="236" customFormat="1" x14ac:dyDescent="0.2">
      <c r="A542" s="237" t="str">
        <f>name!E$10</f>
        <v>Sales and customer service occupations</v>
      </c>
      <c r="B542" s="302">
        <v>2.6711214918352275</v>
      </c>
      <c r="C542" s="302">
        <v>1.0134307634429345</v>
      </c>
      <c r="D542" s="302">
        <v>0.61428174538954972</v>
      </c>
      <c r="E542" s="302">
        <f t="shared" si="238"/>
        <v>4.2988340006677124</v>
      </c>
      <c r="F542" s="303"/>
      <c r="G542" s="302">
        <v>2.2233479178634132</v>
      </c>
      <c r="H542" s="302">
        <v>0.63519839461260375</v>
      </c>
      <c r="I542" s="302">
        <v>0.27783893406110083</v>
      </c>
      <c r="J542" s="302">
        <f t="shared" si="241"/>
        <v>3.136385246537118</v>
      </c>
      <c r="K542" s="303"/>
      <c r="L542" s="302">
        <v>2.3700436093965895</v>
      </c>
      <c r="M542" s="302">
        <v>0.63614362534964586</v>
      </c>
      <c r="N542" s="302">
        <v>0.25870570332193638</v>
      </c>
      <c r="O542" s="302">
        <f t="shared" si="240"/>
        <v>3.2648929380681717</v>
      </c>
    </row>
    <row r="543" spans="1:15" s="236" customFormat="1" x14ac:dyDescent="0.2">
      <c r="A543" s="237" t="str">
        <f>name!E$11</f>
        <v>Process, plant and machine operatives</v>
      </c>
      <c r="B543" s="302">
        <v>1.4720486823173016</v>
      </c>
      <c r="C543" s="302">
        <v>0.14990674553435862</v>
      </c>
      <c r="D543" s="302">
        <v>7.6813553463336917E-2</v>
      </c>
      <c r="E543" s="302">
        <f t="shared" si="238"/>
        <v>1.6987689813149971</v>
      </c>
      <c r="F543" s="303"/>
      <c r="G543" s="302">
        <v>1.2593990731703983</v>
      </c>
      <c r="H543" s="302">
        <v>8.7578669879072604E-2</v>
      </c>
      <c r="I543" s="302">
        <v>4.4325140082994728E-2</v>
      </c>
      <c r="J543" s="302">
        <f t="shared" si="241"/>
        <v>1.3913028831324656</v>
      </c>
      <c r="K543" s="303"/>
      <c r="L543" s="302">
        <v>1.5771259993612521</v>
      </c>
      <c r="M543" s="302">
        <v>0.10412974986827828</v>
      </c>
      <c r="N543" s="302">
        <v>6.3465052513153028E-2</v>
      </c>
      <c r="O543" s="302">
        <f t="shared" si="240"/>
        <v>1.7447208017426834</v>
      </c>
    </row>
    <row r="544" spans="1:15" s="236" customFormat="1" x14ac:dyDescent="0.2">
      <c r="A544" s="237" t="str">
        <f>name!E$12</f>
        <v>Elementary occupations</v>
      </c>
      <c r="B544" s="302">
        <v>0.7098174782913047</v>
      </c>
      <c r="C544" s="302">
        <v>0.29943036196623185</v>
      </c>
      <c r="D544" s="302">
        <v>0.17629317625091304</v>
      </c>
      <c r="E544" s="302">
        <f t="shared" si="238"/>
        <v>1.1855410165084497</v>
      </c>
      <c r="F544" s="303"/>
      <c r="G544" s="302">
        <v>0.62885384511027587</v>
      </c>
      <c r="H544" s="302">
        <v>0.14578580675758901</v>
      </c>
      <c r="I544" s="302">
        <v>9.1708496310447682E-2</v>
      </c>
      <c r="J544" s="302">
        <f t="shared" si="241"/>
        <v>0.86634814817831252</v>
      </c>
      <c r="K544" s="303"/>
      <c r="L544" s="302">
        <v>0.63379373333629496</v>
      </c>
      <c r="M544" s="302">
        <v>9.9662177532166954E-2</v>
      </c>
      <c r="N544" s="302">
        <v>0.11563433136316195</v>
      </c>
      <c r="O544" s="302">
        <f t="shared" si="240"/>
        <v>0.84909024223162388</v>
      </c>
    </row>
    <row r="545" spans="1:15" s="236" customFormat="1" x14ac:dyDescent="0.2">
      <c r="A545" s="237"/>
      <c r="B545" s="302"/>
      <c r="C545" s="302"/>
      <c r="D545" s="302"/>
      <c r="E545" s="302"/>
      <c r="F545" s="303"/>
      <c r="G545" s="302"/>
      <c r="H545" s="302"/>
      <c r="I545" s="302"/>
      <c r="J545" s="302"/>
      <c r="K545" s="303"/>
      <c r="L545" s="302"/>
      <c r="M545" s="302"/>
      <c r="N545" s="302"/>
      <c r="O545" s="302"/>
    </row>
    <row r="546" spans="1:15" s="236" customFormat="1" x14ac:dyDescent="0.2">
      <c r="A546" s="244" t="s">
        <v>32</v>
      </c>
      <c r="B546" s="311">
        <f>SUM(B536:B544)</f>
        <v>15.576000000072444</v>
      </c>
      <c r="C546" s="311">
        <f t="shared" ref="C546:E546" si="242">SUM(C536:C544)</f>
        <v>2.3410000000587359</v>
      </c>
      <c r="D546" s="311">
        <f t="shared" si="242"/>
        <v>3.9110000000335488</v>
      </c>
      <c r="E546" s="311">
        <f t="shared" si="242"/>
        <v>21.828000000164728</v>
      </c>
      <c r="F546" s="311"/>
      <c r="G546" s="311">
        <f t="shared" ref="G546:J546" si="243">SUM(G536:G544)</f>
        <v>14.46999999999414</v>
      </c>
      <c r="H546" s="311">
        <f t="shared" si="243"/>
        <v>1.3950000000111737</v>
      </c>
      <c r="I546" s="311">
        <f t="shared" si="243"/>
        <v>2.0449999999943711</v>
      </c>
      <c r="J546" s="311">
        <f t="shared" si="243"/>
        <v>17.909999999999684</v>
      </c>
      <c r="K546" s="311"/>
      <c r="L546" s="311">
        <f t="shared" ref="L546:O546" si="244">SUM(L536:L544)</f>
        <v>16.480999999847509</v>
      </c>
      <c r="M546" s="311">
        <f t="shared" si="244"/>
        <v>1.4309999999898428</v>
      </c>
      <c r="N546" s="311">
        <f t="shared" si="244"/>
        <v>2.2939999999644738</v>
      </c>
      <c r="O546" s="311">
        <f t="shared" si="244"/>
        <v>20.205999999801826</v>
      </c>
    </row>
    <row r="547" spans="1:15" s="236" customFormat="1" x14ac:dyDescent="0.2">
      <c r="A547" s="237"/>
      <c r="B547" s="237"/>
      <c r="C547" s="237"/>
      <c r="D547" s="237"/>
      <c r="E547" s="237"/>
      <c r="F547" s="237"/>
      <c r="G547" s="237"/>
      <c r="H547" s="237"/>
      <c r="I547" s="237"/>
      <c r="J547" s="237"/>
      <c r="K547" s="237"/>
      <c r="L547" s="237"/>
      <c r="M547" s="237"/>
      <c r="N547" s="240"/>
    </row>
    <row r="548" spans="1:15" s="236" customFormat="1" x14ac:dyDescent="0.2">
      <c r="A548" s="237"/>
      <c r="B548" s="237"/>
      <c r="C548" s="237"/>
      <c r="D548" s="237"/>
      <c r="E548" s="237"/>
      <c r="F548" s="237"/>
      <c r="G548" s="237"/>
      <c r="H548" s="237"/>
      <c r="I548" s="237"/>
      <c r="J548" s="237"/>
      <c r="K548" s="237"/>
      <c r="L548" s="237"/>
      <c r="M548" s="237"/>
      <c r="N548" s="240"/>
      <c r="O548" s="251" t="s">
        <v>35</v>
      </c>
    </row>
    <row r="549" spans="1:15" s="236" customFormat="1" x14ac:dyDescent="0.2">
      <c r="A549" s="242"/>
      <c r="B549" s="242"/>
      <c r="C549" s="242"/>
      <c r="D549" s="242"/>
      <c r="E549" s="242"/>
      <c r="F549" s="242"/>
      <c r="G549" s="242"/>
      <c r="H549" s="242"/>
      <c r="I549" s="242"/>
      <c r="J549" s="242"/>
      <c r="K549" s="242"/>
      <c r="L549" s="242"/>
      <c r="M549" s="242"/>
      <c r="N549" s="242"/>
      <c r="O549" s="242"/>
    </row>
    <row r="550" spans="1:15" s="236" customFormat="1" x14ac:dyDescent="0.2">
      <c r="A550" s="241" t="str">
        <f>name!A35</f>
        <v>Wholesale trade</v>
      </c>
      <c r="B550" s="374">
        <f>$B$6</f>
        <v>2015</v>
      </c>
      <c r="C550" s="374"/>
      <c r="D550" s="374"/>
      <c r="E550" s="374"/>
      <c r="F550" s="263"/>
      <c r="G550" s="374">
        <f>$G$6</f>
        <v>2020</v>
      </c>
      <c r="H550" s="374"/>
      <c r="I550" s="374"/>
      <c r="J550" s="374"/>
      <c r="K550" s="263"/>
      <c r="L550" s="374">
        <f>$L$6</f>
        <v>2035</v>
      </c>
      <c r="M550" s="374"/>
      <c r="N550" s="374"/>
      <c r="O550" s="374"/>
    </row>
    <row r="551" spans="1:15" s="236" customFormat="1" x14ac:dyDescent="0.2">
      <c r="A551" s="254"/>
      <c r="B551" s="268" t="str">
        <f>$B$7</f>
        <v>FT</v>
      </c>
      <c r="C551" s="268" t="str">
        <f>$C$7</f>
        <v>PT</v>
      </c>
      <c r="D551" s="268" t="str">
        <f>$D$7</f>
        <v>SE</v>
      </c>
      <c r="E551" s="268" t="str">
        <f>$E$7</f>
        <v>Total</v>
      </c>
      <c r="F551" s="268"/>
      <c r="G551" s="268" t="str">
        <f>$G$7</f>
        <v>FT</v>
      </c>
      <c r="H551" s="268" t="str">
        <f>$H$7</f>
        <v>PT</v>
      </c>
      <c r="I551" s="268" t="str">
        <f>$I$7</f>
        <v>SE</v>
      </c>
      <c r="J551" s="268" t="str">
        <f>$J$7</f>
        <v>Total</v>
      </c>
      <c r="K551" s="268"/>
      <c r="L551" s="268" t="str">
        <f>$L$7</f>
        <v>FT</v>
      </c>
      <c r="M551" s="268" t="str">
        <f>$M$7</f>
        <v>PT</v>
      </c>
      <c r="N551" s="268" t="str">
        <f>$N$7</f>
        <v>SE</v>
      </c>
      <c r="O551" s="268" t="str">
        <f>$O$7</f>
        <v>Total</v>
      </c>
    </row>
    <row r="552" spans="1:15" s="236" customFormat="1" x14ac:dyDescent="0.2">
      <c r="A552" s="258"/>
      <c r="B552" s="239"/>
      <c r="C552" s="239"/>
      <c r="D552" s="239"/>
      <c r="E552" s="239"/>
      <c r="F552" s="239"/>
      <c r="G552" s="239"/>
      <c r="H552" s="239"/>
      <c r="I552" s="239"/>
      <c r="J552" s="239"/>
      <c r="K552" s="239"/>
      <c r="L552" s="239"/>
      <c r="M552" s="239"/>
      <c r="N552" s="239"/>
      <c r="O552" s="239"/>
    </row>
    <row r="553" spans="1:15" s="236" customFormat="1" x14ac:dyDescent="0.2">
      <c r="A553" s="237" t="str">
        <f>name!E$4</f>
        <v>Managers, directors and senior officials</v>
      </c>
      <c r="B553" s="302">
        <v>3.1915988422079065</v>
      </c>
      <c r="C553" s="302">
        <v>0.26246793606090252</v>
      </c>
      <c r="D553" s="302">
        <v>0.9007703552320786</v>
      </c>
      <c r="E553" s="302">
        <f>SUM(B553:D553)</f>
        <v>4.3548371335008875</v>
      </c>
      <c r="F553" s="303"/>
      <c r="G553" s="302">
        <v>4.0931577177490475</v>
      </c>
      <c r="H553" s="302">
        <v>0.36357893152879073</v>
      </c>
      <c r="I553" s="302">
        <v>0.74641832193655155</v>
      </c>
      <c r="J553" s="302">
        <f>SUM(G553:I553)</f>
        <v>5.2031549712143894</v>
      </c>
      <c r="K553" s="303"/>
      <c r="L553" s="302">
        <v>4.4265209590932972</v>
      </c>
      <c r="M553" s="302">
        <v>0.37755131075732773</v>
      </c>
      <c r="N553" s="302">
        <v>0.78733608648543185</v>
      </c>
      <c r="O553" s="302">
        <f>SUM(L553:N553)</f>
        <v>5.591408356336057</v>
      </c>
    </row>
    <row r="554" spans="1:15" s="236" customFormat="1" x14ac:dyDescent="0.2">
      <c r="A554" s="237" t="str">
        <f>name!E$5</f>
        <v>Professional occupations</v>
      </c>
      <c r="B554" s="302">
        <v>1.9498077192628833</v>
      </c>
      <c r="C554" s="302">
        <v>0.12730987731436508</v>
      </c>
      <c r="D554" s="302">
        <v>0.22046623351021649</v>
      </c>
      <c r="E554" s="302">
        <f t="shared" ref="E554:E561" si="245">SUM(B554:D554)</f>
        <v>2.2975838300874649</v>
      </c>
      <c r="F554" s="303"/>
      <c r="G554" s="302">
        <v>2.8415079225137525</v>
      </c>
      <c r="H554" s="302">
        <v>0.18231023342278543</v>
      </c>
      <c r="I554" s="302">
        <v>0.16405391134986133</v>
      </c>
      <c r="J554" s="302">
        <f t="shared" ref="J554:J556" si="246">SUM(G554:I554)</f>
        <v>3.1878720672863992</v>
      </c>
      <c r="K554" s="303"/>
      <c r="L554" s="302">
        <v>3.6105966997142906</v>
      </c>
      <c r="M554" s="302">
        <v>0.19844382850391756</v>
      </c>
      <c r="N554" s="302">
        <v>0.13062388156718929</v>
      </c>
      <c r="O554" s="302">
        <f t="shared" ref="O554:O561" si="247">SUM(L554:N554)</f>
        <v>3.9396644097853977</v>
      </c>
    </row>
    <row r="555" spans="1:15" s="236" customFormat="1" x14ac:dyDescent="0.2">
      <c r="A555" s="237" t="str">
        <f>name!E$6</f>
        <v>Associate professional occupations</v>
      </c>
      <c r="B555" s="302">
        <v>2.2592402273914636</v>
      </c>
      <c r="C555" s="302">
        <v>0.39804070449045031</v>
      </c>
      <c r="D555" s="302">
        <v>0.22597714717070919</v>
      </c>
      <c r="E555" s="302">
        <f t="shared" si="245"/>
        <v>2.8832580790526232</v>
      </c>
      <c r="F555" s="303"/>
      <c r="G555" s="302">
        <v>2.8333791246657403</v>
      </c>
      <c r="H555" s="302">
        <v>0.45933987185343866</v>
      </c>
      <c r="I555" s="302">
        <v>0.14668106367467718</v>
      </c>
      <c r="J555" s="302">
        <f t="shared" si="246"/>
        <v>3.4394000601938561</v>
      </c>
      <c r="K555" s="303"/>
      <c r="L555" s="302">
        <v>2.9685587612565967</v>
      </c>
      <c r="M555" s="302">
        <v>0.42857375079873189</v>
      </c>
      <c r="N555" s="302">
        <v>0.10131066469506639</v>
      </c>
      <c r="O555" s="302">
        <f t="shared" si="247"/>
        <v>3.4984431767503947</v>
      </c>
    </row>
    <row r="556" spans="1:15" s="236" customFormat="1" x14ac:dyDescent="0.2">
      <c r="A556" s="237" t="str">
        <f>name!E$7</f>
        <v>Administrative and secretarial occupations</v>
      </c>
      <c r="B556" s="302">
        <v>2.7909059535851259</v>
      </c>
      <c r="C556" s="302">
        <v>0.55858711223337043</v>
      </c>
      <c r="D556" s="302">
        <v>8.2301174572684918E-2</v>
      </c>
      <c r="E556" s="302">
        <f t="shared" si="245"/>
        <v>3.4317942403911812</v>
      </c>
      <c r="F556" s="303"/>
      <c r="G556" s="302">
        <v>2.8142041575221071</v>
      </c>
      <c r="H556" s="302">
        <v>0.55986106969597238</v>
      </c>
      <c r="I556" s="302">
        <v>4.179656272010638E-2</v>
      </c>
      <c r="J556" s="302">
        <f t="shared" si="246"/>
        <v>3.4158617899381856</v>
      </c>
      <c r="K556" s="303"/>
      <c r="L556" s="302">
        <v>2.5665457342836571</v>
      </c>
      <c r="M556" s="302">
        <v>0.47307932290074844</v>
      </c>
      <c r="N556" s="302">
        <v>4.5038908690947906E-2</v>
      </c>
      <c r="O556" s="302">
        <f t="shared" si="247"/>
        <v>3.0846639658753534</v>
      </c>
    </row>
    <row r="557" spans="1:15" s="236" customFormat="1" x14ac:dyDescent="0.2">
      <c r="A557" s="237" t="str">
        <f>name!E$8</f>
        <v>Skilled trades occupations</v>
      </c>
      <c r="B557" s="302">
        <v>1.5046671355302541</v>
      </c>
      <c r="C557" s="302">
        <v>0.12760857052155278</v>
      </c>
      <c r="D557" s="302">
        <v>0.33348009902444253</v>
      </c>
      <c r="E557" s="302">
        <f t="shared" si="245"/>
        <v>1.9657558050762494</v>
      </c>
      <c r="F557" s="303"/>
      <c r="G557" s="302">
        <v>1.3940519725794185</v>
      </c>
      <c r="H557" s="302">
        <v>7.4356800636126708E-2</v>
      </c>
      <c r="I557" s="302">
        <v>0.2219245834254418</v>
      </c>
      <c r="J557" s="302">
        <f>SUM(G557:I557)</f>
        <v>1.6903333566409868</v>
      </c>
      <c r="K557" s="303"/>
      <c r="L557" s="302">
        <v>1.2513866480033102</v>
      </c>
      <c r="M557" s="302">
        <v>7.9282980743781012E-2</v>
      </c>
      <c r="N557" s="302">
        <v>0.25559490788093137</v>
      </c>
      <c r="O557" s="302">
        <f t="shared" si="247"/>
        <v>1.5862645366280226</v>
      </c>
    </row>
    <row r="558" spans="1:15" s="236" customFormat="1" x14ac:dyDescent="0.2">
      <c r="A558" s="237" t="str">
        <f>name!E$9</f>
        <v>Caring, leisure and other service occupations</v>
      </c>
      <c r="B558" s="302">
        <v>0.13094741163087195</v>
      </c>
      <c r="C558" s="302">
        <v>2.7395560453947043E-2</v>
      </c>
      <c r="D558" s="302">
        <v>2.5508557963517746E-2</v>
      </c>
      <c r="E558" s="302">
        <f t="shared" si="245"/>
        <v>0.18385153004833674</v>
      </c>
      <c r="F558" s="303"/>
      <c r="G558" s="302">
        <v>0.12857047672401961</v>
      </c>
      <c r="H558" s="302">
        <v>2.1634787737344736E-2</v>
      </c>
      <c r="I558" s="302">
        <v>1.4670705178421126E-2</v>
      </c>
      <c r="J558" s="302">
        <f t="shared" ref="J558:J561" si="248">SUM(G558:I558)</f>
        <v>0.16487596963978546</v>
      </c>
      <c r="K558" s="303"/>
      <c r="L558" s="302">
        <v>0.16660101248905324</v>
      </c>
      <c r="M558" s="302">
        <v>1.5470232877109151E-2</v>
      </c>
      <c r="N558" s="302">
        <v>2.0574099978790152E-2</v>
      </c>
      <c r="O558" s="302">
        <f t="shared" si="247"/>
        <v>0.20264534534495254</v>
      </c>
    </row>
    <row r="559" spans="1:15" s="236" customFormat="1" x14ac:dyDescent="0.2">
      <c r="A559" s="237" t="str">
        <f>name!E$10</f>
        <v>Sales and customer service occupations</v>
      </c>
      <c r="B559" s="302">
        <v>2.9441252041229</v>
      </c>
      <c r="C559" s="302">
        <v>1.3190024390087576</v>
      </c>
      <c r="D559" s="302">
        <v>0.27399875238299992</v>
      </c>
      <c r="E559" s="302">
        <f t="shared" si="245"/>
        <v>4.5371263955146572</v>
      </c>
      <c r="F559" s="303"/>
      <c r="G559" s="302">
        <v>2.6567804757314719</v>
      </c>
      <c r="H559" s="302">
        <v>1.1683787655744116</v>
      </c>
      <c r="I559" s="302">
        <v>0.13716236512318414</v>
      </c>
      <c r="J559" s="302">
        <f t="shared" si="248"/>
        <v>3.9623216064290676</v>
      </c>
      <c r="K559" s="303"/>
      <c r="L559" s="302">
        <v>2.6255071019406735</v>
      </c>
      <c r="M559" s="302">
        <v>1.0729501944128796</v>
      </c>
      <c r="N559" s="302">
        <v>0.12200269441211412</v>
      </c>
      <c r="O559" s="302">
        <f t="shared" si="247"/>
        <v>3.8204599907656673</v>
      </c>
    </row>
    <row r="560" spans="1:15" s="236" customFormat="1" x14ac:dyDescent="0.2">
      <c r="A560" s="237" t="str">
        <f>name!E$11</f>
        <v>Process, plant and machine operatives</v>
      </c>
      <c r="B560" s="302">
        <v>4.6834654011101451</v>
      </c>
      <c r="C560" s="302">
        <v>0.25995384827810891</v>
      </c>
      <c r="D560" s="302">
        <v>0.10147738565800503</v>
      </c>
      <c r="E560" s="302">
        <f t="shared" si="245"/>
        <v>5.0448966350462587</v>
      </c>
      <c r="F560" s="303"/>
      <c r="G560" s="302">
        <v>4.4387410163036227</v>
      </c>
      <c r="H560" s="302">
        <v>0.20345592899847431</v>
      </c>
      <c r="I560" s="302">
        <v>8.6645410553426103E-2</v>
      </c>
      <c r="J560" s="302">
        <f t="shared" si="248"/>
        <v>4.728842355855523</v>
      </c>
      <c r="K560" s="303"/>
      <c r="L560" s="302">
        <v>4.3323525150719542</v>
      </c>
      <c r="M560" s="302">
        <v>0.26396668999274325</v>
      </c>
      <c r="N560" s="302">
        <v>0.10201384453727549</v>
      </c>
      <c r="O560" s="302">
        <f t="shared" si="247"/>
        <v>4.6983330496019722</v>
      </c>
    </row>
    <row r="561" spans="1:15" s="236" customFormat="1" x14ac:dyDescent="0.2">
      <c r="A561" s="237" t="str">
        <f>name!E$12</f>
        <v>Elementary occupations</v>
      </c>
      <c r="B561" s="302">
        <v>3.1302421052332701</v>
      </c>
      <c r="C561" s="302">
        <v>0.80463395173544627</v>
      </c>
      <c r="D561" s="302">
        <v>5.9020294528914642E-2</v>
      </c>
      <c r="E561" s="302">
        <f t="shared" si="245"/>
        <v>3.9938963514976309</v>
      </c>
      <c r="F561" s="303"/>
      <c r="G561" s="302">
        <v>2.7616071361228469</v>
      </c>
      <c r="H561" s="302">
        <v>0.56808361058484091</v>
      </c>
      <c r="I561" s="302">
        <v>2.7647076052270257E-2</v>
      </c>
      <c r="J561" s="302">
        <f t="shared" si="248"/>
        <v>3.3573378227599582</v>
      </c>
      <c r="K561" s="303"/>
      <c r="L561" s="302">
        <v>1.9489305679313376</v>
      </c>
      <c r="M561" s="302">
        <v>0.35268168899358032</v>
      </c>
      <c r="N561" s="302">
        <v>2.7504911772711808E-2</v>
      </c>
      <c r="O561" s="302">
        <f t="shared" si="247"/>
        <v>2.3291171686976297</v>
      </c>
    </row>
    <row r="562" spans="1:15" s="236" customFormat="1" x14ac:dyDescent="0.2">
      <c r="A562" s="237"/>
      <c r="B562" s="302"/>
      <c r="C562" s="302"/>
      <c r="D562" s="302"/>
      <c r="E562" s="302"/>
      <c r="F562" s="303"/>
      <c r="G562" s="302"/>
      <c r="H562" s="302"/>
      <c r="I562" s="302"/>
      <c r="J562" s="302"/>
      <c r="K562" s="303"/>
      <c r="L562" s="302"/>
      <c r="M562" s="302"/>
      <c r="N562" s="302"/>
      <c r="O562" s="302"/>
    </row>
    <row r="563" spans="1:15" s="236" customFormat="1" x14ac:dyDescent="0.2">
      <c r="A563" s="244" t="s">
        <v>32</v>
      </c>
      <c r="B563" s="311">
        <f>SUM(B553:B561)</f>
        <v>22.585000000074821</v>
      </c>
      <c r="C563" s="311">
        <f t="shared" ref="C563:E563" si="249">SUM(C553:C561)</f>
        <v>3.8850000000969009</v>
      </c>
      <c r="D563" s="311">
        <f t="shared" si="249"/>
        <v>2.223000000043569</v>
      </c>
      <c r="E563" s="311">
        <f t="shared" si="249"/>
        <v>28.693000000215292</v>
      </c>
      <c r="F563" s="311"/>
      <c r="G563" s="311">
        <f t="shared" ref="G563:J563" si="250">SUM(G553:G561)</f>
        <v>23.961999999912031</v>
      </c>
      <c r="H563" s="311">
        <f t="shared" si="250"/>
        <v>3.6010000000321858</v>
      </c>
      <c r="I563" s="311">
        <f t="shared" si="250"/>
        <v>1.5870000000139399</v>
      </c>
      <c r="J563" s="311">
        <f t="shared" si="250"/>
        <v>29.149999999958151</v>
      </c>
      <c r="K563" s="311"/>
      <c r="L563" s="311">
        <f t="shared" ref="L563:O563" si="251">SUM(L553:L561)</f>
        <v>23.896999999784171</v>
      </c>
      <c r="M563" s="311">
        <f t="shared" si="251"/>
        <v>3.2619999999808194</v>
      </c>
      <c r="N563" s="311">
        <f t="shared" si="251"/>
        <v>1.5920000000204586</v>
      </c>
      <c r="O563" s="311">
        <f t="shared" si="251"/>
        <v>28.750999999785442</v>
      </c>
    </row>
    <row r="564" spans="1:15" s="236" customFormat="1" x14ac:dyDescent="0.2">
      <c r="A564" s="237"/>
      <c r="B564" s="237"/>
      <c r="C564" s="237"/>
      <c r="D564" s="237"/>
      <c r="E564" s="237"/>
      <c r="F564" s="237"/>
      <c r="G564" s="237"/>
      <c r="H564" s="237"/>
      <c r="I564" s="237"/>
      <c r="J564" s="237"/>
      <c r="K564" s="237"/>
      <c r="L564" s="237"/>
      <c r="M564" s="237"/>
      <c r="N564" s="240"/>
    </row>
    <row r="565" spans="1:15" s="236" customFormat="1" x14ac:dyDescent="0.2">
      <c r="A565" s="237"/>
      <c r="B565" s="237"/>
      <c r="C565" s="237"/>
      <c r="D565" s="237"/>
      <c r="E565" s="237"/>
      <c r="F565" s="237"/>
      <c r="G565" s="237"/>
      <c r="H565" s="237"/>
      <c r="I565" s="237"/>
      <c r="J565" s="237"/>
      <c r="K565" s="237"/>
      <c r="L565" s="237"/>
      <c r="M565" s="237"/>
      <c r="N565" s="240"/>
      <c r="O565" s="251" t="s">
        <v>35</v>
      </c>
    </row>
    <row r="566" spans="1:15" s="236" customFormat="1" x14ac:dyDescent="0.2">
      <c r="A566" s="242"/>
      <c r="B566" s="242"/>
      <c r="C566" s="242"/>
      <c r="D566" s="242"/>
      <c r="E566" s="242"/>
      <c r="F566" s="242"/>
      <c r="G566" s="242"/>
      <c r="H566" s="242"/>
      <c r="I566" s="242"/>
      <c r="J566" s="242"/>
      <c r="K566" s="242"/>
      <c r="L566" s="242"/>
      <c r="M566" s="242"/>
      <c r="N566" s="242"/>
      <c r="O566" s="242"/>
    </row>
    <row r="567" spans="1:15" s="236" customFormat="1" x14ac:dyDescent="0.2">
      <c r="A567" s="241" t="str">
        <f>name!A36</f>
        <v>Retail trade</v>
      </c>
      <c r="B567" s="374">
        <f>$B$6</f>
        <v>2015</v>
      </c>
      <c r="C567" s="374"/>
      <c r="D567" s="374"/>
      <c r="E567" s="374"/>
      <c r="F567" s="263"/>
      <c r="G567" s="374">
        <f>$G$6</f>
        <v>2020</v>
      </c>
      <c r="H567" s="374"/>
      <c r="I567" s="374"/>
      <c r="J567" s="374"/>
      <c r="K567" s="263"/>
      <c r="L567" s="374">
        <f>$L$6</f>
        <v>2035</v>
      </c>
      <c r="M567" s="374"/>
      <c r="N567" s="374"/>
      <c r="O567" s="374"/>
    </row>
    <row r="568" spans="1:15" s="236" customFormat="1" x14ac:dyDescent="0.2">
      <c r="A568" s="254"/>
      <c r="B568" s="268" t="str">
        <f>$B$7</f>
        <v>FT</v>
      </c>
      <c r="C568" s="268" t="str">
        <f>$C$7</f>
        <v>PT</v>
      </c>
      <c r="D568" s="268" t="str">
        <f>$D$7</f>
        <v>SE</v>
      </c>
      <c r="E568" s="268" t="str">
        <f>$E$7</f>
        <v>Total</v>
      </c>
      <c r="F568" s="268"/>
      <c r="G568" s="268" t="str">
        <f>$G$7</f>
        <v>FT</v>
      </c>
      <c r="H568" s="268" t="str">
        <f>$H$7</f>
        <v>PT</v>
      </c>
      <c r="I568" s="268" t="str">
        <f>$I$7</f>
        <v>SE</v>
      </c>
      <c r="J568" s="268" t="str">
        <f>$J$7</f>
        <v>Total</v>
      </c>
      <c r="K568" s="268"/>
      <c r="L568" s="268" t="str">
        <f>$L$7</f>
        <v>FT</v>
      </c>
      <c r="M568" s="268" t="str">
        <f>$M$7</f>
        <v>PT</v>
      </c>
      <c r="N568" s="268" t="str">
        <f>$N$7</f>
        <v>SE</v>
      </c>
      <c r="O568" s="268" t="str">
        <f>$O$7</f>
        <v>Total</v>
      </c>
    </row>
    <row r="569" spans="1:15" s="236" customFormat="1" x14ac:dyDescent="0.2">
      <c r="A569" s="258"/>
      <c r="B569" s="239"/>
      <c r="C569" s="239"/>
      <c r="D569" s="239"/>
      <c r="E569" s="239"/>
      <c r="F569" s="239"/>
      <c r="G569" s="239"/>
      <c r="H569" s="239"/>
      <c r="I569" s="239"/>
      <c r="J569" s="239"/>
      <c r="K569" s="239"/>
      <c r="L569" s="239"/>
      <c r="M569" s="239"/>
      <c r="N569" s="239"/>
      <c r="O569" s="239"/>
    </row>
    <row r="570" spans="1:15" s="236" customFormat="1" x14ac:dyDescent="0.2">
      <c r="A570" s="237" t="str">
        <f>name!E$4</f>
        <v>Managers, directors and senior officials</v>
      </c>
      <c r="B570" s="302">
        <v>4.7577870243919573</v>
      </c>
      <c r="C570" s="302">
        <v>0.4089833907208219</v>
      </c>
      <c r="D570" s="302">
        <v>4.522478191587977</v>
      </c>
      <c r="E570" s="302">
        <f>SUM(B570:D570)</f>
        <v>9.6892486067007564</v>
      </c>
      <c r="F570" s="303"/>
      <c r="G570" s="302">
        <v>7.1143876954864593</v>
      </c>
      <c r="H570" s="302">
        <v>0.66807381653201336</v>
      </c>
      <c r="I570" s="302">
        <v>3.5033401808105804</v>
      </c>
      <c r="J570" s="302">
        <f>SUM(G570:I570)</f>
        <v>11.285801692829054</v>
      </c>
      <c r="K570" s="303"/>
      <c r="L570" s="302">
        <v>9.1096209781996773</v>
      </c>
      <c r="M570" s="302">
        <v>0.77468940051345381</v>
      </c>
      <c r="N570" s="302">
        <v>3.4987641945374013</v>
      </c>
      <c r="O570" s="302">
        <f>SUM(L570:N570)</f>
        <v>13.383074573250532</v>
      </c>
    </row>
    <row r="571" spans="1:15" s="236" customFormat="1" x14ac:dyDescent="0.2">
      <c r="A571" s="237" t="str">
        <f>name!E$5</f>
        <v>Professional occupations</v>
      </c>
      <c r="B571" s="302">
        <v>3.8188645789627027</v>
      </c>
      <c r="C571" s="302">
        <v>1.0148787020800241</v>
      </c>
      <c r="D571" s="302">
        <v>0.90148534598756702</v>
      </c>
      <c r="E571" s="302">
        <f t="shared" ref="E571:E578" si="252">SUM(B571:D571)</f>
        <v>5.7352286270302937</v>
      </c>
      <c r="F571" s="303"/>
      <c r="G571" s="302">
        <v>6.3378903862915443</v>
      </c>
      <c r="H571" s="302">
        <v>1.4308408150674532</v>
      </c>
      <c r="I571" s="302">
        <v>0.68608046446486248</v>
      </c>
      <c r="J571" s="302">
        <f t="shared" ref="J571:J573" si="253">SUM(G571:I571)</f>
        <v>8.4548116658238595</v>
      </c>
      <c r="K571" s="303"/>
      <c r="L571" s="302">
        <v>8.7561491721602636</v>
      </c>
      <c r="M571" s="302">
        <v>1.4735552694440452</v>
      </c>
      <c r="N571" s="302">
        <v>0.37288289187373969</v>
      </c>
      <c r="O571" s="302">
        <f t="shared" ref="O571:O578" si="254">SUM(L571:N571)</f>
        <v>10.602587333478048</v>
      </c>
    </row>
    <row r="572" spans="1:15" s="236" customFormat="1" x14ac:dyDescent="0.2">
      <c r="A572" s="237" t="str">
        <f>name!E$6</f>
        <v>Associate professional occupations</v>
      </c>
      <c r="B572" s="302">
        <v>2.6201377541160338</v>
      </c>
      <c r="C572" s="302">
        <v>1.4992405784821854</v>
      </c>
      <c r="D572" s="302">
        <v>0.50402073135806924</v>
      </c>
      <c r="E572" s="302">
        <f t="shared" si="252"/>
        <v>4.6233990639562883</v>
      </c>
      <c r="F572" s="303"/>
      <c r="G572" s="302">
        <v>3.9551800997464008</v>
      </c>
      <c r="H572" s="302">
        <v>1.7169963081502251</v>
      </c>
      <c r="I572" s="302">
        <v>0.33309145544566843</v>
      </c>
      <c r="J572" s="302">
        <f t="shared" si="253"/>
        <v>6.0052678633422945</v>
      </c>
      <c r="K572" s="303"/>
      <c r="L572" s="302">
        <v>4.6193894466649548</v>
      </c>
      <c r="M572" s="302">
        <v>1.5400024674909303</v>
      </c>
      <c r="N572" s="302">
        <v>0.21766598068655971</v>
      </c>
      <c r="O572" s="302">
        <f t="shared" si="254"/>
        <v>6.3770578948424443</v>
      </c>
    </row>
    <row r="573" spans="1:15" s="236" customFormat="1" x14ac:dyDescent="0.2">
      <c r="A573" s="237" t="str">
        <f>name!E$7</f>
        <v>Administrative and secretarial occupations</v>
      </c>
      <c r="B573" s="302">
        <v>1.9725584556044267</v>
      </c>
      <c r="C573" s="302">
        <v>1.4373040463376305</v>
      </c>
      <c r="D573" s="302">
        <v>0.15012814396994315</v>
      </c>
      <c r="E573" s="302">
        <f t="shared" si="252"/>
        <v>3.5599906459120003</v>
      </c>
      <c r="F573" s="303"/>
      <c r="G573" s="302">
        <v>2.5500675273382689</v>
      </c>
      <c r="H573" s="302">
        <v>1.629005209840606</v>
      </c>
      <c r="I573" s="302">
        <v>0.11088842127883197</v>
      </c>
      <c r="J573" s="302">
        <f t="shared" si="253"/>
        <v>4.2899611584577073</v>
      </c>
      <c r="K573" s="303"/>
      <c r="L573" s="302">
        <v>2.9066773709107179</v>
      </c>
      <c r="M573" s="302">
        <v>1.5684659331276136</v>
      </c>
      <c r="N573" s="302">
        <v>1.7423024625854135</v>
      </c>
      <c r="O573" s="302">
        <f t="shared" si="254"/>
        <v>6.2174457666237455</v>
      </c>
    </row>
    <row r="574" spans="1:15" s="236" customFormat="1" x14ac:dyDescent="0.2">
      <c r="A574" s="237" t="str">
        <f>name!E$8</f>
        <v>Skilled trades occupations</v>
      </c>
      <c r="B574" s="302">
        <v>2.8517447269288612</v>
      </c>
      <c r="C574" s="302">
        <v>0.81866069359041527</v>
      </c>
      <c r="D574" s="302">
        <v>1.7248379657787547</v>
      </c>
      <c r="E574" s="302">
        <f t="shared" si="252"/>
        <v>5.3952433862980307</v>
      </c>
      <c r="F574" s="303"/>
      <c r="G574" s="302">
        <v>3.0290680442895863</v>
      </c>
      <c r="H574" s="302">
        <v>0.62718468960318352</v>
      </c>
      <c r="I574" s="302">
        <v>1.1970529419069427</v>
      </c>
      <c r="J574" s="302">
        <f>SUM(G574:I574)</f>
        <v>4.8533056757997128</v>
      </c>
      <c r="K574" s="303"/>
      <c r="L574" s="302">
        <v>3.1377842650072276</v>
      </c>
      <c r="M574" s="302">
        <v>0.5160435144488279</v>
      </c>
      <c r="N574" s="302">
        <v>1.0253957334991641</v>
      </c>
      <c r="O574" s="302">
        <f t="shared" si="254"/>
        <v>4.67922351295522</v>
      </c>
    </row>
    <row r="575" spans="1:15" s="236" customFormat="1" x14ac:dyDescent="0.2">
      <c r="A575" s="237" t="str">
        <f>name!E$9</f>
        <v>Caring, leisure and other service occupations</v>
      </c>
      <c r="B575" s="302">
        <v>0.30872413371282442</v>
      </c>
      <c r="C575" s="302">
        <v>0.31534174357539291</v>
      </c>
      <c r="D575" s="302">
        <v>0.15682569915108463</v>
      </c>
      <c r="E575" s="302">
        <f t="shared" si="252"/>
        <v>0.78089157643930185</v>
      </c>
      <c r="F575" s="303"/>
      <c r="G575" s="302">
        <v>0.3719276870596902</v>
      </c>
      <c r="H575" s="302">
        <v>0.27780776042277761</v>
      </c>
      <c r="I575" s="302">
        <v>0.14893753599165183</v>
      </c>
      <c r="J575" s="302">
        <f t="shared" ref="J575:J578" si="255">SUM(G575:I575)</f>
        <v>0.79867298347411964</v>
      </c>
      <c r="K575" s="303"/>
      <c r="L575" s="302">
        <v>0.53972583499429816</v>
      </c>
      <c r="M575" s="302">
        <v>0.24673670451562588</v>
      </c>
      <c r="N575" s="302">
        <v>0.18031570559109286</v>
      </c>
      <c r="O575" s="302">
        <f t="shared" si="254"/>
        <v>0.96677824510101695</v>
      </c>
    </row>
    <row r="576" spans="1:15" s="236" customFormat="1" x14ac:dyDescent="0.2">
      <c r="A576" s="237" t="str">
        <f>name!E$10</f>
        <v>Sales and customer service occupations</v>
      </c>
      <c r="B576" s="302">
        <v>19.652483713395853</v>
      </c>
      <c r="C576" s="302">
        <v>55.768962728817385</v>
      </c>
      <c r="D576" s="302">
        <v>3.0539756621133516</v>
      </c>
      <c r="E576" s="302">
        <f t="shared" si="252"/>
        <v>78.475422104326583</v>
      </c>
      <c r="F576" s="303"/>
      <c r="G576" s="302">
        <v>18.677345010089262</v>
      </c>
      <c r="H576" s="302">
        <v>52.066255303109898</v>
      </c>
      <c r="I576" s="302">
        <v>1.6324749719111074</v>
      </c>
      <c r="J576" s="302">
        <f t="shared" si="255"/>
        <v>72.376075285110261</v>
      </c>
      <c r="K576" s="303"/>
      <c r="L576" s="302">
        <v>16.440916659487236</v>
      </c>
      <c r="M576" s="302">
        <v>48.058529322161434</v>
      </c>
      <c r="N576" s="302">
        <v>0.9776584122477362</v>
      </c>
      <c r="O576" s="302">
        <f t="shared" si="254"/>
        <v>65.477104393896411</v>
      </c>
    </row>
    <row r="577" spans="1:15" s="236" customFormat="1" x14ac:dyDescent="0.2">
      <c r="A577" s="237" t="str">
        <f>name!E$11</f>
        <v>Process, plant and machine operatives</v>
      </c>
      <c r="B577" s="302">
        <v>2.2282850603617179</v>
      </c>
      <c r="C577" s="302">
        <v>1.2399574012798826</v>
      </c>
      <c r="D577" s="302">
        <v>0.1273930053356582</v>
      </c>
      <c r="E577" s="302">
        <f t="shared" si="252"/>
        <v>3.5956354669772588</v>
      </c>
      <c r="F577" s="303"/>
      <c r="G577" s="302">
        <v>2.6093933296656089</v>
      </c>
      <c r="H577" s="302">
        <v>1.2437059668029113</v>
      </c>
      <c r="I577" s="302">
        <v>9.945556481029609E-2</v>
      </c>
      <c r="J577" s="302">
        <f t="shared" si="255"/>
        <v>3.9525548612788164</v>
      </c>
      <c r="K577" s="303"/>
      <c r="L577" s="302">
        <v>2.2313094397979776</v>
      </c>
      <c r="M577" s="302">
        <v>1.6308149300154826</v>
      </c>
      <c r="N577" s="302">
        <v>4.2847316337591798E-2</v>
      </c>
      <c r="O577" s="302">
        <f t="shared" si="254"/>
        <v>3.9049716861510522</v>
      </c>
    </row>
    <row r="578" spans="1:15" s="236" customFormat="1" x14ac:dyDescent="0.2">
      <c r="A578" s="237" t="str">
        <f>name!E$12</f>
        <v>Elementary occupations</v>
      </c>
      <c r="B578" s="302">
        <v>4.7554145525884843</v>
      </c>
      <c r="C578" s="302">
        <v>7.6766707181955738</v>
      </c>
      <c r="D578" s="302">
        <v>4.8855254937467507E-2</v>
      </c>
      <c r="E578" s="302">
        <f t="shared" si="252"/>
        <v>12.480940525721525</v>
      </c>
      <c r="F578" s="303"/>
      <c r="G578" s="302">
        <v>5.449740219590649</v>
      </c>
      <c r="H578" s="302">
        <v>5.9161301319832482</v>
      </c>
      <c r="I578" s="302">
        <v>2.7678463369267554E-2</v>
      </c>
      <c r="J578" s="302">
        <f t="shared" si="255"/>
        <v>11.393548814943165</v>
      </c>
      <c r="K578" s="303"/>
      <c r="L578" s="302">
        <v>5.6754268323764023</v>
      </c>
      <c r="M578" s="302">
        <v>4.1621624578099112</v>
      </c>
      <c r="N578" s="302">
        <v>3.4167303011642586E-2</v>
      </c>
      <c r="O578" s="302">
        <f t="shared" si="254"/>
        <v>9.8717565931979561</v>
      </c>
    </row>
    <row r="579" spans="1:15" s="236" customFormat="1" x14ac:dyDescent="0.2">
      <c r="A579" s="237"/>
      <c r="B579" s="302"/>
      <c r="C579" s="302"/>
      <c r="D579" s="302"/>
      <c r="E579" s="302"/>
      <c r="F579" s="303"/>
      <c r="G579" s="302"/>
      <c r="H579" s="302"/>
      <c r="I579" s="302"/>
      <c r="J579" s="302"/>
      <c r="K579" s="303"/>
      <c r="L579" s="302"/>
      <c r="M579" s="302"/>
      <c r="N579" s="302"/>
      <c r="O579" s="302"/>
    </row>
    <row r="580" spans="1:15" s="236" customFormat="1" x14ac:dyDescent="0.2">
      <c r="A580" s="244" t="s">
        <v>32</v>
      </c>
      <c r="B580" s="311">
        <f>SUM(B570:B578)</f>
        <v>42.966000000062863</v>
      </c>
      <c r="C580" s="311">
        <f t="shared" ref="C580:E580" si="256">SUM(C570:C578)</f>
        <v>70.1800000030793</v>
      </c>
      <c r="D580" s="311">
        <f t="shared" si="256"/>
        <v>11.190000000219873</v>
      </c>
      <c r="E580" s="311">
        <f t="shared" si="256"/>
        <v>124.33600000336203</v>
      </c>
      <c r="F580" s="311"/>
      <c r="G580" s="311">
        <f t="shared" ref="G580:J580" si="257">SUM(G570:G578)</f>
        <v>50.094999999557473</v>
      </c>
      <c r="H580" s="311">
        <f t="shared" si="257"/>
        <v>65.576000001512313</v>
      </c>
      <c r="I580" s="311">
        <f t="shared" si="257"/>
        <v>7.7389999999892094</v>
      </c>
      <c r="J580" s="311">
        <f t="shared" si="257"/>
        <v>123.41000000105898</v>
      </c>
      <c r="K580" s="311"/>
      <c r="L580" s="311">
        <f t="shared" ref="L580:O580" si="258">SUM(L570:L578)</f>
        <v>53.416999999598751</v>
      </c>
      <c r="M580" s="311">
        <f t="shared" si="258"/>
        <v>59.970999999527329</v>
      </c>
      <c r="N580" s="311">
        <f t="shared" si="258"/>
        <v>8.0920000003703425</v>
      </c>
      <c r="O580" s="311">
        <f t="shared" si="258"/>
        <v>121.47999999949644</v>
      </c>
    </row>
    <row r="581" spans="1:15" s="236" customFormat="1" x14ac:dyDescent="0.2">
      <c r="A581" s="237"/>
      <c r="B581" s="237"/>
      <c r="C581" s="237"/>
      <c r="D581" s="237"/>
      <c r="E581" s="237"/>
      <c r="F581" s="237"/>
      <c r="G581" s="237"/>
      <c r="H581" s="237"/>
      <c r="I581" s="237"/>
      <c r="J581" s="237"/>
      <c r="K581" s="237"/>
      <c r="L581" s="237"/>
      <c r="M581" s="237"/>
      <c r="N581" s="240"/>
    </row>
    <row r="582" spans="1:15" s="236" customFormat="1" x14ac:dyDescent="0.2">
      <c r="A582" s="237"/>
      <c r="B582" s="237"/>
      <c r="C582" s="237"/>
      <c r="D582" s="237"/>
      <c r="E582" s="237"/>
      <c r="F582" s="237"/>
      <c r="G582" s="237"/>
      <c r="H582" s="237"/>
      <c r="I582" s="237"/>
      <c r="J582" s="237"/>
      <c r="K582" s="237"/>
      <c r="L582" s="237"/>
      <c r="M582" s="237"/>
      <c r="N582" s="240"/>
      <c r="O582" s="251" t="s">
        <v>35</v>
      </c>
    </row>
    <row r="583" spans="1:15" s="236" customFormat="1" x14ac:dyDescent="0.2">
      <c r="A583" s="242"/>
      <c r="B583" s="242"/>
      <c r="C583" s="242"/>
      <c r="D583" s="242"/>
      <c r="E583" s="242"/>
      <c r="F583" s="242"/>
      <c r="G583" s="242"/>
      <c r="H583" s="242"/>
      <c r="I583" s="242"/>
      <c r="J583" s="242"/>
      <c r="K583" s="242"/>
      <c r="L583" s="242"/>
      <c r="M583" s="242"/>
      <c r="N583" s="242"/>
      <c r="O583" s="242"/>
    </row>
    <row r="584" spans="1:15" s="236" customFormat="1" x14ac:dyDescent="0.2">
      <c r="A584" s="241" t="str">
        <f>name!A37</f>
        <v>Land transport, etc</v>
      </c>
      <c r="B584" s="374">
        <f>$B$6</f>
        <v>2015</v>
      </c>
      <c r="C584" s="374"/>
      <c r="D584" s="374"/>
      <c r="E584" s="374"/>
      <c r="F584" s="263"/>
      <c r="G584" s="374">
        <f>$G$6</f>
        <v>2020</v>
      </c>
      <c r="H584" s="374"/>
      <c r="I584" s="374"/>
      <c r="J584" s="374"/>
      <c r="K584" s="263"/>
      <c r="L584" s="374">
        <f>$L$6</f>
        <v>2035</v>
      </c>
      <c r="M584" s="374"/>
      <c r="N584" s="374"/>
      <c r="O584" s="374"/>
    </row>
    <row r="585" spans="1:15" s="236" customFormat="1" x14ac:dyDescent="0.2">
      <c r="A585" s="254"/>
      <c r="B585" s="268" t="str">
        <f>$B$7</f>
        <v>FT</v>
      </c>
      <c r="C585" s="268" t="str">
        <f>$C$7</f>
        <v>PT</v>
      </c>
      <c r="D585" s="268" t="str">
        <f>$D$7</f>
        <v>SE</v>
      </c>
      <c r="E585" s="268" t="str">
        <f>$E$7</f>
        <v>Total</v>
      </c>
      <c r="F585" s="268"/>
      <c r="G585" s="268" t="str">
        <f>$G$7</f>
        <v>FT</v>
      </c>
      <c r="H585" s="268" t="str">
        <f>$H$7</f>
        <v>PT</v>
      </c>
      <c r="I585" s="268" t="str">
        <f>$I$7</f>
        <v>SE</v>
      </c>
      <c r="J585" s="268" t="str">
        <f>$J$7</f>
        <v>Total</v>
      </c>
      <c r="K585" s="268"/>
      <c r="L585" s="268" t="str">
        <f>$L$7</f>
        <v>FT</v>
      </c>
      <c r="M585" s="268" t="str">
        <f>$M$7</f>
        <v>PT</v>
      </c>
      <c r="N585" s="268" t="str">
        <f>$N$7</f>
        <v>SE</v>
      </c>
      <c r="O585" s="268" t="str">
        <f>$O$7</f>
        <v>Total</v>
      </c>
    </row>
    <row r="586" spans="1:15" s="236" customFormat="1" x14ac:dyDescent="0.2">
      <c r="A586" s="258"/>
      <c r="B586" s="239"/>
      <c r="C586" s="239"/>
      <c r="D586" s="239"/>
      <c r="E586" s="239"/>
      <c r="F586" s="239"/>
      <c r="G586" s="239"/>
      <c r="H586" s="239"/>
      <c r="I586" s="239"/>
      <c r="J586" s="239"/>
      <c r="K586" s="239"/>
      <c r="L586" s="239"/>
      <c r="M586" s="239"/>
      <c r="N586" s="239"/>
      <c r="O586" s="239"/>
    </row>
    <row r="587" spans="1:15" s="236" customFormat="1" x14ac:dyDescent="0.2">
      <c r="A587" s="237" t="str">
        <f>name!E$4</f>
        <v>Managers, directors and senior officials</v>
      </c>
      <c r="B587" s="302">
        <v>0.94431034753606535</v>
      </c>
      <c r="C587" s="302">
        <v>6.7458569912050834E-2</v>
      </c>
      <c r="D587" s="302">
        <v>0.36191173240567537</v>
      </c>
      <c r="E587" s="302">
        <f>SUM(B587:D587)</f>
        <v>1.3736806498537915</v>
      </c>
      <c r="F587" s="303"/>
      <c r="G587" s="302">
        <v>1.5151715506559409</v>
      </c>
      <c r="H587" s="302">
        <v>0.11714395085871854</v>
      </c>
      <c r="I587" s="302">
        <v>1.2796270639356733</v>
      </c>
      <c r="J587" s="302">
        <f>SUM(G587:I587)</f>
        <v>2.9119425654503326</v>
      </c>
      <c r="K587" s="303"/>
      <c r="L587" s="302">
        <v>1.6984816194676282</v>
      </c>
      <c r="M587" s="302">
        <v>0.15413662855758026</v>
      </c>
      <c r="N587" s="302">
        <v>1.4500442083100658</v>
      </c>
      <c r="O587" s="302">
        <f>SUM(L587:N587)</f>
        <v>3.3026624563352742</v>
      </c>
    </row>
    <row r="588" spans="1:15" s="236" customFormat="1" x14ac:dyDescent="0.2">
      <c r="A588" s="237" t="str">
        <f>name!E$5</f>
        <v>Professional occupations</v>
      </c>
      <c r="B588" s="302">
        <v>0.85286881312714791</v>
      </c>
      <c r="C588" s="302">
        <v>6.4889632827563354E-2</v>
      </c>
      <c r="D588" s="302">
        <v>0.10248256104989895</v>
      </c>
      <c r="E588" s="302">
        <f t="shared" ref="E588:E595" si="259">SUM(B588:D588)</f>
        <v>1.0202410070046102</v>
      </c>
      <c r="F588" s="303"/>
      <c r="G588" s="302">
        <v>1.7457025088049014</v>
      </c>
      <c r="H588" s="302">
        <v>0.13311583610752781</v>
      </c>
      <c r="I588" s="302">
        <v>0.31577830296727949</v>
      </c>
      <c r="J588" s="302">
        <f t="shared" ref="J588:J590" si="260">SUM(G588:I588)</f>
        <v>2.1945966478797088</v>
      </c>
      <c r="K588" s="303"/>
      <c r="L588" s="302">
        <v>2.5722643686467306</v>
      </c>
      <c r="M588" s="302">
        <v>0.24476982276362891</v>
      </c>
      <c r="N588" s="302">
        <v>0.2826082710078815</v>
      </c>
      <c r="O588" s="302">
        <f t="shared" ref="O588:O595" si="261">SUM(L588:N588)</f>
        <v>3.0996424624182413</v>
      </c>
    </row>
    <row r="589" spans="1:15" s="236" customFormat="1" x14ac:dyDescent="0.2">
      <c r="A589" s="237" t="str">
        <f>name!E$6</f>
        <v>Associate professional occupations</v>
      </c>
      <c r="B589" s="302">
        <v>1.0727214136697272</v>
      </c>
      <c r="C589" s="302">
        <v>8.6931788265495358E-2</v>
      </c>
      <c r="D589" s="302">
        <v>5.8722506989760892E-2</v>
      </c>
      <c r="E589" s="302">
        <f t="shared" si="259"/>
        <v>1.2183757089249836</v>
      </c>
      <c r="F589" s="303"/>
      <c r="G589" s="302">
        <v>2.0125109534673205</v>
      </c>
      <c r="H589" s="302">
        <v>0.12729950019467248</v>
      </c>
      <c r="I589" s="302">
        <v>0.22415666753449062</v>
      </c>
      <c r="J589" s="302">
        <f t="shared" si="260"/>
        <v>2.3639671211964837</v>
      </c>
      <c r="K589" s="303"/>
      <c r="L589" s="302">
        <v>2.4881877633392677</v>
      </c>
      <c r="M589" s="302">
        <v>0.16193350244343038</v>
      </c>
      <c r="N589" s="302">
        <v>0.22387772609583523</v>
      </c>
      <c r="O589" s="302">
        <f t="shared" si="261"/>
        <v>2.8739989918785334</v>
      </c>
    </row>
    <row r="590" spans="1:15" s="236" customFormat="1" x14ac:dyDescent="0.2">
      <c r="A590" s="237" t="str">
        <f>name!E$7</f>
        <v>Administrative and secretarial occupations</v>
      </c>
      <c r="B590" s="302">
        <v>1.2427254723181174</v>
      </c>
      <c r="C590" s="302">
        <v>0.42499039921754772</v>
      </c>
      <c r="D590" s="302">
        <v>0.12134110929500581</v>
      </c>
      <c r="E590" s="302">
        <f t="shared" si="259"/>
        <v>1.7890569808306709</v>
      </c>
      <c r="F590" s="303"/>
      <c r="G590" s="302">
        <v>1.8027497242105501</v>
      </c>
      <c r="H590" s="302">
        <v>0.48661562326555136</v>
      </c>
      <c r="I590" s="302">
        <v>0.78449214598466344</v>
      </c>
      <c r="J590" s="302">
        <f t="shared" si="260"/>
        <v>3.073857493460765</v>
      </c>
      <c r="K590" s="303"/>
      <c r="L590" s="302">
        <v>1.3883266873430364</v>
      </c>
      <c r="M590" s="302">
        <v>0.36651949869741535</v>
      </c>
      <c r="N590" s="302">
        <v>0.60247564524740138</v>
      </c>
      <c r="O590" s="302">
        <f t="shared" si="261"/>
        <v>2.3573218312878534</v>
      </c>
    </row>
    <row r="591" spans="1:15" s="236" customFormat="1" x14ac:dyDescent="0.2">
      <c r="A591" s="237" t="str">
        <f>name!E$8</f>
        <v>Skilled trades occupations</v>
      </c>
      <c r="B591" s="302">
        <v>1.2760609698353986</v>
      </c>
      <c r="C591" s="302">
        <v>7.5898724432954007E-2</v>
      </c>
      <c r="D591" s="302">
        <v>0.41798777852358926</v>
      </c>
      <c r="E591" s="302">
        <f t="shared" si="259"/>
        <v>1.769947472791942</v>
      </c>
      <c r="F591" s="303"/>
      <c r="G591" s="302">
        <v>1.4246051003413065</v>
      </c>
      <c r="H591" s="302">
        <v>5.8915723248613779E-2</v>
      </c>
      <c r="I591" s="302">
        <v>0.41392213930931987</v>
      </c>
      <c r="J591" s="302">
        <f>SUM(G591:I591)</f>
        <v>1.8974429628992402</v>
      </c>
      <c r="K591" s="303"/>
      <c r="L591" s="302">
        <v>1.2767495968365714</v>
      </c>
      <c r="M591" s="302">
        <v>0.10619633025850939</v>
      </c>
      <c r="N591" s="302">
        <v>0.53741702849684503</v>
      </c>
      <c r="O591" s="302">
        <f t="shared" si="261"/>
        <v>1.9203629555919259</v>
      </c>
    </row>
    <row r="592" spans="1:15" s="236" customFormat="1" x14ac:dyDescent="0.2">
      <c r="A592" s="237" t="str">
        <f>name!E$9</f>
        <v>Caring, leisure and other service occupations</v>
      </c>
      <c r="B592" s="302">
        <v>0.69743248084538501</v>
      </c>
      <c r="C592" s="302">
        <v>0.56354545093203534</v>
      </c>
      <c r="D592" s="302">
        <v>6.1892343830754711E-2</v>
      </c>
      <c r="E592" s="302">
        <f t="shared" si="259"/>
        <v>1.3228702756081752</v>
      </c>
      <c r="F592" s="303"/>
      <c r="G592" s="302">
        <v>1.1615595161696965</v>
      </c>
      <c r="H592" s="302">
        <v>0.56901334067286158</v>
      </c>
      <c r="I592" s="302">
        <v>0.26410339619903539</v>
      </c>
      <c r="J592" s="302">
        <f t="shared" ref="J592:J595" si="262">SUM(G592:I592)</f>
        <v>1.9946762530415936</v>
      </c>
      <c r="K592" s="303"/>
      <c r="L592" s="302">
        <v>1.6450661576518626</v>
      </c>
      <c r="M592" s="302">
        <v>0.59770152655811715</v>
      </c>
      <c r="N592" s="302">
        <v>0.38265993110816193</v>
      </c>
      <c r="O592" s="302">
        <f t="shared" si="261"/>
        <v>2.6254276153181419</v>
      </c>
    </row>
    <row r="593" spans="1:15" s="236" customFormat="1" x14ac:dyDescent="0.2">
      <c r="A593" s="237" t="str">
        <f>name!E$10</f>
        <v>Sales and customer service occupations</v>
      </c>
      <c r="B593" s="302">
        <v>0.27267859514770304</v>
      </c>
      <c r="C593" s="302">
        <v>8.603195037961188E-2</v>
      </c>
      <c r="D593" s="302">
        <v>7.5995531640882588E-2</v>
      </c>
      <c r="E593" s="302">
        <f t="shared" si="259"/>
        <v>0.43470607716819748</v>
      </c>
      <c r="F593" s="303"/>
      <c r="G593" s="302">
        <v>0.4446520790737894</v>
      </c>
      <c r="H593" s="302">
        <v>0.11409616299569941</v>
      </c>
      <c r="I593" s="302">
        <v>0.19067490311376839</v>
      </c>
      <c r="J593" s="302">
        <f t="shared" si="262"/>
        <v>0.74942314518325714</v>
      </c>
      <c r="K593" s="303"/>
      <c r="L593" s="302">
        <v>0.66058793193804377</v>
      </c>
      <c r="M593" s="302">
        <v>0.18452217402134494</v>
      </c>
      <c r="N593" s="302">
        <v>0.20174104360175699</v>
      </c>
      <c r="O593" s="302">
        <f t="shared" si="261"/>
        <v>1.0468511495611457</v>
      </c>
    </row>
    <row r="594" spans="1:15" s="236" customFormat="1" x14ac:dyDescent="0.2">
      <c r="A594" s="237" t="str">
        <f>name!E$11</f>
        <v>Process, plant and machine operatives</v>
      </c>
      <c r="B594" s="302">
        <v>10.268829596882439</v>
      </c>
      <c r="C594" s="302">
        <v>1.4220943345918253</v>
      </c>
      <c r="D594" s="302">
        <v>4.7139265387587983</v>
      </c>
      <c r="E594" s="302">
        <f t="shared" si="259"/>
        <v>16.404850470233065</v>
      </c>
      <c r="F594" s="303"/>
      <c r="G594" s="302">
        <v>10.924841519569375</v>
      </c>
      <c r="H594" s="302">
        <v>1.5671261621246555</v>
      </c>
      <c r="I594" s="302">
        <v>6.4209294035075217</v>
      </c>
      <c r="J594" s="302">
        <f t="shared" si="262"/>
        <v>18.91289708520155</v>
      </c>
      <c r="K594" s="303"/>
      <c r="L594" s="302">
        <v>9.2683818672343801</v>
      </c>
      <c r="M594" s="302">
        <v>1.7222328782689631</v>
      </c>
      <c r="N594" s="302">
        <v>7.2898532498298465</v>
      </c>
      <c r="O594" s="302">
        <f t="shared" si="261"/>
        <v>18.28046799533319</v>
      </c>
    </row>
    <row r="595" spans="1:15" s="236" customFormat="1" x14ac:dyDescent="0.2">
      <c r="A595" s="237" t="str">
        <f>name!E$12</f>
        <v>Elementary occupations</v>
      </c>
      <c r="B595" s="302">
        <v>1.1993723107285998</v>
      </c>
      <c r="C595" s="302">
        <v>0.20515914948938649</v>
      </c>
      <c r="D595" s="302">
        <v>0.11673989757460621</v>
      </c>
      <c r="E595" s="302">
        <f t="shared" si="259"/>
        <v>1.5212713577925925</v>
      </c>
      <c r="F595" s="303"/>
      <c r="G595" s="302">
        <v>1.2512070477035737</v>
      </c>
      <c r="H595" s="302">
        <v>0.18167370052689893</v>
      </c>
      <c r="I595" s="302">
        <v>0.14531597758361645</v>
      </c>
      <c r="J595" s="302">
        <f t="shared" si="262"/>
        <v>1.578196725814089</v>
      </c>
      <c r="K595" s="303"/>
      <c r="L595" s="302">
        <v>0.95295400733085311</v>
      </c>
      <c r="M595" s="302">
        <v>0.16298763840128799</v>
      </c>
      <c r="N595" s="302">
        <v>0.17832289675635582</v>
      </c>
      <c r="O595" s="302">
        <f t="shared" si="261"/>
        <v>1.2942645424884969</v>
      </c>
    </row>
    <row r="596" spans="1:15" s="236" customFormat="1" x14ac:dyDescent="0.2">
      <c r="A596" s="237"/>
      <c r="B596" s="302"/>
      <c r="C596" s="302"/>
      <c r="D596" s="302"/>
      <c r="E596" s="302"/>
      <c r="F596" s="303"/>
      <c r="G596" s="302"/>
      <c r="H596" s="302"/>
      <c r="I596" s="302"/>
      <c r="J596" s="302"/>
      <c r="K596" s="303"/>
      <c r="L596" s="302"/>
      <c r="M596" s="302"/>
      <c r="N596" s="302"/>
      <c r="O596" s="302"/>
    </row>
    <row r="597" spans="1:15" s="236" customFormat="1" x14ac:dyDescent="0.2">
      <c r="A597" s="244" t="s">
        <v>32</v>
      </c>
      <c r="B597" s="311">
        <f>SUM(B587:B595)</f>
        <v>17.827000000090582</v>
      </c>
      <c r="C597" s="311">
        <f t="shared" ref="C597:E597" si="263">SUM(C587:C595)</f>
        <v>2.99700000004847</v>
      </c>
      <c r="D597" s="311">
        <f t="shared" si="263"/>
        <v>6.031000000068973</v>
      </c>
      <c r="E597" s="311">
        <f t="shared" si="263"/>
        <v>26.85500000020803</v>
      </c>
      <c r="F597" s="311"/>
      <c r="G597" s="311">
        <f t="shared" ref="G597:J597" si="264">SUM(G587:G595)</f>
        <v>22.282999999996452</v>
      </c>
      <c r="H597" s="311">
        <f t="shared" si="264"/>
        <v>3.3549999999951994</v>
      </c>
      <c r="I597" s="311">
        <f t="shared" si="264"/>
        <v>10.039000000135369</v>
      </c>
      <c r="J597" s="311">
        <f t="shared" si="264"/>
        <v>35.677000000127016</v>
      </c>
      <c r="K597" s="311"/>
      <c r="L597" s="311">
        <f t="shared" ref="L597:O597" si="265">SUM(L587:L595)</f>
        <v>21.950999999788376</v>
      </c>
      <c r="M597" s="311">
        <f t="shared" si="265"/>
        <v>3.7009999999702776</v>
      </c>
      <c r="N597" s="311">
        <f t="shared" si="265"/>
        <v>11.14900000045415</v>
      </c>
      <c r="O597" s="311">
        <f t="shared" si="265"/>
        <v>36.801000000212802</v>
      </c>
    </row>
    <row r="598" spans="1:15" s="236" customFormat="1" x14ac:dyDescent="0.2">
      <c r="A598" s="237"/>
      <c r="B598" s="237"/>
      <c r="C598" s="237"/>
      <c r="D598" s="237"/>
      <c r="E598" s="237"/>
      <c r="F598" s="237"/>
      <c r="G598" s="237"/>
      <c r="H598" s="237"/>
      <c r="I598" s="237"/>
      <c r="J598" s="237"/>
      <c r="K598" s="237"/>
      <c r="L598" s="237"/>
      <c r="M598" s="237"/>
      <c r="N598" s="240"/>
    </row>
    <row r="599" spans="1:15" s="236" customFormat="1" x14ac:dyDescent="0.2">
      <c r="A599" s="237"/>
      <c r="B599" s="237"/>
      <c r="C599" s="237"/>
      <c r="D599" s="237"/>
      <c r="E599" s="237"/>
      <c r="F599" s="237"/>
      <c r="G599" s="237"/>
      <c r="H599" s="237"/>
      <c r="I599" s="237"/>
      <c r="J599" s="237"/>
      <c r="K599" s="237"/>
      <c r="L599" s="237"/>
      <c r="M599" s="237"/>
      <c r="N599" s="240"/>
      <c r="O599" s="251" t="s">
        <v>35</v>
      </c>
    </row>
    <row r="600" spans="1:15" s="236" customFormat="1" x14ac:dyDescent="0.2">
      <c r="A600" s="242"/>
      <c r="B600" s="242"/>
      <c r="C600" s="242"/>
      <c r="D600" s="242"/>
      <c r="E600" s="242"/>
      <c r="F600" s="242"/>
      <c r="G600" s="242"/>
      <c r="H600" s="242"/>
      <c r="I600" s="242"/>
      <c r="J600" s="242"/>
      <c r="K600" s="242"/>
      <c r="L600" s="242"/>
      <c r="M600" s="242"/>
      <c r="N600" s="242"/>
      <c r="O600" s="242"/>
    </row>
    <row r="601" spans="1:15" s="236" customFormat="1" x14ac:dyDescent="0.2">
      <c r="A601" s="241" t="str">
        <f>name!A38</f>
        <v>Water transport</v>
      </c>
      <c r="B601" s="374">
        <f>$B$6</f>
        <v>2015</v>
      </c>
      <c r="C601" s="374"/>
      <c r="D601" s="374"/>
      <c r="E601" s="374"/>
      <c r="F601" s="263"/>
      <c r="G601" s="374">
        <f>$G$6</f>
        <v>2020</v>
      </c>
      <c r="H601" s="374"/>
      <c r="I601" s="374"/>
      <c r="J601" s="374"/>
      <c r="K601" s="263"/>
      <c r="L601" s="374">
        <f>$L$6</f>
        <v>2035</v>
      </c>
      <c r="M601" s="374"/>
      <c r="N601" s="374"/>
      <c r="O601" s="374"/>
    </row>
    <row r="602" spans="1:15" s="236" customFormat="1" x14ac:dyDescent="0.2">
      <c r="A602" s="254"/>
      <c r="B602" s="268" t="str">
        <f>$B$7</f>
        <v>FT</v>
      </c>
      <c r="C602" s="268" t="str">
        <f>$C$7</f>
        <v>PT</v>
      </c>
      <c r="D602" s="268" t="str">
        <f>$D$7</f>
        <v>SE</v>
      </c>
      <c r="E602" s="268" t="str">
        <f>$E$7</f>
        <v>Total</v>
      </c>
      <c r="F602" s="268"/>
      <c r="G602" s="268" t="str">
        <f>$G$7</f>
        <v>FT</v>
      </c>
      <c r="H602" s="268" t="str">
        <f>$H$7</f>
        <v>PT</v>
      </c>
      <c r="I602" s="268" t="str">
        <f>$I$7</f>
        <v>SE</v>
      </c>
      <c r="J602" s="268" t="str">
        <f>$J$7</f>
        <v>Total</v>
      </c>
      <c r="K602" s="268"/>
      <c r="L602" s="268" t="str">
        <f>$L$7</f>
        <v>FT</v>
      </c>
      <c r="M602" s="268" t="str">
        <f>$M$7</f>
        <v>PT</v>
      </c>
      <c r="N602" s="268" t="str">
        <f>$N$7</f>
        <v>SE</v>
      </c>
      <c r="O602" s="268" t="str">
        <f>$O$7</f>
        <v>Total</v>
      </c>
    </row>
    <row r="603" spans="1:15" s="236" customFormat="1" x14ac:dyDescent="0.2">
      <c r="A603" s="258"/>
      <c r="B603" s="239"/>
      <c r="C603" s="239"/>
      <c r="D603" s="239"/>
      <c r="E603" s="239"/>
      <c r="F603" s="239"/>
      <c r="G603" s="239"/>
      <c r="H603" s="239"/>
      <c r="I603" s="239"/>
      <c r="J603" s="239"/>
      <c r="K603" s="239"/>
      <c r="L603" s="239"/>
      <c r="M603" s="239"/>
      <c r="N603" s="239"/>
      <c r="O603" s="239"/>
    </row>
    <row r="604" spans="1:15" s="236" customFormat="1" x14ac:dyDescent="0.2">
      <c r="A604" s="237" t="str">
        <f>name!E$4</f>
        <v>Managers, directors and senior officials</v>
      </c>
      <c r="B604" s="302">
        <v>5.8550023174092991E-4</v>
      </c>
      <c r="C604" s="302">
        <v>5.1530002800446936E-2</v>
      </c>
      <c r="D604" s="302">
        <v>3.2522838708234246E-3</v>
      </c>
      <c r="E604" s="302">
        <f>SUM(B604:D604)</f>
        <v>5.5367786903011286E-2</v>
      </c>
      <c r="F604" s="303"/>
      <c r="G604" s="302">
        <v>2.5767402085099595E-4</v>
      </c>
      <c r="H604" s="302">
        <v>5.5812823306121829E-4</v>
      </c>
      <c r="I604" s="302">
        <v>1.1868422654448831E-3</v>
      </c>
      <c r="J604" s="302">
        <f>SUM(G604:I604)</f>
        <v>2.0026445193570973E-3</v>
      </c>
      <c r="K604" s="303"/>
      <c r="L604" s="302">
        <v>3.0485441862776637E-4</v>
      </c>
      <c r="M604" s="302">
        <v>5.0642776889907976E-4</v>
      </c>
      <c r="N604" s="302">
        <v>9.0440814059129489E-4</v>
      </c>
      <c r="O604" s="302">
        <f>SUM(L604:N604)</f>
        <v>1.7156903281181409E-3</v>
      </c>
    </row>
    <row r="605" spans="1:15" s="236" customFormat="1" x14ac:dyDescent="0.2">
      <c r="A605" s="237" t="str">
        <f>name!E$5</f>
        <v>Professional occupations</v>
      </c>
      <c r="B605" s="302">
        <v>1.0267789054824296E-3</v>
      </c>
      <c r="C605" s="302">
        <v>3.5097111581755228E-2</v>
      </c>
      <c r="D605" s="302">
        <v>1.6230663526368141E-3</v>
      </c>
      <c r="E605" s="302">
        <f t="shared" ref="E605:E612" si="266">SUM(B605:D605)</f>
        <v>3.7746956839874474E-2</v>
      </c>
      <c r="F605" s="303"/>
      <c r="G605" s="302">
        <v>4.5971133223820533E-4</v>
      </c>
      <c r="H605" s="302">
        <v>3.2943908915167953E-4</v>
      </c>
      <c r="I605" s="302">
        <v>6.9913239768328527E-4</v>
      </c>
      <c r="J605" s="302">
        <f t="shared" ref="J605:J607" si="267">SUM(G605:I605)</f>
        <v>1.48828281907317E-3</v>
      </c>
      <c r="K605" s="303"/>
      <c r="L605" s="302">
        <v>4.8918890985303687E-4</v>
      </c>
      <c r="M605" s="302">
        <v>2.7537894287726504E-4</v>
      </c>
      <c r="N605" s="302">
        <v>4.682251588351878E-4</v>
      </c>
      <c r="O605" s="302">
        <f t="shared" ref="O605:O612" si="268">SUM(L605:N605)</f>
        <v>1.2327930115654897E-3</v>
      </c>
    </row>
    <row r="606" spans="1:15" s="236" customFormat="1" x14ac:dyDescent="0.2">
      <c r="A606" s="237" t="str">
        <f>name!E$6</f>
        <v>Associate professional occupations</v>
      </c>
      <c r="B606" s="302">
        <v>1.1715241784745092E-3</v>
      </c>
      <c r="C606" s="302">
        <v>3.1189882489425856E-2</v>
      </c>
      <c r="D606" s="302">
        <v>1.9743890228408976E-3</v>
      </c>
      <c r="E606" s="302">
        <f t="shared" si="266"/>
        <v>3.4335795690741258E-2</v>
      </c>
      <c r="F606" s="303"/>
      <c r="G606" s="302">
        <v>4.6384430066631388E-4</v>
      </c>
      <c r="H606" s="302">
        <v>2.4560911274495219E-4</v>
      </c>
      <c r="I606" s="302">
        <v>7.524292124635462E-4</v>
      </c>
      <c r="J606" s="302">
        <f t="shared" si="267"/>
        <v>1.4618826258748123E-3</v>
      </c>
      <c r="K606" s="303"/>
      <c r="L606" s="302">
        <v>4.1802673613173196E-4</v>
      </c>
      <c r="M606" s="302">
        <v>1.7627991358030404E-4</v>
      </c>
      <c r="N606" s="302">
        <v>6.0516690168981166E-4</v>
      </c>
      <c r="O606" s="302">
        <f t="shared" si="268"/>
        <v>1.1994735514018477E-3</v>
      </c>
    </row>
    <row r="607" spans="1:15" s="236" customFormat="1" x14ac:dyDescent="0.2">
      <c r="A607" s="237" t="str">
        <f>name!E$7</f>
        <v>Administrative and secretarial occupations</v>
      </c>
      <c r="B607" s="302">
        <v>1.0268607447853401E-3</v>
      </c>
      <c r="C607" s="302">
        <v>0.11279404842764718</v>
      </c>
      <c r="D607" s="302">
        <v>3.7568502948563632E-3</v>
      </c>
      <c r="E607" s="302">
        <f t="shared" si="266"/>
        <v>0.11757775946728888</v>
      </c>
      <c r="F607" s="303"/>
      <c r="G607" s="302">
        <v>4.3220950992717679E-4</v>
      </c>
      <c r="H607" s="302">
        <v>6.9595828248622288E-4</v>
      </c>
      <c r="I607" s="302">
        <v>3.5201013346593686E-4</v>
      </c>
      <c r="J607" s="302">
        <f t="shared" si="267"/>
        <v>1.4801779258793366E-3</v>
      </c>
      <c r="K607" s="303"/>
      <c r="L607" s="302">
        <v>4.1437888543963114E-4</v>
      </c>
      <c r="M607" s="302">
        <v>2.7642912761109033E-4</v>
      </c>
      <c r="N607" s="302">
        <v>2.6852179725592916E-4</v>
      </c>
      <c r="O607" s="302">
        <f t="shared" si="268"/>
        <v>9.5932981030665064E-4</v>
      </c>
    </row>
    <row r="608" spans="1:15" s="236" customFormat="1" x14ac:dyDescent="0.2">
      <c r="A608" s="237" t="str">
        <f>name!E$8</f>
        <v>Skilled trades occupations</v>
      </c>
      <c r="B608" s="302">
        <v>1.3124598675242307E-4</v>
      </c>
      <c r="C608" s="302">
        <v>2.2118921898052236E-2</v>
      </c>
      <c r="D608" s="302">
        <v>1.6956909452286451E-3</v>
      </c>
      <c r="E608" s="302">
        <f t="shared" si="266"/>
        <v>2.3945858830033303E-2</v>
      </c>
      <c r="F608" s="303"/>
      <c r="G608" s="302">
        <v>3.6708387581970256E-5</v>
      </c>
      <c r="H608" s="302">
        <v>1.111876867724921E-4</v>
      </c>
      <c r="I608" s="302">
        <v>3.2010634034525194E-4</v>
      </c>
      <c r="J608" s="302">
        <f>SUM(G608:I608)</f>
        <v>4.6800241469971426E-4</v>
      </c>
      <c r="K608" s="303"/>
      <c r="L608" s="302">
        <v>2.7904157139613895E-5</v>
      </c>
      <c r="M608" s="302">
        <v>8.6196018381722494E-5</v>
      </c>
      <c r="N608" s="302">
        <v>1.8066685605779153E-4</v>
      </c>
      <c r="O608" s="302">
        <f t="shared" si="268"/>
        <v>2.9476703157912791E-4</v>
      </c>
    </row>
    <row r="609" spans="1:15" s="236" customFormat="1" x14ac:dyDescent="0.2">
      <c r="A609" s="237" t="str">
        <f>name!E$9</f>
        <v>Caring, leisure and other service occupations</v>
      </c>
      <c r="B609" s="302">
        <v>2.6804458673589262E-4</v>
      </c>
      <c r="C609" s="302">
        <v>7.8072923227014548E-2</v>
      </c>
      <c r="D609" s="302">
        <v>1.0507495399256707E-3</v>
      </c>
      <c r="E609" s="302">
        <f t="shared" si="266"/>
        <v>7.9391717353676117E-2</v>
      </c>
      <c r="F609" s="303"/>
      <c r="G609" s="302">
        <v>9.6023075839413253E-5</v>
      </c>
      <c r="H609" s="302">
        <v>3.9321324577163704E-4</v>
      </c>
      <c r="I609" s="302">
        <v>1.1892730728543974E-4</v>
      </c>
      <c r="J609" s="302">
        <f t="shared" ref="J609:J612" si="269">SUM(G609:I609)</f>
        <v>6.0816362889649E-4</v>
      </c>
      <c r="K609" s="303"/>
      <c r="L609" s="302">
        <v>9.2814687573598381E-5</v>
      </c>
      <c r="M609" s="302">
        <v>1.9394581583030972E-4</v>
      </c>
      <c r="N609" s="302">
        <v>1.6967624532585648E-4</v>
      </c>
      <c r="O609" s="302">
        <f t="shared" si="268"/>
        <v>4.5643674872976461E-4</v>
      </c>
    </row>
    <row r="610" spans="1:15" s="236" customFormat="1" x14ac:dyDescent="0.2">
      <c r="A610" s="237" t="str">
        <f>name!E$10</f>
        <v>Sales and customer service occupations</v>
      </c>
      <c r="B610" s="302">
        <v>2.699392022562498E-4</v>
      </c>
      <c r="C610" s="302">
        <v>3.3315861390104104E-2</v>
      </c>
      <c r="D610" s="302">
        <v>7.8519970757398095E-4</v>
      </c>
      <c r="E610" s="302">
        <f t="shared" si="266"/>
        <v>3.4371000299934333E-2</v>
      </c>
      <c r="F610" s="303"/>
      <c r="G610" s="302">
        <v>1.0585803718407552E-4</v>
      </c>
      <c r="H610" s="302">
        <v>2.2551868636440345E-4</v>
      </c>
      <c r="I610" s="302">
        <v>9.2781946414465357E-5</v>
      </c>
      <c r="J610" s="302">
        <f t="shared" si="269"/>
        <v>4.2415866996294433E-4</v>
      </c>
      <c r="K610" s="303"/>
      <c r="L610" s="302">
        <v>1.1677492351371979E-4</v>
      </c>
      <c r="M610" s="302">
        <v>1.5007766187326849E-4</v>
      </c>
      <c r="N610" s="302">
        <v>9.2905143971814091E-5</v>
      </c>
      <c r="O610" s="302">
        <f t="shared" si="268"/>
        <v>3.5975772935880235E-4</v>
      </c>
    </row>
    <row r="611" spans="1:15" s="236" customFormat="1" x14ac:dyDescent="0.2">
      <c r="A611" s="237" t="str">
        <f>name!E$11</f>
        <v>Process, plant and machine operatives</v>
      </c>
      <c r="B611" s="302">
        <v>1.5759209853986362E-4</v>
      </c>
      <c r="C611" s="302">
        <v>3.3190361268757372E-2</v>
      </c>
      <c r="D611" s="302">
        <v>4.7803467232714948E-4</v>
      </c>
      <c r="E611" s="302">
        <f t="shared" si="266"/>
        <v>3.3825988039624381E-2</v>
      </c>
      <c r="F611" s="303"/>
      <c r="G611" s="302">
        <v>4.1617951933560093E-5</v>
      </c>
      <c r="H611" s="302">
        <v>2.4039469071094084E-4</v>
      </c>
      <c r="I611" s="302">
        <v>2.4900377601178199E-4</v>
      </c>
      <c r="J611" s="302">
        <f t="shared" si="269"/>
        <v>5.3101641865628286E-4</v>
      </c>
      <c r="K611" s="303"/>
      <c r="L611" s="302">
        <v>3.2330618272605724E-5</v>
      </c>
      <c r="M611" s="302">
        <v>2.4122781680348352E-4</v>
      </c>
      <c r="N611" s="302">
        <v>1.315917631925435E-4</v>
      </c>
      <c r="O611" s="302">
        <f t="shared" si="268"/>
        <v>4.0515019826863269E-4</v>
      </c>
    </row>
    <row r="612" spans="1:15" s="236" customFormat="1" x14ac:dyDescent="0.2">
      <c r="A612" s="237" t="str">
        <f>name!E$12</f>
        <v>Elementary occupations</v>
      </c>
      <c r="B612" s="302">
        <v>3.6251406522109288E-4</v>
      </c>
      <c r="C612" s="302">
        <v>3.7690886921675402E-2</v>
      </c>
      <c r="D612" s="302">
        <v>1.3837355940864769E-3</v>
      </c>
      <c r="E612" s="302">
        <f t="shared" si="266"/>
        <v>3.9437136580982975E-2</v>
      </c>
      <c r="F612" s="303"/>
      <c r="G612" s="302">
        <v>1.0635338376911678E-4</v>
      </c>
      <c r="H612" s="302">
        <v>2.0055097292748833E-4</v>
      </c>
      <c r="I612" s="302">
        <v>2.2876662090835935E-4</v>
      </c>
      <c r="J612" s="302">
        <f t="shared" si="269"/>
        <v>5.3567097760496445E-4</v>
      </c>
      <c r="K612" s="303"/>
      <c r="L612" s="302">
        <v>1.0372666345919134E-4</v>
      </c>
      <c r="M612" s="302">
        <v>9.4036934141300627E-5</v>
      </c>
      <c r="N612" s="302">
        <v>1.7883799313602656E-4</v>
      </c>
      <c r="O612" s="302">
        <f t="shared" si="268"/>
        <v>3.7660159073651858E-4</v>
      </c>
    </row>
    <row r="613" spans="1:15" s="236" customFormat="1" x14ac:dyDescent="0.2">
      <c r="A613" s="237"/>
      <c r="B613" s="302"/>
      <c r="C613" s="302"/>
      <c r="D613" s="302"/>
      <c r="E613" s="302"/>
      <c r="F613" s="303"/>
      <c r="G613" s="302"/>
      <c r="H613" s="302"/>
      <c r="I613" s="302"/>
      <c r="J613" s="302"/>
      <c r="K613" s="303"/>
      <c r="L613" s="302"/>
      <c r="M613" s="302"/>
      <c r="N613" s="302"/>
      <c r="O613" s="302"/>
    </row>
    <row r="614" spans="1:15" s="236" customFormat="1" x14ac:dyDescent="0.2">
      <c r="A614" s="244" t="s">
        <v>32</v>
      </c>
      <c r="B614" s="311">
        <f>SUM(B604:B612)</f>
        <v>4.9999999999887313E-3</v>
      </c>
      <c r="C614" s="311">
        <f t="shared" ref="C614:E614" si="270">SUM(C604:C612)</f>
        <v>0.43500000000487882</v>
      </c>
      <c r="D614" s="311">
        <f t="shared" si="270"/>
        <v>1.6000000000299424E-2</v>
      </c>
      <c r="E614" s="311">
        <f t="shared" si="270"/>
        <v>0.45600000000516699</v>
      </c>
      <c r="F614" s="311"/>
      <c r="G614" s="311">
        <f t="shared" ref="G614:J614" si="271">SUM(G604:G612)</f>
        <v>1.9999999999908281E-3</v>
      </c>
      <c r="H614" s="311">
        <f t="shared" si="271"/>
        <v>2.9999999999910346E-3</v>
      </c>
      <c r="I614" s="311">
        <f t="shared" si="271"/>
        <v>4.0000000000229505E-3</v>
      </c>
      <c r="J614" s="311">
        <f t="shared" si="271"/>
        <v>9.0000000000048097E-3</v>
      </c>
      <c r="K614" s="311"/>
      <c r="L614" s="311">
        <f t="shared" ref="L614:O614" si="272">SUM(L604:L612)</f>
        <v>2.0000000000108954E-3</v>
      </c>
      <c r="M614" s="311">
        <f t="shared" si="272"/>
        <v>1.9999999999978238E-3</v>
      </c>
      <c r="N614" s="311">
        <f t="shared" si="272"/>
        <v>3.000000000056255E-3</v>
      </c>
      <c r="O614" s="311">
        <f t="shared" si="272"/>
        <v>7.0000000000649751E-3</v>
      </c>
    </row>
    <row r="615" spans="1:15" s="236" customFormat="1" x14ac:dyDescent="0.2">
      <c r="A615" s="237"/>
      <c r="B615" s="237"/>
      <c r="C615" s="237"/>
      <c r="D615" s="237"/>
      <c r="E615" s="237"/>
      <c r="F615" s="237"/>
      <c r="G615" s="237"/>
      <c r="H615" s="237"/>
      <c r="I615" s="237"/>
      <c r="J615" s="237"/>
      <c r="K615" s="237"/>
      <c r="L615" s="237"/>
      <c r="M615" s="237"/>
      <c r="N615" s="240"/>
    </row>
    <row r="616" spans="1:15" s="236" customFormat="1" x14ac:dyDescent="0.2">
      <c r="A616" s="237"/>
      <c r="B616" s="237"/>
      <c r="C616" s="237"/>
      <c r="D616" s="237"/>
      <c r="E616" s="237"/>
      <c r="F616" s="237"/>
      <c r="G616" s="237"/>
      <c r="H616" s="237"/>
      <c r="I616" s="237"/>
      <c r="J616" s="237"/>
      <c r="K616" s="237"/>
      <c r="L616" s="237"/>
      <c r="M616" s="237"/>
      <c r="N616" s="240"/>
      <c r="O616" s="251" t="s">
        <v>35</v>
      </c>
    </row>
    <row r="617" spans="1:15" s="236" customFormat="1" x14ac:dyDescent="0.2">
      <c r="A617" s="242"/>
      <c r="B617" s="242"/>
      <c r="C617" s="242"/>
      <c r="D617" s="242"/>
      <c r="E617" s="242"/>
      <c r="F617" s="242"/>
      <c r="G617" s="242"/>
      <c r="H617" s="242"/>
      <c r="I617" s="242"/>
      <c r="J617" s="242"/>
      <c r="K617" s="242"/>
      <c r="L617" s="242"/>
      <c r="M617" s="242"/>
      <c r="N617" s="242"/>
      <c r="O617" s="242"/>
    </row>
    <row r="618" spans="1:15" s="236" customFormat="1" x14ac:dyDescent="0.2">
      <c r="A618" s="241" t="str">
        <f>name!A39</f>
        <v>Air transport</v>
      </c>
      <c r="B618" s="374">
        <f>$B$6</f>
        <v>2015</v>
      </c>
      <c r="C618" s="374"/>
      <c r="D618" s="374"/>
      <c r="E618" s="374"/>
      <c r="F618" s="263"/>
      <c r="G618" s="374">
        <f>$G$6</f>
        <v>2020</v>
      </c>
      <c r="H618" s="374"/>
      <c r="I618" s="374"/>
      <c r="J618" s="374"/>
      <c r="K618" s="263"/>
      <c r="L618" s="374">
        <f>$L$6</f>
        <v>2035</v>
      </c>
      <c r="M618" s="374"/>
      <c r="N618" s="374"/>
      <c r="O618" s="374"/>
    </row>
    <row r="619" spans="1:15" s="236" customFormat="1" x14ac:dyDescent="0.2">
      <c r="A619" s="254"/>
      <c r="B619" s="268" t="str">
        <f>$B$7</f>
        <v>FT</v>
      </c>
      <c r="C619" s="268" t="str">
        <f>$C$7</f>
        <v>PT</v>
      </c>
      <c r="D619" s="268" t="str">
        <f>$D$7</f>
        <v>SE</v>
      </c>
      <c r="E619" s="268" t="str">
        <f>$E$7</f>
        <v>Total</v>
      </c>
      <c r="F619" s="268"/>
      <c r="G619" s="268" t="str">
        <f>$G$7</f>
        <v>FT</v>
      </c>
      <c r="H619" s="268" t="str">
        <f>$H$7</f>
        <v>PT</v>
      </c>
      <c r="I619" s="268" t="str">
        <f>$I$7</f>
        <v>SE</v>
      </c>
      <c r="J619" s="268" t="str">
        <f>$J$7</f>
        <v>Total</v>
      </c>
      <c r="K619" s="268"/>
      <c r="L619" s="268" t="str">
        <f>$L$7</f>
        <v>FT</v>
      </c>
      <c r="M619" s="268" t="str">
        <f>$M$7</f>
        <v>PT</v>
      </c>
      <c r="N619" s="268" t="str">
        <f>$N$7</f>
        <v>SE</v>
      </c>
      <c r="O619" s="268" t="str">
        <f>$O$7</f>
        <v>Total</v>
      </c>
    </row>
    <row r="620" spans="1:15" s="236" customFormat="1" x14ac:dyDescent="0.2">
      <c r="A620" s="258"/>
      <c r="B620" s="239"/>
      <c r="C620" s="239"/>
      <c r="D620" s="239"/>
      <c r="E620" s="239"/>
      <c r="F620" s="239"/>
      <c r="G620" s="239"/>
      <c r="H620" s="239"/>
      <c r="I620" s="239"/>
      <c r="J620" s="239"/>
      <c r="K620" s="239"/>
      <c r="L620" s="239"/>
      <c r="M620" s="239"/>
      <c r="N620" s="239"/>
      <c r="O620" s="239"/>
    </row>
    <row r="621" spans="1:15" s="236" customFormat="1" x14ac:dyDescent="0.2">
      <c r="A621" s="237" t="str">
        <f>name!E$4</f>
        <v>Managers, directors and senior officials</v>
      </c>
      <c r="B621" s="302">
        <v>0.12095943102188113</v>
      </c>
      <c r="C621" s="302">
        <v>1.6055944843468773E-2</v>
      </c>
      <c r="D621" s="302">
        <v>1.0443349448813494E-3</v>
      </c>
      <c r="E621" s="302">
        <f>SUM(B621:D621)</f>
        <v>0.13805971081023125</v>
      </c>
      <c r="F621" s="303"/>
      <c r="G621" s="302">
        <v>0.12129142304016721</v>
      </c>
      <c r="H621" s="302">
        <v>1.1361381860990203E-2</v>
      </c>
      <c r="I621" s="302">
        <v>9.3207083715494288E-3</v>
      </c>
      <c r="J621" s="302">
        <f>SUM(G621:I621)</f>
        <v>0.14197351327270685</v>
      </c>
      <c r="K621" s="303"/>
      <c r="L621" s="302">
        <v>0.20349052656230004</v>
      </c>
      <c r="M621" s="302">
        <v>2.2771965242590824E-2</v>
      </c>
      <c r="N621" s="302">
        <v>1.4200275218471194E-2</v>
      </c>
      <c r="O621" s="302">
        <f>SUM(L621:N621)</f>
        <v>0.24046276702336206</v>
      </c>
    </row>
    <row r="622" spans="1:15" s="236" customFormat="1" x14ac:dyDescent="0.2">
      <c r="A622" s="237" t="str">
        <f>name!E$5</f>
        <v>Professional occupations</v>
      </c>
      <c r="B622" s="302">
        <v>0.20923262293757244</v>
      </c>
      <c r="C622" s="302">
        <v>1.6642722920198187E-2</v>
      </c>
      <c r="D622" s="302">
        <v>1.0032572539494882E-3</v>
      </c>
      <c r="E622" s="302">
        <f t="shared" ref="E622:E629" si="273">SUM(B622:D622)</f>
        <v>0.22687860311172012</v>
      </c>
      <c r="F622" s="303"/>
      <c r="G622" s="302">
        <v>0.23392235710229156</v>
      </c>
      <c r="H622" s="302">
        <v>1.4217122664688945E-2</v>
      </c>
      <c r="I622" s="302">
        <v>9.2237350477367558E-3</v>
      </c>
      <c r="J622" s="302">
        <f t="shared" ref="J622:J624" si="274">SUM(G622:I622)</f>
        <v>0.25736321481471724</v>
      </c>
      <c r="K622" s="303"/>
      <c r="L622" s="302">
        <v>0.447123781768821</v>
      </c>
      <c r="M622" s="302">
        <v>3.0855116438412454E-2</v>
      </c>
      <c r="N622" s="302">
        <v>1.1815509061647828E-2</v>
      </c>
      <c r="O622" s="302">
        <f t="shared" ref="O622:O629" si="275">SUM(L622:N622)</f>
        <v>0.48979440726888124</v>
      </c>
    </row>
    <row r="623" spans="1:15" s="236" customFormat="1" x14ac:dyDescent="0.2">
      <c r="A623" s="237" t="str">
        <f>name!E$6</f>
        <v>Associate professional occupations</v>
      </c>
      <c r="B623" s="302">
        <v>0.18043216421878464</v>
      </c>
      <c r="C623" s="302">
        <v>4.9998746186235371E-2</v>
      </c>
      <c r="D623" s="302">
        <v>1.0249753527246123E-3</v>
      </c>
      <c r="E623" s="302">
        <f t="shared" si="273"/>
        <v>0.23145588575774462</v>
      </c>
      <c r="F623" s="303"/>
      <c r="G623" s="302">
        <v>0.1899256152779</v>
      </c>
      <c r="H623" s="302">
        <v>3.7117421192219849E-2</v>
      </c>
      <c r="I623" s="302">
        <v>6.6384417393624533E-3</v>
      </c>
      <c r="J623" s="302">
        <f t="shared" si="274"/>
        <v>0.23368147820948232</v>
      </c>
      <c r="K623" s="303"/>
      <c r="L623" s="302">
        <v>0.27622210362848798</v>
      </c>
      <c r="M623" s="302">
        <v>6.1150357373107943E-2</v>
      </c>
      <c r="N623" s="302">
        <v>8.8581704978109351E-3</v>
      </c>
      <c r="O623" s="302">
        <f t="shared" si="275"/>
        <v>0.34623063149940686</v>
      </c>
    </row>
    <row r="624" spans="1:15" s="236" customFormat="1" x14ac:dyDescent="0.2">
      <c r="A624" s="237" t="str">
        <f>name!E$7</f>
        <v>Administrative and secretarial occupations</v>
      </c>
      <c r="B624" s="302">
        <v>6.9358963081471589E-2</v>
      </c>
      <c r="C624" s="302">
        <v>3.9226682321600849E-2</v>
      </c>
      <c r="D624" s="302">
        <v>3.2984434352320254E-4</v>
      </c>
      <c r="E624" s="302">
        <f t="shared" si="273"/>
        <v>0.10891548974659565</v>
      </c>
      <c r="F624" s="303"/>
      <c r="G624" s="302">
        <v>6.9036466584294146E-2</v>
      </c>
      <c r="H624" s="302">
        <v>2.8669318511441094E-2</v>
      </c>
      <c r="I624" s="302">
        <v>1.5200488135730329E-3</v>
      </c>
      <c r="J624" s="302">
        <f t="shared" si="274"/>
        <v>9.9225833909308281E-2</v>
      </c>
      <c r="K624" s="303"/>
      <c r="L624" s="302">
        <v>9.2981930261769999E-2</v>
      </c>
      <c r="M624" s="302">
        <v>4.3826474526164713E-2</v>
      </c>
      <c r="N624" s="302">
        <v>1.6456834631095481E-3</v>
      </c>
      <c r="O624" s="302">
        <f t="shared" si="275"/>
        <v>0.13845408825104427</v>
      </c>
    </row>
    <row r="625" spans="1:15" s="236" customFormat="1" x14ac:dyDescent="0.2">
      <c r="A625" s="237" t="str">
        <f>name!E$8</f>
        <v>Skilled trades occupations</v>
      </c>
      <c r="B625" s="302">
        <v>7.4271327518201119E-2</v>
      </c>
      <c r="C625" s="302">
        <v>2.1845568268381192E-2</v>
      </c>
      <c r="D625" s="302">
        <v>2.201718017950138E-3</v>
      </c>
      <c r="E625" s="302">
        <f t="shared" si="273"/>
        <v>9.831861380453244E-2</v>
      </c>
      <c r="F625" s="303"/>
      <c r="G625" s="302">
        <v>5.1262140843489457E-2</v>
      </c>
      <c r="H625" s="302">
        <v>5.5999781050428826E-3</v>
      </c>
      <c r="I625" s="302">
        <v>2.0670595918857452E-2</v>
      </c>
      <c r="J625" s="302">
        <f>SUM(G625:I625)</f>
        <v>7.7532714867389788E-2</v>
      </c>
      <c r="K625" s="303"/>
      <c r="L625" s="302">
        <v>4.7673203959655547E-2</v>
      </c>
      <c r="M625" s="302">
        <v>5.8205907030979449E-3</v>
      </c>
      <c r="N625" s="302">
        <v>3.4440260444097537E-2</v>
      </c>
      <c r="O625" s="302">
        <f t="shared" si="275"/>
        <v>8.7934055106851025E-2</v>
      </c>
    </row>
    <row r="626" spans="1:15" s="236" customFormat="1" x14ac:dyDescent="0.2">
      <c r="A626" s="237" t="str">
        <f>name!E$9</f>
        <v>Caring, leisure and other service occupations</v>
      </c>
      <c r="B626" s="302">
        <v>0.28168274020958523</v>
      </c>
      <c r="C626" s="302">
        <v>0.19774700699735778</v>
      </c>
      <c r="D626" s="302">
        <v>8.0990529079038903E-4</v>
      </c>
      <c r="E626" s="302">
        <f t="shared" si="273"/>
        <v>0.48023965249773337</v>
      </c>
      <c r="F626" s="303"/>
      <c r="G626" s="302">
        <v>0.22580655709141301</v>
      </c>
      <c r="H626" s="302">
        <v>0.13140256143370382</v>
      </c>
      <c r="I626" s="302">
        <v>4.0277767330336479E-3</v>
      </c>
      <c r="J626" s="302">
        <f t="shared" ref="J626:J629" si="276">SUM(G626:I626)</f>
        <v>0.3612368952581505</v>
      </c>
      <c r="K626" s="303"/>
      <c r="L626" s="302">
        <v>0.2872647140301568</v>
      </c>
      <c r="M626" s="302">
        <v>0.22134970724939096</v>
      </c>
      <c r="N626" s="302">
        <v>6.4866208736481011E-3</v>
      </c>
      <c r="O626" s="302">
        <f t="shared" si="275"/>
        <v>0.51510104215319596</v>
      </c>
    </row>
    <row r="627" spans="1:15" s="236" customFormat="1" x14ac:dyDescent="0.2">
      <c r="A627" s="237" t="str">
        <f>name!E$10</f>
        <v>Sales and customer service occupations</v>
      </c>
      <c r="B627" s="302">
        <v>3.2049312135436818E-2</v>
      </c>
      <c r="C627" s="302">
        <v>4.5487667354668165E-2</v>
      </c>
      <c r="D627" s="302">
        <v>4.1149741457693976E-4</v>
      </c>
      <c r="E627" s="302">
        <f t="shared" si="273"/>
        <v>7.7948476904681929E-2</v>
      </c>
      <c r="F627" s="303"/>
      <c r="G627" s="302">
        <v>3.0299902159645398E-2</v>
      </c>
      <c r="H627" s="302">
        <v>3.3089498490008688E-2</v>
      </c>
      <c r="I627" s="302">
        <v>2.1085835410100296E-3</v>
      </c>
      <c r="J627" s="302">
        <f t="shared" si="276"/>
        <v>6.5497984190664119E-2</v>
      </c>
      <c r="K627" s="303"/>
      <c r="L627" s="302">
        <v>4.6387189856075525E-2</v>
      </c>
      <c r="M627" s="302">
        <v>7.6547890793100384E-2</v>
      </c>
      <c r="N627" s="302">
        <v>2.5971198018575189E-3</v>
      </c>
      <c r="O627" s="302">
        <f t="shared" si="275"/>
        <v>0.12553220045103342</v>
      </c>
    </row>
    <row r="628" spans="1:15" s="236" customFormat="1" x14ac:dyDescent="0.2">
      <c r="A628" s="237" t="str">
        <f>name!E$11</f>
        <v>Process, plant and machine operatives</v>
      </c>
      <c r="B628" s="302">
        <v>5.5817841510858376E-2</v>
      </c>
      <c r="C628" s="302">
        <v>3.4638751709651847E-2</v>
      </c>
      <c r="D628" s="302">
        <v>3.3727191819520573E-4</v>
      </c>
      <c r="E628" s="302">
        <f t="shared" si="273"/>
        <v>9.0793865138705424E-2</v>
      </c>
      <c r="F628" s="303"/>
      <c r="G628" s="302">
        <v>4.0040782889239415E-2</v>
      </c>
      <c r="H628" s="302">
        <v>1.3149029638909231E-2</v>
      </c>
      <c r="I628" s="302">
        <v>4.6804030171686177E-3</v>
      </c>
      <c r="J628" s="302">
        <f t="shared" si="276"/>
        <v>5.7870215545317266E-2</v>
      </c>
      <c r="K628" s="303"/>
      <c r="L628" s="302">
        <v>4.3034652586132725E-2</v>
      </c>
      <c r="M628" s="302">
        <v>2.1379971019986496E-2</v>
      </c>
      <c r="N628" s="302">
        <v>8.9975803219295401E-3</v>
      </c>
      <c r="O628" s="302">
        <f t="shared" si="275"/>
        <v>7.3412203928048758E-2</v>
      </c>
    </row>
    <row r="629" spans="1:15" s="236" customFormat="1" x14ac:dyDescent="0.2">
      <c r="A629" s="237" t="str">
        <f>name!E$12</f>
        <v>Elementary occupations</v>
      </c>
      <c r="B629" s="302">
        <v>0.10219559736276476</v>
      </c>
      <c r="C629" s="302">
        <v>1.9356909403410168E-2</v>
      </c>
      <c r="D629" s="302">
        <v>8.3719546345851332E-4</v>
      </c>
      <c r="E629" s="302">
        <f t="shared" si="273"/>
        <v>0.12238970222963344</v>
      </c>
      <c r="F629" s="303"/>
      <c r="G629" s="302">
        <v>9.0414755004360831E-2</v>
      </c>
      <c r="H629" s="302">
        <v>6.3936881039587676E-3</v>
      </c>
      <c r="I629" s="302">
        <v>3.8097068175332936E-3</v>
      </c>
      <c r="J629" s="302">
        <f t="shared" si="276"/>
        <v>0.10061814992585288</v>
      </c>
      <c r="K629" s="303"/>
      <c r="L629" s="302">
        <v>0.17482189734724804</v>
      </c>
      <c r="M629" s="302">
        <v>5.2979266515626464E-3</v>
      </c>
      <c r="N629" s="302">
        <v>6.9587803165476036E-3</v>
      </c>
      <c r="O629" s="302">
        <f t="shared" si="275"/>
        <v>0.18707860431535828</v>
      </c>
    </row>
    <row r="630" spans="1:15" s="236" customFormat="1" x14ac:dyDescent="0.2">
      <c r="A630" s="237"/>
      <c r="B630" s="302"/>
      <c r="C630" s="302"/>
      <c r="D630" s="302"/>
      <c r="E630" s="302"/>
      <c r="F630" s="303"/>
      <c r="G630" s="302"/>
      <c r="H630" s="302"/>
      <c r="I630" s="302"/>
      <c r="J630" s="302"/>
      <c r="K630" s="303"/>
      <c r="L630" s="302"/>
      <c r="M630" s="302"/>
      <c r="N630" s="302"/>
      <c r="O630" s="302"/>
    </row>
    <row r="631" spans="1:15" s="236" customFormat="1" x14ac:dyDescent="0.2">
      <c r="A631" s="244" t="s">
        <v>32</v>
      </c>
      <c r="B631" s="311">
        <f>SUM(B621:B629)</f>
        <v>1.1259999999965562</v>
      </c>
      <c r="C631" s="311">
        <f t="shared" ref="C631:E631" si="277">SUM(C621:C629)</f>
        <v>0.44100000000497236</v>
      </c>
      <c r="D631" s="311">
        <f t="shared" si="277"/>
        <v>8.0000000000498388E-3</v>
      </c>
      <c r="E631" s="311">
        <f t="shared" si="277"/>
        <v>1.5750000000015782</v>
      </c>
      <c r="F631" s="311"/>
      <c r="G631" s="311">
        <f t="shared" ref="G631:J631" si="278">SUM(G621:G629)</f>
        <v>1.0519999999928009</v>
      </c>
      <c r="H631" s="311">
        <f t="shared" si="278"/>
        <v>0.28100000000096353</v>
      </c>
      <c r="I631" s="311">
        <f t="shared" si="278"/>
        <v>6.1999999999824716E-2</v>
      </c>
      <c r="J631" s="311">
        <f t="shared" si="278"/>
        <v>1.3949999999935894</v>
      </c>
      <c r="K631" s="311"/>
      <c r="L631" s="311">
        <f t="shared" ref="L631:O631" si="279">SUM(L621:L629)</f>
        <v>1.6190000000006475</v>
      </c>
      <c r="M631" s="311">
        <f t="shared" si="279"/>
        <v>0.48899999999741434</v>
      </c>
      <c r="N631" s="311">
        <f t="shared" si="279"/>
        <v>9.5999999999119803E-2</v>
      </c>
      <c r="O631" s="311">
        <f t="shared" si="279"/>
        <v>2.203999999997182</v>
      </c>
    </row>
    <row r="632" spans="1:15" s="236" customFormat="1" x14ac:dyDescent="0.2">
      <c r="A632" s="237"/>
      <c r="B632" s="237"/>
      <c r="C632" s="237"/>
      <c r="D632" s="237"/>
      <c r="E632" s="237"/>
      <c r="F632" s="237"/>
      <c r="G632" s="237"/>
      <c r="H632" s="237"/>
      <c r="I632" s="237"/>
      <c r="J632" s="237"/>
      <c r="K632" s="237"/>
      <c r="L632" s="237"/>
      <c r="M632" s="237"/>
      <c r="N632" s="240"/>
    </row>
    <row r="633" spans="1:15" s="236" customFormat="1" x14ac:dyDescent="0.2">
      <c r="A633" s="237"/>
      <c r="B633" s="237"/>
      <c r="C633" s="237"/>
      <c r="D633" s="237"/>
      <c r="E633" s="237"/>
      <c r="F633" s="237"/>
      <c r="G633" s="237"/>
      <c r="H633" s="237"/>
      <c r="I633" s="237"/>
      <c r="J633" s="237"/>
      <c r="K633" s="237"/>
      <c r="L633" s="237"/>
      <c r="M633" s="237"/>
      <c r="N633" s="240"/>
      <c r="O633" s="251" t="s">
        <v>35</v>
      </c>
    </row>
    <row r="634" spans="1:15" s="236" customFormat="1" x14ac:dyDescent="0.2">
      <c r="A634" s="242"/>
      <c r="B634" s="242"/>
      <c r="C634" s="242"/>
      <c r="D634" s="242"/>
      <c r="E634" s="242"/>
      <c r="F634" s="242"/>
      <c r="G634" s="242"/>
      <c r="H634" s="242"/>
      <c r="I634" s="242"/>
      <c r="J634" s="242"/>
      <c r="K634" s="242"/>
      <c r="L634" s="242"/>
      <c r="M634" s="242"/>
      <c r="N634" s="242"/>
      <c r="O634" s="242"/>
    </row>
    <row r="635" spans="1:15" s="236" customFormat="1" x14ac:dyDescent="0.2">
      <c r="A635" s="241" t="str">
        <f>name!A40</f>
        <v>Warehousing, etc</v>
      </c>
      <c r="B635" s="374">
        <f>$B$6</f>
        <v>2015</v>
      </c>
      <c r="C635" s="374"/>
      <c r="D635" s="374"/>
      <c r="E635" s="374"/>
      <c r="F635" s="263"/>
      <c r="G635" s="374">
        <f>$G$6</f>
        <v>2020</v>
      </c>
      <c r="H635" s="374"/>
      <c r="I635" s="374"/>
      <c r="J635" s="374"/>
      <c r="K635" s="263"/>
      <c r="L635" s="374">
        <f>$L$6</f>
        <v>2035</v>
      </c>
      <c r="M635" s="374"/>
      <c r="N635" s="374"/>
      <c r="O635" s="374"/>
    </row>
    <row r="636" spans="1:15" s="236" customFormat="1" x14ac:dyDescent="0.2">
      <c r="A636" s="254"/>
      <c r="B636" s="268" t="str">
        <f>$B$7</f>
        <v>FT</v>
      </c>
      <c r="C636" s="268" t="str">
        <f>$C$7</f>
        <v>PT</v>
      </c>
      <c r="D636" s="268" t="str">
        <f>$D$7</f>
        <v>SE</v>
      </c>
      <c r="E636" s="268" t="str">
        <f>$E$7</f>
        <v>Total</v>
      </c>
      <c r="F636" s="268"/>
      <c r="G636" s="268" t="str">
        <f>$G$7</f>
        <v>FT</v>
      </c>
      <c r="H636" s="268" t="str">
        <f>$H$7</f>
        <v>PT</v>
      </c>
      <c r="I636" s="268" t="str">
        <f>$I$7</f>
        <v>SE</v>
      </c>
      <c r="J636" s="268" t="str">
        <f>$J$7</f>
        <v>Total</v>
      </c>
      <c r="K636" s="268"/>
      <c r="L636" s="268" t="str">
        <f>$L$7</f>
        <v>FT</v>
      </c>
      <c r="M636" s="268" t="str">
        <f>$M$7</f>
        <v>PT</v>
      </c>
      <c r="N636" s="268" t="str">
        <f>$N$7</f>
        <v>SE</v>
      </c>
      <c r="O636" s="268" t="str">
        <f>$O$7</f>
        <v>Total</v>
      </c>
    </row>
    <row r="637" spans="1:15" s="236" customFormat="1" x14ac:dyDescent="0.2">
      <c r="A637" s="258"/>
      <c r="B637" s="239"/>
      <c r="C637" s="239"/>
      <c r="D637" s="239"/>
      <c r="E637" s="239"/>
      <c r="F637" s="239"/>
      <c r="G637" s="239"/>
      <c r="H637" s="239"/>
      <c r="I637" s="239"/>
      <c r="J637" s="239"/>
      <c r="K637" s="239"/>
      <c r="L637" s="239"/>
      <c r="M637" s="239"/>
      <c r="N637" s="239"/>
      <c r="O637" s="239"/>
    </row>
    <row r="638" spans="1:15" s="236" customFormat="1" x14ac:dyDescent="0.2">
      <c r="A638" s="237" t="str">
        <f>name!E$4</f>
        <v>Managers, directors and senior officials</v>
      </c>
      <c r="B638" s="302">
        <v>0.93657006465222981</v>
      </c>
      <c r="C638" s="302">
        <v>5.4391208922897692E-2</v>
      </c>
      <c r="D638" s="302">
        <v>9.8206739952095348E-2</v>
      </c>
      <c r="E638" s="302">
        <f>SUM(B638:D638)</f>
        <v>1.0891680135272228</v>
      </c>
      <c r="F638" s="303"/>
      <c r="G638" s="302">
        <v>1.2046537836524733</v>
      </c>
      <c r="H638" s="302">
        <v>0.16756726591729967</v>
      </c>
      <c r="I638" s="302">
        <v>0.14717929856919701</v>
      </c>
      <c r="J638" s="302">
        <f>SUM(G638:I638)</f>
        <v>1.5194003481389702</v>
      </c>
      <c r="K638" s="303"/>
      <c r="L638" s="302">
        <v>1.3121034081799248</v>
      </c>
      <c r="M638" s="302">
        <v>0.22541090416674145</v>
      </c>
      <c r="N638" s="302">
        <v>0.11866363120051082</v>
      </c>
      <c r="O638" s="302">
        <f>SUM(L638:N638)</f>
        <v>1.6561779435471768</v>
      </c>
    </row>
    <row r="639" spans="1:15" s="236" customFormat="1" x14ac:dyDescent="0.2">
      <c r="A639" s="237" t="str">
        <f>name!E$5</f>
        <v>Professional occupations</v>
      </c>
      <c r="B639" s="302">
        <v>0.70301192878561491</v>
      </c>
      <c r="C639" s="302">
        <v>3.3282882261621224E-2</v>
      </c>
      <c r="D639" s="302">
        <v>3.1460316043387379E-2</v>
      </c>
      <c r="E639" s="302">
        <f t="shared" ref="E639:E646" si="280">SUM(B639:D639)</f>
        <v>0.76775512709062355</v>
      </c>
      <c r="F639" s="303"/>
      <c r="G639" s="302">
        <v>1.0516545111344038</v>
      </c>
      <c r="H639" s="302">
        <v>0.10689013335225948</v>
      </c>
      <c r="I639" s="302">
        <v>4.6186168575864876E-2</v>
      </c>
      <c r="J639" s="302">
        <f t="shared" ref="J639:J641" si="281">SUM(G639:I639)</f>
        <v>1.204730813062528</v>
      </c>
      <c r="K639" s="303"/>
      <c r="L639" s="302">
        <v>1.3929123959624095</v>
      </c>
      <c r="M639" s="302">
        <v>0.16513888104579677</v>
      </c>
      <c r="N639" s="302">
        <v>3.48434884308109E-2</v>
      </c>
      <c r="O639" s="302">
        <f t="shared" ref="O639:O646" si="282">SUM(L639:N639)</f>
        <v>1.5928947654390171</v>
      </c>
    </row>
    <row r="640" spans="1:15" s="236" customFormat="1" x14ac:dyDescent="0.2">
      <c r="A640" s="237" t="str">
        <f>name!E$6</f>
        <v>Associate professional occupations</v>
      </c>
      <c r="B640" s="302">
        <v>0.64443208478564495</v>
      </c>
      <c r="C640" s="302">
        <v>5.6739374615999524E-2</v>
      </c>
      <c r="D640" s="302">
        <v>3.2569628666521765E-2</v>
      </c>
      <c r="E640" s="302">
        <f t="shared" si="280"/>
        <v>0.73374108806816629</v>
      </c>
      <c r="F640" s="303"/>
      <c r="G640" s="302">
        <v>0.91406320672114116</v>
      </c>
      <c r="H640" s="302">
        <v>0.17616976255046124</v>
      </c>
      <c r="I640" s="302">
        <v>4.9130052754752955E-2</v>
      </c>
      <c r="J640" s="302">
        <f t="shared" si="281"/>
        <v>1.1393630220263553</v>
      </c>
      <c r="K640" s="303"/>
      <c r="L640" s="302">
        <v>1.0367403480075108</v>
      </c>
      <c r="M640" s="302">
        <v>0.24514902756874404</v>
      </c>
      <c r="N640" s="302">
        <v>6.3606483215125922E-2</v>
      </c>
      <c r="O640" s="302">
        <f t="shared" si="282"/>
        <v>1.3454958587913808</v>
      </c>
    </row>
    <row r="641" spans="1:15" s="236" customFormat="1" x14ac:dyDescent="0.2">
      <c r="A641" s="237" t="str">
        <f>name!E$7</f>
        <v>Administrative and secretarial occupations</v>
      </c>
      <c r="B641" s="302">
        <v>1.0130990772607873</v>
      </c>
      <c r="C641" s="302">
        <v>0.14132562166061866</v>
      </c>
      <c r="D641" s="302">
        <v>2.1591596941194877E-2</v>
      </c>
      <c r="E641" s="302">
        <f t="shared" si="280"/>
        <v>1.1760162958626008</v>
      </c>
      <c r="F641" s="303"/>
      <c r="G641" s="302">
        <v>1.2943676351088995</v>
      </c>
      <c r="H641" s="302">
        <v>0.2775040442698995</v>
      </c>
      <c r="I641" s="302">
        <v>1.8558251355138892E-2</v>
      </c>
      <c r="J641" s="302">
        <f t="shared" si="281"/>
        <v>1.590429930733938</v>
      </c>
      <c r="K641" s="303"/>
      <c r="L641" s="302">
        <v>1.2902208054192879</v>
      </c>
      <c r="M641" s="302">
        <v>0.21139150138571755</v>
      </c>
      <c r="N641" s="302">
        <v>1.6348858443133111E-2</v>
      </c>
      <c r="O641" s="302">
        <f t="shared" si="282"/>
        <v>1.5179611652481384</v>
      </c>
    </row>
    <row r="642" spans="1:15" s="236" customFormat="1" x14ac:dyDescent="0.2">
      <c r="A642" s="237" t="str">
        <f>name!E$8</f>
        <v>Skilled trades occupations</v>
      </c>
      <c r="B642" s="302">
        <v>0.38694532537019366</v>
      </c>
      <c r="C642" s="302">
        <v>8.470272125472042E-2</v>
      </c>
      <c r="D642" s="302">
        <v>2.9795987202970383E-2</v>
      </c>
      <c r="E642" s="302">
        <f t="shared" si="280"/>
        <v>0.50144403382788449</v>
      </c>
      <c r="F642" s="303"/>
      <c r="G642" s="302">
        <v>0.35197656424598439</v>
      </c>
      <c r="H642" s="302">
        <v>0.13703166509045969</v>
      </c>
      <c r="I642" s="302">
        <v>3.935754689739953E-2</v>
      </c>
      <c r="J642" s="302">
        <f>SUM(G642:I642)</f>
        <v>0.52836577623384362</v>
      </c>
      <c r="K642" s="303"/>
      <c r="L642" s="302">
        <v>0.36041357679615132</v>
      </c>
      <c r="M642" s="302">
        <v>0.2696383211145158</v>
      </c>
      <c r="N642" s="302">
        <v>4.3513633633810563E-2</v>
      </c>
      <c r="O642" s="302">
        <f t="shared" si="282"/>
        <v>0.67356553154447762</v>
      </c>
    </row>
    <row r="643" spans="1:15" s="236" customFormat="1" x14ac:dyDescent="0.2">
      <c r="A643" s="237" t="str">
        <f>name!E$9</f>
        <v>Caring, leisure and other service occupations</v>
      </c>
      <c r="B643" s="302">
        <v>1.1402697960893631</v>
      </c>
      <c r="C643" s="302">
        <v>0.42658024338121026</v>
      </c>
      <c r="D643" s="302">
        <v>0.18502948489617144</v>
      </c>
      <c r="E643" s="302">
        <f t="shared" si="280"/>
        <v>1.7518795243667449</v>
      </c>
      <c r="F643" s="303"/>
      <c r="G643" s="302">
        <v>1.2771372261893625</v>
      </c>
      <c r="H643" s="302">
        <v>0.6798660097321072</v>
      </c>
      <c r="I643" s="302">
        <v>0.11777168611685128</v>
      </c>
      <c r="J643" s="302">
        <f t="shared" ref="J643:J646" si="283">SUM(G643:I643)</f>
        <v>2.0747749220383209</v>
      </c>
      <c r="K643" s="303"/>
      <c r="L643" s="302">
        <v>1.3589694036248148</v>
      </c>
      <c r="M643" s="302">
        <v>0.7038550158748198</v>
      </c>
      <c r="N643" s="302">
        <v>0.11835952363946631</v>
      </c>
      <c r="O643" s="302">
        <f t="shared" si="282"/>
        <v>2.1811839431391009</v>
      </c>
    </row>
    <row r="644" spans="1:15" s="236" customFormat="1" x14ac:dyDescent="0.2">
      <c r="A644" s="237" t="str">
        <f>name!E$10</f>
        <v>Sales and customer service occupations</v>
      </c>
      <c r="B644" s="302">
        <v>0.5969480829143905</v>
      </c>
      <c r="C644" s="302">
        <v>0.13896111212440246</v>
      </c>
      <c r="D644" s="302">
        <v>2.2867881780267611E-2</v>
      </c>
      <c r="E644" s="302">
        <f t="shared" si="280"/>
        <v>0.75877707681906059</v>
      </c>
      <c r="F644" s="303"/>
      <c r="G644" s="302">
        <v>0.70063518056877494</v>
      </c>
      <c r="H644" s="302">
        <v>0.25394400243683712</v>
      </c>
      <c r="I644" s="302">
        <v>1.9921166752949786E-2</v>
      </c>
      <c r="J644" s="302">
        <f t="shared" si="283"/>
        <v>0.97450034975856181</v>
      </c>
      <c r="K644" s="303"/>
      <c r="L644" s="302">
        <v>0.81773957400131603</v>
      </c>
      <c r="M644" s="302">
        <v>0.32437135128606021</v>
      </c>
      <c r="N644" s="302">
        <v>1.2569091519894516E-2</v>
      </c>
      <c r="O644" s="302">
        <f t="shared" si="282"/>
        <v>1.1546800168072708</v>
      </c>
    </row>
    <row r="645" spans="1:15" s="236" customFormat="1" x14ac:dyDescent="0.2">
      <c r="A645" s="237" t="str">
        <f>name!E$11</f>
        <v>Process, plant and machine operatives</v>
      </c>
      <c r="B645" s="302">
        <v>2.739892090821888</v>
      </c>
      <c r="C645" s="302">
        <v>0.30669284936982882</v>
      </c>
      <c r="D645" s="302">
        <v>4.8191353537854281E-2</v>
      </c>
      <c r="E645" s="302">
        <f t="shared" si="280"/>
        <v>3.0947762937295709</v>
      </c>
      <c r="F645" s="303"/>
      <c r="G645" s="302">
        <v>2.5429317771011699</v>
      </c>
      <c r="H645" s="302">
        <v>0.54382929271087266</v>
      </c>
      <c r="I645" s="302">
        <v>8.6821303310928966E-2</v>
      </c>
      <c r="J645" s="302">
        <f t="shared" si="283"/>
        <v>3.1735823731229713</v>
      </c>
      <c r="K645" s="303"/>
      <c r="L645" s="302">
        <v>2.7126001780304341</v>
      </c>
      <c r="M645" s="302">
        <v>0.57371950872664956</v>
      </c>
      <c r="N645" s="302">
        <v>7.2014354838219274E-2</v>
      </c>
      <c r="O645" s="302">
        <f t="shared" si="282"/>
        <v>3.3583340415953034</v>
      </c>
    </row>
    <row r="646" spans="1:15" s="236" customFormat="1" x14ac:dyDescent="0.2">
      <c r="A646" s="237" t="str">
        <f>name!E$12</f>
        <v>Elementary occupations</v>
      </c>
      <c r="B646" s="302">
        <v>2.9688315493627098</v>
      </c>
      <c r="C646" s="302">
        <v>0.29832398643402097</v>
      </c>
      <c r="D646" s="302">
        <v>2.328701098881478E-2</v>
      </c>
      <c r="E646" s="302">
        <f t="shared" si="280"/>
        <v>3.2904425467855454</v>
      </c>
      <c r="F646" s="303"/>
      <c r="G646" s="302">
        <v>2.4955801152593122</v>
      </c>
      <c r="H646" s="302">
        <v>0.39719782394548736</v>
      </c>
      <c r="I646" s="302">
        <v>2.7074525674926919E-2</v>
      </c>
      <c r="J646" s="302">
        <f t="shared" si="283"/>
        <v>2.9198524648797264</v>
      </c>
      <c r="K646" s="303"/>
      <c r="L646" s="302">
        <v>1.7273003098729141</v>
      </c>
      <c r="M646" s="302">
        <v>0.23132548881502432</v>
      </c>
      <c r="N646" s="302">
        <v>2.1080935088592569E-2</v>
      </c>
      <c r="O646" s="302">
        <f t="shared" si="282"/>
        <v>1.9797067337765308</v>
      </c>
    </row>
    <row r="647" spans="1:15" s="236" customFormat="1" x14ac:dyDescent="0.2">
      <c r="A647" s="237"/>
      <c r="B647" s="302"/>
      <c r="C647" s="302"/>
      <c r="D647" s="302"/>
      <c r="E647" s="302"/>
      <c r="F647" s="303"/>
      <c r="G647" s="302"/>
      <c r="H647" s="302"/>
      <c r="I647" s="302"/>
      <c r="J647" s="302"/>
      <c r="K647" s="303"/>
      <c r="L647" s="302"/>
      <c r="M647" s="302"/>
      <c r="N647" s="302"/>
      <c r="O647" s="302"/>
    </row>
    <row r="648" spans="1:15" s="236" customFormat="1" x14ac:dyDescent="0.2">
      <c r="A648" s="244" t="s">
        <v>32</v>
      </c>
      <c r="B648" s="311">
        <f>SUM(B638:B646)</f>
        <v>11.130000000042822</v>
      </c>
      <c r="C648" s="311">
        <f t="shared" ref="C648:E648" si="284">SUM(C638:C646)</f>
        <v>1.5410000000253201</v>
      </c>
      <c r="D648" s="311">
        <f t="shared" si="284"/>
        <v>0.49300000000927791</v>
      </c>
      <c r="E648" s="311">
        <f t="shared" si="284"/>
        <v>13.16400000007742</v>
      </c>
      <c r="F648" s="311"/>
      <c r="G648" s="311">
        <f t="shared" ref="G648:J648" si="285">SUM(G638:G646)</f>
        <v>11.832999999981523</v>
      </c>
      <c r="H648" s="311">
        <f t="shared" si="285"/>
        <v>2.7400000000056837</v>
      </c>
      <c r="I648" s="311">
        <f t="shared" si="285"/>
        <v>0.55200000000801031</v>
      </c>
      <c r="J648" s="311">
        <f t="shared" si="285"/>
        <v>15.124999999995216</v>
      </c>
      <c r="K648" s="311"/>
      <c r="L648" s="311">
        <f t="shared" ref="L648:O648" si="286">SUM(L638:L646)</f>
        <v>12.008999999894764</v>
      </c>
      <c r="M648" s="311">
        <f t="shared" si="286"/>
        <v>2.9499999999840694</v>
      </c>
      <c r="N648" s="311">
        <f t="shared" si="286"/>
        <v>0.50100000000956391</v>
      </c>
      <c r="O648" s="311">
        <f t="shared" si="286"/>
        <v>15.459999999888399</v>
      </c>
    </row>
    <row r="649" spans="1:15" s="236" customFormat="1" x14ac:dyDescent="0.2">
      <c r="A649" s="237"/>
      <c r="B649" s="237"/>
      <c r="C649" s="237"/>
      <c r="D649" s="237"/>
      <c r="E649" s="237"/>
      <c r="F649" s="237"/>
      <c r="G649" s="237"/>
      <c r="H649" s="237"/>
      <c r="I649" s="237"/>
      <c r="J649" s="237"/>
      <c r="K649" s="237"/>
      <c r="L649" s="237"/>
      <c r="M649" s="237"/>
      <c r="N649" s="240"/>
    </row>
    <row r="650" spans="1:15" s="236" customFormat="1" x14ac:dyDescent="0.2">
      <c r="A650" s="237"/>
      <c r="B650" s="237"/>
      <c r="C650" s="237"/>
      <c r="D650" s="237"/>
      <c r="E650" s="237"/>
      <c r="F650" s="237"/>
      <c r="G650" s="237"/>
      <c r="H650" s="237"/>
      <c r="I650" s="237"/>
      <c r="J650" s="237"/>
      <c r="K650" s="237"/>
      <c r="L650" s="237"/>
      <c r="M650" s="237"/>
      <c r="N650" s="240"/>
      <c r="O650" s="251" t="s">
        <v>35</v>
      </c>
    </row>
    <row r="651" spans="1:15" s="236" customFormat="1" x14ac:dyDescent="0.2">
      <c r="A651" s="242"/>
      <c r="B651" s="242"/>
      <c r="C651" s="242"/>
      <c r="D651" s="242"/>
      <c r="E651" s="242"/>
      <c r="F651" s="242"/>
      <c r="G651" s="242"/>
      <c r="H651" s="242"/>
      <c r="I651" s="242"/>
      <c r="J651" s="242"/>
      <c r="K651" s="242"/>
      <c r="L651" s="242"/>
      <c r="M651" s="242"/>
      <c r="N651" s="242"/>
      <c r="O651" s="242"/>
    </row>
    <row r="652" spans="1:15" s="236" customFormat="1" x14ac:dyDescent="0.2">
      <c r="A652" s="241" t="str">
        <f>name!A41</f>
        <v>Postal and courier</v>
      </c>
      <c r="B652" s="374">
        <f>$B$6</f>
        <v>2015</v>
      </c>
      <c r="C652" s="374"/>
      <c r="D652" s="374"/>
      <c r="E652" s="374"/>
      <c r="F652" s="263"/>
      <c r="G652" s="374">
        <f>$G$6</f>
        <v>2020</v>
      </c>
      <c r="H652" s="374"/>
      <c r="I652" s="374"/>
      <c r="J652" s="374"/>
      <c r="K652" s="263"/>
      <c r="L652" s="374">
        <f>$L$6</f>
        <v>2035</v>
      </c>
      <c r="M652" s="374"/>
      <c r="N652" s="374"/>
      <c r="O652" s="374"/>
    </row>
    <row r="653" spans="1:15" s="236" customFormat="1" x14ac:dyDescent="0.2">
      <c r="A653" s="254"/>
      <c r="B653" s="268" t="str">
        <f>$B$7</f>
        <v>FT</v>
      </c>
      <c r="C653" s="268" t="str">
        <f>$C$7</f>
        <v>PT</v>
      </c>
      <c r="D653" s="268" t="str">
        <f>$D$7</f>
        <v>SE</v>
      </c>
      <c r="E653" s="268" t="str">
        <f>$E$7</f>
        <v>Total</v>
      </c>
      <c r="F653" s="268"/>
      <c r="G653" s="268" t="str">
        <f>$G$7</f>
        <v>FT</v>
      </c>
      <c r="H653" s="268" t="str">
        <f>$H$7</f>
        <v>PT</v>
      </c>
      <c r="I653" s="268" t="str">
        <f>$I$7</f>
        <v>SE</v>
      </c>
      <c r="J653" s="268" t="str">
        <f>$J$7</f>
        <v>Total</v>
      </c>
      <c r="K653" s="268"/>
      <c r="L653" s="268" t="str">
        <f>$L$7</f>
        <v>FT</v>
      </c>
      <c r="M653" s="268" t="str">
        <f>$M$7</f>
        <v>PT</v>
      </c>
      <c r="N653" s="268" t="str">
        <f>$N$7</f>
        <v>SE</v>
      </c>
      <c r="O653" s="268" t="str">
        <f>$O$7</f>
        <v>Total</v>
      </c>
    </row>
    <row r="654" spans="1:15" s="236" customFormat="1" x14ac:dyDescent="0.2">
      <c r="A654" s="258"/>
      <c r="B654" s="239"/>
      <c r="C654" s="239"/>
      <c r="D654" s="239"/>
      <c r="E654" s="239"/>
      <c r="F654" s="239"/>
      <c r="G654" s="239"/>
      <c r="H654" s="239"/>
      <c r="I654" s="239"/>
      <c r="J654" s="239"/>
      <c r="K654" s="239"/>
      <c r="L654" s="239"/>
      <c r="M654" s="239"/>
      <c r="N654" s="239"/>
      <c r="O654" s="239"/>
    </row>
    <row r="655" spans="1:15" s="236" customFormat="1" x14ac:dyDescent="0.2">
      <c r="A655" s="237" t="str">
        <f>name!E$4</f>
        <v>Managers, directors and senior officials</v>
      </c>
      <c r="B655" s="302">
        <v>0.42204812635007621</v>
      </c>
      <c r="C655" s="302">
        <v>5.2861569062528112E-2</v>
      </c>
      <c r="D655" s="302">
        <v>4.7203795594684933E-2</v>
      </c>
      <c r="E655" s="302">
        <f>SUM(B655:D655)</f>
        <v>0.52211349100728921</v>
      </c>
      <c r="F655" s="303"/>
      <c r="G655" s="302">
        <v>0.4778492292907488</v>
      </c>
      <c r="H655" s="302">
        <v>9.8662126085991148E-2</v>
      </c>
      <c r="I655" s="302">
        <v>0.21363481291361591</v>
      </c>
      <c r="J655" s="302">
        <f>SUM(G655:I655)</f>
        <v>0.79014616829035589</v>
      </c>
      <c r="K655" s="303"/>
      <c r="L655" s="302">
        <v>0.53659506488808728</v>
      </c>
      <c r="M655" s="302">
        <v>0.1473330626652197</v>
      </c>
      <c r="N655" s="302">
        <v>0.15131385358732388</v>
      </c>
      <c r="O655" s="302">
        <f>SUM(L655:N655)</f>
        <v>0.83524198114063086</v>
      </c>
    </row>
    <row r="656" spans="1:15" s="236" customFormat="1" x14ac:dyDescent="0.2">
      <c r="A656" s="237" t="str">
        <f>name!E$5</f>
        <v>Professional occupations</v>
      </c>
      <c r="B656" s="302">
        <v>0.24604864152316594</v>
      </c>
      <c r="C656" s="302">
        <v>4.5857874405292286E-2</v>
      </c>
      <c r="D656" s="302">
        <v>1.3713604421861751E-2</v>
      </c>
      <c r="E656" s="302">
        <f t="shared" ref="E656:E663" si="287">SUM(B656:D656)</f>
        <v>0.30562012035031999</v>
      </c>
      <c r="F656" s="303"/>
      <c r="G656" s="302">
        <v>0.32354427832270655</v>
      </c>
      <c r="H656" s="302">
        <v>8.1453081311164521E-2</v>
      </c>
      <c r="I656" s="302">
        <v>4.4025881269768904E-2</v>
      </c>
      <c r="J656" s="302">
        <f t="shared" ref="J656:J658" si="288">SUM(G656:I656)</f>
        <v>0.44902324090363999</v>
      </c>
      <c r="K656" s="303"/>
      <c r="L656" s="302">
        <v>0.38300277886162892</v>
      </c>
      <c r="M656" s="302">
        <v>0.1293405005900411</v>
      </c>
      <c r="N656" s="302">
        <v>3.0566404962662341E-2</v>
      </c>
      <c r="O656" s="302">
        <f t="shared" ref="O656:O663" si="289">SUM(L656:N656)</f>
        <v>0.54290968441433241</v>
      </c>
    </row>
    <row r="657" spans="1:15" s="236" customFormat="1" x14ac:dyDescent="0.2">
      <c r="A657" s="237" t="str">
        <f>name!E$6</f>
        <v>Associate professional occupations</v>
      </c>
      <c r="B657" s="302">
        <v>0.30111621961525953</v>
      </c>
      <c r="C657" s="302">
        <v>8.9440460283013862E-2</v>
      </c>
      <c r="D657" s="302">
        <v>1.031873899066193E-2</v>
      </c>
      <c r="E657" s="302">
        <f t="shared" si="287"/>
        <v>0.4008754188889353</v>
      </c>
      <c r="F657" s="303"/>
      <c r="G657" s="302">
        <v>0.34077180303190163</v>
      </c>
      <c r="H657" s="302">
        <v>0.12005968343336865</v>
      </c>
      <c r="I657" s="302">
        <v>3.7255877598591114E-2</v>
      </c>
      <c r="J657" s="302">
        <f t="shared" si="288"/>
        <v>0.49808736406386139</v>
      </c>
      <c r="K657" s="303"/>
      <c r="L657" s="302">
        <v>0.3494451973857936</v>
      </c>
      <c r="M657" s="302">
        <v>0.16632030348448307</v>
      </c>
      <c r="N657" s="302">
        <v>3.1775216658765579E-2</v>
      </c>
      <c r="O657" s="302">
        <f t="shared" si="289"/>
        <v>0.54754071752904221</v>
      </c>
    </row>
    <row r="658" spans="1:15" s="236" customFormat="1" x14ac:dyDescent="0.2">
      <c r="A658" s="237" t="str">
        <f>name!E$7</f>
        <v>Administrative and secretarial occupations</v>
      </c>
      <c r="B658" s="302">
        <v>0.54906688944441695</v>
      </c>
      <c r="C658" s="302">
        <v>0.76982007285743981</v>
      </c>
      <c r="D658" s="302">
        <v>8.9583825550636608E-3</v>
      </c>
      <c r="E658" s="302">
        <f t="shared" si="287"/>
        <v>1.3278453448569205</v>
      </c>
      <c r="F658" s="303"/>
      <c r="G658" s="302">
        <v>0.56391137243864486</v>
      </c>
      <c r="H658" s="302">
        <v>0.89741830638264575</v>
      </c>
      <c r="I658" s="302">
        <v>3.5788120771370439E-2</v>
      </c>
      <c r="J658" s="302">
        <f t="shared" si="288"/>
        <v>1.497117799592661</v>
      </c>
      <c r="K658" s="303"/>
      <c r="L658" s="302">
        <v>0.56690219437831602</v>
      </c>
      <c r="M658" s="302">
        <v>0.89063367147007766</v>
      </c>
      <c r="N658" s="302">
        <v>3.0843751967512892E-2</v>
      </c>
      <c r="O658" s="302">
        <f t="shared" si="289"/>
        <v>1.4883796178159066</v>
      </c>
    </row>
    <row r="659" spans="1:15" s="236" customFormat="1" x14ac:dyDescent="0.2">
      <c r="A659" s="237" t="str">
        <f>name!E$8</f>
        <v>Skilled trades occupations</v>
      </c>
      <c r="B659" s="302">
        <v>0.11809695523244597</v>
      </c>
      <c r="C659" s="302">
        <v>0.21073306410453171</v>
      </c>
      <c r="D659" s="302">
        <v>4.9714578680467511E-2</v>
      </c>
      <c r="E659" s="302">
        <f t="shared" si="287"/>
        <v>0.37854459801744522</v>
      </c>
      <c r="F659" s="303"/>
      <c r="G659" s="302">
        <v>8.7464742972014134E-2</v>
      </c>
      <c r="H659" s="302">
        <v>0.1956715884917723</v>
      </c>
      <c r="I659" s="302">
        <v>6.8044497060898629E-2</v>
      </c>
      <c r="J659" s="302">
        <f>SUM(G659:I659)</f>
        <v>0.35118082852468502</v>
      </c>
      <c r="K659" s="303"/>
      <c r="L659" s="302">
        <v>7.5057905062640803E-2</v>
      </c>
      <c r="M659" s="302">
        <v>0.22868309436474252</v>
      </c>
      <c r="N659" s="302">
        <v>5.469216670707823E-2</v>
      </c>
      <c r="O659" s="302">
        <f t="shared" si="289"/>
        <v>0.35843316613446152</v>
      </c>
    </row>
    <row r="660" spans="1:15" s="236" customFormat="1" x14ac:dyDescent="0.2">
      <c r="A660" s="237" t="str">
        <f>name!E$9</f>
        <v>Caring, leisure and other service occupations</v>
      </c>
      <c r="B660" s="302">
        <v>0.143461601241306</v>
      </c>
      <c r="C660" s="302">
        <v>0.17764010931906038</v>
      </c>
      <c r="D660" s="302">
        <v>1.5415879605445533E-2</v>
      </c>
      <c r="E660" s="302">
        <f t="shared" si="287"/>
        <v>0.33651759016581195</v>
      </c>
      <c r="F660" s="303"/>
      <c r="G660" s="302">
        <v>0.13575548453175412</v>
      </c>
      <c r="H660" s="302">
        <v>0.18437703941562986</v>
      </c>
      <c r="I660" s="302">
        <v>8.3221117807100259E-2</v>
      </c>
      <c r="J660" s="302">
        <f t="shared" ref="J660:J663" si="290">SUM(G660:I660)</f>
        <v>0.40335364175448429</v>
      </c>
      <c r="K660" s="303"/>
      <c r="L660" s="302">
        <v>0.18148792953457998</v>
      </c>
      <c r="M660" s="302">
        <v>0.20550935976554913</v>
      </c>
      <c r="N660" s="302">
        <v>0.10016819973858973</v>
      </c>
      <c r="O660" s="302">
        <f t="shared" si="289"/>
        <v>0.48716548903871881</v>
      </c>
    </row>
    <row r="661" spans="1:15" s="236" customFormat="1" x14ac:dyDescent="0.2">
      <c r="A661" s="237" t="str">
        <f>name!E$10</f>
        <v>Sales and customer service occupations</v>
      </c>
      <c r="B661" s="302">
        <v>0.26001644643596117</v>
      </c>
      <c r="C661" s="302">
        <v>0.39269772814756199</v>
      </c>
      <c r="D661" s="302">
        <v>7.1323345451309019E-3</v>
      </c>
      <c r="E661" s="302">
        <f t="shared" si="287"/>
        <v>0.65984650912865406</v>
      </c>
      <c r="F661" s="303"/>
      <c r="G661" s="302">
        <v>0.25503766202396666</v>
      </c>
      <c r="H661" s="302">
        <v>0.43624596977450719</v>
      </c>
      <c r="I661" s="302">
        <v>2.0853144120773361E-2</v>
      </c>
      <c r="J661" s="302">
        <f t="shared" si="290"/>
        <v>0.71213677591924718</v>
      </c>
      <c r="K661" s="303"/>
      <c r="L661" s="302">
        <v>0.30326950152696291</v>
      </c>
      <c r="M661" s="302">
        <v>0.62479631934388224</v>
      </c>
      <c r="N661" s="302">
        <v>1.7740446574884976E-2</v>
      </c>
      <c r="O661" s="302">
        <f t="shared" si="289"/>
        <v>0.94580626744573015</v>
      </c>
    </row>
    <row r="662" spans="1:15" s="236" customFormat="1" x14ac:dyDescent="0.2">
      <c r="A662" s="237" t="str">
        <f>name!E$11</f>
        <v>Process, plant and machine operatives</v>
      </c>
      <c r="B662" s="302">
        <v>0.75021663003291317</v>
      </c>
      <c r="C662" s="302">
        <v>0.11106764340543442</v>
      </c>
      <c r="D662" s="302">
        <v>7.1858963608651141E-2</v>
      </c>
      <c r="E662" s="302">
        <f t="shared" si="287"/>
        <v>0.93314323704699875</v>
      </c>
      <c r="F662" s="303"/>
      <c r="G662" s="302">
        <v>0.57976048879513808</v>
      </c>
      <c r="H662" s="302">
        <v>0.1476862073596987</v>
      </c>
      <c r="I662" s="302">
        <v>0.12122542369986915</v>
      </c>
      <c r="J662" s="302">
        <f t="shared" si="290"/>
        <v>0.84867211985470592</v>
      </c>
      <c r="K662" s="303"/>
      <c r="L662" s="302">
        <v>0.54321922555598412</v>
      </c>
      <c r="M662" s="302">
        <v>0.1953095891078106</v>
      </c>
      <c r="N662" s="302">
        <v>0.10991927272924742</v>
      </c>
      <c r="O662" s="302">
        <f t="shared" si="289"/>
        <v>0.84844808739304212</v>
      </c>
    </row>
    <row r="663" spans="1:15" s="236" customFormat="1" x14ac:dyDescent="0.2">
      <c r="A663" s="237" t="str">
        <f>name!E$12</f>
        <v>Elementary occupations</v>
      </c>
      <c r="B663" s="302">
        <v>2.626928490152646</v>
      </c>
      <c r="C663" s="302">
        <v>1.0988814784807828</v>
      </c>
      <c r="D663" s="302">
        <v>4.7683722001146886E-2</v>
      </c>
      <c r="E663" s="302">
        <f t="shared" si="287"/>
        <v>3.7734936906345755</v>
      </c>
      <c r="F663" s="303"/>
      <c r="G663" s="302">
        <v>2.1819049385753981</v>
      </c>
      <c r="H663" s="302">
        <v>1.0634259977568312</v>
      </c>
      <c r="I663" s="302">
        <v>9.1951124750539501E-2</v>
      </c>
      <c r="J663" s="302">
        <f t="shared" si="290"/>
        <v>3.3372820610827691</v>
      </c>
      <c r="K663" s="303"/>
      <c r="L663" s="302">
        <v>2.1230202027491836</v>
      </c>
      <c r="M663" s="302">
        <v>1.0010740991760818</v>
      </c>
      <c r="N663" s="302">
        <v>8.898068707979033E-2</v>
      </c>
      <c r="O663" s="302">
        <f t="shared" si="289"/>
        <v>3.2130749890050558</v>
      </c>
    </row>
    <row r="664" spans="1:15" s="236" customFormat="1" x14ac:dyDescent="0.2">
      <c r="A664" s="237"/>
      <c r="B664" s="302"/>
      <c r="C664" s="302"/>
      <c r="D664" s="302"/>
      <c r="E664" s="302"/>
      <c r="F664" s="303"/>
      <c r="G664" s="302"/>
      <c r="H664" s="302"/>
      <c r="I664" s="302"/>
      <c r="J664" s="302"/>
      <c r="K664" s="303"/>
      <c r="L664" s="302"/>
      <c r="M664" s="302"/>
      <c r="N664" s="302"/>
      <c r="O664" s="302"/>
    </row>
    <row r="665" spans="1:15" s="236" customFormat="1" x14ac:dyDescent="0.2">
      <c r="A665" s="244" t="s">
        <v>32</v>
      </c>
      <c r="B665" s="311">
        <f>SUM(B655:B663)</f>
        <v>5.4170000000281906</v>
      </c>
      <c r="C665" s="311">
        <f t="shared" ref="C665:E665" si="291">SUM(C655:C663)</f>
        <v>2.9490000000656451</v>
      </c>
      <c r="D665" s="311">
        <f t="shared" si="291"/>
        <v>0.27200000000311425</v>
      </c>
      <c r="E665" s="311">
        <f t="shared" si="291"/>
        <v>8.6380000000969499</v>
      </c>
      <c r="F665" s="311"/>
      <c r="G665" s="311">
        <f t="shared" ref="G665:J665" si="292">SUM(G655:G663)</f>
        <v>4.9459999999822726</v>
      </c>
      <c r="H665" s="311">
        <f t="shared" si="292"/>
        <v>3.225000000011609</v>
      </c>
      <c r="I665" s="311">
        <f t="shared" si="292"/>
        <v>0.71599999999252717</v>
      </c>
      <c r="J665" s="311">
        <f t="shared" si="292"/>
        <v>8.8869999999864113</v>
      </c>
      <c r="K665" s="311"/>
      <c r="L665" s="311">
        <f t="shared" ref="L665:O665" si="293">SUM(L655:L663)</f>
        <v>5.0619999999431773</v>
      </c>
      <c r="M665" s="311">
        <f t="shared" si="293"/>
        <v>3.5889999999678874</v>
      </c>
      <c r="N665" s="311">
        <f t="shared" si="293"/>
        <v>0.61600000000585542</v>
      </c>
      <c r="O665" s="311">
        <f t="shared" si="293"/>
        <v>9.266999999916921</v>
      </c>
    </row>
    <row r="666" spans="1:15" s="236" customFormat="1" x14ac:dyDescent="0.2">
      <c r="A666" s="237"/>
      <c r="B666" s="237"/>
      <c r="C666" s="237"/>
      <c r="D666" s="237"/>
      <c r="E666" s="237"/>
      <c r="F666" s="237"/>
      <c r="G666" s="237"/>
      <c r="H666" s="237"/>
      <c r="I666" s="237"/>
      <c r="J666" s="237"/>
      <c r="K666" s="237"/>
      <c r="L666" s="237"/>
      <c r="M666" s="237"/>
      <c r="N666" s="240"/>
    </row>
    <row r="667" spans="1:15" s="236" customFormat="1" x14ac:dyDescent="0.2">
      <c r="A667" s="237"/>
      <c r="B667" s="237"/>
      <c r="C667" s="237"/>
      <c r="D667" s="237"/>
      <c r="E667" s="237"/>
      <c r="F667" s="237"/>
      <c r="G667" s="237"/>
      <c r="H667" s="237"/>
      <c r="I667" s="237"/>
      <c r="J667" s="237"/>
      <c r="K667" s="237"/>
      <c r="L667" s="237"/>
      <c r="M667" s="237"/>
      <c r="N667" s="240"/>
      <c r="O667" s="251" t="s">
        <v>35</v>
      </c>
    </row>
    <row r="668" spans="1:15" s="236" customFormat="1" x14ac:dyDescent="0.2">
      <c r="A668" s="242"/>
      <c r="B668" s="242"/>
      <c r="C668" s="242"/>
      <c r="D668" s="242"/>
      <c r="E668" s="242"/>
      <c r="F668" s="242"/>
      <c r="G668" s="242"/>
      <c r="H668" s="242"/>
      <c r="I668" s="242"/>
      <c r="J668" s="242"/>
      <c r="K668" s="242"/>
      <c r="L668" s="242"/>
      <c r="M668" s="242"/>
      <c r="N668" s="242"/>
      <c r="O668" s="242"/>
    </row>
    <row r="669" spans="1:15" s="236" customFormat="1" x14ac:dyDescent="0.2">
      <c r="A669" s="241" t="str">
        <f>name!A42</f>
        <v>Accommodation</v>
      </c>
      <c r="B669" s="374">
        <f>$B$6</f>
        <v>2015</v>
      </c>
      <c r="C669" s="374"/>
      <c r="D669" s="374"/>
      <c r="E669" s="374"/>
      <c r="F669" s="263"/>
      <c r="G669" s="374">
        <f>$G$6</f>
        <v>2020</v>
      </c>
      <c r="H669" s="374"/>
      <c r="I669" s="374"/>
      <c r="J669" s="374"/>
      <c r="K669" s="263"/>
      <c r="L669" s="374">
        <f>$L$6</f>
        <v>2035</v>
      </c>
      <c r="M669" s="374"/>
      <c r="N669" s="374"/>
      <c r="O669" s="374"/>
    </row>
    <row r="670" spans="1:15" s="236" customFormat="1" x14ac:dyDescent="0.2">
      <c r="A670" s="254"/>
      <c r="B670" s="268" t="str">
        <f>$B$7</f>
        <v>FT</v>
      </c>
      <c r="C670" s="268" t="str">
        <f>$C$7</f>
        <v>PT</v>
      </c>
      <c r="D670" s="268" t="str">
        <f>$D$7</f>
        <v>SE</v>
      </c>
      <c r="E670" s="268" t="str">
        <f>$E$7</f>
        <v>Total</v>
      </c>
      <c r="F670" s="268"/>
      <c r="G670" s="268" t="str">
        <f>$G$7</f>
        <v>FT</v>
      </c>
      <c r="H670" s="268" t="str">
        <f>$H$7</f>
        <v>PT</v>
      </c>
      <c r="I670" s="268" t="str">
        <f>$I$7</f>
        <v>SE</v>
      </c>
      <c r="J670" s="268" t="str">
        <f>$J$7</f>
        <v>Total</v>
      </c>
      <c r="K670" s="268"/>
      <c r="L670" s="268" t="str">
        <f>$L$7</f>
        <v>FT</v>
      </c>
      <c r="M670" s="268" t="str">
        <f>$M$7</f>
        <v>PT</v>
      </c>
      <c r="N670" s="268" t="str">
        <f>$N$7</f>
        <v>SE</v>
      </c>
      <c r="O670" s="268" t="str">
        <f>$O$7</f>
        <v>Total</v>
      </c>
    </row>
    <row r="671" spans="1:15" s="236" customFormat="1" x14ac:dyDescent="0.2">
      <c r="A671" s="258"/>
      <c r="B671" s="239"/>
      <c r="C671" s="239"/>
      <c r="D671" s="239"/>
      <c r="E671" s="239"/>
      <c r="F671" s="239"/>
      <c r="G671" s="239"/>
      <c r="H671" s="239"/>
      <c r="I671" s="239"/>
      <c r="J671" s="239"/>
      <c r="K671" s="239"/>
      <c r="L671" s="239"/>
      <c r="M671" s="239"/>
      <c r="N671" s="239"/>
      <c r="O671" s="239"/>
    </row>
    <row r="672" spans="1:15" s="236" customFormat="1" x14ac:dyDescent="0.2">
      <c r="A672" s="237" t="str">
        <f>name!E$4</f>
        <v>Managers, directors and senior officials</v>
      </c>
      <c r="B672" s="302">
        <v>2.1819902945515537</v>
      </c>
      <c r="C672" s="302">
        <v>0.12190456902850182</v>
      </c>
      <c r="D672" s="302">
        <v>1.3872686958977707</v>
      </c>
      <c r="E672" s="302">
        <f>SUM(B672:D672)</f>
        <v>3.6911635594778263</v>
      </c>
      <c r="F672" s="303"/>
      <c r="G672" s="302">
        <v>1.8090853514215295</v>
      </c>
      <c r="H672" s="302">
        <v>0.13548926094966574</v>
      </c>
      <c r="I672" s="302">
        <v>1.2123270358364509</v>
      </c>
      <c r="J672" s="302">
        <f>SUM(G672:I672)</f>
        <v>3.1569016482076462</v>
      </c>
      <c r="K672" s="303"/>
      <c r="L672" s="302">
        <v>2.3483994067853331</v>
      </c>
      <c r="M672" s="302">
        <v>0.23511805323831467</v>
      </c>
      <c r="N672" s="302">
        <v>1.5435404513915854</v>
      </c>
      <c r="O672" s="302">
        <f>SUM(L672:N672)</f>
        <v>4.1270579114152328</v>
      </c>
    </row>
    <row r="673" spans="1:15" s="236" customFormat="1" x14ac:dyDescent="0.2">
      <c r="A673" s="237" t="str">
        <f>name!E$5</f>
        <v>Professional occupations</v>
      </c>
      <c r="B673" s="302">
        <v>0.54623093660219046</v>
      </c>
      <c r="C673" s="302">
        <v>3.6828097869952031E-2</v>
      </c>
      <c r="D673" s="302">
        <v>8.9277763575780281E-2</v>
      </c>
      <c r="E673" s="302">
        <f t="shared" ref="E673:E680" si="294">SUM(B673:D673)</f>
        <v>0.67233679804792279</v>
      </c>
      <c r="F673" s="303"/>
      <c r="G673" s="302">
        <v>0.55054184721595545</v>
      </c>
      <c r="H673" s="302">
        <v>4.1404823838730086E-2</v>
      </c>
      <c r="I673" s="302">
        <v>8.0632735825077601E-2</v>
      </c>
      <c r="J673" s="302">
        <f t="shared" ref="J673:J675" si="295">SUM(G673:I673)</f>
        <v>0.67257940687976314</v>
      </c>
      <c r="K673" s="303"/>
      <c r="L673" s="302">
        <v>0.63286550086967164</v>
      </c>
      <c r="M673" s="302">
        <v>6.2642786015579058E-2</v>
      </c>
      <c r="N673" s="302">
        <v>4.8182223523616514E-2</v>
      </c>
      <c r="O673" s="302">
        <f t="shared" ref="O673:O680" si="296">SUM(L673:N673)</f>
        <v>0.74369051040886724</v>
      </c>
    </row>
    <row r="674" spans="1:15" s="236" customFormat="1" x14ac:dyDescent="0.2">
      <c r="A674" s="237" t="str">
        <f>name!E$6</f>
        <v>Associate professional occupations</v>
      </c>
      <c r="B674" s="302">
        <v>0.36079349842323716</v>
      </c>
      <c r="C674" s="302">
        <v>9.8482514259380677E-2</v>
      </c>
      <c r="D674" s="302">
        <v>5.9704136565479418E-2</v>
      </c>
      <c r="E674" s="302">
        <f t="shared" si="294"/>
        <v>0.51898014924809732</v>
      </c>
      <c r="F674" s="303"/>
      <c r="G674" s="302">
        <v>0.33326561526379289</v>
      </c>
      <c r="H674" s="302">
        <v>7.9169295778184282E-2</v>
      </c>
      <c r="I674" s="302">
        <v>4.1693178725764973E-2</v>
      </c>
      <c r="J674" s="302">
        <f t="shared" si="295"/>
        <v>0.4541280897677421</v>
      </c>
      <c r="K674" s="303"/>
      <c r="L674" s="302">
        <v>0.35652488707075203</v>
      </c>
      <c r="M674" s="302">
        <v>0.11217456777435811</v>
      </c>
      <c r="N674" s="302">
        <v>3.152516802556176E-2</v>
      </c>
      <c r="O674" s="302">
        <f t="shared" si="296"/>
        <v>0.50022462287067182</v>
      </c>
    </row>
    <row r="675" spans="1:15" s="236" customFormat="1" x14ac:dyDescent="0.2">
      <c r="A675" s="237" t="str">
        <f>name!E$7</f>
        <v>Administrative and secretarial occupations</v>
      </c>
      <c r="B675" s="302">
        <v>0.47657973627907879</v>
      </c>
      <c r="C675" s="302">
        <v>0.12059558059966903</v>
      </c>
      <c r="D675" s="302">
        <v>2.5504496611482026E-2</v>
      </c>
      <c r="E675" s="302">
        <f t="shared" si="294"/>
        <v>0.62267981349022983</v>
      </c>
      <c r="F675" s="303"/>
      <c r="G675" s="302">
        <v>0.37573991297057319</v>
      </c>
      <c r="H675" s="302">
        <v>8.5867147810906264E-2</v>
      </c>
      <c r="I675" s="302">
        <v>1.9733926710683358E-2</v>
      </c>
      <c r="J675" s="302">
        <f t="shared" si="295"/>
        <v>0.48134098749216281</v>
      </c>
      <c r="K675" s="303"/>
      <c r="L675" s="302">
        <v>0.45956886373654487</v>
      </c>
      <c r="M675" s="302">
        <v>0.10524030506267576</v>
      </c>
      <c r="N675" s="302">
        <v>1.7637943366538875E-2</v>
      </c>
      <c r="O675" s="302">
        <f t="shared" si="296"/>
        <v>0.58244711216575951</v>
      </c>
    </row>
    <row r="676" spans="1:15" s="236" customFormat="1" x14ac:dyDescent="0.2">
      <c r="A676" s="237" t="str">
        <f>name!E$8</f>
        <v>Skilled trades occupations</v>
      </c>
      <c r="B676" s="302">
        <v>1.3506303020776882</v>
      </c>
      <c r="C676" s="302">
        <v>0.4887460928980002</v>
      </c>
      <c r="D676" s="302">
        <v>0.39333741645035497</v>
      </c>
      <c r="E676" s="302">
        <f t="shared" si="294"/>
        <v>2.2327138114260432</v>
      </c>
      <c r="F676" s="303"/>
      <c r="G676" s="302">
        <v>0.83421897196730876</v>
      </c>
      <c r="H676" s="302">
        <v>0.31790665038008176</v>
      </c>
      <c r="I676" s="302">
        <v>0.34754873807379111</v>
      </c>
      <c r="J676" s="302">
        <f>SUM(G676:I676)</f>
        <v>1.4996743604211817</v>
      </c>
      <c r="K676" s="303"/>
      <c r="L676" s="302">
        <v>0.63061311103624829</v>
      </c>
      <c r="M676" s="302">
        <v>0.34765139711299731</v>
      </c>
      <c r="N676" s="302">
        <v>0.42384804477492632</v>
      </c>
      <c r="O676" s="302">
        <f t="shared" si="296"/>
        <v>1.402112552924172</v>
      </c>
    </row>
    <row r="677" spans="1:15" s="236" customFormat="1" x14ac:dyDescent="0.2">
      <c r="A677" s="237" t="str">
        <f>name!E$9</f>
        <v>Caring, leisure and other service occupations</v>
      </c>
      <c r="B677" s="302">
        <v>0.57906011938989232</v>
      </c>
      <c r="C677" s="302">
        <v>0.37979693919627588</v>
      </c>
      <c r="D677" s="302">
        <v>0.11782880639241441</v>
      </c>
      <c r="E677" s="302">
        <f t="shared" si="294"/>
        <v>1.0766858649785827</v>
      </c>
      <c r="F677" s="303"/>
      <c r="G677" s="302">
        <v>0.42809392065085783</v>
      </c>
      <c r="H677" s="302">
        <v>0.22909996890032955</v>
      </c>
      <c r="I677" s="302">
        <v>0.11378983565028185</v>
      </c>
      <c r="J677" s="302">
        <f t="shared" ref="J677:J680" si="297">SUM(G677:I677)</f>
        <v>0.77098372520146929</v>
      </c>
      <c r="K677" s="303"/>
      <c r="L677" s="302">
        <v>0.47706707796314302</v>
      </c>
      <c r="M677" s="302">
        <v>0.26673840707150365</v>
      </c>
      <c r="N677" s="302">
        <v>0.17975190647626615</v>
      </c>
      <c r="O677" s="302">
        <f t="shared" si="296"/>
        <v>0.92355739151091287</v>
      </c>
    </row>
    <row r="678" spans="1:15" s="236" customFormat="1" x14ac:dyDescent="0.2">
      <c r="A678" s="237" t="str">
        <f>name!E$10</f>
        <v>Sales and customer service occupations</v>
      </c>
      <c r="B678" s="302">
        <v>0.52669729574908108</v>
      </c>
      <c r="C678" s="302">
        <v>0.63446320972354853</v>
      </c>
      <c r="D678" s="302">
        <v>0.49927834073675392</v>
      </c>
      <c r="E678" s="302">
        <f t="shared" si="294"/>
        <v>1.6604388462093835</v>
      </c>
      <c r="F678" s="303"/>
      <c r="G678" s="302">
        <v>0.38657442483021204</v>
      </c>
      <c r="H678" s="302">
        <v>0.44111258926830904</v>
      </c>
      <c r="I678" s="302">
        <v>0.30435969796715062</v>
      </c>
      <c r="J678" s="302">
        <f t="shared" si="297"/>
        <v>1.1320467120656716</v>
      </c>
      <c r="K678" s="303"/>
      <c r="L678" s="302">
        <v>0.45978787288714551</v>
      </c>
      <c r="M678" s="302">
        <v>0.63201561354175095</v>
      </c>
      <c r="N678" s="302">
        <v>0.24360666369919962</v>
      </c>
      <c r="O678" s="302">
        <f t="shared" si="296"/>
        <v>1.3354101501280959</v>
      </c>
    </row>
    <row r="679" spans="1:15" s="236" customFormat="1" x14ac:dyDescent="0.2">
      <c r="A679" s="237" t="str">
        <f>name!E$11</f>
        <v>Process, plant and machine operatives</v>
      </c>
      <c r="B679" s="302">
        <v>0.24633239741353816</v>
      </c>
      <c r="C679" s="302">
        <v>0.15267743006394227</v>
      </c>
      <c r="D679" s="302">
        <v>1.1746155340842191E-2</v>
      </c>
      <c r="E679" s="302">
        <f t="shared" si="294"/>
        <v>0.4107559828183226</v>
      </c>
      <c r="F679" s="303"/>
      <c r="G679" s="302">
        <v>0.13067310690534492</v>
      </c>
      <c r="H679" s="302">
        <v>0.14854604589847531</v>
      </c>
      <c r="I679" s="302">
        <v>1.1284117258679581E-2</v>
      </c>
      <c r="J679" s="302">
        <f t="shared" si="297"/>
        <v>0.29050327006249982</v>
      </c>
      <c r="K679" s="303"/>
      <c r="L679" s="302">
        <v>0.1138909757749148</v>
      </c>
      <c r="M679" s="302">
        <v>0.26095680576253683</v>
      </c>
      <c r="N679" s="302">
        <v>1.464876921900117E-2</v>
      </c>
      <c r="O679" s="302">
        <f t="shared" si="296"/>
        <v>0.38949655075645279</v>
      </c>
    </row>
    <row r="680" spans="1:15" s="236" customFormat="1" x14ac:dyDescent="0.2">
      <c r="A680" s="237" t="str">
        <f>name!E$12</f>
        <v>Elementary occupations</v>
      </c>
      <c r="B680" s="302">
        <v>2.0676854195132224</v>
      </c>
      <c r="C680" s="302">
        <v>5.8485055665782681</v>
      </c>
      <c r="D680" s="302">
        <v>4.2054188492431081E-2</v>
      </c>
      <c r="E680" s="302">
        <f t="shared" si="294"/>
        <v>7.9582451745839213</v>
      </c>
      <c r="F680" s="303"/>
      <c r="G680" s="302">
        <v>1.4528068487203885</v>
      </c>
      <c r="H680" s="302">
        <v>3.5424042172238512</v>
      </c>
      <c r="I680" s="302">
        <v>2.5630733915152294E-2</v>
      </c>
      <c r="J680" s="302">
        <f t="shared" si="297"/>
        <v>5.0208417998593919</v>
      </c>
      <c r="K680" s="303"/>
      <c r="L680" s="302">
        <v>1.505282303862439</v>
      </c>
      <c r="M680" s="302">
        <v>4.0324620643893816</v>
      </c>
      <c r="N680" s="302">
        <v>3.4258829536717265E-2</v>
      </c>
      <c r="O680" s="302">
        <f t="shared" si="296"/>
        <v>5.5720031977885371</v>
      </c>
    </row>
    <row r="681" spans="1:15" s="236" customFormat="1" x14ac:dyDescent="0.2">
      <c r="A681" s="237"/>
      <c r="B681" s="302"/>
      <c r="C681" s="302"/>
      <c r="D681" s="302"/>
      <c r="E681" s="302"/>
      <c r="F681" s="303"/>
      <c r="G681" s="302"/>
      <c r="H681" s="302"/>
      <c r="I681" s="302"/>
      <c r="J681" s="302"/>
      <c r="K681" s="303"/>
      <c r="L681" s="302"/>
      <c r="M681" s="302"/>
      <c r="N681" s="302"/>
      <c r="O681" s="302"/>
    </row>
    <row r="682" spans="1:15" s="236" customFormat="1" x14ac:dyDescent="0.2">
      <c r="A682" s="244" t="s">
        <v>32</v>
      </c>
      <c r="B682" s="311">
        <f>SUM(B672:B680)</f>
        <v>8.3359999999994816</v>
      </c>
      <c r="C682" s="311">
        <f t="shared" ref="C682:E682" si="298">SUM(C672:C680)</f>
        <v>7.8820000002175385</v>
      </c>
      <c r="D682" s="311">
        <f t="shared" si="298"/>
        <v>2.6260000000633088</v>
      </c>
      <c r="E682" s="311">
        <f t="shared" si="298"/>
        <v>18.844000000280332</v>
      </c>
      <c r="F682" s="311"/>
      <c r="G682" s="311">
        <f t="shared" ref="G682:J682" si="299">SUM(G672:G680)</f>
        <v>6.3009999999459634</v>
      </c>
      <c r="H682" s="311">
        <f t="shared" si="299"/>
        <v>5.0210000000485335</v>
      </c>
      <c r="I682" s="311">
        <f t="shared" si="299"/>
        <v>2.1569999999630323</v>
      </c>
      <c r="J682" s="311">
        <f t="shared" si="299"/>
        <v>13.478999999957528</v>
      </c>
      <c r="K682" s="311"/>
      <c r="L682" s="311">
        <f t="shared" ref="L682:O682" si="300">SUM(L672:L680)</f>
        <v>6.9839999999861924</v>
      </c>
      <c r="M682" s="311">
        <f t="shared" si="300"/>
        <v>6.0549999999690982</v>
      </c>
      <c r="N682" s="311">
        <f t="shared" si="300"/>
        <v>2.5370000000134132</v>
      </c>
      <c r="O682" s="311">
        <f t="shared" si="300"/>
        <v>15.575999999968701</v>
      </c>
    </row>
    <row r="683" spans="1:15" s="236" customFormat="1" x14ac:dyDescent="0.2">
      <c r="A683" s="237"/>
      <c r="B683" s="237"/>
      <c r="C683" s="237"/>
      <c r="D683" s="237"/>
      <c r="E683" s="237"/>
      <c r="F683" s="237"/>
      <c r="G683" s="237"/>
      <c r="H683" s="237"/>
      <c r="I683" s="237"/>
      <c r="J683" s="237"/>
      <c r="K683" s="237"/>
      <c r="L683" s="237"/>
      <c r="M683" s="237"/>
      <c r="N683" s="240"/>
    </row>
    <row r="684" spans="1:15" s="236" customFormat="1" x14ac:dyDescent="0.2">
      <c r="A684" s="237"/>
      <c r="B684" s="237"/>
      <c r="C684" s="237"/>
      <c r="D684" s="237"/>
      <c r="E684" s="237"/>
      <c r="F684" s="237"/>
      <c r="G684" s="237"/>
      <c r="H684" s="237"/>
      <c r="I684" s="237"/>
      <c r="J684" s="237"/>
      <c r="K684" s="237"/>
      <c r="L684" s="237"/>
      <c r="M684" s="237"/>
      <c r="N684" s="240"/>
      <c r="O684" s="251" t="s">
        <v>35</v>
      </c>
    </row>
    <row r="685" spans="1:15" s="236" customFormat="1" x14ac:dyDescent="0.2">
      <c r="A685" s="242"/>
      <c r="B685" s="242"/>
      <c r="C685" s="242"/>
      <c r="D685" s="242"/>
      <c r="E685" s="242"/>
      <c r="F685" s="242"/>
      <c r="G685" s="242"/>
      <c r="H685" s="242"/>
      <c r="I685" s="242"/>
      <c r="J685" s="242"/>
      <c r="K685" s="242"/>
      <c r="L685" s="242"/>
      <c r="M685" s="242"/>
      <c r="N685" s="242"/>
      <c r="O685" s="242"/>
    </row>
    <row r="686" spans="1:15" s="236" customFormat="1" x14ac:dyDescent="0.2">
      <c r="A686" s="241" t="str">
        <f>name!A43</f>
        <v>Food and beverage services</v>
      </c>
      <c r="B686" s="374">
        <f>$B$6</f>
        <v>2015</v>
      </c>
      <c r="C686" s="374"/>
      <c r="D686" s="374"/>
      <c r="E686" s="374"/>
      <c r="F686" s="263"/>
      <c r="G686" s="374">
        <f>$G$6</f>
        <v>2020</v>
      </c>
      <c r="H686" s="374"/>
      <c r="I686" s="374"/>
      <c r="J686" s="374"/>
      <c r="K686" s="263"/>
      <c r="L686" s="374">
        <f>$L$6</f>
        <v>2035</v>
      </c>
      <c r="M686" s="374"/>
      <c r="N686" s="374"/>
      <c r="O686" s="374"/>
    </row>
    <row r="687" spans="1:15" s="236" customFormat="1" x14ac:dyDescent="0.2">
      <c r="A687" s="254"/>
      <c r="B687" s="268" t="str">
        <f>$B$7</f>
        <v>FT</v>
      </c>
      <c r="C687" s="268" t="str">
        <f>$C$7</f>
        <v>PT</v>
      </c>
      <c r="D687" s="268" t="str">
        <f>$D$7</f>
        <v>SE</v>
      </c>
      <c r="E687" s="268" t="str">
        <f>$E$7</f>
        <v>Total</v>
      </c>
      <c r="F687" s="268"/>
      <c r="G687" s="268" t="str">
        <f>$G$7</f>
        <v>FT</v>
      </c>
      <c r="H687" s="268" t="str">
        <f>$H$7</f>
        <v>PT</v>
      </c>
      <c r="I687" s="268" t="str">
        <f>$I$7</f>
        <v>SE</v>
      </c>
      <c r="J687" s="268" t="str">
        <f>$J$7</f>
        <v>Total</v>
      </c>
      <c r="K687" s="268"/>
      <c r="L687" s="268" t="str">
        <f>$L$7</f>
        <v>FT</v>
      </c>
      <c r="M687" s="268" t="str">
        <f>$M$7</f>
        <v>PT</v>
      </c>
      <c r="N687" s="268" t="str">
        <f>$N$7</f>
        <v>SE</v>
      </c>
      <c r="O687" s="268" t="str">
        <f>$O$7</f>
        <v>Total</v>
      </c>
    </row>
    <row r="688" spans="1:15" s="236" customFormat="1" x14ac:dyDescent="0.2">
      <c r="A688" s="258"/>
      <c r="B688" s="239"/>
      <c r="C688" s="239"/>
      <c r="D688" s="239"/>
      <c r="E688" s="239"/>
      <c r="F688" s="239"/>
      <c r="G688" s="239"/>
      <c r="H688" s="239"/>
      <c r="I688" s="239"/>
      <c r="J688" s="239"/>
      <c r="K688" s="239"/>
      <c r="L688" s="239"/>
      <c r="M688" s="239"/>
      <c r="N688" s="239"/>
      <c r="O688" s="239"/>
    </row>
    <row r="689" spans="1:15" s="236" customFormat="1" x14ac:dyDescent="0.2">
      <c r="A689" s="237" t="str">
        <f>name!E$4</f>
        <v>Managers, directors and senior officials</v>
      </c>
      <c r="B689" s="302">
        <v>5.849463272894579</v>
      </c>
      <c r="C689" s="302">
        <v>0.64098716672237022</v>
      </c>
      <c r="D689" s="302">
        <v>2.9229255491434021</v>
      </c>
      <c r="E689" s="302">
        <f>SUM(B689:D689)</f>
        <v>9.4133759887603503</v>
      </c>
      <c r="F689" s="303"/>
      <c r="G689" s="302">
        <v>9.4155779406051678</v>
      </c>
      <c r="H689" s="302">
        <v>1.2131456309072157</v>
      </c>
      <c r="I689" s="302">
        <v>2.3856702618737229</v>
      </c>
      <c r="J689" s="302">
        <f>SUM(G689:I689)</f>
        <v>13.014393833386105</v>
      </c>
      <c r="K689" s="303"/>
      <c r="L689" s="302">
        <v>13.616317029071926</v>
      </c>
      <c r="M689" s="302">
        <v>2.2589237854325996</v>
      </c>
      <c r="N689" s="302">
        <v>3.1876763244323576</v>
      </c>
      <c r="O689" s="302">
        <f>SUM(L689:N689)</f>
        <v>19.062917138936882</v>
      </c>
    </row>
    <row r="690" spans="1:15" s="236" customFormat="1" x14ac:dyDescent="0.2">
      <c r="A690" s="237" t="str">
        <f>name!E$5</f>
        <v>Professional occupations</v>
      </c>
      <c r="B690" s="302">
        <v>1.4001186898831415</v>
      </c>
      <c r="C690" s="302">
        <v>0.18554015475374031</v>
      </c>
      <c r="D690" s="302">
        <v>0.21299160594757011</v>
      </c>
      <c r="E690" s="302">
        <f t="shared" ref="E690:E697" si="301">SUM(B690:D690)</f>
        <v>1.7986504505844518</v>
      </c>
      <c r="F690" s="303"/>
      <c r="G690" s="302">
        <v>2.7836470309790728</v>
      </c>
      <c r="H690" s="302">
        <v>0.37106591141612455</v>
      </c>
      <c r="I690" s="302">
        <v>0.16435135089390202</v>
      </c>
      <c r="J690" s="302">
        <f t="shared" ref="J690:J692" si="302">SUM(G690:I690)</f>
        <v>3.3190642932890992</v>
      </c>
      <c r="K690" s="303"/>
      <c r="L690" s="302">
        <v>3.5463925684088293</v>
      </c>
      <c r="M690" s="302">
        <v>0.57433113237857836</v>
      </c>
      <c r="N690" s="302">
        <v>0.10598684986192955</v>
      </c>
      <c r="O690" s="302">
        <f t="shared" ref="O690:O697" si="303">SUM(L690:N690)</f>
        <v>4.2267105506493374</v>
      </c>
    </row>
    <row r="691" spans="1:15" s="236" customFormat="1" x14ac:dyDescent="0.2">
      <c r="A691" s="237" t="str">
        <f>name!E$6</f>
        <v>Associate professional occupations</v>
      </c>
      <c r="B691" s="302">
        <v>0.93170001746732545</v>
      </c>
      <c r="C691" s="302">
        <v>0.48126065160022558</v>
      </c>
      <c r="D691" s="302">
        <v>0.1209525418669563</v>
      </c>
      <c r="E691" s="302">
        <f t="shared" si="301"/>
        <v>1.5339132109345075</v>
      </c>
      <c r="F691" s="303"/>
      <c r="G691" s="302">
        <v>1.6874021188585286</v>
      </c>
      <c r="H691" s="302">
        <v>0.6636716497148818</v>
      </c>
      <c r="I691" s="302">
        <v>8.2961405174648256E-2</v>
      </c>
      <c r="J691" s="302">
        <f t="shared" si="302"/>
        <v>2.4340351737480588</v>
      </c>
      <c r="K691" s="303"/>
      <c r="L691" s="302">
        <v>1.9738021185319967</v>
      </c>
      <c r="M691" s="302">
        <v>0.92351298747529142</v>
      </c>
      <c r="N691" s="302">
        <v>6.4524353979540497E-2</v>
      </c>
      <c r="O691" s="302">
        <f t="shared" si="303"/>
        <v>2.9618394599868285</v>
      </c>
    </row>
    <row r="692" spans="1:15" s="236" customFormat="1" x14ac:dyDescent="0.2">
      <c r="A692" s="237" t="str">
        <f>name!E$7</f>
        <v>Administrative and secretarial occupations</v>
      </c>
      <c r="B692" s="302">
        <v>1.1765895801503987</v>
      </c>
      <c r="C692" s="302">
        <v>0.54926545275739869</v>
      </c>
      <c r="D692" s="302">
        <v>5.5839506201102534E-2</v>
      </c>
      <c r="E692" s="302">
        <f t="shared" si="301"/>
        <v>1.7816945391089001</v>
      </c>
      <c r="F692" s="303"/>
      <c r="G692" s="302">
        <v>1.86515411632012</v>
      </c>
      <c r="H692" s="302">
        <v>0.65290217793803185</v>
      </c>
      <c r="I692" s="302">
        <v>3.9316625811986534E-2</v>
      </c>
      <c r="J692" s="302">
        <f t="shared" si="302"/>
        <v>2.5573729200701383</v>
      </c>
      <c r="K692" s="303"/>
      <c r="L692" s="302">
        <v>2.5481553006739213</v>
      </c>
      <c r="M692" s="302">
        <v>0.75573801779756988</v>
      </c>
      <c r="N692" s="302">
        <v>3.8891207300438956E-2</v>
      </c>
      <c r="O692" s="302">
        <f t="shared" si="303"/>
        <v>3.3427845257719304</v>
      </c>
    </row>
    <row r="693" spans="1:15" s="236" customFormat="1" x14ac:dyDescent="0.2">
      <c r="A693" s="237" t="str">
        <f>name!E$8</f>
        <v>Skilled trades occupations</v>
      </c>
      <c r="B693" s="302">
        <v>3.5073856477807821</v>
      </c>
      <c r="C693" s="302">
        <v>2.9577628159420093</v>
      </c>
      <c r="D693" s="302">
        <v>0.80313238374637486</v>
      </c>
      <c r="E693" s="302">
        <f t="shared" si="301"/>
        <v>7.2682808474691658</v>
      </c>
      <c r="F693" s="303"/>
      <c r="G693" s="302">
        <v>4.2030369433217807</v>
      </c>
      <c r="H693" s="302">
        <v>3.121991182314606</v>
      </c>
      <c r="I693" s="302">
        <v>0.68684907489245228</v>
      </c>
      <c r="J693" s="302">
        <f>SUM(G693:I693)</f>
        <v>8.0118772005288381</v>
      </c>
      <c r="K693" s="303"/>
      <c r="L693" s="302">
        <v>3.5411012048917656</v>
      </c>
      <c r="M693" s="302">
        <v>3.334957491584734</v>
      </c>
      <c r="N693" s="302">
        <v>0.85379930167884954</v>
      </c>
      <c r="O693" s="302">
        <f t="shared" si="303"/>
        <v>7.7298579981553495</v>
      </c>
    </row>
    <row r="694" spans="1:15" s="236" customFormat="1" x14ac:dyDescent="0.2">
      <c r="A694" s="237" t="str">
        <f>name!E$9</f>
        <v>Caring, leisure and other service occupations</v>
      </c>
      <c r="B694" s="302">
        <v>1.3108552334515473</v>
      </c>
      <c r="C694" s="302">
        <v>1.7709410522983069</v>
      </c>
      <c r="D694" s="302">
        <v>0.18049679234168875</v>
      </c>
      <c r="E694" s="302">
        <f t="shared" si="301"/>
        <v>3.2622930780915431</v>
      </c>
      <c r="F694" s="303"/>
      <c r="G694" s="302">
        <v>2.0441301139189147</v>
      </c>
      <c r="H694" s="302">
        <v>1.8080262896325485</v>
      </c>
      <c r="I694" s="302">
        <v>0.21214230889983127</v>
      </c>
      <c r="J694" s="302">
        <f t="shared" ref="J694:J697" si="304">SUM(G694:I694)</f>
        <v>4.0642987124512944</v>
      </c>
      <c r="K694" s="303"/>
      <c r="L694" s="302">
        <v>2.5071528762157822</v>
      </c>
      <c r="M694" s="302">
        <v>2.0405410760610851</v>
      </c>
      <c r="N694" s="302">
        <v>0.34919053739003592</v>
      </c>
      <c r="O694" s="302">
        <f t="shared" si="303"/>
        <v>4.8968844896669035</v>
      </c>
    </row>
    <row r="695" spans="1:15" s="236" customFormat="1" x14ac:dyDescent="0.2">
      <c r="A695" s="237" t="str">
        <f>name!E$10</f>
        <v>Sales and customer service occupations</v>
      </c>
      <c r="B695" s="302">
        <v>1.3584652660634902</v>
      </c>
      <c r="C695" s="302">
        <v>3.0875291515744303</v>
      </c>
      <c r="D695" s="302">
        <v>1.0710703982568353</v>
      </c>
      <c r="E695" s="302">
        <f t="shared" si="301"/>
        <v>5.5170648158947557</v>
      </c>
      <c r="F695" s="303"/>
      <c r="G695" s="302">
        <v>1.973830843142226</v>
      </c>
      <c r="H695" s="302">
        <v>3.6206214069911704</v>
      </c>
      <c r="I695" s="302">
        <v>0.61756362512592511</v>
      </c>
      <c r="J695" s="302">
        <f t="shared" si="304"/>
        <v>6.2120158752593211</v>
      </c>
      <c r="K695" s="303"/>
      <c r="L695" s="302">
        <v>2.6608080469281248</v>
      </c>
      <c r="M695" s="302">
        <v>4.8856086614806271</v>
      </c>
      <c r="N695" s="302">
        <v>0.52022386035707668</v>
      </c>
      <c r="O695" s="302">
        <f t="shared" si="303"/>
        <v>8.0666405687658287</v>
      </c>
    </row>
    <row r="696" spans="1:15" s="236" customFormat="1" x14ac:dyDescent="0.2">
      <c r="A696" s="237" t="str">
        <f>name!E$11</f>
        <v>Process, plant and machine operatives</v>
      </c>
      <c r="B696" s="302">
        <v>0.7218204553447205</v>
      </c>
      <c r="C696" s="302">
        <v>1.116538820268909</v>
      </c>
      <c r="D696" s="302">
        <v>4.2137865565259516E-2</v>
      </c>
      <c r="E696" s="302">
        <f t="shared" si="301"/>
        <v>1.8804971411788891</v>
      </c>
      <c r="F696" s="303"/>
      <c r="G696" s="302">
        <v>0.71946044095023531</v>
      </c>
      <c r="H696" s="302">
        <v>1.7607618307395403</v>
      </c>
      <c r="I696" s="302">
        <v>2.6205386040009805E-2</v>
      </c>
      <c r="J696" s="302">
        <f t="shared" si="304"/>
        <v>2.5064276577297853</v>
      </c>
      <c r="K696" s="303"/>
      <c r="L696" s="302">
        <v>0.69819794999971208</v>
      </c>
      <c r="M696" s="302">
        <v>2.9747107317151333</v>
      </c>
      <c r="N696" s="302">
        <v>3.5306856654641026E-2</v>
      </c>
      <c r="O696" s="302">
        <f t="shared" si="303"/>
        <v>3.7082155383694864</v>
      </c>
    </row>
    <row r="697" spans="1:15" s="236" customFormat="1" x14ac:dyDescent="0.2">
      <c r="A697" s="237" t="str">
        <f>name!E$12</f>
        <v>Elementary occupations</v>
      </c>
      <c r="B697" s="302">
        <v>5.058601836963776</v>
      </c>
      <c r="C697" s="302">
        <v>29.485174735144088</v>
      </c>
      <c r="D697" s="302">
        <v>0.11245335705443972</v>
      </c>
      <c r="E697" s="302">
        <f t="shared" si="301"/>
        <v>34.656229929162308</v>
      </c>
      <c r="F697" s="303"/>
      <c r="G697" s="302">
        <v>7.1347604516499592</v>
      </c>
      <c r="H697" s="302">
        <v>30.103813920675094</v>
      </c>
      <c r="I697" s="302">
        <v>5.4939961224488985E-2</v>
      </c>
      <c r="J697" s="302">
        <f t="shared" si="304"/>
        <v>37.293514333549545</v>
      </c>
      <c r="K697" s="303"/>
      <c r="L697" s="302">
        <v>8.1470729052129602</v>
      </c>
      <c r="M697" s="302">
        <v>33.34867611585203</v>
      </c>
      <c r="N697" s="302">
        <v>7.9400708381921731E-2</v>
      </c>
      <c r="O697" s="302">
        <f t="shared" si="303"/>
        <v>41.575149729446913</v>
      </c>
    </row>
    <row r="698" spans="1:15" s="236" customFormat="1" x14ac:dyDescent="0.2">
      <c r="A698" s="237"/>
      <c r="B698" s="302"/>
      <c r="C698" s="302"/>
      <c r="D698" s="302"/>
      <c r="E698" s="302"/>
      <c r="F698" s="303"/>
      <c r="G698" s="302"/>
      <c r="H698" s="302"/>
      <c r="I698" s="302"/>
      <c r="J698" s="302"/>
      <c r="K698" s="303"/>
      <c r="L698" s="302"/>
      <c r="M698" s="302"/>
      <c r="N698" s="302"/>
      <c r="O698" s="302"/>
    </row>
    <row r="699" spans="1:15" s="236" customFormat="1" x14ac:dyDescent="0.2">
      <c r="A699" s="244" t="s">
        <v>32</v>
      </c>
      <c r="B699" s="311">
        <f>SUM(B689:B697)</f>
        <v>21.314999999999763</v>
      </c>
      <c r="C699" s="311">
        <f t="shared" ref="C699:E699" si="305">SUM(C689:C697)</f>
        <v>40.275000001061478</v>
      </c>
      <c r="D699" s="311">
        <f t="shared" si="305"/>
        <v>5.5220000001236293</v>
      </c>
      <c r="E699" s="311">
        <f t="shared" si="305"/>
        <v>67.112000001184867</v>
      </c>
      <c r="F699" s="311"/>
      <c r="G699" s="311">
        <f t="shared" ref="G699:J699" si="306">SUM(G689:G697)</f>
        <v>31.826999999746008</v>
      </c>
      <c r="H699" s="311">
        <f t="shared" si="306"/>
        <v>43.316000000329211</v>
      </c>
      <c r="I699" s="311">
        <f t="shared" si="306"/>
        <v>4.2699999999369673</v>
      </c>
      <c r="J699" s="311">
        <f t="shared" si="306"/>
        <v>79.413000000012175</v>
      </c>
      <c r="K699" s="311"/>
      <c r="L699" s="311">
        <f t="shared" ref="L699:O699" si="307">SUM(L689:L697)</f>
        <v>39.238999999935025</v>
      </c>
      <c r="M699" s="311">
        <f t="shared" si="307"/>
        <v>51.096999999777651</v>
      </c>
      <c r="N699" s="311">
        <f t="shared" si="307"/>
        <v>5.2350000000367913</v>
      </c>
      <c r="O699" s="311">
        <f t="shared" si="307"/>
        <v>95.570999999749461</v>
      </c>
    </row>
    <row r="700" spans="1:15" s="236" customFormat="1" x14ac:dyDescent="0.2">
      <c r="A700" s="237"/>
      <c r="B700" s="237"/>
      <c r="C700" s="237"/>
      <c r="D700" s="237"/>
      <c r="E700" s="237"/>
      <c r="F700" s="237"/>
      <c r="G700" s="237"/>
      <c r="H700" s="237"/>
      <c r="I700" s="237"/>
      <c r="J700" s="237"/>
      <c r="K700" s="237"/>
      <c r="L700" s="237"/>
      <c r="M700" s="237"/>
      <c r="N700" s="240"/>
    </row>
    <row r="701" spans="1:15" s="236" customFormat="1" x14ac:dyDescent="0.2">
      <c r="A701" s="237"/>
      <c r="B701" s="237"/>
      <c r="C701" s="237"/>
      <c r="D701" s="237"/>
      <c r="E701" s="237"/>
      <c r="F701" s="237"/>
      <c r="G701" s="237"/>
      <c r="H701" s="237"/>
      <c r="I701" s="237"/>
      <c r="J701" s="237"/>
      <c r="K701" s="237"/>
      <c r="L701" s="237"/>
      <c r="M701" s="237"/>
      <c r="N701" s="240"/>
      <c r="O701" s="251" t="s">
        <v>35</v>
      </c>
    </row>
    <row r="702" spans="1:15" s="236" customFormat="1" x14ac:dyDescent="0.2">
      <c r="A702" s="242"/>
      <c r="B702" s="242"/>
      <c r="C702" s="242"/>
      <c r="D702" s="242"/>
      <c r="E702" s="242"/>
      <c r="F702" s="242"/>
      <c r="G702" s="242"/>
      <c r="H702" s="242"/>
      <c r="I702" s="242"/>
      <c r="J702" s="242"/>
      <c r="K702" s="242"/>
      <c r="L702" s="242"/>
      <c r="M702" s="242"/>
      <c r="N702" s="242"/>
      <c r="O702" s="242"/>
    </row>
    <row r="703" spans="1:15" s="236" customFormat="1" x14ac:dyDescent="0.2">
      <c r="A703" s="241" t="str">
        <f>name!A44</f>
        <v>Publishing activities</v>
      </c>
      <c r="B703" s="374">
        <f>$B$6</f>
        <v>2015</v>
      </c>
      <c r="C703" s="374"/>
      <c r="D703" s="374"/>
      <c r="E703" s="374"/>
      <c r="F703" s="263"/>
      <c r="G703" s="374">
        <f>$G$6</f>
        <v>2020</v>
      </c>
      <c r="H703" s="374"/>
      <c r="I703" s="374"/>
      <c r="J703" s="374"/>
      <c r="K703" s="263"/>
      <c r="L703" s="374">
        <f>$L$6</f>
        <v>2035</v>
      </c>
      <c r="M703" s="374"/>
      <c r="N703" s="374"/>
      <c r="O703" s="374"/>
    </row>
    <row r="704" spans="1:15" s="236" customFormat="1" x14ac:dyDescent="0.2">
      <c r="A704" s="254"/>
      <c r="B704" s="268" t="str">
        <f>$B$7</f>
        <v>FT</v>
      </c>
      <c r="C704" s="268" t="str">
        <f>$C$7</f>
        <v>PT</v>
      </c>
      <c r="D704" s="268" t="str">
        <f>$D$7</f>
        <v>SE</v>
      </c>
      <c r="E704" s="268" t="str">
        <f>$E$7</f>
        <v>Total</v>
      </c>
      <c r="F704" s="268"/>
      <c r="G704" s="268" t="str">
        <f>$G$7</f>
        <v>FT</v>
      </c>
      <c r="H704" s="268" t="str">
        <f>$H$7</f>
        <v>PT</v>
      </c>
      <c r="I704" s="268" t="str">
        <f>$I$7</f>
        <v>SE</v>
      </c>
      <c r="J704" s="268" t="str">
        <f>$J$7</f>
        <v>Total</v>
      </c>
      <c r="K704" s="268"/>
      <c r="L704" s="268" t="str">
        <f>$L$7</f>
        <v>FT</v>
      </c>
      <c r="M704" s="268" t="str">
        <f>$M$7</f>
        <v>PT</v>
      </c>
      <c r="N704" s="268" t="str">
        <f>$N$7</f>
        <v>SE</v>
      </c>
      <c r="O704" s="268" t="str">
        <f>$O$7</f>
        <v>Total</v>
      </c>
    </row>
    <row r="705" spans="1:15" s="236" customFormat="1" x14ac:dyDescent="0.2">
      <c r="A705" s="258"/>
      <c r="B705" s="239"/>
      <c r="C705" s="239"/>
      <c r="D705" s="239"/>
      <c r="E705" s="239"/>
      <c r="F705" s="239"/>
      <c r="G705" s="239"/>
      <c r="H705" s="239"/>
      <c r="I705" s="239"/>
      <c r="J705" s="239"/>
      <c r="K705" s="239"/>
      <c r="L705" s="239"/>
      <c r="M705" s="239"/>
      <c r="N705" s="239"/>
      <c r="O705" s="239"/>
    </row>
    <row r="706" spans="1:15" s="236" customFormat="1" x14ac:dyDescent="0.2">
      <c r="A706" s="237" t="str">
        <f>name!E$4</f>
        <v>Managers, directors and senior officials</v>
      </c>
      <c r="B706" s="302">
        <v>0.28997976664201802</v>
      </c>
      <c r="C706" s="302">
        <v>5.3224486278163195E-2</v>
      </c>
      <c r="D706" s="302">
        <v>0.21239670361695898</v>
      </c>
      <c r="E706" s="302">
        <f>SUM(B706:D706)</f>
        <v>0.55560095653714014</v>
      </c>
      <c r="F706" s="303"/>
      <c r="G706" s="302">
        <v>0.16551624311834173</v>
      </c>
      <c r="H706" s="302">
        <v>9.531091633401519E-3</v>
      </c>
      <c r="I706" s="302">
        <v>0.22480896051859861</v>
      </c>
      <c r="J706" s="302">
        <f>SUM(G706:I706)</f>
        <v>0.39985629527034183</v>
      </c>
      <c r="K706" s="303"/>
      <c r="L706" s="302">
        <v>0.16971666019346157</v>
      </c>
      <c r="M706" s="302">
        <v>1.2444428634117884E-2</v>
      </c>
      <c r="N706" s="302">
        <v>0.20088527993506039</v>
      </c>
      <c r="O706" s="302">
        <f>SUM(L706:N706)</f>
        <v>0.38304636876263987</v>
      </c>
    </row>
    <row r="707" spans="1:15" s="236" customFormat="1" x14ac:dyDescent="0.2">
      <c r="A707" s="237" t="str">
        <f>name!E$5</f>
        <v>Professional occupations</v>
      </c>
      <c r="B707" s="302">
        <v>0.68316216467806323</v>
      </c>
      <c r="C707" s="302">
        <v>5.7195059653412386E-2</v>
      </c>
      <c r="D707" s="302">
        <v>0.36167276470804732</v>
      </c>
      <c r="E707" s="302">
        <f t="shared" ref="E707:E714" si="308">SUM(B707:D707)</f>
        <v>1.1020299890395231</v>
      </c>
      <c r="F707" s="303"/>
      <c r="G707" s="302">
        <v>0.45497727696054607</v>
      </c>
      <c r="H707" s="302">
        <v>1.0596632946743578E-2</v>
      </c>
      <c r="I707" s="302">
        <v>0.23631875211153397</v>
      </c>
      <c r="J707" s="302">
        <f t="shared" ref="J707:J709" si="309">SUM(G707:I707)</f>
        <v>0.70189266201882361</v>
      </c>
      <c r="K707" s="303"/>
      <c r="L707" s="302">
        <v>0.51138046628590783</v>
      </c>
      <c r="M707" s="302">
        <v>1.5864806888899578E-2</v>
      </c>
      <c r="N707" s="302">
        <v>0.15222629043928332</v>
      </c>
      <c r="O707" s="302">
        <f t="shared" ref="O707:O714" si="310">SUM(L707:N707)</f>
        <v>0.67947156361409067</v>
      </c>
    </row>
    <row r="708" spans="1:15" s="236" customFormat="1" x14ac:dyDescent="0.2">
      <c r="A708" s="237" t="str">
        <f>name!E$6</f>
        <v>Associate professional occupations</v>
      </c>
      <c r="B708" s="302">
        <v>0.43802638542414934</v>
      </c>
      <c r="C708" s="302">
        <v>9.9775638278472328E-2</v>
      </c>
      <c r="D708" s="302">
        <v>0.5373043756517466</v>
      </c>
      <c r="E708" s="302">
        <f t="shared" si="308"/>
        <v>1.0751063993543681</v>
      </c>
      <c r="F708" s="303"/>
      <c r="G708" s="302">
        <v>0.24489387021607695</v>
      </c>
      <c r="H708" s="302">
        <v>1.6921903330520859E-2</v>
      </c>
      <c r="I708" s="302">
        <v>0.75753731239386812</v>
      </c>
      <c r="J708" s="302">
        <f t="shared" si="309"/>
        <v>1.019353085940466</v>
      </c>
      <c r="K708" s="303"/>
      <c r="L708" s="302">
        <v>0.2414049217862482</v>
      </c>
      <c r="M708" s="302">
        <v>1.5536080420871368E-2</v>
      </c>
      <c r="N708" s="302">
        <v>0.63901182923411637</v>
      </c>
      <c r="O708" s="302">
        <f t="shared" si="310"/>
        <v>0.89595283144123594</v>
      </c>
    </row>
    <row r="709" spans="1:15" s="236" customFormat="1" x14ac:dyDescent="0.2">
      <c r="A709" s="237" t="str">
        <f>name!E$7</f>
        <v>Administrative and secretarial occupations</v>
      </c>
      <c r="B709" s="302">
        <v>0.31431423680395187</v>
      </c>
      <c r="C709" s="302">
        <v>0.14445412714965869</v>
      </c>
      <c r="D709" s="302">
        <v>5.3993832725208871E-2</v>
      </c>
      <c r="E709" s="302">
        <f t="shared" si="308"/>
        <v>0.51276219667881939</v>
      </c>
      <c r="F709" s="303"/>
      <c r="G709" s="302">
        <v>0.1075038146743276</v>
      </c>
      <c r="H709" s="302">
        <v>1.4378543579491043E-2</v>
      </c>
      <c r="I709" s="302">
        <v>6.9044515226434552E-2</v>
      </c>
      <c r="J709" s="302">
        <f t="shared" si="309"/>
        <v>0.1909268734802532</v>
      </c>
      <c r="K709" s="303"/>
      <c r="L709" s="302">
        <v>9.1796215466221451E-2</v>
      </c>
      <c r="M709" s="302">
        <v>1.2626311960922927E-2</v>
      </c>
      <c r="N709" s="302">
        <v>3.7174809717361521E-2</v>
      </c>
      <c r="O709" s="302">
        <f t="shared" si="310"/>
        <v>0.1415973371445059</v>
      </c>
    </row>
    <row r="710" spans="1:15" s="236" customFormat="1" x14ac:dyDescent="0.2">
      <c r="A710" s="237" t="str">
        <f>name!E$8</f>
        <v>Skilled trades occupations</v>
      </c>
      <c r="B710" s="302">
        <v>0.22831660899845382</v>
      </c>
      <c r="C710" s="302">
        <v>6.4090783437002474E-2</v>
      </c>
      <c r="D710" s="302">
        <v>0.1702060668564217</v>
      </c>
      <c r="E710" s="302">
        <f t="shared" si="308"/>
        <v>0.46261345929187803</v>
      </c>
      <c r="F710" s="303"/>
      <c r="G710" s="302">
        <v>0.10291285261683747</v>
      </c>
      <c r="H710" s="302">
        <v>5.8923014154544382E-3</v>
      </c>
      <c r="I710" s="302">
        <v>8.1948242925764261E-2</v>
      </c>
      <c r="J710" s="302">
        <f>SUM(G710:I710)</f>
        <v>0.19075339695805615</v>
      </c>
      <c r="K710" s="303"/>
      <c r="L710" s="302">
        <v>6.460972245178255E-2</v>
      </c>
      <c r="M710" s="302">
        <v>5.8779514963305463E-3</v>
      </c>
      <c r="N710" s="302">
        <v>0.11968158941144361</v>
      </c>
      <c r="O710" s="302">
        <f t="shared" si="310"/>
        <v>0.1901692633595567</v>
      </c>
    </row>
    <row r="711" spans="1:15" s="236" customFormat="1" x14ac:dyDescent="0.2">
      <c r="A711" s="237" t="str">
        <f>name!E$9</f>
        <v>Caring, leisure and other service occupations</v>
      </c>
      <c r="B711" s="302">
        <v>3.0417767726792364E-2</v>
      </c>
      <c r="C711" s="302">
        <v>1.3775182888564998E-2</v>
      </c>
      <c r="D711" s="302">
        <v>2.613386282314829E-2</v>
      </c>
      <c r="E711" s="302">
        <f t="shared" si="308"/>
        <v>7.032681343850565E-2</v>
      </c>
      <c r="F711" s="303"/>
      <c r="G711" s="302">
        <v>1.5432506297143685E-2</v>
      </c>
      <c r="H711" s="302">
        <v>1.7191915824551422E-3</v>
      </c>
      <c r="I711" s="302">
        <v>4.2411410294871249E-2</v>
      </c>
      <c r="J711" s="302">
        <f t="shared" ref="J711:J714" si="311">SUM(G711:I711)</f>
        <v>5.9563108174470081E-2</v>
      </c>
      <c r="K711" s="303"/>
      <c r="L711" s="302">
        <v>2.4775231065636651E-2</v>
      </c>
      <c r="M711" s="302">
        <v>1.7620928582295647E-3</v>
      </c>
      <c r="N711" s="302">
        <v>3.4740821186055683E-2</v>
      </c>
      <c r="O711" s="302">
        <f t="shared" si="310"/>
        <v>6.1278145109921897E-2</v>
      </c>
    </row>
    <row r="712" spans="1:15" s="236" customFormat="1" x14ac:dyDescent="0.2">
      <c r="A712" s="237" t="str">
        <f>name!E$10</f>
        <v>Sales and customer service occupations</v>
      </c>
      <c r="B712" s="302">
        <v>0.1159773390544367</v>
      </c>
      <c r="C712" s="302">
        <v>5.6441437419560356E-2</v>
      </c>
      <c r="D712" s="302">
        <v>4.3365625626150386E-2</v>
      </c>
      <c r="E712" s="302">
        <f t="shared" si="308"/>
        <v>0.21578440210014743</v>
      </c>
      <c r="F712" s="303"/>
      <c r="G712" s="302">
        <v>3.7669632348905809E-2</v>
      </c>
      <c r="H712" s="302">
        <v>6.0577979653029567E-3</v>
      </c>
      <c r="I712" s="302">
        <v>3.8997190116220229E-2</v>
      </c>
      <c r="J712" s="302">
        <f t="shared" si="311"/>
        <v>8.2724620430428997E-2</v>
      </c>
      <c r="K712" s="303"/>
      <c r="L712" s="302">
        <v>4.2187530652485171E-2</v>
      </c>
      <c r="M712" s="302">
        <v>9.4472022046041965E-3</v>
      </c>
      <c r="N712" s="302">
        <v>2.7584830474621902E-2</v>
      </c>
      <c r="O712" s="302">
        <f t="shared" si="310"/>
        <v>7.9219563331711262E-2</v>
      </c>
    </row>
    <row r="713" spans="1:15" s="236" customFormat="1" x14ac:dyDescent="0.2">
      <c r="A713" s="237" t="str">
        <f>name!E$11</f>
        <v>Process, plant and machine operatives</v>
      </c>
      <c r="B713" s="302">
        <v>8.6075345108430124E-2</v>
      </c>
      <c r="C713" s="302">
        <v>8.0711979228697869E-2</v>
      </c>
      <c r="D713" s="302">
        <v>5.603635981606462E-2</v>
      </c>
      <c r="E713" s="302">
        <f t="shared" si="308"/>
        <v>0.22282368415319262</v>
      </c>
      <c r="F713" s="303"/>
      <c r="G713" s="302">
        <v>3.3400843723394288E-2</v>
      </c>
      <c r="H713" s="302">
        <v>1.1686257222577627E-2</v>
      </c>
      <c r="I713" s="302">
        <v>6.5058679880968417E-2</v>
      </c>
      <c r="J713" s="302">
        <f t="shared" si="311"/>
        <v>0.11014578082694033</v>
      </c>
      <c r="K713" s="303"/>
      <c r="L713" s="302">
        <v>3.1512284145490101E-2</v>
      </c>
      <c r="M713" s="302">
        <v>1.5274020325666698E-2</v>
      </c>
      <c r="N713" s="302">
        <v>0.1058610062767702</v>
      </c>
      <c r="O713" s="302">
        <f t="shared" si="310"/>
        <v>0.15264731074792698</v>
      </c>
    </row>
    <row r="714" spans="1:15" s="236" customFormat="1" x14ac:dyDescent="0.2">
      <c r="A714" s="237" t="str">
        <f>name!E$12</f>
        <v>Elementary occupations</v>
      </c>
      <c r="B714" s="302">
        <v>0.16673038553826511</v>
      </c>
      <c r="C714" s="302">
        <v>0.15833130567098758</v>
      </c>
      <c r="D714" s="302">
        <v>0.12889040818470646</v>
      </c>
      <c r="E714" s="302">
        <f t="shared" si="308"/>
        <v>0.45395209939395909</v>
      </c>
      <c r="F714" s="303"/>
      <c r="G714" s="302">
        <v>5.5692960035208086E-2</v>
      </c>
      <c r="H714" s="302">
        <v>1.5216280324180662E-2</v>
      </c>
      <c r="I714" s="302">
        <v>0.18487493652310855</v>
      </c>
      <c r="J714" s="302">
        <f t="shared" si="311"/>
        <v>0.25578417688249733</v>
      </c>
      <c r="K714" s="303"/>
      <c r="L714" s="302">
        <v>4.0616967965457162E-2</v>
      </c>
      <c r="M714" s="302">
        <v>1.2167105210064002E-2</v>
      </c>
      <c r="N714" s="302">
        <v>0.19883354334041722</v>
      </c>
      <c r="O714" s="302">
        <f t="shared" si="310"/>
        <v>0.25161761651593839</v>
      </c>
    </row>
    <row r="715" spans="1:15" s="236" customFormat="1" x14ac:dyDescent="0.2">
      <c r="A715" s="237"/>
      <c r="B715" s="302"/>
      <c r="C715" s="302"/>
      <c r="D715" s="302"/>
      <c r="E715" s="302"/>
      <c r="F715" s="303"/>
      <c r="G715" s="302"/>
      <c r="H715" s="302"/>
      <c r="I715" s="302"/>
      <c r="J715" s="302"/>
      <c r="K715" s="303"/>
      <c r="L715" s="302"/>
      <c r="M715" s="302"/>
      <c r="N715" s="302"/>
      <c r="O715" s="302"/>
    </row>
    <row r="716" spans="1:15" s="236" customFormat="1" x14ac:dyDescent="0.2">
      <c r="A716" s="244" t="s">
        <v>32</v>
      </c>
      <c r="B716" s="311">
        <f>SUM(B706:B714)</f>
        <v>2.3529999999745601</v>
      </c>
      <c r="C716" s="311">
        <f t="shared" ref="C716:E716" si="312">SUM(C706:C714)</f>
        <v>0.72800000000451992</v>
      </c>
      <c r="D716" s="311">
        <f t="shared" si="312"/>
        <v>1.5900000000084531</v>
      </c>
      <c r="E716" s="311">
        <f t="shared" si="312"/>
        <v>4.6709999999875338</v>
      </c>
      <c r="F716" s="311"/>
      <c r="G716" s="311">
        <f t="shared" ref="G716:J716" si="313">SUM(G706:G714)</f>
        <v>1.2179999999907818</v>
      </c>
      <c r="H716" s="311">
        <f t="shared" si="313"/>
        <v>9.2000000000127841E-2</v>
      </c>
      <c r="I716" s="311">
        <f t="shared" si="313"/>
        <v>1.7009999999913681</v>
      </c>
      <c r="J716" s="311">
        <f t="shared" si="313"/>
        <v>3.0109999999822774</v>
      </c>
      <c r="K716" s="311"/>
      <c r="L716" s="311">
        <f t="shared" ref="L716:O716" si="314">SUM(L706:L714)</f>
        <v>1.2180000000126905</v>
      </c>
      <c r="M716" s="311">
        <f t="shared" si="314"/>
        <v>0.10099999999970677</v>
      </c>
      <c r="N716" s="311">
        <f t="shared" si="314"/>
        <v>1.5160000000151301</v>
      </c>
      <c r="O716" s="311">
        <f t="shared" si="314"/>
        <v>2.8350000000275277</v>
      </c>
    </row>
    <row r="717" spans="1:15" s="236" customFormat="1" x14ac:dyDescent="0.2">
      <c r="A717" s="237"/>
      <c r="B717" s="237"/>
      <c r="C717" s="237"/>
      <c r="D717" s="237"/>
      <c r="E717" s="237"/>
      <c r="F717" s="237"/>
      <c r="G717" s="237"/>
      <c r="H717" s="237"/>
      <c r="I717" s="237"/>
      <c r="J717" s="237"/>
      <c r="K717" s="237"/>
      <c r="L717" s="237"/>
      <c r="M717" s="237"/>
      <c r="N717" s="240"/>
    </row>
    <row r="718" spans="1:15" s="236" customFormat="1" x14ac:dyDescent="0.2">
      <c r="A718" s="237"/>
      <c r="B718" s="237"/>
      <c r="C718" s="237"/>
      <c r="D718" s="237"/>
      <c r="E718" s="237"/>
      <c r="F718" s="237"/>
      <c r="G718" s="237"/>
      <c r="H718" s="237"/>
      <c r="I718" s="237"/>
      <c r="J718" s="237"/>
      <c r="K718" s="237"/>
      <c r="L718" s="237"/>
      <c r="M718" s="237"/>
      <c r="N718" s="240"/>
      <c r="O718" s="251" t="s">
        <v>35</v>
      </c>
    </row>
    <row r="719" spans="1:15" s="236" customFormat="1" x14ac:dyDescent="0.2">
      <c r="A719" s="242"/>
      <c r="B719" s="242"/>
      <c r="C719" s="242"/>
      <c r="D719" s="242"/>
      <c r="E719" s="242"/>
      <c r="F719" s="242"/>
      <c r="G719" s="242"/>
      <c r="H719" s="242"/>
      <c r="I719" s="242"/>
      <c r="J719" s="242"/>
      <c r="K719" s="242"/>
      <c r="L719" s="242"/>
      <c r="M719" s="242"/>
      <c r="N719" s="242"/>
      <c r="O719" s="242"/>
    </row>
    <row r="720" spans="1:15" s="236" customFormat="1" x14ac:dyDescent="0.2">
      <c r="A720" s="241" t="str">
        <f>name!A45</f>
        <v>Film and music</v>
      </c>
      <c r="B720" s="374">
        <f>$B$6</f>
        <v>2015</v>
      </c>
      <c r="C720" s="374"/>
      <c r="D720" s="374"/>
      <c r="E720" s="374"/>
      <c r="F720" s="263"/>
      <c r="G720" s="374">
        <f>$G$6</f>
        <v>2020</v>
      </c>
      <c r="H720" s="374"/>
      <c r="I720" s="374"/>
      <c r="J720" s="374"/>
      <c r="K720" s="263"/>
      <c r="L720" s="374">
        <f>$L$6</f>
        <v>2035</v>
      </c>
      <c r="M720" s="374"/>
      <c r="N720" s="374"/>
      <c r="O720" s="374"/>
    </row>
    <row r="721" spans="1:15" s="236" customFormat="1" x14ac:dyDescent="0.2">
      <c r="A721" s="254"/>
      <c r="B721" s="268" t="str">
        <f>$B$7</f>
        <v>FT</v>
      </c>
      <c r="C721" s="268" t="str">
        <f>$C$7</f>
        <v>PT</v>
      </c>
      <c r="D721" s="268" t="str">
        <f>$D$7</f>
        <v>SE</v>
      </c>
      <c r="E721" s="268" t="str">
        <f>$E$7</f>
        <v>Total</v>
      </c>
      <c r="F721" s="268"/>
      <c r="G721" s="268" t="str">
        <f>$G$7</f>
        <v>FT</v>
      </c>
      <c r="H721" s="268" t="str">
        <f>$H$7</f>
        <v>PT</v>
      </c>
      <c r="I721" s="268" t="str">
        <f>$I$7</f>
        <v>SE</v>
      </c>
      <c r="J721" s="268" t="str">
        <f>$J$7</f>
        <v>Total</v>
      </c>
      <c r="K721" s="268"/>
      <c r="L721" s="268" t="str">
        <f>$L$7</f>
        <v>FT</v>
      </c>
      <c r="M721" s="268" t="str">
        <f>$M$7</f>
        <v>PT</v>
      </c>
      <c r="N721" s="268" t="str">
        <f>$N$7</f>
        <v>SE</v>
      </c>
      <c r="O721" s="268" t="str">
        <f>$O$7</f>
        <v>Total</v>
      </c>
    </row>
    <row r="722" spans="1:15" s="236" customFormat="1" x14ac:dyDescent="0.2">
      <c r="A722" s="258"/>
      <c r="B722" s="239"/>
      <c r="C722" s="239"/>
      <c r="D722" s="239"/>
      <c r="E722" s="239"/>
      <c r="F722" s="239"/>
      <c r="G722" s="239"/>
      <c r="H722" s="239"/>
      <c r="I722" s="239"/>
      <c r="J722" s="239"/>
      <c r="K722" s="239"/>
      <c r="L722" s="239"/>
      <c r="M722" s="239"/>
      <c r="N722" s="239"/>
      <c r="O722" s="239"/>
    </row>
    <row r="723" spans="1:15" s="236" customFormat="1" x14ac:dyDescent="0.2">
      <c r="A723" s="237" t="str">
        <f>name!E$4</f>
        <v>Managers, directors and senior officials</v>
      </c>
      <c r="B723" s="302">
        <v>7.4663961468024009E-2</v>
      </c>
      <c r="C723" s="302">
        <v>1.0809640676742071E-2</v>
      </c>
      <c r="D723" s="302">
        <v>7.6131209007610182E-2</v>
      </c>
      <c r="E723" s="302">
        <f>SUM(B723:D723)</f>
        <v>0.16160481115237627</v>
      </c>
      <c r="F723" s="303"/>
      <c r="G723" s="302">
        <v>0.16122800471204379</v>
      </c>
      <c r="H723" s="302">
        <v>2.8916386324295985E-2</v>
      </c>
      <c r="I723" s="302">
        <v>0.15263940364841003</v>
      </c>
      <c r="J723" s="302">
        <f>SUM(G723:I723)</f>
        <v>0.34278379468474984</v>
      </c>
      <c r="K723" s="303"/>
      <c r="L723" s="302">
        <v>0.1755047476480105</v>
      </c>
      <c r="M723" s="302">
        <v>3.7318984131566389E-2</v>
      </c>
      <c r="N723" s="302">
        <v>0.15909390677411148</v>
      </c>
      <c r="O723" s="302">
        <f>SUM(L723:N723)</f>
        <v>0.37191763855368837</v>
      </c>
    </row>
    <row r="724" spans="1:15" s="236" customFormat="1" x14ac:dyDescent="0.2">
      <c r="A724" s="237" t="str">
        <f>name!E$5</f>
        <v>Professional occupations</v>
      </c>
      <c r="B724" s="302">
        <v>0.16204256582284149</v>
      </c>
      <c r="C724" s="302">
        <v>2.935828932986936E-2</v>
      </c>
      <c r="D724" s="302">
        <v>0.14522695170029207</v>
      </c>
      <c r="E724" s="302">
        <f t="shared" ref="E724:E731" si="315">SUM(B724:D724)</f>
        <v>0.33662780685300292</v>
      </c>
      <c r="F724" s="303"/>
      <c r="G724" s="302">
        <v>0.33072807960266914</v>
      </c>
      <c r="H724" s="302">
        <v>5.9110281921100412E-2</v>
      </c>
      <c r="I724" s="302">
        <v>0.25561530009990369</v>
      </c>
      <c r="J724" s="302">
        <f t="shared" ref="J724:J726" si="316">SUM(G724:I724)</f>
        <v>0.64545366162367324</v>
      </c>
      <c r="K724" s="303"/>
      <c r="L724" s="302">
        <v>0.40277800882949705</v>
      </c>
      <c r="M724" s="302">
        <v>7.1240622737988327E-2</v>
      </c>
      <c r="N724" s="302">
        <v>0.20252662467188748</v>
      </c>
      <c r="O724" s="302">
        <f t="shared" ref="O724:O731" si="317">SUM(L724:N724)</f>
        <v>0.67654525623937278</v>
      </c>
    </row>
    <row r="725" spans="1:15" s="236" customFormat="1" x14ac:dyDescent="0.2">
      <c r="A725" s="237" t="str">
        <f>name!E$6</f>
        <v>Associate professional occupations</v>
      </c>
      <c r="B725" s="302">
        <v>0.16300385631514902</v>
      </c>
      <c r="C725" s="302">
        <v>4.5247953791961365E-2</v>
      </c>
      <c r="D725" s="302">
        <v>0.44150521746360555</v>
      </c>
      <c r="E725" s="302">
        <f t="shared" si="315"/>
        <v>0.64975702757071596</v>
      </c>
      <c r="F725" s="303"/>
      <c r="G725" s="302">
        <v>0.35099556558160633</v>
      </c>
      <c r="H725" s="302">
        <v>7.8849632473396131E-2</v>
      </c>
      <c r="I725" s="302">
        <v>0.86178943822820697</v>
      </c>
      <c r="J725" s="302">
        <f t="shared" si="316"/>
        <v>1.2916346362832094</v>
      </c>
      <c r="K725" s="303"/>
      <c r="L725" s="302">
        <v>0.34408492501736132</v>
      </c>
      <c r="M725" s="302">
        <v>8.5513599146488206E-2</v>
      </c>
      <c r="N725" s="302">
        <v>0.81321387179400839</v>
      </c>
      <c r="O725" s="302">
        <f t="shared" si="317"/>
        <v>1.2428123959578579</v>
      </c>
    </row>
    <row r="726" spans="1:15" s="236" customFormat="1" x14ac:dyDescent="0.2">
      <c r="A726" s="237" t="str">
        <f>name!E$7</f>
        <v>Administrative and secretarial occupations</v>
      </c>
      <c r="B726" s="302">
        <v>0.26448924999358092</v>
      </c>
      <c r="C726" s="302">
        <v>0.14254298798397891</v>
      </c>
      <c r="D726" s="302">
        <v>1.9853470734735111E-2</v>
      </c>
      <c r="E726" s="302">
        <f t="shared" si="315"/>
        <v>0.42688570871229492</v>
      </c>
      <c r="F726" s="303"/>
      <c r="G726" s="302">
        <v>0.44029528457677131</v>
      </c>
      <c r="H726" s="302">
        <v>0.20720952083954727</v>
      </c>
      <c r="I726" s="302">
        <v>4.1589713771168928E-2</v>
      </c>
      <c r="J726" s="302">
        <f t="shared" si="316"/>
        <v>0.68909451918748754</v>
      </c>
      <c r="K726" s="303"/>
      <c r="L726" s="302">
        <v>0.3755894607406649</v>
      </c>
      <c r="M726" s="302">
        <v>0.19333086824142809</v>
      </c>
      <c r="N726" s="302">
        <v>4.1704052784958284E-2</v>
      </c>
      <c r="O726" s="302">
        <f t="shared" si="317"/>
        <v>0.61062438176705125</v>
      </c>
    </row>
    <row r="727" spans="1:15" s="236" customFormat="1" x14ac:dyDescent="0.2">
      <c r="A727" s="237" t="str">
        <f>name!E$8</f>
        <v>Skilled trades occupations</v>
      </c>
      <c r="B727" s="302">
        <v>8.6502463622730202E-2</v>
      </c>
      <c r="C727" s="302">
        <v>1.7183352987140729E-2</v>
      </c>
      <c r="D727" s="302">
        <v>0.12011310054978318</v>
      </c>
      <c r="E727" s="302">
        <f t="shared" si="315"/>
        <v>0.22379891715965411</v>
      </c>
      <c r="F727" s="303"/>
      <c r="G727" s="302">
        <v>0.2006980956172871</v>
      </c>
      <c r="H727" s="302">
        <v>3.3925950984660995E-2</v>
      </c>
      <c r="I727" s="302">
        <v>0.18268043577386944</v>
      </c>
      <c r="J727" s="302">
        <f>SUM(G727:I727)</f>
        <v>0.41730448237581752</v>
      </c>
      <c r="K727" s="303"/>
      <c r="L727" s="302">
        <v>0.15137509042030367</v>
      </c>
      <c r="M727" s="302">
        <v>3.7304744842817733E-2</v>
      </c>
      <c r="N727" s="302">
        <v>0.19286728620307633</v>
      </c>
      <c r="O727" s="302">
        <f t="shared" si="317"/>
        <v>0.38154712146619774</v>
      </c>
    </row>
    <row r="728" spans="1:15" s="236" customFormat="1" x14ac:dyDescent="0.2">
      <c r="A728" s="237" t="str">
        <f>name!E$9</f>
        <v>Caring, leisure and other service occupations</v>
      </c>
      <c r="B728" s="302">
        <v>0.10436255664305175</v>
      </c>
      <c r="C728" s="302">
        <v>6.1656623016757936E-2</v>
      </c>
      <c r="D728" s="302">
        <v>3.2483179520756696E-2</v>
      </c>
      <c r="E728" s="302">
        <f t="shared" si="315"/>
        <v>0.19850235918056636</v>
      </c>
      <c r="F728" s="303"/>
      <c r="G728" s="302">
        <v>0.17177860147232327</v>
      </c>
      <c r="H728" s="302">
        <v>0.1077924464356585</v>
      </c>
      <c r="I728" s="302">
        <v>7.58732260975436E-2</v>
      </c>
      <c r="J728" s="302">
        <f t="shared" ref="J728:J731" si="318">SUM(G728:I728)</f>
        <v>0.35544427400552536</v>
      </c>
      <c r="K728" s="303"/>
      <c r="L728" s="302">
        <v>0.1740823484318248</v>
      </c>
      <c r="M728" s="302">
        <v>9.5259410230715144E-2</v>
      </c>
      <c r="N728" s="302">
        <v>9.4479783317278743E-2</v>
      </c>
      <c r="O728" s="302">
        <f t="shared" si="317"/>
        <v>0.3638215419798187</v>
      </c>
    </row>
    <row r="729" spans="1:15" s="236" customFormat="1" x14ac:dyDescent="0.2">
      <c r="A729" s="237" t="str">
        <f>name!E$10</f>
        <v>Sales and customer service occupations</v>
      </c>
      <c r="B729" s="302">
        <v>0.12551677430490973</v>
      </c>
      <c r="C729" s="302">
        <v>6.7292489600052671E-2</v>
      </c>
      <c r="D729" s="302">
        <v>2.0393853342418361E-2</v>
      </c>
      <c r="E729" s="302">
        <f t="shared" si="315"/>
        <v>0.21320311724738075</v>
      </c>
      <c r="F729" s="303"/>
      <c r="G729" s="302">
        <v>0.23141575997422761</v>
      </c>
      <c r="H729" s="302">
        <v>0.13013532371777153</v>
      </c>
      <c r="I729" s="302">
        <v>2.658077597164081E-2</v>
      </c>
      <c r="J729" s="302">
        <f t="shared" si="318"/>
        <v>0.38813185966364</v>
      </c>
      <c r="K729" s="303"/>
      <c r="L729" s="302">
        <v>0.28218191412863336</v>
      </c>
      <c r="M729" s="302">
        <v>0.15044766366779833</v>
      </c>
      <c r="N729" s="302">
        <v>2.3893282906613134E-2</v>
      </c>
      <c r="O729" s="302">
        <f t="shared" si="317"/>
        <v>0.45652286070304482</v>
      </c>
    </row>
    <row r="730" spans="1:15" s="236" customFormat="1" x14ac:dyDescent="0.2">
      <c r="A730" s="237" t="str">
        <f>name!E$11</f>
        <v>Process, plant and machine operatives</v>
      </c>
      <c r="B730" s="302">
        <v>3.8364168105838065E-2</v>
      </c>
      <c r="C730" s="302">
        <v>1.08184486651008E-2</v>
      </c>
      <c r="D730" s="302">
        <v>9.7810415603963377E-3</v>
      </c>
      <c r="E730" s="302">
        <f t="shared" si="315"/>
        <v>5.8963658331335204E-2</v>
      </c>
      <c r="F730" s="303"/>
      <c r="G730" s="302">
        <v>8.7428843876580939E-2</v>
      </c>
      <c r="H730" s="302">
        <v>3.1878590145605054E-2</v>
      </c>
      <c r="I730" s="302">
        <v>1.4196178965031106E-2</v>
      </c>
      <c r="J730" s="302">
        <f t="shared" si="318"/>
        <v>0.13350361298721711</v>
      </c>
      <c r="K730" s="303"/>
      <c r="L730" s="302">
        <v>9.1148298960901597E-2</v>
      </c>
      <c r="M730" s="302">
        <v>4.6311928415888638E-2</v>
      </c>
      <c r="N730" s="302">
        <v>1.8158008355423381E-2</v>
      </c>
      <c r="O730" s="302">
        <f t="shared" si="317"/>
        <v>0.15561823573221362</v>
      </c>
    </row>
    <row r="731" spans="1:15" s="236" customFormat="1" x14ac:dyDescent="0.2">
      <c r="A731" s="237" t="str">
        <f>name!E$12</f>
        <v>Elementary occupations</v>
      </c>
      <c r="B731" s="302">
        <v>0.25205440371844978</v>
      </c>
      <c r="C731" s="302">
        <v>0.20609021395545205</v>
      </c>
      <c r="D731" s="302">
        <v>0.15451197613094708</v>
      </c>
      <c r="E731" s="302">
        <f t="shared" si="315"/>
        <v>0.61265659380484894</v>
      </c>
      <c r="F731" s="303"/>
      <c r="G731" s="302">
        <v>0.58243176458371848</v>
      </c>
      <c r="H731" s="302">
        <v>0.38418186715949265</v>
      </c>
      <c r="I731" s="302">
        <v>0.26903552744329173</v>
      </c>
      <c r="J731" s="302">
        <f t="shared" si="318"/>
        <v>1.2356491591865029</v>
      </c>
      <c r="K731" s="303"/>
      <c r="L731" s="302">
        <v>0.56825520581221367</v>
      </c>
      <c r="M731" s="302">
        <v>0.43127217857760181</v>
      </c>
      <c r="N731" s="302">
        <v>0.42806318321915315</v>
      </c>
      <c r="O731" s="302">
        <f t="shared" si="317"/>
        <v>1.4275905676089686</v>
      </c>
    </row>
    <row r="732" spans="1:15" s="236" customFormat="1" x14ac:dyDescent="0.2">
      <c r="A732" s="237"/>
      <c r="B732" s="302"/>
      <c r="C732" s="302"/>
      <c r="D732" s="302"/>
      <c r="E732" s="302"/>
      <c r="F732" s="303"/>
      <c r="G732" s="302"/>
      <c r="H732" s="302"/>
      <c r="I732" s="302"/>
      <c r="J732" s="302"/>
      <c r="K732" s="303"/>
      <c r="L732" s="302"/>
      <c r="M732" s="302"/>
      <c r="N732" s="302"/>
      <c r="O732" s="302"/>
    </row>
    <row r="733" spans="1:15" s="236" customFormat="1" x14ac:dyDescent="0.2">
      <c r="A733" s="244" t="s">
        <v>32</v>
      </c>
      <c r="B733" s="311">
        <f>SUM(B723:B731)</f>
        <v>1.2709999999945749</v>
      </c>
      <c r="C733" s="311">
        <f t="shared" ref="C733:E733" si="319">SUM(C723:C731)</f>
        <v>0.59100000000705588</v>
      </c>
      <c r="D733" s="311">
        <f t="shared" si="319"/>
        <v>1.0200000000105447</v>
      </c>
      <c r="E733" s="311">
        <f t="shared" si="319"/>
        <v>2.8820000000121757</v>
      </c>
      <c r="F733" s="311"/>
      <c r="G733" s="311">
        <f t="shared" ref="G733:J733" si="320">SUM(G723:G731)</f>
        <v>2.5569999999972279</v>
      </c>
      <c r="H733" s="311">
        <f t="shared" si="320"/>
        <v>1.0620000000015286</v>
      </c>
      <c r="I733" s="311">
        <f t="shared" si="320"/>
        <v>1.8799999999990664</v>
      </c>
      <c r="J733" s="311">
        <f t="shared" si="320"/>
        <v>5.4989999999978219</v>
      </c>
      <c r="K733" s="311"/>
      <c r="L733" s="311">
        <f t="shared" ref="L733:O733" si="321">SUM(L723:L731)</f>
        <v>2.5649999999894106</v>
      </c>
      <c r="M733" s="311">
        <f t="shared" si="321"/>
        <v>1.1479999999922925</v>
      </c>
      <c r="N733" s="311">
        <f t="shared" si="321"/>
        <v>1.9740000000265105</v>
      </c>
      <c r="O733" s="311">
        <f t="shared" si="321"/>
        <v>5.6870000000082133</v>
      </c>
    </row>
    <row r="734" spans="1:15" s="236" customFormat="1" x14ac:dyDescent="0.2">
      <c r="A734" s="237"/>
      <c r="B734" s="237"/>
      <c r="C734" s="237"/>
      <c r="D734" s="237"/>
      <c r="E734" s="237"/>
      <c r="F734" s="237"/>
      <c r="G734" s="237"/>
      <c r="H734" s="237"/>
      <c r="I734" s="237"/>
      <c r="J734" s="237"/>
      <c r="K734" s="237"/>
      <c r="L734" s="237"/>
      <c r="M734" s="237"/>
      <c r="N734" s="240"/>
    </row>
    <row r="735" spans="1:15" s="236" customFormat="1" x14ac:dyDescent="0.2">
      <c r="A735" s="237"/>
      <c r="B735" s="237"/>
      <c r="C735" s="237"/>
      <c r="D735" s="237"/>
      <c r="E735" s="237"/>
      <c r="F735" s="237"/>
      <c r="G735" s="237"/>
      <c r="H735" s="237"/>
      <c r="I735" s="237"/>
      <c r="J735" s="237"/>
      <c r="K735" s="237"/>
      <c r="L735" s="237"/>
      <c r="M735" s="237"/>
      <c r="N735" s="240"/>
      <c r="O735" s="251" t="s">
        <v>35</v>
      </c>
    </row>
    <row r="736" spans="1:15" s="236" customFormat="1" x14ac:dyDescent="0.2">
      <c r="A736" s="242"/>
      <c r="B736" s="242"/>
      <c r="C736" s="242"/>
      <c r="D736" s="242"/>
      <c r="E736" s="242"/>
      <c r="F736" s="242"/>
      <c r="G736" s="242"/>
      <c r="H736" s="242"/>
      <c r="I736" s="242"/>
      <c r="J736" s="242"/>
      <c r="K736" s="242"/>
      <c r="L736" s="242"/>
      <c r="M736" s="242"/>
      <c r="N736" s="242"/>
      <c r="O736" s="242"/>
    </row>
    <row r="737" spans="1:15" s="236" customFormat="1" x14ac:dyDescent="0.2">
      <c r="A737" s="241" t="str">
        <f>name!A46</f>
        <v>Broadcasting</v>
      </c>
      <c r="B737" s="374">
        <f>$B$6</f>
        <v>2015</v>
      </c>
      <c r="C737" s="374"/>
      <c r="D737" s="374"/>
      <c r="E737" s="374"/>
      <c r="F737" s="263"/>
      <c r="G737" s="374">
        <f>$G$6</f>
        <v>2020</v>
      </c>
      <c r="H737" s="374"/>
      <c r="I737" s="374"/>
      <c r="J737" s="374"/>
      <c r="K737" s="263"/>
      <c r="L737" s="374">
        <f>$L$6</f>
        <v>2035</v>
      </c>
      <c r="M737" s="374"/>
      <c r="N737" s="374"/>
      <c r="O737" s="374"/>
    </row>
    <row r="738" spans="1:15" s="236" customFormat="1" x14ac:dyDescent="0.2">
      <c r="A738" s="254"/>
      <c r="B738" s="268" t="str">
        <f>$B$7</f>
        <v>FT</v>
      </c>
      <c r="C738" s="268" t="str">
        <f>$C$7</f>
        <v>PT</v>
      </c>
      <c r="D738" s="268" t="str">
        <f>$D$7</f>
        <v>SE</v>
      </c>
      <c r="E738" s="268" t="str">
        <f>$E$7</f>
        <v>Total</v>
      </c>
      <c r="F738" s="268"/>
      <c r="G738" s="268" t="str">
        <f>$G$7</f>
        <v>FT</v>
      </c>
      <c r="H738" s="268" t="str">
        <f>$H$7</f>
        <v>PT</v>
      </c>
      <c r="I738" s="268" t="str">
        <f>$I$7</f>
        <v>SE</v>
      </c>
      <c r="J738" s="268" t="str">
        <f>$J$7</f>
        <v>Total</v>
      </c>
      <c r="K738" s="268"/>
      <c r="L738" s="268" t="str">
        <f>$L$7</f>
        <v>FT</v>
      </c>
      <c r="M738" s="268" t="str">
        <f>$M$7</f>
        <v>PT</v>
      </c>
      <c r="N738" s="268" t="str">
        <f>$N$7</f>
        <v>SE</v>
      </c>
      <c r="O738" s="268" t="str">
        <f>$O$7</f>
        <v>Total</v>
      </c>
    </row>
    <row r="739" spans="1:15" s="236" customFormat="1" x14ac:dyDescent="0.2">
      <c r="A739" s="258"/>
      <c r="B739" s="239"/>
      <c r="C739" s="239"/>
      <c r="D739" s="239"/>
      <c r="E739" s="239"/>
      <c r="F739" s="239"/>
      <c r="G739" s="239"/>
      <c r="H739" s="239"/>
      <c r="I739" s="239"/>
      <c r="J739" s="239"/>
      <c r="K739" s="239"/>
      <c r="L739" s="239"/>
      <c r="M739" s="239"/>
      <c r="N739" s="239"/>
      <c r="O739" s="239"/>
    </row>
    <row r="740" spans="1:15" s="236" customFormat="1" x14ac:dyDescent="0.2">
      <c r="A740" s="237" t="str">
        <f>name!E$4</f>
        <v>Managers, directors and senior officials</v>
      </c>
      <c r="B740" s="302">
        <v>1.8452132192417408E-2</v>
      </c>
      <c r="C740" s="302">
        <v>6.388562369134468E-4</v>
      </c>
      <c r="D740" s="302">
        <v>6.3120756091336145E-3</v>
      </c>
      <c r="E740" s="302">
        <f>SUM(B740:D740)</f>
        <v>2.5403064038464471E-2</v>
      </c>
      <c r="F740" s="303"/>
      <c r="G740" s="302">
        <v>1.6918507298731584E-2</v>
      </c>
      <c r="H740" s="302">
        <v>1.8555562864737748E-3</v>
      </c>
      <c r="I740" s="302">
        <v>1.8969844138914546E-2</v>
      </c>
      <c r="J740" s="302">
        <f>SUM(G740:I740)</f>
        <v>3.7743907724119903E-2</v>
      </c>
      <c r="K740" s="303"/>
      <c r="L740" s="302">
        <v>1.5178157939987899E-2</v>
      </c>
      <c r="M740" s="302">
        <v>3.095868611784919E-3</v>
      </c>
      <c r="N740" s="302">
        <v>1.8063605962998639E-2</v>
      </c>
      <c r="O740" s="302">
        <f>SUM(L740:N740)</f>
        <v>3.6337632514771456E-2</v>
      </c>
    </row>
    <row r="741" spans="1:15" s="236" customFormat="1" x14ac:dyDescent="0.2">
      <c r="A741" s="237" t="str">
        <f>name!E$5</f>
        <v>Professional occupations</v>
      </c>
      <c r="B741" s="302">
        <v>2.723262112258449E-2</v>
      </c>
      <c r="C741" s="302">
        <v>5.0302273945973129E-4</v>
      </c>
      <c r="D741" s="302">
        <v>1.6361113225176943E-2</v>
      </c>
      <c r="E741" s="302">
        <f t="shared" ref="E741:E748" si="322">SUM(B741:D741)</f>
        <v>4.4096757087221161E-2</v>
      </c>
      <c r="F741" s="303"/>
      <c r="G741" s="302">
        <v>2.5631803218658652E-2</v>
      </c>
      <c r="H741" s="302">
        <v>5.6881860956775401E-3</v>
      </c>
      <c r="I741" s="302">
        <v>3.1388411404180805E-2</v>
      </c>
      <c r="J741" s="302">
        <f t="shared" ref="J741:J743" si="323">SUM(G741:I741)</f>
        <v>6.2708400718516993E-2</v>
      </c>
      <c r="K741" s="303"/>
      <c r="L741" s="302">
        <v>1.9163000875062983E-2</v>
      </c>
      <c r="M741" s="302">
        <v>1.5582841303813268E-2</v>
      </c>
      <c r="N741" s="302">
        <v>2.2431785175222926E-2</v>
      </c>
      <c r="O741" s="302">
        <f t="shared" ref="O741:O748" si="324">SUM(L741:N741)</f>
        <v>5.7177627354099175E-2</v>
      </c>
    </row>
    <row r="742" spans="1:15" s="236" customFormat="1" x14ac:dyDescent="0.2">
      <c r="A742" s="237" t="str">
        <f>name!E$6</f>
        <v>Associate professional occupations</v>
      </c>
      <c r="B742" s="302">
        <v>2.2073027374089383E-2</v>
      </c>
      <c r="C742" s="302">
        <v>1.0001895302092602E-3</v>
      </c>
      <c r="D742" s="302">
        <v>4.052467197762414E-2</v>
      </c>
      <c r="E742" s="302">
        <f t="shared" si="322"/>
        <v>6.3597888881922776E-2</v>
      </c>
      <c r="F742" s="303"/>
      <c r="G742" s="302">
        <v>2.1868187920468785E-2</v>
      </c>
      <c r="H742" s="302">
        <v>8.1322678791043573E-3</v>
      </c>
      <c r="I742" s="302">
        <v>0.10923043626369065</v>
      </c>
      <c r="J742" s="302">
        <f t="shared" si="323"/>
        <v>0.13923089206326381</v>
      </c>
      <c r="K742" s="303"/>
      <c r="L742" s="302">
        <v>2.3024355767018941E-2</v>
      </c>
      <c r="M742" s="302">
        <v>1.2333140733082898E-2</v>
      </c>
      <c r="N742" s="302">
        <v>9.2327288195017787E-2</v>
      </c>
      <c r="O742" s="302">
        <f t="shared" si="324"/>
        <v>0.12768478469511962</v>
      </c>
    </row>
    <row r="743" spans="1:15" s="236" customFormat="1" x14ac:dyDescent="0.2">
      <c r="A743" s="237" t="str">
        <f>name!E$7</f>
        <v>Administrative and secretarial occupations</v>
      </c>
      <c r="B743" s="302">
        <v>1.7581281850771367E-2</v>
      </c>
      <c r="C743" s="302">
        <v>2.4147862380035257E-3</v>
      </c>
      <c r="D743" s="302">
        <v>1.3275106116439855E-3</v>
      </c>
      <c r="E743" s="302">
        <f t="shared" si="322"/>
        <v>2.1323578700418878E-2</v>
      </c>
      <c r="F743" s="303"/>
      <c r="G743" s="302">
        <v>1.7979162485400817E-2</v>
      </c>
      <c r="H743" s="302">
        <v>4.4053978717376865E-3</v>
      </c>
      <c r="I743" s="302">
        <v>5.1440336985324429E-3</v>
      </c>
      <c r="J743" s="302">
        <f t="shared" si="323"/>
        <v>2.7528594055670947E-2</v>
      </c>
      <c r="K743" s="303"/>
      <c r="L743" s="302">
        <v>2.1051777808884883E-2</v>
      </c>
      <c r="M743" s="302">
        <v>3.9633544532411344E-3</v>
      </c>
      <c r="N743" s="302">
        <v>4.3338028493902859E-3</v>
      </c>
      <c r="O743" s="302">
        <f t="shared" si="324"/>
        <v>2.9348935111516303E-2</v>
      </c>
    </row>
    <row r="744" spans="1:15" s="236" customFormat="1" x14ac:dyDescent="0.2">
      <c r="A744" s="237" t="str">
        <f>name!E$8</f>
        <v>Skilled trades occupations</v>
      </c>
      <c r="B744" s="302">
        <v>3.347854870115409E-2</v>
      </c>
      <c r="C744" s="302">
        <v>2.502167160969179E-3</v>
      </c>
      <c r="D744" s="302">
        <v>1.0345647097070367E-2</v>
      </c>
      <c r="E744" s="302">
        <f t="shared" si="322"/>
        <v>4.6326362959193637E-2</v>
      </c>
      <c r="F744" s="303"/>
      <c r="G744" s="302">
        <v>2.692196713922872E-2</v>
      </c>
      <c r="H744" s="302">
        <v>2.007117253629888E-3</v>
      </c>
      <c r="I744" s="302">
        <v>1.9831573725897396E-2</v>
      </c>
      <c r="J744" s="302">
        <f>SUM(G744:I744)</f>
        <v>4.8760658118756003E-2</v>
      </c>
      <c r="K744" s="303"/>
      <c r="L744" s="302">
        <v>2.2127401960035438E-2</v>
      </c>
      <c r="M744" s="302">
        <v>7.5249544596758637E-4</v>
      </c>
      <c r="N744" s="302">
        <v>2.1350072518237898E-2</v>
      </c>
      <c r="O744" s="302">
        <f t="shared" si="324"/>
        <v>4.4229969924240928E-2</v>
      </c>
    </row>
    <row r="745" spans="1:15" s="236" customFormat="1" x14ac:dyDescent="0.2">
      <c r="A745" s="237" t="str">
        <f>name!E$9</f>
        <v>Caring, leisure and other service occupations</v>
      </c>
      <c r="B745" s="302">
        <v>1.1606102476755609E-2</v>
      </c>
      <c r="C745" s="302">
        <v>3.779178990190854E-3</v>
      </c>
      <c r="D745" s="302">
        <v>1.5532815272300141E-3</v>
      </c>
      <c r="E745" s="302">
        <f t="shared" si="322"/>
        <v>1.6938562994176478E-2</v>
      </c>
      <c r="F745" s="303"/>
      <c r="G745" s="302">
        <v>1.1189894277297673E-2</v>
      </c>
      <c r="H745" s="302">
        <v>4.721658616268957E-3</v>
      </c>
      <c r="I745" s="302">
        <v>5.7748941780129716E-3</v>
      </c>
      <c r="J745" s="302">
        <f t="shared" ref="J745:J748" si="325">SUM(G745:I745)</f>
        <v>2.1686447071579601E-2</v>
      </c>
      <c r="K745" s="303"/>
      <c r="L745" s="302">
        <v>1.3911359988839767E-2</v>
      </c>
      <c r="M745" s="302">
        <v>3.045460214466202E-3</v>
      </c>
      <c r="N745" s="302">
        <v>6.106342730269298E-3</v>
      </c>
      <c r="O745" s="302">
        <f t="shared" si="324"/>
        <v>2.3063162933575267E-2</v>
      </c>
    </row>
    <row r="746" spans="1:15" s="236" customFormat="1" x14ac:dyDescent="0.2">
      <c r="A746" s="237" t="str">
        <f>name!E$10</f>
        <v>Sales and customer service occupations</v>
      </c>
      <c r="B746" s="302">
        <v>1.0954837220071727E-2</v>
      </c>
      <c r="C746" s="302">
        <v>4.2663876866291762E-3</v>
      </c>
      <c r="D746" s="302">
        <v>1.4943218993349471E-3</v>
      </c>
      <c r="E746" s="302">
        <f t="shared" si="322"/>
        <v>1.671554680603585E-2</v>
      </c>
      <c r="F746" s="303"/>
      <c r="G746" s="302">
        <v>9.5781150937823169E-3</v>
      </c>
      <c r="H746" s="302">
        <v>4.8109461983494211E-3</v>
      </c>
      <c r="I746" s="302">
        <v>3.0345901721863253E-3</v>
      </c>
      <c r="J746" s="302">
        <f t="shared" si="325"/>
        <v>1.7423651464318061E-2</v>
      </c>
      <c r="K746" s="303"/>
      <c r="L746" s="302">
        <v>1.2974754104087681E-2</v>
      </c>
      <c r="M746" s="302">
        <v>4.3371086394737466E-3</v>
      </c>
      <c r="N746" s="302">
        <v>2.553696811993471E-3</v>
      </c>
      <c r="O746" s="302">
        <f t="shared" si="324"/>
        <v>1.9865559555554899E-2</v>
      </c>
    </row>
    <row r="747" spans="1:15" s="236" customFormat="1" x14ac:dyDescent="0.2">
      <c r="A747" s="237" t="str">
        <f>name!E$11</f>
        <v>Process, plant and machine operatives</v>
      </c>
      <c r="B747" s="302">
        <v>5.5804649531935174E-3</v>
      </c>
      <c r="C747" s="302">
        <v>8.2952058937521089E-4</v>
      </c>
      <c r="D747" s="302">
        <v>5.7039535875983002E-4</v>
      </c>
      <c r="E747" s="302">
        <f t="shared" si="322"/>
        <v>6.9803809013285582E-3</v>
      </c>
      <c r="F747" s="303"/>
      <c r="G747" s="302">
        <v>4.2515066299709942E-3</v>
      </c>
      <c r="H747" s="302">
        <v>7.2736604857354277E-4</v>
      </c>
      <c r="I747" s="302">
        <v>7.0692943865552805E-4</v>
      </c>
      <c r="J747" s="302">
        <f t="shared" si="325"/>
        <v>5.685802117200065E-3</v>
      </c>
      <c r="K747" s="303"/>
      <c r="L747" s="302">
        <v>5.0868449214014951E-3</v>
      </c>
      <c r="M747" s="302">
        <v>1.4716297164715021E-4</v>
      </c>
      <c r="N747" s="302">
        <v>6.2019541889948946E-4</v>
      </c>
      <c r="O747" s="302">
        <f t="shared" si="324"/>
        <v>5.8542033119481345E-3</v>
      </c>
    </row>
    <row r="748" spans="1:15" s="236" customFormat="1" x14ac:dyDescent="0.2">
      <c r="A748" s="237" t="str">
        <f>name!E$12</f>
        <v>Elementary occupations</v>
      </c>
      <c r="B748" s="302">
        <v>1.9040984108330154E-2</v>
      </c>
      <c r="C748" s="302">
        <v>1.0065890828642801E-2</v>
      </c>
      <c r="D748" s="302">
        <v>1.510982695075986E-3</v>
      </c>
      <c r="E748" s="302">
        <f t="shared" si="322"/>
        <v>3.0617857632048943E-2</v>
      </c>
      <c r="F748" s="303"/>
      <c r="G748" s="302">
        <v>1.5660855936049919E-2</v>
      </c>
      <c r="H748" s="302">
        <v>6.6515037501845148E-3</v>
      </c>
      <c r="I748" s="302">
        <v>1.9192869799761621E-3</v>
      </c>
      <c r="J748" s="302">
        <f t="shared" si="325"/>
        <v>2.4231646666210596E-2</v>
      </c>
      <c r="K748" s="303"/>
      <c r="L748" s="302">
        <v>1.6482346634264743E-2</v>
      </c>
      <c r="M748" s="302">
        <v>7.425676270532126E-4</v>
      </c>
      <c r="N748" s="302">
        <v>1.2132103403110607E-3</v>
      </c>
      <c r="O748" s="302">
        <f t="shared" si="324"/>
        <v>1.8438124601629014E-2</v>
      </c>
    </row>
    <row r="749" spans="1:15" s="236" customFormat="1" x14ac:dyDescent="0.2">
      <c r="A749" s="237"/>
      <c r="B749" s="302"/>
      <c r="C749" s="302"/>
      <c r="D749" s="302"/>
      <c r="E749" s="302"/>
      <c r="F749" s="303"/>
      <c r="G749" s="302"/>
      <c r="H749" s="302"/>
      <c r="I749" s="302"/>
      <c r="J749" s="302"/>
      <c r="K749" s="303"/>
      <c r="L749" s="302"/>
      <c r="M749" s="302"/>
      <c r="N749" s="302"/>
      <c r="O749" s="302"/>
    </row>
    <row r="750" spans="1:15" s="236" customFormat="1" x14ac:dyDescent="0.2">
      <c r="A750" s="244" t="s">
        <v>32</v>
      </c>
      <c r="B750" s="311">
        <f>SUM(B740:B748)</f>
        <v>0.16599999999936776</v>
      </c>
      <c r="C750" s="311">
        <f t="shared" ref="C750:E750" si="326">SUM(C740:C748)</f>
        <v>2.6000000000393188E-2</v>
      </c>
      <c r="D750" s="311">
        <f t="shared" si="326"/>
        <v>8.0000000001049829E-2</v>
      </c>
      <c r="E750" s="311">
        <f t="shared" si="326"/>
        <v>0.27200000000081076</v>
      </c>
      <c r="F750" s="311"/>
      <c r="G750" s="311">
        <f t="shared" ref="G750:J750" si="327">SUM(G740:G748)</f>
        <v>0.14999999999958946</v>
      </c>
      <c r="H750" s="311">
        <f t="shared" si="327"/>
        <v>3.8999999999999681E-2</v>
      </c>
      <c r="I750" s="311">
        <f t="shared" si="327"/>
        <v>0.19600000000004683</v>
      </c>
      <c r="J750" s="311">
        <f t="shared" si="327"/>
        <v>0.38499999999963591</v>
      </c>
      <c r="K750" s="311"/>
      <c r="L750" s="311">
        <f t="shared" ref="L750:O750" si="328">SUM(L740:L748)</f>
        <v>0.14899999999958383</v>
      </c>
      <c r="M750" s="311">
        <f t="shared" si="328"/>
        <v>4.4000000000530115E-2</v>
      </c>
      <c r="N750" s="311">
        <f t="shared" si="328"/>
        <v>0.16900000000234083</v>
      </c>
      <c r="O750" s="311">
        <f t="shared" si="328"/>
        <v>0.3620000000024548</v>
      </c>
    </row>
    <row r="751" spans="1:15" s="236" customFormat="1" x14ac:dyDescent="0.2">
      <c r="A751" s="237"/>
      <c r="B751" s="237"/>
      <c r="C751" s="237"/>
      <c r="D751" s="237"/>
      <c r="E751" s="237"/>
      <c r="F751" s="237"/>
      <c r="G751" s="237"/>
      <c r="H751" s="237"/>
      <c r="I751" s="237"/>
      <c r="J751" s="237"/>
      <c r="K751" s="237"/>
      <c r="L751" s="237"/>
      <c r="M751" s="237"/>
      <c r="N751" s="240"/>
    </row>
    <row r="752" spans="1:15" s="236" customFormat="1" x14ac:dyDescent="0.2">
      <c r="A752" s="237"/>
      <c r="B752" s="237"/>
      <c r="C752" s="237"/>
      <c r="D752" s="237"/>
      <c r="E752" s="237"/>
      <c r="F752" s="237"/>
      <c r="G752" s="237"/>
      <c r="H752" s="237"/>
      <c r="I752" s="237"/>
      <c r="J752" s="237"/>
      <c r="K752" s="237"/>
      <c r="L752" s="237"/>
      <c r="M752" s="237"/>
      <c r="N752" s="240"/>
      <c r="O752" s="251" t="s">
        <v>35</v>
      </c>
    </row>
    <row r="753" spans="1:15" s="236" customFormat="1" x14ac:dyDescent="0.2">
      <c r="A753" s="242"/>
      <c r="B753" s="242"/>
      <c r="C753" s="242"/>
      <c r="D753" s="242"/>
      <c r="E753" s="242"/>
      <c r="F753" s="242"/>
      <c r="G753" s="242"/>
      <c r="H753" s="242"/>
      <c r="I753" s="242"/>
      <c r="J753" s="242"/>
      <c r="K753" s="242"/>
      <c r="L753" s="242"/>
      <c r="M753" s="242"/>
      <c r="N753" s="242"/>
      <c r="O753" s="242"/>
    </row>
    <row r="754" spans="1:15" s="236" customFormat="1" x14ac:dyDescent="0.2">
      <c r="A754" s="241" t="str">
        <f>name!A47</f>
        <v>Telecommunications</v>
      </c>
      <c r="B754" s="374">
        <f>$B$6</f>
        <v>2015</v>
      </c>
      <c r="C754" s="374"/>
      <c r="D754" s="374"/>
      <c r="E754" s="374"/>
      <c r="F754" s="263"/>
      <c r="G754" s="374">
        <f>$G$6</f>
        <v>2020</v>
      </c>
      <c r="H754" s="374"/>
      <c r="I754" s="374"/>
      <c r="J754" s="374"/>
      <c r="K754" s="263"/>
      <c r="L754" s="374">
        <f>$L$6</f>
        <v>2035</v>
      </c>
      <c r="M754" s="374"/>
      <c r="N754" s="374"/>
      <c r="O754" s="374"/>
    </row>
    <row r="755" spans="1:15" s="236" customFormat="1" x14ac:dyDescent="0.2">
      <c r="A755" s="254"/>
      <c r="B755" s="268" t="str">
        <f>$B$7</f>
        <v>FT</v>
      </c>
      <c r="C755" s="268" t="str">
        <f>$C$7</f>
        <v>PT</v>
      </c>
      <c r="D755" s="268" t="str">
        <f>$D$7</f>
        <v>SE</v>
      </c>
      <c r="E755" s="268" t="str">
        <f>$E$7</f>
        <v>Total</v>
      </c>
      <c r="F755" s="268"/>
      <c r="G755" s="268" t="str">
        <f>$G$7</f>
        <v>FT</v>
      </c>
      <c r="H755" s="268" t="str">
        <f>$H$7</f>
        <v>PT</v>
      </c>
      <c r="I755" s="268" t="str">
        <f>$I$7</f>
        <v>SE</v>
      </c>
      <c r="J755" s="268" t="str">
        <f>$J$7</f>
        <v>Total</v>
      </c>
      <c r="K755" s="268"/>
      <c r="L755" s="268" t="str">
        <f>$L$7</f>
        <v>FT</v>
      </c>
      <c r="M755" s="268" t="str">
        <f>$M$7</f>
        <v>PT</v>
      </c>
      <c r="N755" s="268" t="str">
        <f>$N$7</f>
        <v>SE</v>
      </c>
      <c r="O755" s="268" t="str">
        <f>$O$7</f>
        <v>Total</v>
      </c>
    </row>
    <row r="756" spans="1:15" s="236" customFormat="1" x14ac:dyDescent="0.2">
      <c r="A756" s="258"/>
      <c r="B756" s="239"/>
      <c r="C756" s="239"/>
      <c r="D756" s="239"/>
      <c r="E756" s="239"/>
      <c r="F756" s="239"/>
      <c r="G756" s="239"/>
      <c r="H756" s="239"/>
      <c r="I756" s="239"/>
      <c r="J756" s="239"/>
      <c r="K756" s="239"/>
      <c r="L756" s="239"/>
      <c r="M756" s="239"/>
      <c r="N756" s="239"/>
      <c r="O756" s="239"/>
    </row>
    <row r="757" spans="1:15" s="236" customFormat="1" x14ac:dyDescent="0.2">
      <c r="A757" s="237" t="str">
        <f>name!E$4</f>
        <v>Managers, directors and senior officials</v>
      </c>
      <c r="B757" s="302">
        <v>1.4094307874103917</v>
      </c>
      <c r="C757" s="302">
        <v>0.1453037285213539</v>
      </c>
      <c r="D757" s="302">
        <v>9.1075743183791913E-2</v>
      </c>
      <c r="E757" s="302">
        <f>SUM(B757:D757)</f>
        <v>1.6458102591155375</v>
      </c>
      <c r="F757" s="303"/>
      <c r="G757" s="302">
        <v>1.3574728100152145</v>
      </c>
      <c r="H757" s="302">
        <v>6.6359707614081234E-2</v>
      </c>
      <c r="I757" s="302">
        <v>3.2578748798766419E-2</v>
      </c>
      <c r="J757" s="302">
        <f>SUM(G757:I757)</f>
        <v>1.456411266428062</v>
      </c>
      <c r="K757" s="303"/>
      <c r="L757" s="302">
        <v>1.5772242110057273</v>
      </c>
      <c r="M757" s="302">
        <v>7.7138377007828343E-2</v>
      </c>
      <c r="N757" s="302">
        <v>3.8890423813269161E-2</v>
      </c>
      <c r="O757" s="302">
        <f>SUM(L757:N757)</f>
        <v>1.693253011826825</v>
      </c>
    </row>
    <row r="758" spans="1:15" s="236" customFormat="1" x14ac:dyDescent="0.2">
      <c r="A758" s="237" t="str">
        <f>name!E$5</f>
        <v>Professional occupations</v>
      </c>
      <c r="B758" s="302">
        <v>2.3253979342679578</v>
      </c>
      <c r="C758" s="302">
        <v>9.0909399146018074E-2</v>
      </c>
      <c r="D758" s="302">
        <v>0.18785278980517317</v>
      </c>
      <c r="E758" s="302">
        <f t="shared" ref="E758:E765" si="329">SUM(B758:D758)</f>
        <v>2.6041601232191489</v>
      </c>
      <c r="F758" s="303"/>
      <c r="G758" s="302">
        <v>2.5394071857929101</v>
      </c>
      <c r="H758" s="302">
        <v>4.1907590307461787E-2</v>
      </c>
      <c r="I758" s="302">
        <v>7.2327607571315691E-2</v>
      </c>
      <c r="J758" s="302">
        <f t="shared" ref="J758:J760" si="330">SUM(G758:I758)</f>
        <v>2.6536423836716874</v>
      </c>
      <c r="K758" s="303"/>
      <c r="L758" s="302">
        <v>3.4124189160730687</v>
      </c>
      <c r="M758" s="302">
        <v>5.6464440117537068E-2</v>
      </c>
      <c r="N758" s="302">
        <v>7.2631338050634361E-2</v>
      </c>
      <c r="O758" s="302">
        <f t="shared" ref="O758:O765" si="331">SUM(L758:N758)</f>
        <v>3.5415146942412403</v>
      </c>
    </row>
    <row r="759" spans="1:15" s="236" customFormat="1" x14ac:dyDescent="0.2">
      <c r="A759" s="237" t="str">
        <f>name!E$6</f>
        <v>Associate professional occupations</v>
      </c>
      <c r="B759" s="302">
        <v>1.0495124320830647</v>
      </c>
      <c r="C759" s="302">
        <v>0.15263914941071677</v>
      </c>
      <c r="D759" s="302">
        <v>7.0711067017285023E-2</v>
      </c>
      <c r="E759" s="302">
        <f t="shared" si="329"/>
        <v>1.2728626485110663</v>
      </c>
      <c r="F759" s="303"/>
      <c r="G759" s="302">
        <v>1.0256699589079312</v>
      </c>
      <c r="H759" s="302">
        <v>5.6983133524558124E-2</v>
      </c>
      <c r="I759" s="302">
        <v>1.7369731897364332E-2</v>
      </c>
      <c r="J759" s="302">
        <f t="shared" si="330"/>
        <v>1.1000228243298535</v>
      </c>
      <c r="K759" s="303"/>
      <c r="L759" s="302">
        <v>1.1564321568899314</v>
      </c>
      <c r="M759" s="302">
        <v>5.7338005930456161E-2</v>
      </c>
      <c r="N759" s="302">
        <v>1.9639455633429222E-2</v>
      </c>
      <c r="O759" s="302">
        <f t="shared" si="331"/>
        <v>1.2334096184538168</v>
      </c>
    </row>
    <row r="760" spans="1:15" s="236" customFormat="1" x14ac:dyDescent="0.2">
      <c r="A760" s="237" t="str">
        <f>name!E$7</f>
        <v>Administrative and secretarial occupations</v>
      </c>
      <c r="B760" s="302">
        <v>0.50810391889286577</v>
      </c>
      <c r="C760" s="302">
        <v>0.19811515759230652</v>
      </c>
      <c r="D760" s="302">
        <v>8.8701972715671221E-2</v>
      </c>
      <c r="E760" s="302">
        <f t="shared" si="329"/>
        <v>0.79492104920084361</v>
      </c>
      <c r="F760" s="303"/>
      <c r="G760" s="302">
        <v>0.42019616521603365</v>
      </c>
      <c r="H760" s="302">
        <v>5.6250287366310867E-2</v>
      </c>
      <c r="I760" s="302">
        <v>1.1265425193755303E-2</v>
      </c>
      <c r="J760" s="302">
        <f t="shared" si="330"/>
        <v>0.48771187777609981</v>
      </c>
      <c r="K760" s="303"/>
      <c r="L760" s="302">
        <v>0.46184802697942018</v>
      </c>
      <c r="M760" s="302">
        <v>5.1177800812896676E-2</v>
      </c>
      <c r="N760" s="302">
        <v>7.4222553091918284E-3</v>
      </c>
      <c r="O760" s="302">
        <f t="shared" si="331"/>
        <v>0.5204480831015087</v>
      </c>
    </row>
    <row r="761" spans="1:15" s="236" customFormat="1" x14ac:dyDescent="0.2">
      <c r="A761" s="237" t="str">
        <f>name!E$8</f>
        <v>Skilled trades occupations</v>
      </c>
      <c r="B761" s="302">
        <v>0.90275540394079157</v>
      </c>
      <c r="C761" s="302">
        <v>8.5713930070890537E-2</v>
      </c>
      <c r="D761" s="302">
        <v>4.392486696890123E-2</v>
      </c>
      <c r="E761" s="302">
        <f t="shared" si="329"/>
        <v>1.0323942009805833</v>
      </c>
      <c r="F761" s="303"/>
      <c r="G761" s="302">
        <v>0.67526842085980054</v>
      </c>
      <c r="H761" s="302">
        <v>2.2381038011855699E-2</v>
      </c>
      <c r="I761" s="302">
        <v>1.5998438266677937E-2</v>
      </c>
      <c r="J761" s="302">
        <f>SUM(G761:I761)</f>
        <v>0.7136478971383341</v>
      </c>
      <c r="K761" s="303"/>
      <c r="L761" s="302">
        <v>0.44391946331762278</v>
      </c>
      <c r="M761" s="302">
        <v>1.9939797880356689E-2</v>
      </c>
      <c r="N761" s="302">
        <v>2.3837548944201779E-2</v>
      </c>
      <c r="O761" s="302">
        <f t="shared" si="331"/>
        <v>0.48769681014218125</v>
      </c>
    </row>
    <row r="762" spans="1:15" s="236" customFormat="1" x14ac:dyDescent="0.2">
      <c r="A762" s="237" t="str">
        <f>name!E$9</f>
        <v>Caring, leisure and other service occupations</v>
      </c>
      <c r="B762" s="302">
        <v>0.18520553856065078</v>
      </c>
      <c r="C762" s="302">
        <v>8.8091792913287975E-2</v>
      </c>
      <c r="D762" s="302">
        <v>3.5916385396988174E-2</v>
      </c>
      <c r="E762" s="302">
        <f t="shared" si="329"/>
        <v>0.30921371687092691</v>
      </c>
      <c r="F762" s="303"/>
      <c r="G762" s="302">
        <v>0.1694868208974013</v>
      </c>
      <c r="H762" s="302">
        <v>2.3762197898025497E-2</v>
      </c>
      <c r="I762" s="302">
        <v>6.4363191766264741E-3</v>
      </c>
      <c r="J762" s="302">
        <f t="shared" ref="J762:J765" si="332">SUM(G762:I762)</f>
        <v>0.19968533797205329</v>
      </c>
      <c r="K762" s="303"/>
      <c r="L762" s="302">
        <v>0.25827921534948578</v>
      </c>
      <c r="M762" s="302">
        <v>2.3812080445086443E-2</v>
      </c>
      <c r="N762" s="302">
        <v>1.1794085333630331E-2</v>
      </c>
      <c r="O762" s="302">
        <f t="shared" si="331"/>
        <v>0.29388538112820256</v>
      </c>
    </row>
    <row r="763" spans="1:15" s="236" customFormat="1" x14ac:dyDescent="0.2">
      <c r="A763" s="237" t="str">
        <f>name!E$10</f>
        <v>Sales and customer service occupations</v>
      </c>
      <c r="B763" s="302">
        <v>0.86819175692565675</v>
      </c>
      <c r="C763" s="302">
        <v>0.93264709646908528</v>
      </c>
      <c r="D763" s="302">
        <v>4.55133686867015E-2</v>
      </c>
      <c r="E763" s="302">
        <f t="shared" si="329"/>
        <v>1.8463522220814437</v>
      </c>
      <c r="F763" s="303"/>
      <c r="G763" s="302">
        <v>0.62257142205182148</v>
      </c>
      <c r="H763" s="302">
        <v>0.25564926765835067</v>
      </c>
      <c r="I763" s="302">
        <v>6.182787610113461E-3</v>
      </c>
      <c r="J763" s="302">
        <f t="shared" si="332"/>
        <v>0.88440347732028557</v>
      </c>
      <c r="K763" s="303"/>
      <c r="L763" s="302">
        <v>0.89027683368475818</v>
      </c>
      <c r="M763" s="302">
        <v>0.33734374951108953</v>
      </c>
      <c r="N763" s="302">
        <v>6.2170121654786881E-3</v>
      </c>
      <c r="O763" s="302">
        <f t="shared" si="331"/>
        <v>1.2338375953613265</v>
      </c>
    </row>
    <row r="764" spans="1:15" s="236" customFormat="1" x14ac:dyDescent="0.2">
      <c r="A764" s="237" t="str">
        <f>name!E$11</f>
        <v>Process, plant and machine operatives</v>
      </c>
      <c r="B764" s="302">
        <v>7.9934601667137659E-2</v>
      </c>
      <c r="C764" s="302">
        <v>6.4033145334956063E-2</v>
      </c>
      <c r="D764" s="302">
        <v>1.9794284788876439E-2</v>
      </c>
      <c r="E764" s="302">
        <f t="shared" si="329"/>
        <v>0.16376203179097015</v>
      </c>
      <c r="F764" s="303"/>
      <c r="G764" s="302">
        <v>5.510701030569673E-2</v>
      </c>
      <c r="H764" s="302">
        <v>2.4036898827895812E-2</v>
      </c>
      <c r="I764" s="302">
        <v>6.0076345279284236E-3</v>
      </c>
      <c r="J764" s="302">
        <f t="shared" si="332"/>
        <v>8.5151543661520959E-2</v>
      </c>
      <c r="K764" s="303"/>
      <c r="L764" s="302">
        <v>6.1245543592212383E-2</v>
      </c>
      <c r="M764" s="302">
        <v>3.4097147007004412E-2</v>
      </c>
      <c r="N764" s="302">
        <v>1.1610401731551595E-2</v>
      </c>
      <c r="O764" s="302">
        <f t="shared" si="331"/>
        <v>0.10695309233076838</v>
      </c>
    </row>
    <row r="765" spans="1:15" s="236" customFormat="1" x14ac:dyDescent="0.2">
      <c r="A765" s="237" t="str">
        <f>name!E$12</f>
        <v>Elementary occupations</v>
      </c>
      <c r="B765" s="302">
        <v>7.8467626146954239E-2</v>
      </c>
      <c r="C765" s="302">
        <v>6.2546600564560836E-2</v>
      </c>
      <c r="D765" s="302">
        <v>5.8509521438541552E-2</v>
      </c>
      <c r="E765" s="302">
        <f t="shared" si="329"/>
        <v>0.19952374815005663</v>
      </c>
      <c r="F765" s="303"/>
      <c r="G765" s="302">
        <v>5.3820205883693684E-2</v>
      </c>
      <c r="H765" s="302">
        <v>1.9669878797995886E-2</v>
      </c>
      <c r="I765" s="302">
        <v>1.4833306957902512E-2</v>
      </c>
      <c r="J765" s="302">
        <f t="shared" si="332"/>
        <v>8.8323391639592089E-2</v>
      </c>
      <c r="K765" s="303"/>
      <c r="L765" s="302">
        <v>4.735563322017778E-2</v>
      </c>
      <c r="M765" s="302">
        <v>1.368860129137461E-2</v>
      </c>
      <c r="N765" s="302">
        <v>2.0957479023265627E-2</v>
      </c>
      <c r="O765" s="302">
        <f t="shared" si="331"/>
        <v>8.2001713534818013E-2</v>
      </c>
    </row>
    <row r="766" spans="1:15" s="236" customFormat="1" x14ac:dyDescent="0.2">
      <c r="A766" s="237"/>
      <c r="B766" s="302"/>
      <c r="C766" s="302"/>
      <c r="D766" s="302"/>
      <c r="E766" s="302"/>
      <c r="F766" s="303"/>
      <c r="G766" s="302"/>
      <c r="H766" s="302"/>
      <c r="I766" s="302"/>
      <c r="J766" s="302"/>
      <c r="K766" s="303"/>
      <c r="L766" s="302"/>
      <c r="M766" s="302"/>
      <c r="N766" s="302"/>
      <c r="O766" s="302"/>
    </row>
    <row r="767" spans="1:15" s="236" customFormat="1" x14ac:dyDescent="0.2">
      <c r="A767" s="244" t="s">
        <v>32</v>
      </c>
      <c r="B767" s="311">
        <f>SUM(B757:B765)</f>
        <v>7.4069999998954721</v>
      </c>
      <c r="C767" s="311">
        <f t="shared" ref="C767:E767" si="333">SUM(C757:C765)</f>
        <v>1.820000000023176</v>
      </c>
      <c r="D767" s="311">
        <f t="shared" si="333"/>
        <v>0.64200000000193036</v>
      </c>
      <c r="E767" s="311">
        <f t="shared" si="333"/>
        <v>9.8689999999205771</v>
      </c>
      <c r="F767" s="311"/>
      <c r="G767" s="311">
        <f t="shared" ref="G767:J767" si="334">SUM(G757:G765)</f>
        <v>6.9189999999305032</v>
      </c>
      <c r="H767" s="311">
        <f t="shared" si="334"/>
        <v>0.56700000000653561</v>
      </c>
      <c r="I767" s="311">
        <f t="shared" si="334"/>
        <v>0.18300000000045058</v>
      </c>
      <c r="J767" s="311">
        <f t="shared" si="334"/>
        <v>7.6689999999374878</v>
      </c>
      <c r="K767" s="311"/>
      <c r="L767" s="311">
        <f t="shared" ref="L767:O767" si="335">SUM(L757:L765)</f>
        <v>8.3090000001124054</v>
      </c>
      <c r="M767" s="311">
        <f t="shared" si="335"/>
        <v>0.67100000000362992</v>
      </c>
      <c r="N767" s="311">
        <f t="shared" si="335"/>
        <v>0.21300000000465258</v>
      </c>
      <c r="O767" s="311">
        <f t="shared" si="335"/>
        <v>9.1930000001206871</v>
      </c>
    </row>
    <row r="768" spans="1:15" s="236" customFormat="1" x14ac:dyDescent="0.2">
      <c r="A768" s="237"/>
      <c r="B768" s="237"/>
      <c r="C768" s="237"/>
      <c r="D768" s="237"/>
      <c r="E768" s="237"/>
      <c r="F768" s="237"/>
      <c r="G768" s="237"/>
      <c r="H768" s="237"/>
      <c r="I768" s="237"/>
      <c r="J768" s="237"/>
      <c r="K768" s="237"/>
      <c r="L768" s="237"/>
      <c r="M768" s="237"/>
      <c r="N768" s="240"/>
    </row>
    <row r="769" spans="1:15" s="236" customFormat="1" x14ac:dyDescent="0.2">
      <c r="A769" s="237"/>
      <c r="B769" s="237"/>
      <c r="C769" s="237"/>
      <c r="D769" s="237"/>
      <c r="E769" s="237"/>
      <c r="F769" s="237"/>
      <c r="G769" s="237"/>
      <c r="H769" s="237"/>
      <c r="I769" s="237"/>
      <c r="J769" s="237"/>
      <c r="K769" s="237"/>
      <c r="L769" s="237"/>
      <c r="M769" s="237"/>
      <c r="N769" s="240"/>
      <c r="O769" s="251" t="s">
        <v>35</v>
      </c>
    </row>
    <row r="770" spans="1:15" s="236" customFormat="1" x14ac:dyDescent="0.2">
      <c r="A770" s="242"/>
      <c r="B770" s="242"/>
      <c r="C770" s="242"/>
      <c r="D770" s="242"/>
      <c r="E770" s="242"/>
      <c r="F770" s="242"/>
      <c r="G770" s="242"/>
      <c r="H770" s="242"/>
      <c r="I770" s="242"/>
      <c r="J770" s="242"/>
      <c r="K770" s="242"/>
      <c r="L770" s="242"/>
      <c r="M770" s="242"/>
      <c r="N770" s="242"/>
      <c r="O770" s="242"/>
    </row>
    <row r="771" spans="1:15" s="236" customFormat="1" x14ac:dyDescent="0.2">
      <c r="A771" s="241" t="str">
        <f>name!A48</f>
        <v>Computing services</v>
      </c>
      <c r="B771" s="374">
        <f>$B$6</f>
        <v>2015</v>
      </c>
      <c r="C771" s="374"/>
      <c r="D771" s="374"/>
      <c r="E771" s="374"/>
      <c r="F771" s="263"/>
      <c r="G771" s="374">
        <f>$G$6</f>
        <v>2020</v>
      </c>
      <c r="H771" s="374"/>
      <c r="I771" s="374"/>
      <c r="J771" s="374"/>
      <c r="K771" s="263"/>
      <c r="L771" s="374">
        <f>$L$6</f>
        <v>2035</v>
      </c>
      <c r="M771" s="374"/>
      <c r="N771" s="374"/>
      <c r="O771" s="374"/>
    </row>
    <row r="772" spans="1:15" s="236" customFormat="1" x14ac:dyDescent="0.2">
      <c r="A772" s="254"/>
      <c r="B772" s="268" t="str">
        <f>$B$7</f>
        <v>FT</v>
      </c>
      <c r="C772" s="268" t="str">
        <f>$C$7</f>
        <v>PT</v>
      </c>
      <c r="D772" s="268" t="str">
        <f>$D$7</f>
        <v>SE</v>
      </c>
      <c r="E772" s="268" t="str">
        <f>$E$7</f>
        <v>Total</v>
      </c>
      <c r="F772" s="268"/>
      <c r="G772" s="268" t="str">
        <f>$G$7</f>
        <v>FT</v>
      </c>
      <c r="H772" s="268" t="str">
        <f>$H$7</f>
        <v>PT</v>
      </c>
      <c r="I772" s="268" t="str">
        <f>$I$7</f>
        <v>SE</v>
      </c>
      <c r="J772" s="268" t="str">
        <f>$J$7</f>
        <v>Total</v>
      </c>
      <c r="K772" s="268"/>
      <c r="L772" s="268" t="str">
        <f>$L$7</f>
        <v>FT</v>
      </c>
      <c r="M772" s="268" t="str">
        <f>$M$7</f>
        <v>PT</v>
      </c>
      <c r="N772" s="268" t="str">
        <f>$N$7</f>
        <v>SE</v>
      </c>
      <c r="O772" s="268" t="str">
        <f>$O$7</f>
        <v>Total</v>
      </c>
    </row>
    <row r="773" spans="1:15" s="236" customFormat="1" x14ac:dyDescent="0.2">
      <c r="A773" s="258"/>
      <c r="B773" s="239"/>
      <c r="C773" s="239"/>
      <c r="D773" s="239"/>
      <c r="E773" s="239"/>
      <c r="F773" s="239"/>
      <c r="G773" s="239"/>
      <c r="H773" s="239"/>
      <c r="I773" s="239"/>
      <c r="J773" s="239"/>
      <c r="K773" s="239"/>
      <c r="L773" s="239"/>
      <c r="M773" s="239"/>
      <c r="N773" s="239"/>
      <c r="O773" s="239"/>
    </row>
    <row r="774" spans="1:15" s="236" customFormat="1" x14ac:dyDescent="0.2">
      <c r="A774" s="237" t="str">
        <f>name!E$4</f>
        <v>Managers, directors and senior officials</v>
      </c>
      <c r="B774" s="302">
        <v>1.2666281368317003</v>
      </c>
      <c r="C774" s="302">
        <v>0.28245472337638855</v>
      </c>
      <c r="D774" s="302">
        <v>0.12115335818973304</v>
      </c>
      <c r="E774" s="302">
        <f>SUM(B774:D774)</f>
        <v>1.6702362183978219</v>
      </c>
      <c r="F774" s="303"/>
      <c r="G774" s="302">
        <v>1.0753458529731246</v>
      </c>
      <c r="H774" s="302">
        <v>0.1494498368958507</v>
      </c>
      <c r="I774" s="302">
        <v>0.12674130227299868</v>
      </c>
      <c r="J774" s="302">
        <f>SUM(G774:I774)</f>
        <v>1.351536992141974</v>
      </c>
      <c r="K774" s="303"/>
      <c r="L774" s="302">
        <v>1.2465458494157178</v>
      </c>
      <c r="M774" s="302">
        <v>0.18670663236785415</v>
      </c>
      <c r="N774" s="302">
        <v>0.1384389996100531</v>
      </c>
      <c r="O774" s="302">
        <f>SUM(L774:N774)</f>
        <v>1.5716914813936249</v>
      </c>
    </row>
    <row r="775" spans="1:15" s="236" customFormat="1" x14ac:dyDescent="0.2">
      <c r="A775" s="237" t="str">
        <f>name!E$5</f>
        <v>Professional occupations</v>
      </c>
      <c r="B775" s="302">
        <v>5.9968508636184401</v>
      </c>
      <c r="C775" s="302">
        <v>0.2998852587256659</v>
      </c>
      <c r="D775" s="302">
        <v>0.39356216218095846</v>
      </c>
      <c r="E775" s="302">
        <f t="shared" ref="E775:E782" si="336">SUM(B775:D775)</f>
        <v>6.6902982845250643</v>
      </c>
      <c r="F775" s="303"/>
      <c r="G775" s="302">
        <v>5.8806878682084003</v>
      </c>
      <c r="H775" s="302">
        <v>0.1586290394691442</v>
      </c>
      <c r="I775" s="302">
        <v>0.32396079779609493</v>
      </c>
      <c r="J775" s="302">
        <f t="shared" ref="J775:J777" si="337">SUM(G775:I775)</f>
        <v>6.3632777054736387</v>
      </c>
      <c r="K775" s="303"/>
      <c r="L775" s="302">
        <v>7.6233054497204069</v>
      </c>
      <c r="M775" s="302">
        <v>0.21598528624200666</v>
      </c>
      <c r="N775" s="302">
        <v>0.37297294488367866</v>
      </c>
      <c r="O775" s="302">
        <f t="shared" ref="O775:O782" si="338">SUM(L775:N775)</f>
        <v>8.2122636808460925</v>
      </c>
    </row>
    <row r="776" spans="1:15" s="236" customFormat="1" x14ac:dyDescent="0.2">
      <c r="A776" s="237" t="str">
        <f>name!E$6</f>
        <v>Associate professional occupations</v>
      </c>
      <c r="B776" s="302">
        <v>2.8997644306170365</v>
      </c>
      <c r="C776" s="302">
        <v>0.31126260757519753</v>
      </c>
      <c r="D776" s="302">
        <v>0.22437989674098366</v>
      </c>
      <c r="E776" s="302">
        <f t="shared" si="336"/>
        <v>3.4354069349332175</v>
      </c>
      <c r="F776" s="303"/>
      <c r="G776" s="302">
        <v>2.6146606402869312</v>
      </c>
      <c r="H776" s="302">
        <v>0.17110066608911281</v>
      </c>
      <c r="I776" s="302">
        <v>0.28331833704308923</v>
      </c>
      <c r="J776" s="302">
        <f t="shared" si="337"/>
        <v>3.0690796434191334</v>
      </c>
      <c r="K776" s="303"/>
      <c r="L776" s="302">
        <v>3.1253857398722276</v>
      </c>
      <c r="M776" s="302">
        <v>0.17239904361378378</v>
      </c>
      <c r="N776" s="302">
        <v>0.31660061657342864</v>
      </c>
      <c r="O776" s="302">
        <f t="shared" si="338"/>
        <v>3.6143854000594398</v>
      </c>
    </row>
    <row r="777" spans="1:15" s="236" customFormat="1" x14ac:dyDescent="0.2">
      <c r="A777" s="237" t="str">
        <f>name!E$7</f>
        <v>Administrative and secretarial occupations</v>
      </c>
      <c r="B777" s="302">
        <v>1.5813371079068772</v>
      </c>
      <c r="C777" s="302">
        <v>0.72330184934127739</v>
      </c>
      <c r="D777" s="302">
        <v>4.0002902051345206E-2</v>
      </c>
      <c r="E777" s="302">
        <f t="shared" si="336"/>
        <v>2.3446418592994998</v>
      </c>
      <c r="F777" s="303"/>
      <c r="G777" s="302">
        <v>1.0707062989310179</v>
      </c>
      <c r="H777" s="302">
        <v>0.24782619991084687</v>
      </c>
      <c r="I777" s="302">
        <v>5.4736943395413462E-2</v>
      </c>
      <c r="J777" s="302">
        <f t="shared" si="337"/>
        <v>1.3732694422372782</v>
      </c>
      <c r="K777" s="303"/>
      <c r="L777" s="302">
        <v>1.031037918654069</v>
      </c>
      <c r="M777" s="302">
        <v>0.25576786565017395</v>
      </c>
      <c r="N777" s="302">
        <v>3.7987184629585682E-2</v>
      </c>
      <c r="O777" s="302">
        <f t="shared" si="338"/>
        <v>1.3247929689338287</v>
      </c>
    </row>
    <row r="778" spans="1:15" s="236" customFormat="1" x14ac:dyDescent="0.2">
      <c r="A778" s="237" t="str">
        <f>name!E$8</f>
        <v>Skilled trades occupations</v>
      </c>
      <c r="B778" s="302">
        <v>0.77869036984516371</v>
      </c>
      <c r="C778" s="302">
        <v>0.14466059787016253</v>
      </c>
      <c r="D778" s="302">
        <v>0.16152146661480937</v>
      </c>
      <c r="E778" s="302">
        <f t="shared" si="336"/>
        <v>1.0848724343301357</v>
      </c>
      <c r="F778" s="303"/>
      <c r="G778" s="302">
        <v>0.5427954841807251</v>
      </c>
      <c r="H778" s="302">
        <v>5.231140493622248E-2</v>
      </c>
      <c r="I778" s="302">
        <v>8.2100015288754546E-2</v>
      </c>
      <c r="J778" s="302">
        <f>SUM(G778:I778)</f>
        <v>0.67720690440570208</v>
      </c>
      <c r="K778" s="303"/>
      <c r="L778" s="302">
        <v>0.38305351485614447</v>
      </c>
      <c r="M778" s="302">
        <v>6.7226695965020761E-2</v>
      </c>
      <c r="N778" s="302">
        <v>0.16369755189211765</v>
      </c>
      <c r="O778" s="302">
        <f t="shared" si="338"/>
        <v>0.61397776271328286</v>
      </c>
    </row>
    <row r="779" spans="1:15" s="236" customFormat="1" x14ac:dyDescent="0.2">
      <c r="A779" s="237" t="str">
        <f>name!E$9</f>
        <v>Caring, leisure and other service occupations</v>
      </c>
      <c r="B779" s="302">
        <v>0.34619197797984597</v>
      </c>
      <c r="C779" s="302">
        <v>5.0229722024935322E-2</v>
      </c>
      <c r="D779" s="302">
        <v>2.8060208954489668E-2</v>
      </c>
      <c r="E779" s="302">
        <f t="shared" si="336"/>
        <v>0.42448190895927096</v>
      </c>
      <c r="F779" s="303"/>
      <c r="G779" s="302">
        <v>0.25790822265918145</v>
      </c>
      <c r="H779" s="302">
        <v>2.778375301247045E-2</v>
      </c>
      <c r="I779" s="302">
        <v>4.1387176483808338E-2</v>
      </c>
      <c r="J779" s="302">
        <f t="shared" ref="J779:J782" si="339">SUM(G779:I779)</f>
        <v>0.32707915215546024</v>
      </c>
      <c r="K779" s="303"/>
      <c r="L779" s="302">
        <v>0.39883398684798205</v>
      </c>
      <c r="M779" s="302">
        <v>3.2800440824117295E-2</v>
      </c>
      <c r="N779" s="302">
        <v>6.6575535254681406E-2</v>
      </c>
      <c r="O779" s="302">
        <f t="shared" si="338"/>
        <v>0.49820996292678077</v>
      </c>
    </row>
    <row r="780" spans="1:15" s="236" customFormat="1" x14ac:dyDescent="0.2">
      <c r="A780" s="237" t="str">
        <f>name!E$10</f>
        <v>Sales and customer service occupations</v>
      </c>
      <c r="B780" s="302">
        <v>0.53789626713805128</v>
      </c>
      <c r="C780" s="302">
        <v>0.24679373152343492</v>
      </c>
      <c r="D780" s="302">
        <v>1.8431662753552944E-2</v>
      </c>
      <c r="E780" s="302">
        <f t="shared" si="336"/>
        <v>0.80312166141503905</v>
      </c>
      <c r="F780" s="303"/>
      <c r="G780" s="302">
        <v>0.31264496089429117</v>
      </c>
      <c r="H780" s="302">
        <v>9.98337217217454E-2</v>
      </c>
      <c r="I780" s="302">
        <v>1.7761732035980922E-2</v>
      </c>
      <c r="J780" s="302">
        <f t="shared" si="339"/>
        <v>0.43024041465201751</v>
      </c>
      <c r="K780" s="303"/>
      <c r="L780" s="302">
        <v>0.4102367581744682</v>
      </c>
      <c r="M780" s="302">
        <v>0.16430355017042733</v>
      </c>
      <c r="N780" s="302">
        <v>2.7484043305596957E-2</v>
      </c>
      <c r="O780" s="302">
        <f t="shared" si="338"/>
        <v>0.60202435165049251</v>
      </c>
    </row>
    <row r="781" spans="1:15" s="236" customFormat="1" x14ac:dyDescent="0.2">
      <c r="A781" s="237" t="str">
        <f>name!E$11</f>
        <v>Process, plant and machine operatives</v>
      </c>
      <c r="B781" s="302">
        <v>8.2092933167920421E-2</v>
      </c>
      <c r="C781" s="302">
        <v>9.3872945790685641E-2</v>
      </c>
      <c r="D781" s="302">
        <v>4.0231215425883288E-2</v>
      </c>
      <c r="E781" s="302">
        <f t="shared" si="336"/>
        <v>0.21619709438448934</v>
      </c>
      <c r="F781" s="303"/>
      <c r="G781" s="302">
        <v>4.6361787684687926E-2</v>
      </c>
      <c r="H781" s="302">
        <v>5.8205511494124791E-2</v>
      </c>
      <c r="I781" s="302">
        <v>3.4582438934707499E-2</v>
      </c>
      <c r="J781" s="302">
        <f t="shared" si="339"/>
        <v>0.13914973811352022</v>
      </c>
      <c r="K781" s="303"/>
      <c r="L781" s="302">
        <v>5.706917444049997E-2</v>
      </c>
      <c r="M781" s="302">
        <v>6.7801565118597612E-2</v>
      </c>
      <c r="N781" s="302">
        <v>6.5491395497252455E-2</v>
      </c>
      <c r="O781" s="302">
        <f t="shared" si="338"/>
        <v>0.19036213505635002</v>
      </c>
    </row>
    <row r="782" spans="1:15" s="236" customFormat="1" x14ac:dyDescent="0.2">
      <c r="A782" s="237" t="str">
        <f>name!E$12</f>
        <v>Elementary occupations</v>
      </c>
      <c r="B782" s="302">
        <v>0.16454791268043517</v>
      </c>
      <c r="C782" s="302">
        <v>7.2538563758849484E-2</v>
      </c>
      <c r="D782" s="302">
        <v>9.2657127090553043E-2</v>
      </c>
      <c r="E782" s="302">
        <f t="shared" si="336"/>
        <v>0.32974360352983767</v>
      </c>
      <c r="F782" s="303"/>
      <c r="G782" s="302">
        <v>9.8888884059572121E-2</v>
      </c>
      <c r="H782" s="302">
        <v>2.785986647185941E-2</v>
      </c>
      <c r="I782" s="302">
        <v>8.7411256747758362E-2</v>
      </c>
      <c r="J782" s="302">
        <f t="shared" si="339"/>
        <v>0.21416000727918988</v>
      </c>
      <c r="K782" s="303"/>
      <c r="L782" s="302">
        <v>8.553160822740663E-2</v>
      </c>
      <c r="M782" s="302">
        <v>2.1008920052548685E-2</v>
      </c>
      <c r="N782" s="302">
        <v>0.14175172836591127</v>
      </c>
      <c r="O782" s="302">
        <f t="shared" si="338"/>
        <v>0.24829225664586657</v>
      </c>
    </row>
    <row r="783" spans="1:15" s="236" customFormat="1" x14ac:dyDescent="0.2">
      <c r="A783" s="237"/>
      <c r="B783" s="302"/>
      <c r="C783" s="302"/>
      <c r="D783" s="302"/>
      <c r="E783" s="302"/>
      <c r="F783" s="303"/>
      <c r="G783" s="302"/>
      <c r="H783" s="302"/>
      <c r="I783" s="302"/>
      <c r="J783" s="302"/>
      <c r="K783" s="303"/>
      <c r="L783" s="302"/>
      <c r="M783" s="302"/>
      <c r="N783" s="302"/>
      <c r="O783" s="302"/>
    </row>
    <row r="784" spans="1:15" s="236" customFormat="1" x14ac:dyDescent="0.2">
      <c r="A784" s="244" t="s">
        <v>32</v>
      </c>
      <c r="B784" s="311">
        <f>SUM(B774:B782)</f>
        <v>13.653999999785471</v>
      </c>
      <c r="C784" s="311">
        <f t="shared" ref="C784:E784" si="340">SUM(C774:C782)</f>
        <v>2.224999999986597</v>
      </c>
      <c r="D784" s="311">
        <f t="shared" si="340"/>
        <v>1.1200000000023085</v>
      </c>
      <c r="E784" s="311">
        <f t="shared" si="340"/>
        <v>16.998999999774377</v>
      </c>
      <c r="F784" s="311"/>
      <c r="G784" s="311">
        <f t="shared" ref="G784:J784" si="341">SUM(G774:G782)</f>
        <v>11.899999999877934</v>
      </c>
      <c r="H784" s="311">
        <f t="shared" si="341"/>
        <v>0.99300000000137711</v>
      </c>
      <c r="I784" s="311">
        <f t="shared" si="341"/>
        <v>1.0519999999986058</v>
      </c>
      <c r="J784" s="311">
        <f t="shared" si="341"/>
        <v>13.944999999877915</v>
      </c>
      <c r="K784" s="311"/>
      <c r="L784" s="311">
        <f t="shared" ref="L784:O784" si="342">SUM(L774:L782)</f>
        <v>14.361000000208922</v>
      </c>
      <c r="M784" s="311">
        <f t="shared" si="342"/>
        <v>1.1840000000045303</v>
      </c>
      <c r="N784" s="311">
        <f t="shared" si="342"/>
        <v>1.3310000000123059</v>
      </c>
      <c r="O784" s="311">
        <f t="shared" si="342"/>
        <v>16.876000000225762</v>
      </c>
    </row>
    <row r="785" spans="1:15" s="236" customFormat="1" x14ac:dyDescent="0.2">
      <c r="A785" s="237"/>
      <c r="B785" s="237"/>
      <c r="C785" s="237"/>
      <c r="D785" s="237"/>
      <c r="E785" s="237"/>
      <c r="F785" s="237"/>
      <c r="G785" s="237"/>
      <c r="H785" s="237"/>
      <c r="I785" s="237"/>
      <c r="J785" s="237"/>
      <c r="K785" s="237"/>
      <c r="L785" s="237"/>
      <c r="M785" s="237"/>
      <c r="N785" s="240"/>
    </row>
    <row r="786" spans="1:15" s="236" customFormat="1" x14ac:dyDescent="0.2">
      <c r="A786" s="237"/>
      <c r="B786" s="237"/>
      <c r="C786" s="237"/>
      <c r="D786" s="237"/>
      <c r="E786" s="237"/>
      <c r="F786" s="237"/>
      <c r="G786" s="237"/>
      <c r="H786" s="237"/>
      <c r="I786" s="237"/>
      <c r="J786" s="237"/>
      <c r="K786" s="237"/>
      <c r="L786" s="237"/>
      <c r="M786" s="237"/>
      <c r="N786" s="240"/>
      <c r="O786" s="251" t="s">
        <v>35</v>
      </c>
    </row>
    <row r="787" spans="1:15" s="236" customFormat="1" x14ac:dyDescent="0.2">
      <c r="A787" s="242"/>
      <c r="B787" s="242"/>
      <c r="C787" s="242"/>
      <c r="D787" s="242"/>
      <c r="E787" s="242"/>
      <c r="F787" s="242"/>
      <c r="G787" s="242"/>
      <c r="H787" s="242"/>
      <c r="I787" s="242"/>
      <c r="J787" s="242"/>
      <c r="K787" s="242"/>
      <c r="L787" s="242"/>
      <c r="M787" s="242"/>
      <c r="N787" s="242"/>
      <c r="O787" s="242"/>
    </row>
    <row r="788" spans="1:15" s="236" customFormat="1" x14ac:dyDescent="0.2">
      <c r="A788" s="241" t="str">
        <f>name!A49</f>
        <v>Information services</v>
      </c>
      <c r="B788" s="374">
        <f>$B$6</f>
        <v>2015</v>
      </c>
      <c r="C788" s="374"/>
      <c r="D788" s="374"/>
      <c r="E788" s="374"/>
      <c r="F788" s="263"/>
      <c r="G788" s="374">
        <f>$G$6</f>
        <v>2020</v>
      </c>
      <c r="H788" s="374"/>
      <c r="I788" s="374"/>
      <c r="J788" s="374"/>
      <c r="K788" s="263"/>
      <c r="L788" s="374">
        <f>$L$6</f>
        <v>2035</v>
      </c>
      <c r="M788" s="374"/>
      <c r="N788" s="374"/>
      <c r="O788" s="374"/>
    </row>
    <row r="789" spans="1:15" s="236" customFormat="1" x14ac:dyDescent="0.2">
      <c r="A789" s="254"/>
      <c r="B789" s="268" t="str">
        <f>$B$7</f>
        <v>FT</v>
      </c>
      <c r="C789" s="268" t="str">
        <f>$C$7</f>
        <v>PT</v>
      </c>
      <c r="D789" s="268" t="str">
        <f>$D$7</f>
        <v>SE</v>
      </c>
      <c r="E789" s="268" t="str">
        <f>$E$7</f>
        <v>Total</v>
      </c>
      <c r="F789" s="268"/>
      <c r="G789" s="268" t="str">
        <f>$G$7</f>
        <v>FT</v>
      </c>
      <c r="H789" s="268" t="str">
        <f>$H$7</f>
        <v>PT</v>
      </c>
      <c r="I789" s="268" t="str">
        <f>$I$7</f>
        <v>SE</v>
      </c>
      <c r="J789" s="268" t="str">
        <f>$J$7</f>
        <v>Total</v>
      </c>
      <c r="K789" s="268"/>
      <c r="L789" s="268" t="str">
        <f>$L$7</f>
        <v>FT</v>
      </c>
      <c r="M789" s="268" t="str">
        <f>$M$7</f>
        <v>PT</v>
      </c>
      <c r="N789" s="268" t="str">
        <f>$N$7</f>
        <v>SE</v>
      </c>
      <c r="O789" s="268" t="str">
        <f>$O$7</f>
        <v>Total</v>
      </c>
    </row>
    <row r="790" spans="1:15" s="236" customFormat="1" x14ac:dyDescent="0.2">
      <c r="A790" s="258"/>
      <c r="B790" s="239"/>
      <c r="C790" s="239"/>
      <c r="D790" s="239"/>
      <c r="E790" s="239"/>
      <c r="F790" s="239"/>
      <c r="G790" s="239"/>
      <c r="H790" s="239"/>
      <c r="I790" s="239"/>
      <c r="J790" s="239"/>
      <c r="K790" s="239"/>
      <c r="L790" s="239"/>
      <c r="M790" s="239"/>
      <c r="N790" s="239"/>
      <c r="O790" s="239"/>
    </row>
    <row r="791" spans="1:15" s="236" customFormat="1" x14ac:dyDescent="0.2">
      <c r="A791" s="237" t="str">
        <f>name!E$4</f>
        <v>Managers, directors and senior officials</v>
      </c>
      <c r="B791" s="302">
        <v>7.1282293372646979E-2</v>
      </c>
      <c r="C791" s="302">
        <v>2.7678036699320622E-3</v>
      </c>
      <c r="D791" s="302">
        <v>7.9785412219462466E-3</v>
      </c>
      <c r="E791" s="302">
        <f>SUM(B791:D791)</f>
        <v>8.2028638264525292E-2</v>
      </c>
      <c r="F791" s="303"/>
      <c r="G791" s="302">
        <v>0.18941091466608118</v>
      </c>
      <c r="H791" s="302">
        <v>2.5850542000295646E-2</v>
      </c>
      <c r="I791" s="302">
        <v>2.7400879022867593E-2</v>
      </c>
      <c r="J791" s="302">
        <f>SUM(G791:I791)</f>
        <v>0.24266233568924442</v>
      </c>
      <c r="K791" s="303"/>
      <c r="L791" s="302">
        <v>0.20932410055183104</v>
      </c>
      <c r="M791" s="302">
        <v>2.6994157894098557E-2</v>
      </c>
      <c r="N791" s="302">
        <v>2.4665150628534645E-2</v>
      </c>
      <c r="O791" s="302">
        <f>SUM(L791:N791)</f>
        <v>0.26098340907446427</v>
      </c>
    </row>
    <row r="792" spans="1:15" s="236" customFormat="1" x14ac:dyDescent="0.2">
      <c r="A792" s="237" t="str">
        <f>name!E$5</f>
        <v>Professional occupations</v>
      </c>
      <c r="B792" s="302">
        <v>0.28370725409674491</v>
      </c>
      <c r="C792" s="302">
        <v>3.7845275919377243E-3</v>
      </c>
      <c r="D792" s="302">
        <v>1.4753082234757511E-2</v>
      </c>
      <c r="E792" s="302">
        <f t="shared" ref="E792:E799" si="343">SUM(B792:D792)</f>
        <v>0.30224486392344013</v>
      </c>
      <c r="F792" s="303"/>
      <c r="G792" s="302">
        <v>0.83806723731644173</v>
      </c>
      <c r="H792" s="302">
        <v>3.154203518524127E-2</v>
      </c>
      <c r="I792" s="302">
        <v>3.9311443761180981E-2</v>
      </c>
      <c r="J792" s="302">
        <f t="shared" ref="J792:J794" si="344">SUM(G792:I792)</f>
        <v>0.90892071626286397</v>
      </c>
      <c r="K792" s="303"/>
      <c r="L792" s="302">
        <v>1.006262280716391</v>
      </c>
      <c r="M792" s="302">
        <v>3.6346368775284861E-2</v>
      </c>
      <c r="N792" s="302">
        <v>2.7424184443588424E-2</v>
      </c>
      <c r="O792" s="302">
        <f t="shared" ref="O792:O799" si="345">SUM(L792:N792)</f>
        <v>1.0700328339352645</v>
      </c>
    </row>
    <row r="793" spans="1:15" s="236" customFormat="1" x14ac:dyDescent="0.2">
      <c r="A793" s="237" t="str">
        <f>name!E$6</f>
        <v>Associate professional occupations</v>
      </c>
      <c r="B793" s="302">
        <v>0.16663146010472779</v>
      </c>
      <c r="C793" s="302">
        <v>5.9462995762722907E-3</v>
      </c>
      <c r="D793" s="302">
        <v>1.7672463756551217E-2</v>
      </c>
      <c r="E793" s="302">
        <f t="shared" si="343"/>
        <v>0.1902502234375513</v>
      </c>
      <c r="F793" s="303"/>
      <c r="G793" s="302">
        <v>0.4621559034564125</v>
      </c>
      <c r="H793" s="302">
        <v>4.4354950589667701E-2</v>
      </c>
      <c r="I793" s="302">
        <v>7.0454741044803731E-2</v>
      </c>
      <c r="J793" s="302">
        <f t="shared" si="344"/>
        <v>0.57696559509088396</v>
      </c>
      <c r="K793" s="303"/>
      <c r="L793" s="302">
        <v>0.51000688961084761</v>
      </c>
      <c r="M793" s="302">
        <v>4.6033958937152279E-2</v>
      </c>
      <c r="N793" s="302">
        <v>5.9796812124826591E-2</v>
      </c>
      <c r="O793" s="302">
        <f t="shared" si="345"/>
        <v>0.61583766067282641</v>
      </c>
    </row>
    <row r="794" spans="1:15" s="236" customFormat="1" x14ac:dyDescent="0.2">
      <c r="A794" s="237" t="str">
        <f>name!E$7</f>
        <v>Administrative and secretarial occupations</v>
      </c>
      <c r="B794" s="302">
        <v>0.14576941096321552</v>
      </c>
      <c r="C794" s="302">
        <v>1.7393371991612328E-2</v>
      </c>
      <c r="D794" s="302">
        <v>3.7347333397731194E-3</v>
      </c>
      <c r="E794" s="302">
        <f t="shared" si="343"/>
        <v>0.16689751629460098</v>
      </c>
      <c r="F794" s="303"/>
      <c r="G794" s="302">
        <v>0.32900763909235237</v>
      </c>
      <c r="H794" s="302">
        <v>9.6475104823332547E-2</v>
      </c>
      <c r="I794" s="302">
        <v>1.6189480767477178E-2</v>
      </c>
      <c r="J794" s="302">
        <f t="shared" si="344"/>
        <v>0.44167222468316208</v>
      </c>
      <c r="K794" s="303"/>
      <c r="L794" s="302">
        <v>0.35599569257072056</v>
      </c>
      <c r="M794" s="302">
        <v>0.10824845375957792</v>
      </c>
      <c r="N794" s="302">
        <v>8.1635126029521339E-3</v>
      </c>
      <c r="O794" s="302">
        <f t="shared" si="345"/>
        <v>0.4724076589332506</v>
      </c>
    </row>
    <row r="795" spans="1:15" s="236" customFormat="1" x14ac:dyDescent="0.2">
      <c r="A795" s="237" t="str">
        <f>name!E$8</f>
        <v>Skilled trades occupations</v>
      </c>
      <c r="B795" s="302">
        <v>5.5144159188835661E-2</v>
      </c>
      <c r="C795" s="302">
        <v>1.7973732816314327E-3</v>
      </c>
      <c r="D795" s="302">
        <v>1.0440830308197521E-2</v>
      </c>
      <c r="E795" s="302">
        <f t="shared" si="343"/>
        <v>6.7382362778664606E-2</v>
      </c>
      <c r="F795" s="303"/>
      <c r="G795" s="302">
        <v>0.11731484347640982</v>
      </c>
      <c r="H795" s="302">
        <v>1.0936373807729351E-2</v>
      </c>
      <c r="I795" s="302">
        <v>1.8089043816824031E-2</v>
      </c>
      <c r="J795" s="302">
        <f>SUM(G795:I795)</f>
        <v>0.14634026110096318</v>
      </c>
      <c r="K795" s="303"/>
      <c r="L795" s="302">
        <v>8.0674999331384209E-2</v>
      </c>
      <c r="M795" s="302">
        <v>1.1122327346962668E-2</v>
      </c>
      <c r="N795" s="302">
        <v>2.2767001541399243E-2</v>
      </c>
      <c r="O795" s="302">
        <f t="shared" si="345"/>
        <v>0.11456432821974612</v>
      </c>
    </row>
    <row r="796" spans="1:15" s="236" customFormat="1" x14ac:dyDescent="0.2">
      <c r="A796" s="237" t="str">
        <f>name!E$9</f>
        <v>Caring, leisure and other service occupations</v>
      </c>
      <c r="B796" s="302">
        <v>3.8333097296045955E-2</v>
      </c>
      <c r="C796" s="302">
        <v>5.8168128693165295E-3</v>
      </c>
      <c r="D796" s="302">
        <v>6.2050402544867322E-3</v>
      </c>
      <c r="E796" s="302">
        <f t="shared" si="343"/>
        <v>5.035495041984922E-2</v>
      </c>
      <c r="F796" s="303"/>
      <c r="G796" s="302">
        <v>9.3377607287861528E-2</v>
      </c>
      <c r="H796" s="302">
        <v>3.809735795852115E-2</v>
      </c>
      <c r="I796" s="302">
        <v>3.2634807394491691E-2</v>
      </c>
      <c r="J796" s="302">
        <f t="shared" ref="J796:J799" si="346">SUM(G796:I796)</f>
        <v>0.1641097726408744</v>
      </c>
      <c r="K796" s="303"/>
      <c r="L796" s="302">
        <v>0.13880838962245426</v>
      </c>
      <c r="M796" s="302">
        <v>4.7262223658807626E-2</v>
      </c>
      <c r="N796" s="302">
        <v>4.2156119488061784E-2</v>
      </c>
      <c r="O796" s="302">
        <f t="shared" si="345"/>
        <v>0.22822673276932368</v>
      </c>
    </row>
    <row r="797" spans="1:15" s="236" customFormat="1" x14ac:dyDescent="0.2">
      <c r="A797" s="237" t="str">
        <f>name!E$10</f>
        <v>Sales and customer service occupations</v>
      </c>
      <c r="B797" s="302">
        <v>7.8427776749531108E-2</v>
      </c>
      <c r="C797" s="302">
        <v>8.1861581168631188E-3</v>
      </c>
      <c r="D797" s="302">
        <v>2.2095479536799211E-3</v>
      </c>
      <c r="E797" s="302">
        <f t="shared" si="343"/>
        <v>8.8823482820074143E-2</v>
      </c>
      <c r="F797" s="303"/>
      <c r="G797" s="302">
        <v>0.17820877079738631</v>
      </c>
      <c r="H797" s="302">
        <v>6.7725296497244653E-2</v>
      </c>
      <c r="I797" s="302">
        <v>5.7177574473621668E-3</v>
      </c>
      <c r="J797" s="302">
        <f t="shared" si="346"/>
        <v>0.25165182474199316</v>
      </c>
      <c r="K797" s="303"/>
      <c r="L797" s="302">
        <v>0.26050559550405311</v>
      </c>
      <c r="M797" s="302">
        <v>0.12770541930164458</v>
      </c>
      <c r="N797" s="302">
        <v>4.6196079946978497E-3</v>
      </c>
      <c r="O797" s="302">
        <f t="shared" si="345"/>
        <v>0.39283062280039555</v>
      </c>
    </row>
    <row r="798" spans="1:15" s="236" customFormat="1" x14ac:dyDescent="0.2">
      <c r="A798" s="237" t="str">
        <f>name!E$11</f>
        <v>Process, plant and machine operatives</v>
      </c>
      <c r="B798" s="302">
        <v>3.6936311502203466E-2</v>
      </c>
      <c r="C798" s="302">
        <v>2.6062197963890783E-3</v>
      </c>
      <c r="D798" s="302">
        <v>2.2499951045173859E-3</v>
      </c>
      <c r="E798" s="302">
        <f t="shared" si="343"/>
        <v>4.1792526403109931E-2</v>
      </c>
      <c r="F798" s="303"/>
      <c r="G798" s="302">
        <v>7.5570983542331646E-2</v>
      </c>
      <c r="H798" s="302">
        <v>3.0425094935215856E-2</v>
      </c>
      <c r="I798" s="302">
        <v>5.6036690824291897E-3</v>
      </c>
      <c r="J798" s="302">
        <f t="shared" si="346"/>
        <v>0.11159974755997669</v>
      </c>
      <c r="K798" s="303"/>
      <c r="L798" s="302">
        <v>9.4654374368329797E-2</v>
      </c>
      <c r="M798" s="302">
        <v>4.3271331129157313E-2</v>
      </c>
      <c r="N798" s="302">
        <v>7.2585560134546439E-3</v>
      </c>
      <c r="O798" s="302">
        <f t="shared" si="345"/>
        <v>0.14518426151094177</v>
      </c>
    </row>
    <row r="799" spans="1:15" s="236" customFormat="1" x14ac:dyDescent="0.2">
      <c r="A799" s="237" t="str">
        <f>name!E$12</f>
        <v>Elementary occupations</v>
      </c>
      <c r="B799" s="302">
        <v>0.28276823671746032</v>
      </c>
      <c r="C799" s="302">
        <v>3.1701433106882809E-2</v>
      </c>
      <c r="D799" s="302">
        <v>3.275576582706665E-2</v>
      </c>
      <c r="E799" s="302">
        <f t="shared" si="343"/>
        <v>0.34722543565140973</v>
      </c>
      <c r="F799" s="303"/>
      <c r="G799" s="302">
        <v>0.67188610034540308</v>
      </c>
      <c r="H799" s="302">
        <v>0.22559324420365676</v>
      </c>
      <c r="I799" s="302">
        <v>0.11959817765941759</v>
      </c>
      <c r="J799" s="302">
        <f t="shared" si="346"/>
        <v>1.0170775222084774</v>
      </c>
      <c r="K799" s="303"/>
      <c r="L799" s="302">
        <v>0.88476767773900433</v>
      </c>
      <c r="M799" s="302">
        <v>0.23401575919382631</v>
      </c>
      <c r="N799" s="302">
        <v>0.20114905516330225</v>
      </c>
      <c r="O799" s="302">
        <f t="shared" si="345"/>
        <v>1.3199324920961328</v>
      </c>
    </row>
    <row r="800" spans="1:15" s="236" customFormat="1" x14ac:dyDescent="0.2">
      <c r="A800" s="237"/>
      <c r="B800" s="302"/>
      <c r="C800" s="302"/>
      <c r="D800" s="302"/>
      <c r="E800" s="302"/>
      <c r="F800" s="303"/>
      <c r="G800" s="302"/>
      <c r="H800" s="302"/>
      <c r="I800" s="302"/>
      <c r="J800" s="302"/>
      <c r="K800" s="303"/>
      <c r="L800" s="302"/>
      <c r="M800" s="302"/>
      <c r="N800" s="302"/>
      <c r="O800" s="302"/>
    </row>
    <row r="801" spans="1:15" s="236" customFormat="1" x14ac:dyDescent="0.2">
      <c r="A801" s="244" t="s">
        <v>32</v>
      </c>
      <c r="B801" s="311">
        <f>SUM(B791:B799)</f>
        <v>1.1589999999914116</v>
      </c>
      <c r="C801" s="311">
        <f t="shared" ref="C801:E801" si="347">SUM(C791:C799)</f>
        <v>8.0000000000837374E-2</v>
      </c>
      <c r="D801" s="311">
        <f t="shared" si="347"/>
        <v>9.8000000000976306E-2</v>
      </c>
      <c r="E801" s="311">
        <f t="shared" si="347"/>
        <v>1.3369999999932252</v>
      </c>
      <c r="F801" s="311"/>
      <c r="G801" s="311">
        <f t="shared" ref="G801:J801" si="348">SUM(G791:G799)</f>
        <v>2.9549999999806804</v>
      </c>
      <c r="H801" s="311">
        <f t="shared" si="348"/>
        <v>0.57100000000090489</v>
      </c>
      <c r="I801" s="311">
        <f t="shared" si="348"/>
        <v>0.33499999999685415</v>
      </c>
      <c r="J801" s="311">
        <f t="shared" si="348"/>
        <v>3.8609999999784388</v>
      </c>
      <c r="K801" s="311"/>
      <c r="L801" s="311">
        <f t="shared" ref="L801:O801" si="349">SUM(L791:L799)</f>
        <v>3.5410000000150159</v>
      </c>
      <c r="M801" s="311">
        <f t="shared" si="349"/>
        <v>0.68099999999651217</v>
      </c>
      <c r="N801" s="311">
        <f t="shared" si="349"/>
        <v>0.39800000000081759</v>
      </c>
      <c r="O801" s="311">
        <f t="shared" si="349"/>
        <v>4.6200000000123458</v>
      </c>
    </row>
    <row r="802" spans="1:15" s="236" customFormat="1" x14ac:dyDescent="0.2">
      <c r="A802" s="237"/>
      <c r="B802" s="237"/>
      <c r="C802" s="237"/>
      <c r="D802" s="237"/>
      <c r="E802" s="237"/>
      <c r="F802" s="237"/>
      <c r="G802" s="237"/>
      <c r="H802" s="237"/>
      <c r="I802" s="237"/>
      <c r="J802" s="237"/>
      <c r="K802" s="237"/>
      <c r="L802" s="237"/>
      <c r="M802" s="237"/>
      <c r="N802" s="240"/>
    </row>
    <row r="803" spans="1:15" s="236" customFormat="1" x14ac:dyDescent="0.2">
      <c r="A803" s="237"/>
      <c r="B803" s="237"/>
      <c r="C803" s="237"/>
      <c r="D803" s="237"/>
      <c r="E803" s="237"/>
      <c r="F803" s="237"/>
      <c r="G803" s="237"/>
      <c r="H803" s="237"/>
      <c r="I803" s="237"/>
      <c r="J803" s="237"/>
      <c r="K803" s="237"/>
      <c r="L803" s="237"/>
      <c r="M803" s="237"/>
      <c r="N803" s="240"/>
      <c r="O803" s="251" t="s">
        <v>35</v>
      </c>
    </row>
    <row r="804" spans="1:15" s="236" customFormat="1" x14ac:dyDescent="0.2">
      <c r="A804" s="242"/>
      <c r="B804" s="242"/>
      <c r="C804" s="242"/>
      <c r="D804" s="242"/>
      <c r="E804" s="242"/>
      <c r="F804" s="242"/>
      <c r="G804" s="242"/>
      <c r="H804" s="242"/>
      <c r="I804" s="242"/>
      <c r="J804" s="242"/>
      <c r="K804" s="242"/>
      <c r="L804" s="242"/>
      <c r="M804" s="242"/>
      <c r="N804" s="242"/>
      <c r="O804" s="242"/>
    </row>
    <row r="805" spans="1:15" s="236" customFormat="1" x14ac:dyDescent="0.2">
      <c r="A805" s="241" t="str">
        <f>name!A50</f>
        <v>Financial services</v>
      </c>
      <c r="B805" s="374">
        <f>$B$6</f>
        <v>2015</v>
      </c>
      <c r="C805" s="374"/>
      <c r="D805" s="374"/>
      <c r="E805" s="374"/>
      <c r="F805" s="263"/>
      <c r="G805" s="374">
        <f>$G$6</f>
        <v>2020</v>
      </c>
      <c r="H805" s="374"/>
      <c r="I805" s="374"/>
      <c r="J805" s="374"/>
      <c r="K805" s="263"/>
      <c r="L805" s="374">
        <f>$L$6</f>
        <v>2035</v>
      </c>
      <c r="M805" s="374"/>
      <c r="N805" s="374"/>
      <c r="O805" s="374"/>
    </row>
    <row r="806" spans="1:15" s="236" customFormat="1" x14ac:dyDescent="0.2">
      <c r="A806" s="254"/>
      <c r="B806" s="268" t="str">
        <f>$B$7</f>
        <v>FT</v>
      </c>
      <c r="C806" s="268" t="str">
        <f>$C$7</f>
        <v>PT</v>
      </c>
      <c r="D806" s="268" t="str">
        <f>$D$7</f>
        <v>SE</v>
      </c>
      <c r="E806" s="268" t="str">
        <f>$E$7</f>
        <v>Total</v>
      </c>
      <c r="F806" s="268"/>
      <c r="G806" s="268" t="str">
        <f>$G$7</f>
        <v>FT</v>
      </c>
      <c r="H806" s="268" t="str">
        <f>$H$7</f>
        <v>PT</v>
      </c>
      <c r="I806" s="268" t="str">
        <f>$I$7</f>
        <v>SE</v>
      </c>
      <c r="J806" s="268" t="str">
        <f>$J$7</f>
        <v>Total</v>
      </c>
      <c r="K806" s="268"/>
      <c r="L806" s="268" t="str">
        <f>$L$7</f>
        <v>FT</v>
      </c>
      <c r="M806" s="268" t="str">
        <f>$M$7</f>
        <v>PT</v>
      </c>
      <c r="N806" s="268" t="str">
        <f>$N$7</f>
        <v>SE</v>
      </c>
      <c r="O806" s="268" t="str">
        <f>$O$7</f>
        <v>Total</v>
      </c>
    </row>
    <row r="807" spans="1:15" s="236" customFormat="1" x14ac:dyDescent="0.2">
      <c r="A807" s="258"/>
      <c r="B807" s="239"/>
      <c r="C807" s="239"/>
      <c r="D807" s="239"/>
      <c r="E807" s="239"/>
      <c r="F807" s="239"/>
      <c r="G807" s="239"/>
      <c r="H807" s="239"/>
      <c r="I807" s="239"/>
      <c r="J807" s="239"/>
      <c r="K807" s="239"/>
      <c r="L807" s="239"/>
      <c r="M807" s="239"/>
      <c r="N807" s="239"/>
      <c r="O807" s="239"/>
    </row>
    <row r="808" spans="1:15" s="236" customFormat="1" x14ac:dyDescent="0.2">
      <c r="A808" s="237" t="str">
        <f>name!E$4</f>
        <v>Managers, directors and senior officials</v>
      </c>
      <c r="B808" s="302">
        <v>1.4376559584687885</v>
      </c>
      <c r="C808" s="302">
        <v>0.4331612593783879</v>
      </c>
      <c r="D808" s="302">
        <v>9.371459376827293E-2</v>
      </c>
      <c r="E808" s="302">
        <f>SUM(B808:D808)</f>
        <v>1.9645318116154493</v>
      </c>
      <c r="F808" s="303"/>
      <c r="G808" s="302">
        <v>1.3854424114374329</v>
      </c>
      <c r="H808" s="302">
        <v>0.52226978453264694</v>
      </c>
      <c r="I808" s="302">
        <v>4.0620338841407123E-2</v>
      </c>
      <c r="J808" s="302">
        <f>SUM(G808:I808)</f>
        <v>1.9483325348114868</v>
      </c>
      <c r="K808" s="303"/>
      <c r="L808" s="302">
        <v>1.4723432385717157</v>
      </c>
      <c r="M808" s="302">
        <v>0.77101475120102192</v>
      </c>
      <c r="N808" s="302">
        <v>4.2883195227477487E-2</v>
      </c>
      <c r="O808" s="302">
        <f>SUM(L808:N808)</f>
        <v>2.2862411850002151</v>
      </c>
    </row>
    <row r="809" spans="1:15" s="236" customFormat="1" x14ac:dyDescent="0.2">
      <c r="A809" s="237" t="str">
        <f>name!E$5</f>
        <v>Professional occupations</v>
      </c>
      <c r="B809" s="302">
        <v>2.2730727757127069</v>
      </c>
      <c r="C809" s="302">
        <v>0.17727082544851241</v>
      </c>
      <c r="D809" s="302">
        <v>1.0904682577343452</v>
      </c>
      <c r="E809" s="302">
        <f t="shared" ref="E809:E816" si="350">SUM(B809:D809)</f>
        <v>3.5408118588955642</v>
      </c>
      <c r="F809" s="303"/>
      <c r="G809" s="302">
        <v>2.5012336387350005</v>
      </c>
      <c r="H809" s="302">
        <v>0.19342046670149785</v>
      </c>
      <c r="I809" s="302">
        <v>4.0005432287830503E-2</v>
      </c>
      <c r="J809" s="302">
        <f t="shared" ref="J809:J811" si="351">SUM(G809:I809)</f>
        <v>2.7346595377243292</v>
      </c>
      <c r="K809" s="303"/>
      <c r="L809" s="302">
        <v>3.1957368116724179</v>
      </c>
      <c r="M809" s="302">
        <v>0.25219459181233356</v>
      </c>
      <c r="N809" s="302">
        <v>3.3479261781359168E-2</v>
      </c>
      <c r="O809" s="302">
        <f t="shared" ref="O809:O816" si="352">SUM(L809:N809)</f>
        <v>3.4814106652661105</v>
      </c>
    </row>
    <row r="810" spans="1:15" s="236" customFormat="1" x14ac:dyDescent="0.2">
      <c r="A810" s="237" t="str">
        <f>name!E$6</f>
        <v>Associate professional occupations</v>
      </c>
      <c r="B810" s="302">
        <v>2.0820509395252027</v>
      </c>
      <c r="C810" s="302">
        <v>0.36619249433835299</v>
      </c>
      <c r="D810" s="302">
        <v>0.28913218060060203</v>
      </c>
      <c r="E810" s="302">
        <f t="shared" si="350"/>
        <v>2.7373756144641574</v>
      </c>
      <c r="F810" s="303"/>
      <c r="G810" s="302">
        <v>2.0501306301601532</v>
      </c>
      <c r="H810" s="302">
        <v>0.31430817577747927</v>
      </c>
      <c r="I810" s="302">
        <v>2.7302786771701597E-2</v>
      </c>
      <c r="J810" s="302">
        <f t="shared" si="351"/>
        <v>2.3917415927093342</v>
      </c>
      <c r="K810" s="303"/>
      <c r="L810" s="302">
        <v>1.9873256816232561</v>
      </c>
      <c r="M810" s="302">
        <v>0.35835084196218292</v>
      </c>
      <c r="N810" s="302">
        <v>2.0938293139339759E-2</v>
      </c>
      <c r="O810" s="302">
        <f t="shared" si="352"/>
        <v>2.3666148167247787</v>
      </c>
    </row>
    <row r="811" spans="1:15" s="236" customFormat="1" x14ac:dyDescent="0.2">
      <c r="A811" s="237" t="str">
        <f>name!E$7</f>
        <v>Administrative and secretarial occupations</v>
      </c>
      <c r="B811" s="302">
        <v>4.541620364585313</v>
      </c>
      <c r="C811" s="302">
        <v>1.7025222684767696</v>
      </c>
      <c r="D811" s="302">
        <v>0.2028595005243623</v>
      </c>
      <c r="E811" s="302">
        <f t="shared" si="350"/>
        <v>6.4470021335864454</v>
      </c>
      <c r="F811" s="303"/>
      <c r="G811" s="302">
        <v>3.8614383267346462</v>
      </c>
      <c r="H811" s="302">
        <v>1.3026822977954795</v>
      </c>
      <c r="I811" s="302">
        <v>4.1452384353997881E-3</v>
      </c>
      <c r="J811" s="302">
        <f t="shared" si="351"/>
        <v>5.1682658629655256</v>
      </c>
      <c r="K811" s="303"/>
      <c r="L811" s="302">
        <v>3.3785179392679425</v>
      </c>
      <c r="M811" s="302">
        <v>0.93932210293903362</v>
      </c>
      <c r="N811" s="302">
        <v>5.1290061053480985E-3</v>
      </c>
      <c r="O811" s="302">
        <f t="shared" si="352"/>
        <v>4.3229690483123244</v>
      </c>
    </row>
    <row r="812" spans="1:15" s="236" customFormat="1" x14ac:dyDescent="0.2">
      <c r="A812" s="237" t="str">
        <f>name!E$8</f>
        <v>Skilled trades occupations</v>
      </c>
      <c r="B812" s="302">
        <v>0.12226447945485473</v>
      </c>
      <c r="C812" s="302">
        <v>1.2601893483010898E-2</v>
      </c>
      <c r="D812" s="302">
        <v>0.16411410972614585</v>
      </c>
      <c r="E812" s="302">
        <f t="shared" si="350"/>
        <v>0.29898048266401145</v>
      </c>
      <c r="F812" s="303"/>
      <c r="G812" s="302">
        <v>8.1297418132257063E-2</v>
      </c>
      <c r="H812" s="302">
        <v>8.9883449607302893E-3</v>
      </c>
      <c r="I812" s="302">
        <v>5.9324614452352297E-3</v>
      </c>
      <c r="J812" s="302">
        <f>SUM(G812:I812)</f>
        <v>9.6218224538222583E-2</v>
      </c>
      <c r="K812" s="303"/>
      <c r="L812" s="302">
        <v>7.8608112169429437E-2</v>
      </c>
      <c r="M812" s="302">
        <v>1.8613803042452269E-2</v>
      </c>
      <c r="N812" s="302">
        <v>6.9329884847196118E-3</v>
      </c>
      <c r="O812" s="302">
        <f t="shared" si="352"/>
        <v>0.10415490369660131</v>
      </c>
    </row>
    <row r="813" spans="1:15" s="236" customFormat="1" x14ac:dyDescent="0.2">
      <c r="A813" s="237" t="str">
        <f>name!E$9</f>
        <v>Caring, leisure and other service occupations</v>
      </c>
      <c r="B813" s="302">
        <v>2.7629981690828094E-2</v>
      </c>
      <c r="C813" s="302">
        <v>1.9123917969577662E-2</v>
      </c>
      <c r="D813" s="302">
        <v>4.6463873701968412E-3</v>
      </c>
      <c r="E813" s="302">
        <f t="shared" si="350"/>
        <v>5.14002870306026E-2</v>
      </c>
      <c r="F813" s="303"/>
      <c r="G813" s="302">
        <v>2.2678611645096273E-2</v>
      </c>
      <c r="H813" s="302">
        <v>1.3808511425997738E-2</v>
      </c>
      <c r="I813" s="302">
        <v>2.5015727385430146E-3</v>
      </c>
      <c r="J813" s="302">
        <f t="shared" ref="J813:J816" si="353">SUM(G813:I813)</f>
        <v>3.8988695809637021E-2</v>
      </c>
      <c r="K813" s="303"/>
      <c r="L813" s="302">
        <v>2.4414796321694635E-2</v>
      </c>
      <c r="M813" s="302">
        <v>1.4458301457817728E-2</v>
      </c>
      <c r="N813" s="302">
        <v>3.8743403489829172E-3</v>
      </c>
      <c r="O813" s="302">
        <f t="shared" si="352"/>
        <v>4.2747438128495283E-2</v>
      </c>
    </row>
    <row r="814" spans="1:15" s="236" customFormat="1" x14ac:dyDescent="0.2">
      <c r="A814" s="237" t="str">
        <f>name!E$10</f>
        <v>Sales and customer service occupations</v>
      </c>
      <c r="B814" s="302">
        <v>0.89924262882022221</v>
      </c>
      <c r="C814" s="302">
        <v>0.55558817390118176</v>
      </c>
      <c r="D814" s="302">
        <v>0.26632912483025484</v>
      </c>
      <c r="E814" s="302">
        <f t="shared" si="350"/>
        <v>1.7211599275516587</v>
      </c>
      <c r="F814" s="303"/>
      <c r="G814" s="302">
        <v>0.73199272329966525</v>
      </c>
      <c r="H814" s="302">
        <v>0.47440725596553746</v>
      </c>
      <c r="I814" s="302">
        <v>6.75497989438673E-3</v>
      </c>
      <c r="J814" s="302">
        <f t="shared" si="353"/>
        <v>1.2131549591595894</v>
      </c>
      <c r="K814" s="303"/>
      <c r="L814" s="302">
        <v>0.89957591657457392</v>
      </c>
      <c r="M814" s="302">
        <v>0.55891962895325586</v>
      </c>
      <c r="N814" s="302">
        <v>6.1745145629350413E-3</v>
      </c>
      <c r="O814" s="302">
        <f t="shared" si="352"/>
        <v>1.4646700600907647</v>
      </c>
    </row>
    <row r="815" spans="1:15" s="236" customFormat="1" x14ac:dyDescent="0.2">
      <c r="A815" s="237" t="str">
        <f>name!E$11</f>
        <v>Process, plant and machine operatives</v>
      </c>
      <c r="B815" s="302">
        <v>4.2151653365835526E-2</v>
      </c>
      <c r="C815" s="302">
        <v>5.5325397236021326E-3</v>
      </c>
      <c r="D815" s="302">
        <v>8.2788489818016411E-2</v>
      </c>
      <c r="E815" s="302">
        <f t="shared" si="350"/>
        <v>0.13047268290745406</v>
      </c>
      <c r="F815" s="303"/>
      <c r="G815" s="302">
        <v>2.6868999317996817E-2</v>
      </c>
      <c r="H815" s="302">
        <v>4.0752370741184533E-3</v>
      </c>
      <c r="I815" s="302">
        <v>2.1623333758979892E-3</v>
      </c>
      <c r="J815" s="302">
        <f t="shared" si="353"/>
        <v>3.310656976801326E-2</v>
      </c>
      <c r="K815" s="303"/>
      <c r="L815" s="302">
        <v>2.9390330597125116E-2</v>
      </c>
      <c r="M815" s="302">
        <v>6.4870597470490596E-3</v>
      </c>
      <c r="N815" s="302">
        <v>2.854197101012642E-3</v>
      </c>
      <c r="O815" s="302">
        <f t="shared" si="352"/>
        <v>3.8731587445186816E-2</v>
      </c>
    </row>
    <row r="816" spans="1:15" s="236" customFormat="1" x14ac:dyDescent="0.2">
      <c r="A816" s="237" t="str">
        <f>name!E$12</f>
        <v>Elementary occupations</v>
      </c>
      <c r="B816" s="302">
        <v>0.17031121825539811</v>
      </c>
      <c r="C816" s="302">
        <v>2.1006627291169068E-2</v>
      </c>
      <c r="D816" s="302">
        <v>4.2947355647968991E-2</v>
      </c>
      <c r="E816" s="302">
        <f t="shared" si="350"/>
        <v>0.23426520119453614</v>
      </c>
      <c r="F816" s="303"/>
      <c r="G816" s="302">
        <v>0.11391724046164221</v>
      </c>
      <c r="H816" s="302">
        <v>1.40399257767764E-2</v>
      </c>
      <c r="I816" s="302">
        <v>5.7485621044998936E-4</v>
      </c>
      <c r="J816" s="302">
        <f t="shared" si="353"/>
        <v>0.12853202244886858</v>
      </c>
      <c r="K816" s="303"/>
      <c r="L816" s="302">
        <v>0.10008717325643918</v>
      </c>
      <c r="M816" s="302">
        <v>9.6389188784510374E-3</v>
      </c>
      <c r="N816" s="302">
        <v>7.3420325555680717E-4</v>
      </c>
      <c r="O816" s="302">
        <f t="shared" si="352"/>
        <v>0.11046029539044701</v>
      </c>
    </row>
    <row r="817" spans="1:15" s="236" customFormat="1" x14ac:dyDescent="0.2">
      <c r="A817" s="237"/>
      <c r="B817" s="302"/>
      <c r="C817" s="302"/>
      <c r="D817" s="302"/>
      <c r="E817" s="302"/>
      <c r="F817" s="303"/>
      <c r="G817" s="302"/>
      <c r="H817" s="302"/>
      <c r="I817" s="302"/>
      <c r="J817" s="302"/>
      <c r="K817" s="303"/>
      <c r="L817" s="302"/>
      <c r="M817" s="302"/>
      <c r="N817" s="302"/>
      <c r="O817" s="302"/>
    </row>
    <row r="818" spans="1:15" s="236" customFormat="1" x14ac:dyDescent="0.2">
      <c r="A818" s="244" t="s">
        <v>32</v>
      </c>
      <c r="B818" s="311">
        <f>SUM(B808:B816)</f>
        <v>11.595999999879147</v>
      </c>
      <c r="C818" s="311">
        <f t="shared" ref="C818:E818" si="354">SUM(C808:C816)</f>
        <v>3.2930000000105641</v>
      </c>
      <c r="D818" s="311">
        <f t="shared" si="354"/>
        <v>2.2370000000201649</v>
      </c>
      <c r="E818" s="311">
        <f t="shared" si="354"/>
        <v>17.12599999990988</v>
      </c>
      <c r="F818" s="311"/>
      <c r="G818" s="311">
        <f t="shared" ref="G818:J818" si="355">SUM(G808:G816)</f>
        <v>10.774999999923892</v>
      </c>
      <c r="H818" s="311">
        <f t="shared" si="355"/>
        <v>2.8480000000102637</v>
      </c>
      <c r="I818" s="311">
        <f t="shared" si="355"/>
        <v>0.13000000000085199</v>
      </c>
      <c r="J818" s="311">
        <f t="shared" si="355"/>
        <v>13.752999999935007</v>
      </c>
      <c r="K818" s="311"/>
      <c r="L818" s="311">
        <f t="shared" ref="L818:O818" si="356">SUM(L808:L816)</f>
        <v>11.166000000054595</v>
      </c>
      <c r="M818" s="311">
        <f t="shared" si="356"/>
        <v>2.9289999999935978</v>
      </c>
      <c r="N818" s="311">
        <f t="shared" si="356"/>
        <v>0.12300000000673152</v>
      </c>
      <c r="O818" s="311">
        <f t="shared" si="356"/>
        <v>14.218000000054925</v>
      </c>
    </row>
    <row r="819" spans="1:15" s="236" customFormat="1" x14ac:dyDescent="0.2">
      <c r="A819" s="237"/>
      <c r="B819" s="237"/>
      <c r="C819" s="237"/>
      <c r="D819" s="237"/>
      <c r="E819" s="237"/>
      <c r="F819" s="237"/>
      <c r="G819" s="237"/>
      <c r="H819" s="237"/>
      <c r="I819" s="237"/>
      <c r="J819" s="237"/>
      <c r="K819" s="237"/>
      <c r="L819" s="237"/>
      <c r="M819" s="237"/>
      <c r="N819" s="240"/>
    </row>
    <row r="820" spans="1:15" s="236" customFormat="1" x14ac:dyDescent="0.2">
      <c r="A820" s="237"/>
      <c r="B820" s="237"/>
      <c r="C820" s="237"/>
      <c r="D820" s="237"/>
      <c r="E820" s="237"/>
      <c r="F820" s="237"/>
      <c r="G820" s="237"/>
      <c r="H820" s="237"/>
      <c r="I820" s="237"/>
      <c r="J820" s="237"/>
      <c r="K820" s="237"/>
      <c r="L820" s="237"/>
      <c r="M820" s="237"/>
      <c r="N820" s="240"/>
      <c r="O820" s="251" t="s">
        <v>35</v>
      </c>
    </row>
    <row r="821" spans="1:15" s="236" customFormat="1" x14ac:dyDescent="0.2">
      <c r="A821" s="242"/>
      <c r="B821" s="242"/>
      <c r="C821" s="242"/>
      <c r="D821" s="242"/>
      <c r="E821" s="242"/>
      <c r="F821" s="242"/>
      <c r="G821" s="242"/>
      <c r="H821" s="242"/>
      <c r="I821" s="242"/>
      <c r="J821" s="242"/>
      <c r="K821" s="242"/>
      <c r="L821" s="242"/>
      <c r="M821" s="242"/>
      <c r="N821" s="242"/>
      <c r="O821" s="242"/>
    </row>
    <row r="822" spans="1:15" s="236" customFormat="1" x14ac:dyDescent="0.2">
      <c r="A822" s="241" t="str">
        <f>name!A51</f>
        <v>Insurance and pensions</v>
      </c>
      <c r="B822" s="374">
        <f>$B$6</f>
        <v>2015</v>
      </c>
      <c r="C822" s="374"/>
      <c r="D822" s="374"/>
      <c r="E822" s="374"/>
      <c r="F822" s="263"/>
      <c r="G822" s="374">
        <f>$G$6</f>
        <v>2020</v>
      </c>
      <c r="H822" s="374"/>
      <c r="I822" s="374"/>
      <c r="J822" s="374"/>
      <c r="K822" s="263"/>
      <c r="L822" s="374">
        <f>$L$6</f>
        <v>2035</v>
      </c>
      <c r="M822" s="374"/>
      <c r="N822" s="374"/>
      <c r="O822" s="374"/>
    </row>
    <row r="823" spans="1:15" s="236" customFormat="1" x14ac:dyDescent="0.2">
      <c r="A823" s="254"/>
      <c r="B823" s="268" t="str">
        <f>$B$7</f>
        <v>FT</v>
      </c>
      <c r="C823" s="268" t="str">
        <f>$C$7</f>
        <v>PT</v>
      </c>
      <c r="D823" s="268" t="str">
        <f>$D$7</f>
        <v>SE</v>
      </c>
      <c r="E823" s="268" t="str">
        <f>$E$7</f>
        <v>Total</v>
      </c>
      <c r="F823" s="268"/>
      <c r="G823" s="268" t="str">
        <f>$G$7</f>
        <v>FT</v>
      </c>
      <c r="H823" s="268" t="str">
        <f>$H$7</f>
        <v>PT</v>
      </c>
      <c r="I823" s="268" t="str">
        <f>$I$7</f>
        <v>SE</v>
      </c>
      <c r="J823" s="268" t="str">
        <f>$J$7</f>
        <v>Total</v>
      </c>
      <c r="K823" s="268"/>
      <c r="L823" s="268" t="str">
        <f>$L$7</f>
        <v>FT</v>
      </c>
      <c r="M823" s="268" t="str">
        <f>$M$7</f>
        <v>PT</v>
      </c>
      <c r="N823" s="268" t="str">
        <f>$N$7</f>
        <v>SE</v>
      </c>
      <c r="O823" s="268" t="str">
        <f>$O$7</f>
        <v>Total</v>
      </c>
    </row>
    <row r="824" spans="1:15" s="236" customFormat="1" x14ac:dyDescent="0.2">
      <c r="A824" s="258"/>
      <c r="B824" s="239"/>
      <c r="C824" s="239"/>
      <c r="D824" s="239"/>
      <c r="E824" s="239"/>
      <c r="F824" s="239"/>
      <c r="G824" s="239"/>
      <c r="H824" s="239"/>
      <c r="I824" s="239"/>
      <c r="J824" s="239"/>
      <c r="K824" s="239"/>
      <c r="L824" s="239"/>
      <c r="M824" s="239"/>
      <c r="N824" s="239"/>
      <c r="O824" s="239"/>
    </row>
    <row r="825" spans="1:15" s="236" customFormat="1" x14ac:dyDescent="0.2">
      <c r="A825" s="237" t="str">
        <f>name!E$4</f>
        <v>Managers, directors and senior officials</v>
      </c>
      <c r="B825" s="302">
        <v>0.11264883459806047</v>
      </c>
      <c r="C825" s="302">
        <v>1.3947234057295687E-2</v>
      </c>
      <c r="D825" s="302">
        <v>3.1825402861660121E-2</v>
      </c>
      <c r="E825" s="302">
        <f>SUM(B825:D825)</f>
        <v>0.1584214715170163</v>
      </c>
      <c r="F825" s="303"/>
      <c r="G825" s="302">
        <v>0.13512885955752713</v>
      </c>
      <c r="H825" s="302">
        <v>3.2433294070207994E-2</v>
      </c>
      <c r="I825" s="302">
        <v>2.9667849232352128E-3</v>
      </c>
      <c r="J825" s="302">
        <f>SUM(G825:I825)</f>
        <v>0.17052893855097034</v>
      </c>
      <c r="K825" s="303"/>
      <c r="L825" s="302">
        <v>0.14035150549785572</v>
      </c>
      <c r="M825" s="302">
        <v>4.0702262444514581E-2</v>
      </c>
      <c r="N825" s="302">
        <v>2.045316414990932E-3</v>
      </c>
      <c r="O825" s="302">
        <f>SUM(L825:N825)</f>
        <v>0.18309908435736122</v>
      </c>
    </row>
    <row r="826" spans="1:15" s="236" customFormat="1" x14ac:dyDescent="0.2">
      <c r="A826" s="237" t="str">
        <f>name!E$5</f>
        <v>Professional occupations</v>
      </c>
      <c r="B826" s="302">
        <v>0.28990577070749568</v>
      </c>
      <c r="C826" s="302">
        <v>2.5739306521601356E-2</v>
      </c>
      <c r="D826" s="302">
        <v>3.7375574066843838E-2</v>
      </c>
      <c r="E826" s="302">
        <f t="shared" ref="E826:E833" si="357">SUM(B826:D826)</f>
        <v>0.35302065129594085</v>
      </c>
      <c r="F826" s="303"/>
      <c r="G826" s="302">
        <v>0.4013804195920162</v>
      </c>
      <c r="H826" s="302">
        <v>5.2274285447084221E-2</v>
      </c>
      <c r="I826" s="302">
        <v>2.8323021795149807E-3</v>
      </c>
      <c r="J826" s="302">
        <f t="shared" ref="J826:J828" si="358">SUM(G826:I826)</f>
        <v>0.4564870072186154</v>
      </c>
      <c r="K826" s="303"/>
      <c r="L826" s="302">
        <v>0.50758039204312466</v>
      </c>
      <c r="M826" s="302">
        <v>5.9431111541756933E-2</v>
      </c>
      <c r="N826" s="302">
        <v>1.8571242523724859E-3</v>
      </c>
      <c r="O826" s="302">
        <f t="shared" ref="O826:O833" si="359">SUM(L826:N826)</f>
        <v>0.56886862783725411</v>
      </c>
    </row>
    <row r="827" spans="1:15" s="236" customFormat="1" x14ac:dyDescent="0.2">
      <c r="A827" s="237" t="str">
        <f>name!E$6</f>
        <v>Associate professional occupations</v>
      </c>
      <c r="B827" s="302">
        <v>0.36671723414232815</v>
      </c>
      <c r="C827" s="302">
        <v>6.7092529539427792E-2</v>
      </c>
      <c r="D827" s="302">
        <v>7.6954591192518032E-2</v>
      </c>
      <c r="E827" s="302">
        <f t="shared" si="357"/>
        <v>0.51076435487427396</v>
      </c>
      <c r="F827" s="303"/>
      <c r="G827" s="302">
        <v>0.44076233602996706</v>
      </c>
      <c r="H827" s="302">
        <v>0.11524462668200289</v>
      </c>
      <c r="I827" s="302">
        <v>5.3515448138222732E-3</v>
      </c>
      <c r="J827" s="302">
        <f t="shared" si="358"/>
        <v>0.56135850752579219</v>
      </c>
      <c r="K827" s="303"/>
      <c r="L827" s="302">
        <v>0.4135731433556501</v>
      </c>
      <c r="M827" s="302">
        <v>0.12499677434464956</v>
      </c>
      <c r="N827" s="302">
        <v>2.6260381429051658E-3</v>
      </c>
      <c r="O827" s="302">
        <f t="shared" si="359"/>
        <v>0.54119595584320479</v>
      </c>
    </row>
    <row r="828" spans="1:15" s="236" customFormat="1" x14ac:dyDescent="0.2">
      <c r="A828" s="237" t="str">
        <f>name!E$7</f>
        <v>Administrative and secretarial occupations</v>
      </c>
      <c r="B828" s="302">
        <v>0.53476432863109047</v>
      </c>
      <c r="C828" s="302">
        <v>8.4043526789826434E-2</v>
      </c>
      <c r="D828" s="302">
        <v>3.8717112608911322E-2</v>
      </c>
      <c r="E828" s="302">
        <f t="shared" si="357"/>
        <v>0.65752496802982818</v>
      </c>
      <c r="F828" s="303"/>
      <c r="G828" s="302">
        <v>0.56244498174615698</v>
      </c>
      <c r="H828" s="302">
        <v>0.12431559847772652</v>
      </c>
      <c r="I828" s="302">
        <v>1.680663417828375E-3</v>
      </c>
      <c r="J828" s="302">
        <f t="shared" si="358"/>
        <v>0.68844124364171189</v>
      </c>
      <c r="K828" s="303"/>
      <c r="L828" s="302">
        <v>0.49325003288179142</v>
      </c>
      <c r="M828" s="302">
        <v>9.4085575998217652E-2</v>
      </c>
      <c r="N828" s="302">
        <v>1.4467322264830247E-3</v>
      </c>
      <c r="O828" s="302">
        <f t="shared" si="359"/>
        <v>0.58878234110649208</v>
      </c>
    </row>
    <row r="829" spans="1:15" s="236" customFormat="1" x14ac:dyDescent="0.2">
      <c r="A829" s="237" t="str">
        <f>name!E$8</f>
        <v>Skilled trades occupations</v>
      </c>
      <c r="B829" s="302">
        <v>2.0293409395301495E-2</v>
      </c>
      <c r="C829" s="302">
        <v>3.762892727219675E-3</v>
      </c>
      <c r="D829" s="302">
        <v>4.4108699615187687E-2</v>
      </c>
      <c r="E829" s="302">
        <f t="shared" si="357"/>
        <v>6.8165001737708855E-2</v>
      </c>
      <c r="F829" s="303"/>
      <c r="G829" s="302">
        <v>1.8221393946124306E-2</v>
      </c>
      <c r="H829" s="302">
        <v>4.7273056395111266E-3</v>
      </c>
      <c r="I829" s="302">
        <v>3.5293930352228008E-3</v>
      </c>
      <c r="J829" s="302">
        <f>SUM(G829:I829)</f>
        <v>2.6478092620858235E-2</v>
      </c>
      <c r="K829" s="303"/>
      <c r="L829" s="302">
        <v>1.7829739224180605E-2</v>
      </c>
      <c r="M829" s="302">
        <v>4.1397268823763194E-3</v>
      </c>
      <c r="N829" s="302">
        <v>3.1224461668969516E-3</v>
      </c>
      <c r="O829" s="302">
        <f t="shared" si="359"/>
        <v>2.5091912273453875E-2</v>
      </c>
    </row>
    <row r="830" spans="1:15" s="236" customFormat="1" x14ac:dyDescent="0.2">
      <c r="A830" s="237" t="str">
        <f>name!E$9</f>
        <v>Caring, leisure and other service occupations</v>
      </c>
      <c r="B830" s="302">
        <v>5.7841286986711066E-2</v>
      </c>
      <c r="C830" s="302">
        <v>6.2978412360378724E-4</v>
      </c>
      <c r="D830" s="302">
        <v>2.8256205914945721E-3</v>
      </c>
      <c r="E830" s="302">
        <f t="shared" si="357"/>
        <v>6.1296691701809423E-2</v>
      </c>
      <c r="F830" s="303"/>
      <c r="G830" s="302">
        <v>5.9392640189227956E-2</v>
      </c>
      <c r="H830" s="302">
        <v>9.4992312530339904E-4</v>
      </c>
      <c r="I830" s="302">
        <v>1.4835295549251736E-4</v>
      </c>
      <c r="J830" s="302">
        <f t="shared" ref="J830:J833" si="360">SUM(G830:I830)</f>
        <v>6.049091627002387E-2</v>
      </c>
      <c r="K830" s="303"/>
      <c r="L830" s="302">
        <v>7.7154638832416328E-2</v>
      </c>
      <c r="M830" s="302">
        <v>7.3813780919659594E-4</v>
      </c>
      <c r="N830" s="302">
        <v>1.638277176900624E-4</v>
      </c>
      <c r="O830" s="302">
        <f t="shared" si="359"/>
        <v>7.8056604359302992E-2</v>
      </c>
    </row>
    <row r="831" spans="1:15" s="236" customFormat="1" x14ac:dyDescent="0.2">
      <c r="A831" s="237" t="str">
        <f>name!E$10</f>
        <v>Sales and customer service occupations</v>
      </c>
      <c r="B831" s="302">
        <v>0.27270888145310229</v>
      </c>
      <c r="C831" s="302">
        <v>7.6138269760936378E-2</v>
      </c>
      <c r="D831" s="302">
        <v>2.9887120519970417E-2</v>
      </c>
      <c r="E831" s="302">
        <f t="shared" si="357"/>
        <v>0.37873427173400909</v>
      </c>
      <c r="F831" s="303"/>
      <c r="G831" s="302">
        <v>0.26777065212278905</v>
      </c>
      <c r="H831" s="302">
        <v>0.12690267657215268</v>
      </c>
      <c r="I831" s="302">
        <v>1.8377029057387404E-3</v>
      </c>
      <c r="J831" s="302">
        <f t="shared" si="360"/>
        <v>0.39651103160068052</v>
      </c>
      <c r="K831" s="303"/>
      <c r="L831" s="302">
        <v>0.30350761371461282</v>
      </c>
      <c r="M831" s="302">
        <v>0.14594842764131627</v>
      </c>
      <c r="N831" s="302">
        <v>1.1398961206481473E-3</v>
      </c>
      <c r="O831" s="302">
        <f t="shared" si="359"/>
        <v>0.45059593747657722</v>
      </c>
    </row>
    <row r="832" spans="1:15" s="236" customFormat="1" x14ac:dyDescent="0.2">
      <c r="A832" s="237" t="str">
        <f>name!E$11</f>
        <v>Process, plant and machine operatives</v>
      </c>
      <c r="B832" s="302">
        <v>9.2389961147311822E-3</v>
      </c>
      <c r="C832" s="302">
        <v>1.2365844702891841E-3</v>
      </c>
      <c r="D832" s="302">
        <v>6.5378403853165448E-3</v>
      </c>
      <c r="E832" s="302">
        <f t="shared" si="357"/>
        <v>1.7013420970336913E-2</v>
      </c>
      <c r="F832" s="303"/>
      <c r="G832" s="302">
        <v>7.3337320940975986E-3</v>
      </c>
      <c r="H832" s="302">
        <v>1.6066192817601852E-3</v>
      </c>
      <c r="I832" s="302">
        <v>4.40468404805807E-4</v>
      </c>
      <c r="J832" s="302">
        <f t="shared" si="360"/>
        <v>9.3808197806635896E-3</v>
      </c>
      <c r="K832" s="303"/>
      <c r="L832" s="302">
        <v>8.0767588536975517E-3</v>
      </c>
      <c r="M832" s="302">
        <v>3.0817433296227649E-3</v>
      </c>
      <c r="N832" s="302">
        <v>4.0542697360326373E-4</v>
      </c>
      <c r="O832" s="302">
        <f t="shared" si="359"/>
        <v>1.1563929156923581E-2</v>
      </c>
    </row>
    <row r="833" spans="1:15" s="236" customFormat="1" x14ac:dyDescent="0.2">
      <c r="A833" s="237" t="str">
        <f>name!E$12</f>
        <v>Elementary occupations</v>
      </c>
      <c r="B833" s="302">
        <v>2.6881257954597674E-2</v>
      </c>
      <c r="C833" s="302">
        <v>7.4098720114878815E-3</v>
      </c>
      <c r="D833" s="302">
        <v>5.7680381609063625E-3</v>
      </c>
      <c r="E833" s="302">
        <f t="shared" si="357"/>
        <v>4.0059168126991916E-2</v>
      </c>
      <c r="F833" s="303"/>
      <c r="G833" s="302">
        <v>2.2564984710118547E-2</v>
      </c>
      <c r="H833" s="302">
        <v>9.545670706426021E-3</v>
      </c>
      <c r="I833" s="302">
        <v>2.1278736439243862E-4</v>
      </c>
      <c r="J833" s="302">
        <f t="shared" si="360"/>
        <v>3.2323442780937003E-2</v>
      </c>
      <c r="K833" s="303"/>
      <c r="L833" s="302">
        <v>2.1676175603576684E-2</v>
      </c>
      <c r="M833" s="302">
        <v>6.8762400073733116E-3</v>
      </c>
      <c r="N833" s="302">
        <v>1.9319198488979301E-4</v>
      </c>
      <c r="O833" s="302">
        <f t="shared" si="359"/>
        <v>2.874560759583979E-2</v>
      </c>
    </row>
    <row r="834" spans="1:15" s="236" customFormat="1" x14ac:dyDescent="0.2">
      <c r="A834" s="237"/>
      <c r="B834" s="302"/>
      <c r="C834" s="302"/>
      <c r="D834" s="302"/>
      <c r="E834" s="302"/>
      <c r="F834" s="303"/>
      <c r="G834" s="302"/>
      <c r="H834" s="302"/>
      <c r="I834" s="302"/>
      <c r="J834" s="302"/>
      <c r="K834" s="303"/>
      <c r="L834" s="302"/>
      <c r="M834" s="302"/>
      <c r="N834" s="302"/>
      <c r="O834" s="302"/>
    </row>
    <row r="835" spans="1:15" s="236" customFormat="1" x14ac:dyDescent="0.2">
      <c r="A835" s="244" t="s">
        <v>32</v>
      </c>
      <c r="B835" s="311">
        <f>SUM(B825:B833)</f>
        <v>1.6909999999834184</v>
      </c>
      <c r="C835" s="311">
        <f t="shared" ref="C835:E835" si="361">SUM(C825:C833)</f>
        <v>0.28000000000168818</v>
      </c>
      <c r="D835" s="311">
        <f t="shared" si="361"/>
        <v>0.27400000000280889</v>
      </c>
      <c r="E835" s="311">
        <f t="shared" si="361"/>
        <v>2.2449999999879151</v>
      </c>
      <c r="F835" s="311"/>
      <c r="G835" s="311">
        <f t="shared" ref="G835:J835" si="362">SUM(G825:G833)</f>
        <v>1.9149999999880247</v>
      </c>
      <c r="H835" s="311">
        <f t="shared" si="362"/>
        <v>0.46800000000217507</v>
      </c>
      <c r="I835" s="311">
        <f t="shared" si="362"/>
        <v>1.9000000000053145E-2</v>
      </c>
      <c r="J835" s="311">
        <f t="shared" si="362"/>
        <v>2.4019999999902533</v>
      </c>
      <c r="K835" s="311"/>
      <c r="L835" s="311">
        <f t="shared" ref="L835:O835" si="363">SUM(L825:L833)</f>
        <v>1.9830000000069059</v>
      </c>
      <c r="M835" s="311">
        <f t="shared" si="363"/>
        <v>0.47999999999902387</v>
      </c>
      <c r="N835" s="311">
        <f t="shared" si="363"/>
        <v>1.3000000000479827E-2</v>
      </c>
      <c r="O835" s="311">
        <f t="shared" si="363"/>
        <v>2.4760000000064095</v>
      </c>
    </row>
    <row r="836" spans="1:15" s="236" customFormat="1" x14ac:dyDescent="0.2">
      <c r="A836" s="237"/>
      <c r="B836" s="237"/>
      <c r="C836" s="237"/>
      <c r="D836" s="237"/>
      <c r="E836" s="237"/>
      <c r="F836" s="237"/>
      <c r="G836" s="237"/>
      <c r="H836" s="237"/>
      <c r="I836" s="237"/>
      <c r="J836" s="237"/>
      <c r="K836" s="237"/>
      <c r="L836" s="237"/>
      <c r="M836" s="237"/>
      <c r="N836" s="240"/>
    </row>
    <row r="837" spans="1:15" s="236" customFormat="1" x14ac:dyDescent="0.2">
      <c r="A837" s="237"/>
      <c r="B837" s="237"/>
      <c r="C837" s="237"/>
      <c r="D837" s="237"/>
      <c r="E837" s="237"/>
      <c r="F837" s="237"/>
      <c r="G837" s="237"/>
      <c r="H837" s="237"/>
      <c r="I837" s="237"/>
      <c r="J837" s="237"/>
      <c r="K837" s="237"/>
      <c r="L837" s="237"/>
      <c r="M837" s="237"/>
      <c r="N837" s="240"/>
      <c r="O837" s="251" t="s">
        <v>35</v>
      </c>
    </row>
    <row r="838" spans="1:15" s="236" customFormat="1" x14ac:dyDescent="0.2">
      <c r="A838" s="242"/>
      <c r="B838" s="242"/>
      <c r="C838" s="242"/>
      <c r="D838" s="242"/>
      <c r="E838" s="242"/>
      <c r="F838" s="242"/>
      <c r="G838" s="242"/>
      <c r="H838" s="242"/>
      <c r="I838" s="242"/>
      <c r="J838" s="242"/>
      <c r="K838" s="242"/>
      <c r="L838" s="242"/>
      <c r="M838" s="242"/>
      <c r="N838" s="242"/>
      <c r="O838" s="242"/>
    </row>
    <row r="839" spans="1:15" s="236" customFormat="1" x14ac:dyDescent="0.2">
      <c r="A839" s="241" t="str">
        <f>name!A52</f>
        <v>Auxiliary financial services</v>
      </c>
      <c r="B839" s="374">
        <f>$B$6</f>
        <v>2015</v>
      </c>
      <c r="C839" s="374"/>
      <c r="D839" s="374"/>
      <c r="E839" s="374"/>
      <c r="F839" s="263"/>
      <c r="G839" s="374">
        <f>$G$6</f>
        <v>2020</v>
      </c>
      <c r="H839" s="374"/>
      <c r="I839" s="374"/>
      <c r="J839" s="374"/>
      <c r="K839" s="263"/>
      <c r="L839" s="374">
        <f>$L$6</f>
        <v>2035</v>
      </c>
      <c r="M839" s="374"/>
      <c r="N839" s="374"/>
      <c r="O839" s="374"/>
    </row>
    <row r="840" spans="1:15" s="236" customFormat="1" x14ac:dyDescent="0.2">
      <c r="A840" s="254"/>
      <c r="B840" s="268" t="str">
        <f>$B$7</f>
        <v>FT</v>
      </c>
      <c r="C840" s="268" t="str">
        <f>$C$7</f>
        <v>PT</v>
      </c>
      <c r="D840" s="268" t="str">
        <f>$D$7</f>
        <v>SE</v>
      </c>
      <c r="E840" s="268" t="str">
        <f>$E$7</f>
        <v>Total</v>
      </c>
      <c r="F840" s="268"/>
      <c r="G840" s="268" t="str">
        <f>$G$7</f>
        <v>FT</v>
      </c>
      <c r="H840" s="268" t="str">
        <f>$H$7</f>
        <v>PT</v>
      </c>
      <c r="I840" s="268" t="str">
        <f>$I$7</f>
        <v>SE</v>
      </c>
      <c r="J840" s="268" t="str">
        <f>$J$7</f>
        <v>Total</v>
      </c>
      <c r="K840" s="268"/>
      <c r="L840" s="268" t="str">
        <f>$L$7</f>
        <v>FT</v>
      </c>
      <c r="M840" s="268" t="str">
        <f>$M$7</f>
        <v>PT</v>
      </c>
      <c r="N840" s="268" t="str">
        <f>$N$7</f>
        <v>SE</v>
      </c>
      <c r="O840" s="268" t="str">
        <f>$O$7</f>
        <v>Total</v>
      </c>
    </row>
    <row r="841" spans="1:15" s="236" customFormat="1" x14ac:dyDescent="0.2">
      <c r="A841" s="258"/>
      <c r="B841" s="239"/>
      <c r="C841" s="239"/>
      <c r="D841" s="239"/>
      <c r="E841" s="239"/>
      <c r="F841" s="239"/>
      <c r="G841" s="239"/>
      <c r="H841" s="239"/>
      <c r="I841" s="239"/>
      <c r="J841" s="239"/>
      <c r="K841" s="239"/>
      <c r="L841" s="239"/>
      <c r="M841" s="239"/>
      <c r="N841" s="239"/>
      <c r="O841" s="239"/>
    </row>
    <row r="842" spans="1:15" s="236" customFormat="1" x14ac:dyDescent="0.2">
      <c r="A842" s="237" t="str">
        <f>name!E$4</f>
        <v>Managers, directors and senior officials</v>
      </c>
      <c r="B842" s="302">
        <v>0.46985641927678429</v>
      </c>
      <c r="C842" s="302">
        <v>1.8759587363249185E-2</v>
      </c>
      <c r="D842" s="302">
        <v>0.12678040268828142</v>
      </c>
      <c r="E842" s="302">
        <f>SUM(B842:D842)</f>
        <v>0.61539640932831485</v>
      </c>
      <c r="F842" s="303"/>
      <c r="G842" s="302">
        <v>0.55723565290986055</v>
      </c>
      <c r="H842" s="302">
        <v>3.2333092968152538E-2</v>
      </c>
      <c r="I842" s="302">
        <v>5.8473065729214298E-2</v>
      </c>
      <c r="J842" s="302">
        <f>SUM(G842:I842)</f>
        <v>0.6480418116072274</v>
      </c>
      <c r="K842" s="303"/>
      <c r="L842" s="302">
        <v>0.56492402573142775</v>
      </c>
      <c r="M842" s="302">
        <v>4.0773611406503325E-2</v>
      </c>
      <c r="N842" s="302">
        <v>7.982045498760415E-2</v>
      </c>
      <c r="O842" s="302">
        <f>SUM(L842:N842)</f>
        <v>0.68551809212553527</v>
      </c>
    </row>
    <row r="843" spans="1:15" s="236" customFormat="1" x14ac:dyDescent="0.2">
      <c r="A843" s="237" t="str">
        <f>name!E$5</f>
        <v>Professional occupations</v>
      </c>
      <c r="B843" s="302">
        <v>0.8007107096608993</v>
      </c>
      <c r="C843" s="302">
        <v>1.9885100123863717E-2</v>
      </c>
      <c r="D843" s="302">
        <v>0.15579701841908536</v>
      </c>
      <c r="E843" s="302">
        <f t="shared" ref="E843:E850" si="364">SUM(B843:D843)</f>
        <v>0.97639282820384832</v>
      </c>
      <c r="F843" s="303"/>
      <c r="G843" s="302">
        <v>1.1313970157862092</v>
      </c>
      <c r="H843" s="302">
        <v>3.0898066581829999E-2</v>
      </c>
      <c r="I843" s="302">
        <v>7.1308420607288897E-2</v>
      </c>
      <c r="J843" s="302">
        <f t="shared" ref="J843:J845" si="365">SUM(G843:I843)</f>
        <v>1.2336035029753281</v>
      </c>
      <c r="K843" s="303"/>
      <c r="L843" s="302">
        <v>1.4814974224382134</v>
      </c>
      <c r="M843" s="302">
        <v>3.7034900392496954E-2</v>
      </c>
      <c r="N843" s="302">
        <v>9.0903145450879991E-2</v>
      </c>
      <c r="O843" s="302">
        <f t="shared" ref="O843:O850" si="366">SUM(L843:N843)</f>
        <v>1.6094354682815903</v>
      </c>
    </row>
    <row r="844" spans="1:15" s="236" customFormat="1" x14ac:dyDescent="0.2">
      <c r="A844" s="237" t="str">
        <f>name!E$6</f>
        <v>Associate professional occupations</v>
      </c>
      <c r="B844" s="302">
        <v>1.1604785074221859</v>
      </c>
      <c r="C844" s="302">
        <v>5.2868953660875004E-2</v>
      </c>
      <c r="D844" s="302">
        <v>0.22356539797521863</v>
      </c>
      <c r="E844" s="302">
        <f t="shared" si="364"/>
        <v>1.4369128590582796</v>
      </c>
      <c r="F844" s="303"/>
      <c r="G844" s="302">
        <v>1.3890348875957881</v>
      </c>
      <c r="H844" s="302">
        <v>6.2855035571765625E-2</v>
      </c>
      <c r="I844" s="302">
        <v>0.11178039904067096</v>
      </c>
      <c r="J844" s="302">
        <f t="shared" si="365"/>
        <v>1.5636703222082247</v>
      </c>
      <c r="K844" s="303"/>
      <c r="L844" s="302">
        <v>1.3473287743696047</v>
      </c>
      <c r="M844" s="302">
        <v>7.2478888440622932E-2</v>
      </c>
      <c r="N844" s="302">
        <v>0.10907327233595628</v>
      </c>
      <c r="O844" s="302">
        <f t="shared" si="366"/>
        <v>1.5288809351461838</v>
      </c>
    </row>
    <row r="845" spans="1:15" s="236" customFormat="1" x14ac:dyDescent="0.2">
      <c r="A845" s="237" t="str">
        <f>name!E$7</f>
        <v>Administrative and secretarial occupations</v>
      </c>
      <c r="B845" s="302">
        <v>2.2448728107250799</v>
      </c>
      <c r="C845" s="302">
        <v>0.26244519679649947</v>
      </c>
      <c r="D845" s="302">
        <v>6.5700042785020105E-2</v>
      </c>
      <c r="E845" s="302">
        <f t="shared" si="364"/>
        <v>2.5730180503065996</v>
      </c>
      <c r="F845" s="303"/>
      <c r="G845" s="302">
        <v>2.3133888068118891</v>
      </c>
      <c r="H845" s="302">
        <v>0.27341304445069414</v>
      </c>
      <c r="I845" s="302">
        <v>1.1657201790585785E-2</v>
      </c>
      <c r="J845" s="302">
        <f t="shared" si="365"/>
        <v>2.598459053053169</v>
      </c>
      <c r="K845" s="303"/>
      <c r="L845" s="302">
        <v>2.0697160345869938</v>
      </c>
      <c r="M845" s="302">
        <v>0.23641259856071836</v>
      </c>
      <c r="N845" s="302">
        <v>1.8990028184279223E-2</v>
      </c>
      <c r="O845" s="302">
        <f t="shared" si="366"/>
        <v>2.3251186613319916</v>
      </c>
    </row>
    <row r="846" spans="1:15" s="236" customFormat="1" x14ac:dyDescent="0.2">
      <c r="A846" s="237" t="str">
        <f>name!E$8</f>
        <v>Skilled trades occupations</v>
      </c>
      <c r="B846" s="302">
        <v>6.3557253877829845E-2</v>
      </c>
      <c r="C846" s="302">
        <v>1.1208686980852716E-2</v>
      </c>
      <c r="D846" s="302">
        <v>0.135185173556154</v>
      </c>
      <c r="E846" s="302">
        <f t="shared" si="364"/>
        <v>0.20995111441483655</v>
      </c>
      <c r="F846" s="303"/>
      <c r="G846" s="302">
        <v>5.1822514713544543E-2</v>
      </c>
      <c r="H846" s="302">
        <v>9.3580277090208469E-3</v>
      </c>
      <c r="I846" s="302">
        <v>1.755889548939954E-2</v>
      </c>
      <c r="J846" s="302">
        <f>SUM(G846:I846)</f>
        <v>7.873943791196493E-2</v>
      </c>
      <c r="K846" s="303"/>
      <c r="L846" s="302">
        <v>4.7981503944027178E-2</v>
      </c>
      <c r="M846" s="302">
        <v>7.7839806822496927E-3</v>
      </c>
      <c r="N846" s="302">
        <v>2.2474564309068041E-2</v>
      </c>
      <c r="O846" s="302">
        <f t="shared" si="366"/>
        <v>7.8240048935344905E-2</v>
      </c>
    </row>
    <row r="847" spans="1:15" s="236" customFormat="1" x14ac:dyDescent="0.2">
      <c r="A847" s="237" t="str">
        <f>name!E$9</f>
        <v>Caring, leisure and other service occupations</v>
      </c>
      <c r="B847" s="302">
        <v>2.4370837464470243E-2</v>
      </c>
      <c r="C847" s="302">
        <v>1.96730947559706E-3</v>
      </c>
      <c r="D847" s="302">
        <v>1.4421953820640494E-2</v>
      </c>
      <c r="E847" s="302">
        <f t="shared" si="364"/>
        <v>4.0760100760707796E-2</v>
      </c>
      <c r="F847" s="303"/>
      <c r="G847" s="302">
        <v>2.4351583672498508E-2</v>
      </c>
      <c r="H847" s="302">
        <v>2.2467051075960292E-3</v>
      </c>
      <c r="I847" s="302">
        <v>3.03222772625908E-3</v>
      </c>
      <c r="J847" s="302">
        <f t="shared" ref="J847:J850" si="367">SUM(G847:I847)</f>
        <v>2.9630516506353614E-2</v>
      </c>
      <c r="K847" s="303"/>
      <c r="L847" s="302">
        <v>2.9434306581326671E-2</v>
      </c>
      <c r="M847" s="302">
        <v>1.8959685125737376E-3</v>
      </c>
      <c r="N847" s="302">
        <v>6.3668602451976237E-3</v>
      </c>
      <c r="O847" s="302">
        <f t="shared" si="366"/>
        <v>3.7697135339098027E-2</v>
      </c>
    </row>
    <row r="848" spans="1:15" s="236" customFormat="1" x14ac:dyDescent="0.2">
      <c r="A848" s="237" t="str">
        <f>name!E$10</f>
        <v>Sales and customer service occupations</v>
      </c>
      <c r="B848" s="302">
        <v>0.48751566005988994</v>
      </c>
      <c r="C848" s="302">
        <v>7.8947017792363433E-2</v>
      </c>
      <c r="D848" s="302">
        <v>2.4611864203685805E-2</v>
      </c>
      <c r="E848" s="302">
        <f t="shared" si="364"/>
        <v>0.59107454205593912</v>
      </c>
      <c r="F848" s="303"/>
      <c r="G848" s="302">
        <v>0.49113400314752231</v>
      </c>
      <c r="H848" s="302">
        <v>0.10329218569612664</v>
      </c>
      <c r="I848" s="302">
        <v>6.2545417269232054E-3</v>
      </c>
      <c r="J848" s="302">
        <f t="shared" si="367"/>
        <v>0.60068073057057214</v>
      </c>
      <c r="K848" s="303"/>
      <c r="L848" s="302">
        <v>0.62611801889464747</v>
      </c>
      <c r="M848" s="302">
        <v>0.14226583612247257</v>
      </c>
      <c r="N848" s="302">
        <v>8.4559630734639159E-3</v>
      </c>
      <c r="O848" s="302">
        <f t="shared" si="366"/>
        <v>0.776839818090584</v>
      </c>
    </row>
    <row r="849" spans="1:15" s="236" customFormat="1" x14ac:dyDescent="0.2">
      <c r="A849" s="237" t="str">
        <f>name!E$11</f>
        <v>Process, plant and machine operatives</v>
      </c>
      <c r="B849" s="302">
        <v>3.696931828967838E-2</v>
      </c>
      <c r="C849" s="302">
        <v>1.6912806283050244E-3</v>
      </c>
      <c r="D849" s="302">
        <v>9.2852442774981447E-2</v>
      </c>
      <c r="E849" s="302">
        <f t="shared" si="364"/>
        <v>0.13151304169296485</v>
      </c>
      <c r="F849" s="303"/>
      <c r="G849" s="302">
        <v>2.9383955880230656E-2</v>
      </c>
      <c r="H849" s="302">
        <v>1.8868979496591157E-3</v>
      </c>
      <c r="I849" s="302">
        <v>1.9231818296621288E-2</v>
      </c>
      <c r="J849" s="302">
        <f t="shared" si="367"/>
        <v>5.0502672126511057E-2</v>
      </c>
      <c r="K849" s="303"/>
      <c r="L849" s="302">
        <v>3.7449470682246529E-2</v>
      </c>
      <c r="M849" s="302">
        <v>3.1516720443863591E-3</v>
      </c>
      <c r="N849" s="302">
        <v>3.4214003272930227E-2</v>
      </c>
      <c r="O849" s="302">
        <f t="shared" si="366"/>
        <v>7.4815145999563112E-2</v>
      </c>
    </row>
    <row r="850" spans="1:15" s="236" customFormat="1" x14ac:dyDescent="0.2">
      <c r="A850" s="237" t="str">
        <f>name!E$12</f>
        <v>Elementary occupations</v>
      </c>
      <c r="B850" s="302">
        <v>0.13366848317037261</v>
      </c>
      <c r="C850" s="302">
        <v>1.02268671803391E-2</v>
      </c>
      <c r="D850" s="302">
        <v>7.9085703779331135E-2</v>
      </c>
      <c r="E850" s="302">
        <f t="shared" si="364"/>
        <v>0.22298105413004285</v>
      </c>
      <c r="F850" s="303"/>
      <c r="G850" s="302">
        <v>0.11025157944041314</v>
      </c>
      <c r="H850" s="302">
        <v>9.7169439650106153E-3</v>
      </c>
      <c r="I850" s="302">
        <v>6.7034295958088011E-3</v>
      </c>
      <c r="J850" s="302">
        <f t="shared" si="367"/>
        <v>0.12667195300123255</v>
      </c>
      <c r="K850" s="303"/>
      <c r="L850" s="302">
        <v>0.10955044278975379</v>
      </c>
      <c r="M850" s="302">
        <v>7.2025438363743817E-3</v>
      </c>
      <c r="N850" s="302">
        <v>1.070170816218952E-2</v>
      </c>
      <c r="O850" s="302">
        <f t="shared" si="366"/>
        <v>0.1274546947883177</v>
      </c>
    </row>
    <row r="851" spans="1:15" s="236" customFormat="1" x14ac:dyDescent="0.2">
      <c r="A851" s="237"/>
      <c r="B851" s="302"/>
      <c r="C851" s="302"/>
      <c r="D851" s="302"/>
      <c r="E851" s="302"/>
      <c r="F851" s="303"/>
      <c r="G851" s="302"/>
      <c r="H851" s="302"/>
      <c r="I851" s="302"/>
      <c r="J851" s="302"/>
      <c r="K851" s="303"/>
      <c r="L851" s="302"/>
      <c r="M851" s="302"/>
      <c r="N851" s="302"/>
      <c r="O851" s="302"/>
    </row>
    <row r="852" spans="1:15" s="236" customFormat="1" x14ac:dyDescent="0.2">
      <c r="A852" s="244" t="s">
        <v>32</v>
      </c>
      <c r="B852" s="311">
        <f>SUM(B842:B850)</f>
        <v>5.4219999999471904</v>
      </c>
      <c r="C852" s="311">
        <f t="shared" ref="C852:E852" si="368">SUM(C842:C850)</f>
        <v>0.45800000000194468</v>
      </c>
      <c r="D852" s="311">
        <f t="shared" si="368"/>
        <v>0.91800000000239823</v>
      </c>
      <c r="E852" s="311">
        <f t="shared" si="368"/>
        <v>6.7979999999515339</v>
      </c>
      <c r="F852" s="311"/>
      <c r="G852" s="311">
        <f t="shared" ref="G852:J852" si="369">SUM(G842:G850)</f>
        <v>6.0979999999579544</v>
      </c>
      <c r="H852" s="311">
        <f t="shared" si="369"/>
        <v>0.52599999999985558</v>
      </c>
      <c r="I852" s="311">
        <f t="shared" si="369"/>
        <v>0.30600000000277183</v>
      </c>
      <c r="J852" s="311">
        <f t="shared" si="369"/>
        <v>6.9299999999605832</v>
      </c>
      <c r="K852" s="311"/>
      <c r="L852" s="311">
        <f t="shared" ref="L852:O852" si="370">SUM(L842:L850)</f>
        <v>6.3140000000182406</v>
      </c>
      <c r="M852" s="311">
        <f t="shared" si="370"/>
        <v>0.54899999999839832</v>
      </c>
      <c r="N852" s="311">
        <f t="shared" si="370"/>
        <v>0.38100000002156892</v>
      </c>
      <c r="O852" s="311">
        <f t="shared" si="370"/>
        <v>7.2440000000382083</v>
      </c>
    </row>
    <row r="853" spans="1:15" s="236" customFormat="1" x14ac:dyDescent="0.2">
      <c r="A853" s="237"/>
      <c r="B853" s="237"/>
      <c r="C853" s="237"/>
      <c r="D853" s="237"/>
      <c r="E853" s="237"/>
      <c r="F853" s="237"/>
      <c r="G853" s="237"/>
      <c r="H853" s="237"/>
      <c r="I853" s="237"/>
      <c r="J853" s="237"/>
      <c r="K853" s="237"/>
      <c r="L853" s="237"/>
      <c r="M853" s="237"/>
      <c r="N853" s="240"/>
    </row>
    <row r="854" spans="1:15" s="236" customFormat="1" x14ac:dyDescent="0.2">
      <c r="A854" s="237"/>
      <c r="B854" s="237"/>
      <c r="C854" s="237"/>
      <c r="D854" s="237"/>
      <c r="E854" s="237"/>
      <c r="F854" s="237"/>
      <c r="G854" s="237"/>
      <c r="H854" s="237"/>
      <c r="I854" s="237"/>
      <c r="J854" s="237"/>
      <c r="K854" s="237"/>
      <c r="L854" s="237"/>
      <c r="M854" s="237"/>
      <c r="N854" s="240"/>
      <c r="O854" s="251" t="s">
        <v>35</v>
      </c>
    </row>
    <row r="855" spans="1:15" s="236" customFormat="1" x14ac:dyDescent="0.2">
      <c r="A855" s="242"/>
      <c r="B855" s="242"/>
      <c r="C855" s="242"/>
      <c r="D855" s="242"/>
      <c r="E855" s="242"/>
      <c r="F855" s="242"/>
      <c r="G855" s="242"/>
      <c r="H855" s="242"/>
      <c r="I855" s="242"/>
      <c r="J855" s="242"/>
      <c r="K855" s="242"/>
      <c r="L855" s="242"/>
      <c r="M855" s="242"/>
      <c r="N855" s="242"/>
      <c r="O855" s="242"/>
    </row>
    <row r="856" spans="1:15" s="236" customFormat="1" x14ac:dyDescent="0.2">
      <c r="A856" s="241" t="str">
        <f>name!A53</f>
        <v>Real estate</v>
      </c>
      <c r="B856" s="374">
        <f>$B$6</f>
        <v>2015</v>
      </c>
      <c r="C856" s="374"/>
      <c r="D856" s="374"/>
      <c r="E856" s="374"/>
      <c r="F856" s="263"/>
      <c r="G856" s="374">
        <f>$G$6</f>
        <v>2020</v>
      </c>
      <c r="H856" s="374"/>
      <c r="I856" s="374"/>
      <c r="J856" s="374"/>
      <c r="K856" s="263"/>
      <c r="L856" s="374">
        <f>$L$6</f>
        <v>2035</v>
      </c>
      <c r="M856" s="374"/>
      <c r="N856" s="374"/>
      <c r="O856" s="374"/>
    </row>
    <row r="857" spans="1:15" s="236" customFormat="1" x14ac:dyDescent="0.2">
      <c r="A857" s="254"/>
      <c r="B857" s="268" t="str">
        <f>$B$7</f>
        <v>FT</v>
      </c>
      <c r="C857" s="268" t="str">
        <f>$C$7</f>
        <v>PT</v>
      </c>
      <c r="D857" s="268" t="str">
        <f>$D$7</f>
        <v>SE</v>
      </c>
      <c r="E857" s="268" t="str">
        <f>$E$7</f>
        <v>Total</v>
      </c>
      <c r="F857" s="268"/>
      <c r="G857" s="268" t="str">
        <f>$G$7</f>
        <v>FT</v>
      </c>
      <c r="H857" s="268" t="str">
        <f>$H$7</f>
        <v>PT</v>
      </c>
      <c r="I857" s="268" t="str">
        <f>$I$7</f>
        <v>SE</v>
      </c>
      <c r="J857" s="268" t="str">
        <f>$J$7</f>
        <v>Total</v>
      </c>
      <c r="K857" s="268"/>
      <c r="L857" s="268" t="str">
        <f>$L$7</f>
        <v>FT</v>
      </c>
      <c r="M857" s="268" t="str">
        <f>$M$7</f>
        <v>PT</v>
      </c>
      <c r="N857" s="268" t="str">
        <f>$N$7</f>
        <v>SE</v>
      </c>
      <c r="O857" s="268" t="str">
        <f>$O$7</f>
        <v>Total</v>
      </c>
    </row>
    <row r="858" spans="1:15" s="236" customFormat="1" x14ac:dyDescent="0.2">
      <c r="A858" s="258"/>
      <c r="B858" s="239"/>
      <c r="C858" s="239"/>
      <c r="D858" s="239"/>
      <c r="E858" s="239"/>
      <c r="F858" s="239"/>
      <c r="G858" s="239"/>
      <c r="H858" s="239"/>
      <c r="I858" s="239"/>
      <c r="J858" s="239"/>
      <c r="K858" s="239"/>
      <c r="L858" s="239"/>
      <c r="M858" s="239"/>
      <c r="N858" s="239"/>
      <c r="O858" s="239"/>
    </row>
    <row r="859" spans="1:15" s="236" customFormat="1" x14ac:dyDescent="0.2">
      <c r="A859" s="237" t="str">
        <f>name!E$4</f>
        <v>Managers, directors and senior officials</v>
      </c>
      <c r="B859" s="302">
        <v>1.3295525586783916</v>
      </c>
      <c r="C859" s="302">
        <v>0.1486312871477494</v>
      </c>
      <c r="D859" s="302">
        <v>0.56700058827414623</v>
      </c>
      <c r="E859" s="302">
        <f>SUM(B859:D859)</f>
        <v>2.0451844341002872</v>
      </c>
      <c r="F859" s="303"/>
      <c r="G859" s="302">
        <v>1.4300610398466611</v>
      </c>
      <c r="H859" s="302">
        <v>0.38447417529530048</v>
      </c>
      <c r="I859" s="302">
        <v>0.65596535777438703</v>
      </c>
      <c r="J859" s="302">
        <f>SUM(G859:I859)</f>
        <v>2.4705005729163485</v>
      </c>
      <c r="K859" s="303"/>
      <c r="L859" s="302">
        <v>1.6993602623820092</v>
      </c>
      <c r="M859" s="302">
        <v>0.49168202237786884</v>
      </c>
      <c r="N859" s="302">
        <v>0.73613124158699683</v>
      </c>
      <c r="O859" s="302">
        <f>SUM(L859:N859)</f>
        <v>2.9271735263468752</v>
      </c>
    </row>
    <row r="860" spans="1:15" s="236" customFormat="1" x14ac:dyDescent="0.2">
      <c r="A860" s="237" t="str">
        <f>name!E$5</f>
        <v>Professional occupations</v>
      </c>
      <c r="B860" s="302">
        <v>1.6673451742352072</v>
      </c>
      <c r="C860" s="302">
        <v>0.16986205589445819</v>
      </c>
      <c r="D860" s="302">
        <v>0.1225861200050776</v>
      </c>
      <c r="E860" s="302">
        <f t="shared" ref="E860:E867" si="371">SUM(B860:D860)</f>
        <v>1.9597933501347429</v>
      </c>
      <c r="F860" s="303"/>
      <c r="G860" s="302">
        <v>2.1191210183872053</v>
      </c>
      <c r="H860" s="302">
        <v>0.32797759660704046</v>
      </c>
      <c r="I860" s="302">
        <v>0.11443498849058284</v>
      </c>
      <c r="J860" s="302">
        <f t="shared" ref="J860:J862" si="372">SUM(G860:I860)</f>
        <v>2.5615336034848286</v>
      </c>
      <c r="K860" s="303"/>
      <c r="L860" s="302">
        <v>2.825868864691389</v>
      </c>
      <c r="M860" s="302">
        <v>0.40466498702756665</v>
      </c>
      <c r="N860" s="302">
        <v>7.9681807474593483E-2</v>
      </c>
      <c r="O860" s="302">
        <f t="shared" ref="O860:O867" si="373">SUM(L860:N860)</f>
        <v>3.310215659193549</v>
      </c>
    </row>
    <row r="861" spans="1:15" s="236" customFormat="1" x14ac:dyDescent="0.2">
      <c r="A861" s="237" t="str">
        <f>name!E$6</f>
        <v>Associate professional occupations</v>
      </c>
      <c r="B861" s="302">
        <v>1.4284986379995379</v>
      </c>
      <c r="C861" s="302">
        <v>0.25310371896775563</v>
      </c>
      <c r="D861" s="302">
        <v>0.13587683111154059</v>
      </c>
      <c r="E861" s="302">
        <f t="shared" si="371"/>
        <v>1.8174791880788341</v>
      </c>
      <c r="F861" s="303"/>
      <c r="G861" s="302">
        <v>1.6884661972157544</v>
      </c>
      <c r="H861" s="302">
        <v>0.45035989602213744</v>
      </c>
      <c r="I861" s="302">
        <v>0.10203111089733226</v>
      </c>
      <c r="J861" s="302">
        <f t="shared" si="372"/>
        <v>2.2408572041352244</v>
      </c>
      <c r="K861" s="303"/>
      <c r="L861" s="302">
        <v>1.9719144999496461</v>
      </c>
      <c r="M861" s="302">
        <v>0.48171805250534605</v>
      </c>
      <c r="N861" s="302">
        <v>0.10492248514224921</v>
      </c>
      <c r="O861" s="302">
        <f t="shared" si="373"/>
        <v>2.5585550375972415</v>
      </c>
    </row>
    <row r="862" spans="1:15" s="236" customFormat="1" x14ac:dyDescent="0.2">
      <c r="A862" s="237" t="str">
        <f>name!E$7</f>
        <v>Administrative and secretarial occupations</v>
      </c>
      <c r="B862" s="302">
        <v>2.8483463049715163</v>
      </c>
      <c r="C862" s="302">
        <v>1.4847902946229341</v>
      </c>
      <c r="D862" s="302">
        <v>9.766884754621373E-2</v>
      </c>
      <c r="E862" s="302">
        <f t="shared" si="371"/>
        <v>4.4308054471406635</v>
      </c>
      <c r="F862" s="303"/>
      <c r="G862" s="302">
        <v>3.0283315003605296</v>
      </c>
      <c r="H862" s="302">
        <v>1.4666937598444223</v>
      </c>
      <c r="I862" s="302">
        <v>0.20411169668646584</v>
      </c>
      <c r="J862" s="302">
        <f t="shared" si="372"/>
        <v>4.6991369568914179</v>
      </c>
      <c r="K862" s="303"/>
      <c r="L862" s="302">
        <v>3.3108798315780152</v>
      </c>
      <c r="M862" s="302">
        <v>1.2535624406597574</v>
      </c>
      <c r="N862" s="302">
        <v>0.20146935511264863</v>
      </c>
      <c r="O862" s="302">
        <f t="shared" si="373"/>
        <v>4.7659116273504214</v>
      </c>
    </row>
    <row r="863" spans="1:15" s="236" customFormat="1" x14ac:dyDescent="0.2">
      <c r="A863" s="237" t="str">
        <f>name!E$8</f>
        <v>Skilled trades occupations</v>
      </c>
      <c r="B863" s="302">
        <v>1.0881316147026108</v>
      </c>
      <c r="C863" s="302">
        <v>4.7884346091025973E-2</v>
      </c>
      <c r="D863" s="302">
        <v>0.51938281194588687</v>
      </c>
      <c r="E863" s="302">
        <f t="shared" si="371"/>
        <v>1.6553987727395234</v>
      </c>
      <c r="F863" s="303"/>
      <c r="G863" s="302">
        <v>0.78880560992532966</v>
      </c>
      <c r="H863" s="302">
        <v>8.2786146048105747E-2</v>
      </c>
      <c r="I863" s="302">
        <v>0.17027720572677771</v>
      </c>
      <c r="J863" s="302">
        <f>SUM(G863:I863)</f>
        <v>1.041868961700213</v>
      </c>
      <c r="K863" s="303"/>
      <c r="L863" s="302">
        <v>0.93744625143032034</v>
      </c>
      <c r="M863" s="302">
        <v>0.12881885508464366</v>
      </c>
      <c r="N863" s="302">
        <v>0.30911985044014884</v>
      </c>
      <c r="O863" s="302">
        <f t="shared" si="373"/>
        <v>1.3753849569551129</v>
      </c>
    </row>
    <row r="864" spans="1:15" s="236" customFormat="1" x14ac:dyDescent="0.2">
      <c r="A864" s="237" t="str">
        <f>name!E$9</f>
        <v>Caring, leisure and other service occupations</v>
      </c>
      <c r="B864" s="302">
        <v>0.42529074427416441</v>
      </c>
      <c r="C864" s="302">
        <v>8.9867270437917965E-2</v>
      </c>
      <c r="D864" s="302">
        <v>5.9535024709814977E-2</v>
      </c>
      <c r="E864" s="302">
        <f t="shared" si="371"/>
        <v>0.57469303942189731</v>
      </c>
      <c r="F864" s="303"/>
      <c r="G864" s="302">
        <v>0.42273115082448653</v>
      </c>
      <c r="H864" s="302">
        <v>0.16147644974455233</v>
      </c>
      <c r="I864" s="302">
        <v>5.307142394697794E-2</v>
      </c>
      <c r="J864" s="302">
        <f t="shared" ref="J864:J867" si="374">SUM(G864:I864)</f>
        <v>0.63727902451601681</v>
      </c>
      <c r="K864" s="303"/>
      <c r="L864" s="302">
        <v>0.51032219785731048</v>
      </c>
      <c r="M864" s="302">
        <v>0.17433105628618181</v>
      </c>
      <c r="N864" s="302">
        <v>8.9425869805130551E-2</v>
      </c>
      <c r="O864" s="302">
        <f t="shared" si="373"/>
        <v>0.77407912394862288</v>
      </c>
    </row>
    <row r="865" spans="1:15" s="236" customFormat="1" x14ac:dyDescent="0.2">
      <c r="A865" s="237" t="str">
        <f>name!E$10</f>
        <v>Sales and customer service occupations</v>
      </c>
      <c r="B865" s="302">
        <v>2.2104214803068403</v>
      </c>
      <c r="C865" s="302">
        <v>0.98392853698781169</v>
      </c>
      <c r="D865" s="302">
        <v>0.16776321036148201</v>
      </c>
      <c r="E865" s="302">
        <f t="shared" si="371"/>
        <v>3.3621132276561339</v>
      </c>
      <c r="F865" s="303"/>
      <c r="G865" s="302">
        <v>2.0748682328578436</v>
      </c>
      <c r="H865" s="302">
        <v>1.2780396316294755</v>
      </c>
      <c r="I865" s="302">
        <v>0.13089275400485526</v>
      </c>
      <c r="J865" s="302">
        <f t="shared" si="374"/>
        <v>3.4838006184921744</v>
      </c>
      <c r="K865" s="303"/>
      <c r="L865" s="302">
        <v>2.4676205821239647</v>
      </c>
      <c r="M865" s="302">
        <v>1.4358918697338083</v>
      </c>
      <c r="N865" s="302">
        <v>9.9687898342487313E-2</v>
      </c>
      <c r="O865" s="302">
        <f t="shared" si="373"/>
        <v>4.0032003502002604</v>
      </c>
    </row>
    <row r="866" spans="1:15" s="236" customFormat="1" x14ac:dyDescent="0.2">
      <c r="A866" s="237" t="str">
        <f>name!E$11</f>
        <v>Process, plant and machine operatives</v>
      </c>
      <c r="B866" s="302">
        <v>0.55194839943982466</v>
      </c>
      <c r="C866" s="302">
        <v>1.4515697179282477E-2</v>
      </c>
      <c r="D866" s="302">
        <v>2.053334777983629E-2</v>
      </c>
      <c r="E866" s="302">
        <f t="shared" si="371"/>
        <v>0.58699744439894341</v>
      </c>
      <c r="F866" s="303"/>
      <c r="G866" s="302">
        <v>0.39414358082376522</v>
      </c>
      <c r="H866" s="302">
        <v>4.7585694955382514E-2</v>
      </c>
      <c r="I866" s="302">
        <v>4.914422117449439E-3</v>
      </c>
      <c r="J866" s="302">
        <f t="shared" si="374"/>
        <v>0.44664369789659714</v>
      </c>
      <c r="K866" s="303"/>
      <c r="L866" s="302">
        <v>0.42557235357653589</v>
      </c>
      <c r="M866" s="302">
        <v>6.0780823022315078E-2</v>
      </c>
      <c r="N866" s="302">
        <v>8.7272834477635872E-3</v>
      </c>
      <c r="O866" s="302">
        <f t="shared" si="373"/>
        <v>0.49508046004661455</v>
      </c>
    </row>
    <row r="867" spans="1:15" s="236" customFormat="1" x14ac:dyDescent="0.2">
      <c r="A867" s="237" t="str">
        <f>name!E$12</f>
        <v>Elementary occupations</v>
      </c>
      <c r="B867" s="302">
        <v>0.94446508531805284</v>
      </c>
      <c r="C867" s="302">
        <v>0.1534167927189064</v>
      </c>
      <c r="D867" s="302">
        <v>7.9653218266607984E-2</v>
      </c>
      <c r="E867" s="302">
        <f t="shared" si="371"/>
        <v>1.1775350963035671</v>
      </c>
      <c r="F867" s="303"/>
      <c r="G867" s="302">
        <v>0.72047166968241161</v>
      </c>
      <c r="H867" s="302">
        <v>0.20460664986965038</v>
      </c>
      <c r="I867" s="302">
        <v>6.7301040334586587E-2</v>
      </c>
      <c r="J867" s="302">
        <f t="shared" si="374"/>
        <v>0.9923793598866486</v>
      </c>
      <c r="K867" s="303"/>
      <c r="L867" s="302">
        <v>0.75601515638693995</v>
      </c>
      <c r="M867" s="302">
        <v>0.13654989332729711</v>
      </c>
      <c r="N867" s="302">
        <v>9.4834208665921169E-2</v>
      </c>
      <c r="O867" s="302">
        <f t="shared" si="373"/>
        <v>0.98739925838015818</v>
      </c>
    </row>
    <row r="868" spans="1:15" s="236" customFormat="1" x14ac:dyDescent="0.2">
      <c r="A868" s="237"/>
      <c r="B868" s="302"/>
      <c r="C868" s="302"/>
      <c r="D868" s="302"/>
      <c r="E868" s="302"/>
      <c r="F868" s="303"/>
      <c r="G868" s="302"/>
      <c r="H868" s="302"/>
      <c r="I868" s="302"/>
      <c r="J868" s="302"/>
      <c r="K868" s="303"/>
      <c r="L868" s="302"/>
      <c r="M868" s="302"/>
      <c r="N868" s="302"/>
      <c r="O868" s="302"/>
    </row>
    <row r="869" spans="1:15" s="236" customFormat="1" x14ac:dyDescent="0.2">
      <c r="A869" s="244" t="s">
        <v>32</v>
      </c>
      <c r="B869" s="311">
        <f>SUM(B859:B867)</f>
        <v>12.493999999926146</v>
      </c>
      <c r="C869" s="311">
        <f t="shared" ref="C869:E869" si="375">SUM(C859:C867)</f>
        <v>3.3460000000478418</v>
      </c>
      <c r="D869" s="311">
        <f t="shared" si="375"/>
        <v>1.7700000000006062</v>
      </c>
      <c r="E869" s="311">
        <f t="shared" si="375"/>
        <v>17.609999999974594</v>
      </c>
      <c r="F869" s="311"/>
      <c r="G869" s="311">
        <f t="shared" ref="G869:J869" si="376">SUM(G859:G867)</f>
        <v>12.666999999923988</v>
      </c>
      <c r="H869" s="311">
        <f t="shared" si="376"/>
        <v>4.4040000000160671</v>
      </c>
      <c r="I869" s="311">
        <f t="shared" si="376"/>
        <v>1.5029999999794148</v>
      </c>
      <c r="J869" s="311">
        <f t="shared" si="376"/>
        <v>18.573999999919469</v>
      </c>
      <c r="K869" s="311"/>
      <c r="L869" s="311">
        <f t="shared" ref="L869:O869" si="377">SUM(L859:L867)</f>
        <v>14.90499999997613</v>
      </c>
      <c r="M869" s="311">
        <f t="shared" si="377"/>
        <v>4.568000000024786</v>
      </c>
      <c r="N869" s="311">
        <f t="shared" si="377"/>
        <v>1.7240000000179396</v>
      </c>
      <c r="O869" s="311">
        <f t="shared" si="377"/>
        <v>21.197000000018857</v>
      </c>
    </row>
    <row r="870" spans="1:15" s="236" customFormat="1" x14ac:dyDescent="0.2">
      <c r="A870" s="237"/>
      <c r="B870" s="237"/>
      <c r="C870" s="237"/>
      <c r="D870" s="237"/>
      <c r="E870" s="237"/>
      <c r="F870" s="237"/>
      <c r="G870" s="237"/>
      <c r="H870" s="237"/>
      <c r="I870" s="237"/>
      <c r="J870" s="237"/>
      <c r="K870" s="237"/>
      <c r="L870" s="237"/>
      <c r="M870" s="237"/>
      <c r="N870" s="240"/>
    </row>
    <row r="871" spans="1:15" s="236" customFormat="1" x14ac:dyDescent="0.2">
      <c r="A871" s="237"/>
      <c r="B871" s="237"/>
      <c r="C871" s="237"/>
      <c r="D871" s="237"/>
      <c r="E871" s="237"/>
      <c r="F871" s="237"/>
      <c r="G871" s="237"/>
      <c r="H871" s="237"/>
      <c r="I871" s="237"/>
      <c r="J871" s="237"/>
      <c r="K871" s="237"/>
      <c r="L871" s="237"/>
      <c r="M871" s="237"/>
      <c r="N871" s="240"/>
      <c r="O871" s="251" t="s">
        <v>35</v>
      </c>
    </row>
    <row r="872" spans="1:15" s="236" customFormat="1" x14ac:dyDescent="0.2">
      <c r="A872" s="242"/>
      <c r="B872" s="242"/>
      <c r="C872" s="242"/>
      <c r="D872" s="242"/>
      <c r="E872" s="242"/>
      <c r="F872" s="242"/>
      <c r="G872" s="242"/>
      <c r="H872" s="242"/>
      <c r="I872" s="242"/>
      <c r="J872" s="242"/>
      <c r="K872" s="242"/>
      <c r="L872" s="242"/>
      <c r="M872" s="242"/>
      <c r="N872" s="242"/>
      <c r="O872" s="242"/>
    </row>
    <row r="873" spans="1:15" s="236" customFormat="1" x14ac:dyDescent="0.2">
      <c r="A873" s="241" t="str">
        <f>name!A54</f>
        <v>Legal and accounting</v>
      </c>
      <c r="B873" s="374">
        <f>$B$6</f>
        <v>2015</v>
      </c>
      <c r="C873" s="374"/>
      <c r="D873" s="374"/>
      <c r="E873" s="374"/>
      <c r="F873" s="263"/>
      <c r="G873" s="374">
        <f>$G$6</f>
        <v>2020</v>
      </c>
      <c r="H873" s="374"/>
      <c r="I873" s="374"/>
      <c r="J873" s="374"/>
      <c r="K873" s="263"/>
      <c r="L873" s="374">
        <f>$L$6</f>
        <v>2035</v>
      </c>
      <c r="M873" s="374"/>
      <c r="N873" s="374"/>
      <c r="O873" s="374"/>
    </row>
    <row r="874" spans="1:15" s="236" customFormat="1" x14ac:dyDescent="0.2">
      <c r="A874" s="254"/>
      <c r="B874" s="268" t="str">
        <f>$B$7</f>
        <v>FT</v>
      </c>
      <c r="C874" s="268" t="str">
        <f>$C$7</f>
        <v>PT</v>
      </c>
      <c r="D874" s="268" t="str">
        <f>$D$7</f>
        <v>SE</v>
      </c>
      <c r="E874" s="268" t="str">
        <f>$E$7</f>
        <v>Total</v>
      </c>
      <c r="F874" s="268"/>
      <c r="G874" s="268" t="str">
        <f>$G$7</f>
        <v>FT</v>
      </c>
      <c r="H874" s="268" t="str">
        <f>$H$7</f>
        <v>PT</v>
      </c>
      <c r="I874" s="268" t="str">
        <f>$I$7</f>
        <v>SE</v>
      </c>
      <c r="J874" s="268" t="str">
        <f>$J$7</f>
        <v>Total</v>
      </c>
      <c r="K874" s="268"/>
      <c r="L874" s="268" t="str">
        <f>$L$7</f>
        <v>FT</v>
      </c>
      <c r="M874" s="268" t="str">
        <f>$M$7</f>
        <v>PT</v>
      </c>
      <c r="N874" s="268" t="str">
        <f>$N$7</f>
        <v>SE</v>
      </c>
      <c r="O874" s="268" t="str">
        <f>$O$7</f>
        <v>Total</v>
      </c>
    </row>
    <row r="875" spans="1:15" s="236" customFormat="1" x14ac:dyDescent="0.2">
      <c r="A875" s="258"/>
      <c r="B875" s="239"/>
      <c r="C875" s="239"/>
      <c r="D875" s="239"/>
      <c r="E875" s="239"/>
      <c r="F875" s="239"/>
      <c r="G875" s="239"/>
      <c r="H875" s="239"/>
      <c r="I875" s="239"/>
      <c r="J875" s="239"/>
      <c r="K875" s="239"/>
      <c r="L875" s="239"/>
      <c r="M875" s="239"/>
      <c r="N875" s="239"/>
      <c r="O875" s="239"/>
    </row>
    <row r="876" spans="1:15" s="236" customFormat="1" x14ac:dyDescent="0.2">
      <c r="A876" s="237" t="str">
        <f>name!E$4</f>
        <v>Managers, directors and senior officials</v>
      </c>
      <c r="B876" s="302">
        <v>0.86253004975584746</v>
      </c>
      <c r="C876" s="302">
        <v>0.14356595346170684</v>
      </c>
      <c r="D876" s="302">
        <v>0.38378578266208807</v>
      </c>
      <c r="E876" s="302">
        <f>SUM(B876:D876)</f>
        <v>1.3898817858796424</v>
      </c>
      <c r="F876" s="303"/>
      <c r="G876" s="302">
        <v>0.86088019286519013</v>
      </c>
      <c r="H876" s="302">
        <v>0.45256446165052699</v>
      </c>
      <c r="I876" s="302">
        <v>0.43962344568302747</v>
      </c>
      <c r="J876" s="302">
        <f>SUM(G876:I876)</f>
        <v>1.7530681001987447</v>
      </c>
      <c r="K876" s="303"/>
      <c r="L876" s="302">
        <v>0.93041847980304904</v>
      </c>
      <c r="M876" s="302">
        <v>0.57603176016925628</v>
      </c>
      <c r="N876" s="302">
        <v>0.51692723157214693</v>
      </c>
      <c r="O876" s="302">
        <f>SUM(L876:N876)</f>
        <v>2.0233774715444524</v>
      </c>
    </row>
    <row r="877" spans="1:15" s="236" customFormat="1" x14ac:dyDescent="0.2">
      <c r="A877" s="237" t="str">
        <f>name!E$5</f>
        <v>Professional occupations</v>
      </c>
      <c r="B877" s="302">
        <v>3.1558721511870536</v>
      </c>
      <c r="C877" s="302">
        <v>0.28601679499201416</v>
      </c>
      <c r="D877" s="302">
        <v>0.81881976127848721</v>
      </c>
      <c r="E877" s="302">
        <f t="shared" ref="E877:E884" si="378">SUM(B877:D877)</f>
        <v>4.2607087074575549</v>
      </c>
      <c r="F877" s="303"/>
      <c r="G877" s="302">
        <v>3.6688506352066743</v>
      </c>
      <c r="H877" s="302">
        <v>0.85017897423706357</v>
      </c>
      <c r="I877" s="302">
        <v>0.8180318632941278</v>
      </c>
      <c r="J877" s="302">
        <f t="shared" ref="J877:J879" si="379">SUM(G877:I877)</f>
        <v>5.337061472737866</v>
      </c>
      <c r="K877" s="303"/>
      <c r="L877" s="302">
        <v>4.5367105917020609</v>
      </c>
      <c r="M877" s="302">
        <v>1.0364272295784176</v>
      </c>
      <c r="N877" s="302">
        <v>0.61309826004914902</v>
      </c>
      <c r="O877" s="302">
        <f t="shared" ref="O877:O884" si="380">SUM(L877:N877)</f>
        <v>6.1862360813296275</v>
      </c>
    </row>
    <row r="878" spans="1:15" s="236" customFormat="1" x14ac:dyDescent="0.2">
      <c r="A878" s="237" t="str">
        <f>name!E$6</f>
        <v>Associate professional occupations</v>
      </c>
      <c r="B878" s="302">
        <v>1.636436911609215</v>
      </c>
      <c r="C878" s="302">
        <v>0.29580521996072279</v>
      </c>
      <c r="D878" s="302">
        <v>0.48759050200537613</v>
      </c>
      <c r="E878" s="302">
        <f t="shared" si="378"/>
        <v>2.419832633575314</v>
      </c>
      <c r="F878" s="303"/>
      <c r="G878" s="302">
        <v>1.7891133134898063</v>
      </c>
      <c r="H878" s="302">
        <v>0.76236584305148203</v>
      </c>
      <c r="I878" s="302">
        <v>0.44361569511208115</v>
      </c>
      <c r="J878" s="302">
        <f t="shared" si="379"/>
        <v>2.9950948516533695</v>
      </c>
      <c r="K878" s="303"/>
      <c r="L878" s="302">
        <v>1.8461243801679301</v>
      </c>
      <c r="M878" s="302">
        <v>0.82993229324264051</v>
      </c>
      <c r="N878" s="302">
        <v>0.43432722361767873</v>
      </c>
      <c r="O878" s="302">
        <f t="shared" si="380"/>
        <v>3.1103838970282496</v>
      </c>
    </row>
    <row r="879" spans="1:15" s="236" customFormat="1" x14ac:dyDescent="0.2">
      <c r="A879" s="237" t="str">
        <f>name!E$7</f>
        <v>Administrative and secretarial occupations</v>
      </c>
      <c r="B879" s="302">
        <v>3.1117157548554544</v>
      </c>
      <c r="C879" s="302">
        <v>1.4129445626224277</v>
      </c>
      <c r="D879" s="302">
        <v>0.475349290807281</v>
      </c>
      <c r="E879" s="302">
        <f t="shared" si="378"/>
        <v>5.0000096082851631</v>
      </c>
      <c r="F879" s="303"/>
      <c r="G879" s="302">
        <v>3.0665925713061668</v>
      </c>
      <c r="H879" s="302">
        <v>2.9134146977955635</v>
      </c>
      <c r="I879" s="302">
        <v>0.30987776790809962</v>
      </c>
      <c r="J879" s="302">
        <f t="shared" si="379"/>
        <v>6.2898850370098298</v>
      </c>
      <c r="K879" s="303"/>
      <c r="L879" s="302">
        <v>2.4692168105740033</v>
      </c>
      <c r="M879" s="302">
        <v>2.790924683183805</v>
      </c>
      <c r="N879" s="302">
        <v>0.38057558749633719</v>
      </c>
      <c r="O879" s="302">
        <f t="shared" si="380"/>
        <v>5.6407170812541461</v>
      </c>
    </row>
    <row r="880" spans="1:15" s="236" customFormat="1" x14ac:dyDescent="0.2">
      <c r="A880" s="237" t="str">
        <f>name!E$8</f>
        <v>Skilled trades occupations</v>
      </c>
      <c r="B880" s="302">
        <v>0.41573116427451628</v>
      </c>
      <c r="C880" s="302">
        <v>7.797114483178029E-2</v>
      </c>
      <c r="D880" s="302">
        <v>0.16675469097862841</v>
      </c>
      <c r="E880" s="302">
        <f t="shared" si="378"/>
        <v>0.66045700008492503</v>
      </c>
      <c r="F880" s="303"/>
      <c r="G880" s="302">
        <v>0.24982647132238703</v>
      </c>
      <c r="H880" s="302">
        <v>0.10045689957851954</v>
      </c>
      <c r="I880" s="302">
        <v>0.15436972123456183</v>
      </c>
      <c r="J880" s="302">
        <f>SUM(G880:I880)</f>
        <v>0.50465309213546838</v>
      </c>
      <c r="K880" s="303"/>
      <c r="L880" s="302">
        <v>0.21489080102953984</v>
      </c>
      <c r="M880" s="302">
        <v>0.12822087785586897</v>
      </c>
      <c r="N880" s="302">
        <v>0.19200950517565554</v>
      </c>
      <c r="O880" s="302">
        <f t="shared" si="380"/>
        <v>0.53512118406106435</v>
      </c>
    </row>
    <row r="881" spans="1:15" s="236" customFormat="1" x14ac:dyDescent="0.2">
      <c r="A881" s="237" t="str">
        <f>name!E$9</f>
        <v>Caring, leisure and other service occupations</v>
      </c>
      <c r="B881" s="302">
        <v>3.5668120956290461E-2</v>
      </c>
      <c r="C881" s="302">
        <v>9.9324870821584435E-3</v>
      </c>
      <c r="D881" s="302">
        <v>5.1114046053331551E-2</v>
      </c>
      <c r="E881" s="302">
        <f t="shared" si="378"/>
        <v>9.6714654091780455E-2</v>
      </c>
      <c r="F881" s="303"/>
      <c r="G881" s="302">
        <v>3.0944435627797209E-2</v>
      </c>
      <c r="H881" s="302">
        <v>1.9984556766600155E-2</v>
      </c>
      <c r="I881" s="302">
        <v>6.0635608731499827E-2</v>
      </c>
      <c r="J881" s="302">
        <f t="shared" ref="J881:J884" si="381">SUM(G881:I881)</f>
        <v>0.11156460112589719</v>
      </c>
      <c r="K881" s="303"/>
      <c r="L881" s="302">
        <v>3.2510284668507382E-2</v>
      </c>
      <c r="M881" s="302">
        <v>2.0093473993345372E-2</v>
      </c>
      <c r="N881" s="302">
        <v>0.11522815871685323</v>
      </c>
      <c r="O881" s="302">
        <f t="shared" si="380"/>
        <v>0.16783191737870598</v>
      </c>
    </row>
    <row r="882" spans="1:15" s="236" customFormat="1" x14ac:dyDescent="0.2">
      <c r="A882" s="237" t="str">
        <f>name!E$10</f>
        <v>Sales and customer service occupations</v>
      </c>
      <c r="B882" s="302">
        <v>0.59451724010015861</v>
      </c>
      <c r="C882" s="302">
        <v>0.41830911113667363</v>
      </c>
      <c r="D882" s="302">
        <v>0.146024845616712</v>
      </c>
      <c r="E882" s="302">
        <f t="shared" si="378"/>
        <v>1.1588511968535442</v>
      </c>
      <c r="F882" s="303"/>
      <c r="G882" s="302">
        <v>0.55506898100313651</v>
      </c>
      <c r="H882" s="302">
        <v>0.83925961820819928</v>
      </c>
      <c r="I882" s="302">
        <v>8.4399637866223037E-2</v>
      </c>
      <c r="J882" s="302">
        <f t="shared" si="381"/>
        <v>1.478728237077559</v>
      </c>
      <c r="K882" s="303"/>
      <c r="L882" s="302">
        <v>0.57478735020107596</v>
      </c>
      <c r="M882" s="302">
        <v>1.072283381199346</v>
      </c>
      <c r="N882" s="302">
        <v>7.4829424879686773E-2</v>
      </c>
      <c r="O882" s="302">
        <f t="shared" si="380"/>
        <v>1.7219001562801086</v>
      </c>
    </row>
    <row r="883" spans="1:15" s="236" customFormat="1" x14ac:dyDescent="0.2">
      <c r="A883" s="237" t="str">
        <f>name!E$11</f>
        <v>Process, plant and machine operatives</v>
      </c>
      <c r="B883" s="302">
        <v>0.22541665711896072</v>
      </c>
      <c r="C883" s="302">
        <v>4.7884660525001038E-2</v>
      </c>
      <c r="D883" s="302">
        <v>4.4199295032491641E-2</v>
      </c>
      <c r="E883" s="302">
        <f t="shared" si="378"/>
        <v>0.31750061267645341</v>
      </c>
      <c r="F883" s="303"/>
      <c r="G883" s="302">
        <v>0.12371814122262956</v>
      </c>
      <c r="H883" s="302">
        <v>9.4041859376052611E-2</v>
      </c>
      <c r="I883" s="302">
        <v>4.7834723290953382E-2</v>
      </c>
      <c r="J883" s="302">
        <f t="shared" si="381"/>
        <v>0.26559472388963556</v>
      </c>
      <c r="K883" s="303"/>
      <c r="L883" s="302">
        <v>0.12453191322765862</v>
      </c>
      <c r="M883" s="302">
        <v>0.11777352853848069</v>
      </c>
      <c r="N883" s="302">
        <v>6.1532718486816858E-2</v>
      </c>
      <c r="O883" s="302">
        <f t="shared" si="380"/>
        <v>0.30383816025295618</v>
      </c>
    </row>
    <row r="884" spans="1:15" s="236" customFormat="1" x14ac:dyDescent="0.2">
      <c r="A884" s="237" t="str">
        <f>name!E$12</f>
        <v>Elementary occupations</v>
      </c>
      <c r="B884" s="302">
        <v>0.24511194996506344</v>
      </c>
      <c r="C884" s="302">
        <v>9.6570065391107907E-2</v>
      </c>
      <c r="D884" s="302">
        <v>4.836178557463159E-2</v>
      </c>
      <c r="E884" s="302">
        <f t="shared" si="378"/>
        <v>0.39004380093080299</v>
      </c>
      <c r="F884" s="303"/>
      <c r="G884" s="302">
        <v>0.18100525789341454</v>
      </c>
      <c r="H884" s="302">
        <v>0.16173308936099623</v>
      </c>
      <c r="I884" s="302">
        <v>3.361153689270481E-2</v>
      </c>
      <c r="J884" s="302">
        <f t="shared" si="381"/>
        <v>0.37634988414711557</v>
      </c>
      <c r="K884" s="303"/>
      <c r="L884" s="302">
        <v>0.15280938871305699</v>
      </c>
      <c r="M884" s="302">
        <v>0.1493127722541106</v>
      </c>
      <c r="N884" s="302">
        <v>4.5471890087991289E-2</v>
      </c>
      <c r="O884" s="302">
        <f t="shared" si="380"/>
        <v>0.34759405105515889</v>
      </c>
    </row>
    <row r="885" spans="1:15" s="236" customFormat="1" x14ac:dyDescent="0.2">
      <c r="A885" s="237"/>
      <c r="B885" s="302"/>
      <c r="C885" s="302"/>
      <c r="D885" s="302"/>
      <c r="E885" s="302"/>
      <c r="F885" s="303"/>
      <c r="G885" s="302"/>
      <c r="H885" s="302"/>
      <c r="I885" s="302"/>
      <c r="J885" s="302"/>
      <c r="K885" s="303"/>
      <c r="L885" s="302"/>
      <c r="M885" s="302"/>
      <c r="N885" s="302"/>
      <c r="O885" s="302"/>
    </row>
    <row r="886" spans="1:15" s="236" customFormat="1" x14ac:dyDescent="0.2">
      <c r="A886" s="244" t="s">
        <v>32</v>
      </c>
      <c r="B886" s="311">
        <f>SUM(B876:B884)</f>
        <v>10.282999999822559</v>
      </c>
      <c r="C886" s="311">
        <f t="shared" ref="C886:E886" si="382">SUM(C876:C884)</f>
        <v>2.7890000000035928</v>
      </c>
      <c r="D886" s="311">
        <f t="shared" si="382"/>
        <v>2.6220000000090278</v>
      </c>
      <c r="E886" s="311">
        <f t="shared" si="382"/>
        <v>15.693999999835178</v>
      </c>
      <c r="F886" s="311"/>
      <c r="G886" s="311">
        <f t="shared" ref="G886:J886" si="383">SUM(G876:G884)</f>
        <v>10.525999999937202</v>
      </c>
      <c r="H886" s="311">
        <f t="shared" si="383"/>
        <v>6.1940000000250031</v>
      </c>
      <c r="I886" s="311">
        <f t="shared" si="383"/>
        <v>2.3920000000132786</v>
      </c>
      <c r="J886" s="311">
        <f t="shared" si="383"/>
        <v>19.111999999975488</v>
      </c>
      <c r="K886" s="311"/>
      <c r="L886" s="311">
        <f t="shared" ref="L886:O886" si="384">SUM(L876:L884)</f>
        <v>10.882000000086883</v>
      </c>
      <c r="M886" s="311">
        <f t="shared" si="384"/>
        <v>6.7210000000152714</v>
      </c>
      <c r="N886" s="311">
        <f t="shared" si="384"/>
        <v>2.4340000000823157</v>
      </c>
      <c r="O886" s="311">
        <f t="shared" si="384"/>
        <v>20.03700000018447</v>
      </c>
    </row>
    <row r="887" spans="1:15" s="236" customFormat="1" x14ac:dyDescent="0.2">
      <c r="A887" s="237"/>
      <c r="B887" s="237"/>
      <c r="C887" s="237"/>
      <c r="D887" s="237"/>
      <c r="E887" s="237"/>
      <c r="F887" s="237"/>
      <c r="G887" s="237"/>
      <c r="H887" s="237"/>
      <c r="I887" s="237"/>
      <c r="J887" s="237"/>
      <c r="K887" s="237"/>
      <c r="L887" s="237"/>
      <c r="M887" s="237"/>
      <c r="N887" s="240"/>
    </row>
    <row r="888" spans="1:15" s="236" customFormat="1" x14ac:dyDescent="0.2">
      <c r="A888" s="237"/>
      <c r="B888" s="237"/>
      <c r="C888" s="237"/>
      <c r="D888" s="237"/>
      <c r="E888" s="237"/>
      <c r="F888" s="237"/>
      <c r="G888" s="237"/>
      <c r="H888" s="237"/>
      <c r="I888" s="237"/>
      <c r="J888" s="237"/>
      <c r="K888" s="237"/>
      <c r="L888" s="237"/>
      <c r="M888" s="237"/>
      <c r="N888" s="240"/>
      <c r="O888" s="251" t="s">
        <v>35</v>
      </c>
    </row>
    <row r="889" spans="1:15" s="236" customFormat="1" x14ac:dyDescent="0.2">
      <c r="A889" s="242"/>
      <c r="B889" s="242"/>
      <c r="C889" s="242"/>
      <c r="D889" s="242"/>
      <c r="E889" s="242"/>
      <c r="F889" s="242"/>
      <c r="G889" s="242"/>
      <c r="H889" s="242"/>
      <c r="I889" s="242"/>
      <c r="J889" s="242"/>
      <c r="K889" s="242"/>
      <c r="L889" s="242"/>
      <c r="M889" s="242"/>
      <c r="N889" s="242"/>
      <c r="O889" s="242"/>
    </row>
    <row r="890" spans="1:15" s="236" customFormat="1" x14ac:dyDescent="0.2">
      <c r="A890" s="241" t="str">
        <f>name!A55</f>
        <v>Head offices, etc</v>
      </c>
      <c r="B890" s="374">
        <f>$B$6</f>
        <v>2015</v>
      </c>
      <c r="C890" s="374"/>
      <c r="D890" s="374"/>
      <c r="E890" s="374"/>
      <c r="F890" s="263"/>
      <c r="G890" s="374">
        <f>$G$6</f>
        <v>2020</v>
      </c>
      <c r="H890" s="374"/>
      <c r="I890" s="374"/>
      <c r="J890" s="374"/>
      <c r="K890" s="263"/>
      <c r="L890" s="374">
        <f>$L$6</f>
        <v>2035</v>
      </c>
      <c r="M890" s="374"/>
      <c r="N890" s="374"/>
      <c r="O890" s="374"/>
    </row>
    <row r="891" spans="1:15" s="236" customFormat="1" x14ac:dyDescent="0.2">
      <c r="A891" s="254"/>
      <c r="B891" s="268" t="str">
        <f>$B$7</f>
        <v>FT</v>
      </c>
      <c r="C891" s="268" t="str">
        <f>$C$7</f>
        <v>PT</v>
      </c>
      <c r="D891" s="268" t="str">
        <f>$D$7</f>
        <v>SE</v>
      </c>
      <c r="E891" s="268" t="str">
        <f>$E$7</f>
        <v>Total</v>
      </c>
      <c r="F891" s="268"/>
      <c r="G891" s="268" t="str">
        <f>$G$7</f>
        <v>FT</v>
      </c>
      <c r="H891" s="268" t="str">
        <f>$H$7</f>
        <v>PT</v>
      </c>
      <c r="I891" s="268" t="str">
        <f>$I$7</f>
        <v>SE</v>
      </c>
      <c r="J891" s="268" t="str">
        <f>$J$7</f>
        <v>Total</v>
      </c>
      <c r="K891" s="268"/>
      <c r="L891" s="268" t="str">
        <f>$L$7</f>
        <v>FT</v>
      </c>
      <c r="M891" s="268" t="str">
        <f>$M$7</f>
        <v>PT</v>
      </c>
      <c r="N891" s="268" t="str">
        <f>$N$7</f>
        <v>SE</v>
      </c>
      <c r="O891" s="268" t="str">
        <f>$O$7</f>
        <v>Total</v>
      </c>
    </row>
    <row r="892" spans="1:15" s="236" customFormat="1" x14ac:dyDescent="0.2">
      <c r="A892" s="258"/>
      <c r="B892" s="239"/>
      <c r="C892" s="239"/>
      <c r="D892" s="239"/>
      <c r="E892" s="239"/>
      <c r="F892" s="239"/>
      <c r="G892" s="239"/>
      <c r="H892" s="239"/>
      <c r="I892" s="239"/>
      <c r="J892" s="239"/>
      <c r="K892" s="239"/>
      <c r="L892" s="239"/>
      <c r="M892" s="239"/>
      <c r="N892" s="239"/>
      <c r="O892" s="239"/>
    </row>
    <row r="893" spans="1:15" s="236" customFormat="1" x14ac:dyDescent="0.2">
      <c r="A893" s="237" t="str">
        <f>name!E$4</f>
        <v>Managers, directors and senior officials</v>
      </c>
      <c r="B893" s="302">
        <v>0.82460860941404757</v>
      </c>
      <c r="C893" s="302">
        <v>0.15546279128399432</v>
      </c>
      <c r="D893" s="302">
        <v>0.17519250047248841</v>
      </c>
      <c r="E893" s="302">
        <f>SUM(B893:D893)</f>
        <v>1.1552639011705303</v>
      </c>
      <c r="F893" s="303"/>
      <c r="G893" s="302">
        <v>0.7654953005283035</v>
      </c>
      <c r="H893" s="302">
        <v>0.21880636723273431</v>
      </c>
      <c r="I893" s="302">
        <v>0.15034218443017347</v>
      </c>
      <c r="J893" s="302">
        <f>SUM(G893:I893)</f>
        <v>1.1346438521912112</v>
      </c>
      <c r="K893" s="303"/>
      <c r="L893" s="302">
        <v>0.75886283623055317</v>
      </c>
      <c r="M893" s="302">
        <v>0.28009243853537014</v>
      </c>
      <c r="N893" s="302">
        <v>0.17575312186499778</v>
      </c>
      <c r="O893" s="302">
        <f>SUM(L893:N893)</f>
        <v>1.2147083966309211</v>
      </c>
    </row>
    <row r="894" spans="1:15" s="236" customFormat="1" x14ac:dyDescent="0.2">
      <c r="A894" s="237" t="str">
        <f>name!E$5</f>
        <v>Professional occupations</v>
      </c>
      <c r="B894" s="302">
        <v>3.0660325933657377</v>
      </c>
      <c r="C894" s="302">
        <v>0.32458830163970465</v>
      </c>
      <c r="D894" s="302">
        <v>0.37213941124972333</v>
      </c>
      <c r="E894" s="302">
        <f t="shared" ref="E894:E901" si="385">SUM(B894:D894)</f>
        <v>3.7627603062551658</v>
      </c>
      <c r="F894" s="303"/>
      <c r="G894" s="302">
        <v>3.2884923890940745</v>
      </c>
      <c r="H894" s="302">
        <v>0.41454392610926066</v>
      </c>
      <c r="I894" s="302">
        <v>0.27853200191235972</v>
      </c>
      <c r="J894" s="302">
        <f t="shared" ref="J894:J896" si="386">SUM(G894:I894)</f>
        <v>3.9815683171156948</v>
      </c>
      <c r="K894" s="303"/>
      <c r="L894" s="302">
        <v>3.7979514165731438</v>
      </c>
      <c r="M894" s="302">
        <v>0.51050984402344135</v>
      </c>
      <c r="N894" s="302">
        <v>0.21061452252636392</v>
      </c>
      <c r="O894" s="302">
        <f t="shared" ref="O894:O901" si="387">SUM(L894:N894)</f>
        <v>4.5190757831229496</v>
      </c>
    </row>
    <row r="895" spans="1:15" s="236" customFormat="1" x14ac:dyDescent="0.2">
      <c r="A895" s="237" t="str">
        <f>name!E$6</f>
        <v>Associate professional occupations</v>
      </c>
      <c r="B895" s="302">
        <v>1.4805764954567224</v>
      </c>
      <c r="C895" s="302">
        <v>0.32593268849166945</v>
      </c>
      <c r="D895" s="302">
        <v>0.23748395418213802</v>
      </c>
      <c r="E895" s="302">
        <f t="shared" si="385"/>
        <v>2.0439931381305296</v>
      </c>
      <c r="F895" s="303"/>
      <c r="G895" s="302">
        <v>1.4928671130654447</v>
      </c>
      <c r="H895" s="302">
        <v>0.36615072740758198</v>
      </c>
      <c r="I895" s="302">
        <v>0.15334792320186261</v>
      </c>
      <c r="J895" s="302">
        <f t="shared" si="386"/>
        <v>2.0123657636748891</v>
      </c>
      <c r="K895" s="303"/>
      <c r="L895" s="302">
        <v>1.4351443622055764</v>
      </c>
      <c r="M895" s="302">
        <v>0.40711255571696064</v>
      </c>
      <c r="N895" s="302">
        <v>0.14995793929184284</v>
      </c>
      <c r="O895" s="302">
        <f t="shared" si="387"/>
        <v>1.9922148572143799</v>
      </c>
    </row>
    <row r="896" spans="1:15" s="236" customFormat="1" x14ac:dyDescent="0.2">
      <c r="A896" s="237" t="str">
        <f>name!E$7</f>
        <v>Administrative and secretarial occupations</v>
      </c>
      <c r="B896" s="302">
        <v>2.3678749975519682</v>
      </c>
      <c r="C896" s="302">
        <v>1.6133229678897796</v>
      </c>
      <c r="D896" s="302">
        <v>0.25918026477919415</v>
      </c>
      <c r="E896" s="302">
        <f t="shared" si="385"/>
        <v>4.2403782302209416</v>
      </c>
      <c r="F896" s="303"/>
      <c r="G896" s="302">
        <v>2.1594761355504888</v>
      </c>
      <c r="H896" s="302">
        <v>1.4215755376797683</v>
      </c>
      <c r="I896" s="302">
        <v>0.11300138731596288</v>
      </c>
      <c r="J896" s="302">
        <f t="shared" si="386"/>
        <v>3.6940530605462198</v>
      </c>
      <c r="K896" s="303"/>
      <c r="L896" s="302">
        <v>1.9146122073492582</v>
      </c>
      <c r="M896" s="302">
        <v>1.3699132058419183</v>
      </c>
      <c r="N896" s="302">
        <v>0.13190142551338199</v>
      </c>
      <c r="O896" s="302">
        <f t="shared" si="387"/>
        <v>3.4164268387045587</v>
      </c>
    </row>
    <row r="897" spans="1:15" s="236" customFormat="1" x14ac:dyDescent="0.2">
      <c r="A897" s="237" t="str">
        <f>name!E$8</f>
        <v>Skilled trades occupations</v>
      </c>
      <c r="B897" s="302">
        <v>0.47391638083149046</v>
      </c>
      <c r="C897" s="302">
        <v>6.3612401766006882E-2</v>
      </c>
      <c r="D897" s="302">
        <v>6.8837703483880075E-2</v>
      </c>
      <c r="E897" s="302">
        <f t="shared" si="385"/>
        <v>0.60636648608137744</v>
      </c>
      <c r="F897" s="303"/>
      <c r="G897" s="302">
        <v>0.28891295238546211</v>
      </c>
      <c r="H897" s="302">
        <v>4.5265576335389968E-2</v>
      </c>
      <c r="I897" s="302">
        <v>5.1803709894019626E-2</v>
      </c>
      <c r="J897" s="302">
        <f>SUM(G897:I897)</f>
        <v>0.38598223861487169</v>
      </c>
      <c r="K897" s="303"/>
      <c r="L897" s="302">
        <v>0.20611586262119461</v>
      </c>
      <c r="M897" s="302">
        <v>5.7422004685378891E-2</v>
      </c>
      <c r="N897" s="302">
        <v>6.5370310765509199E-2</v>
      </c>
      <c r="O897" s="302">
        <f t="shared" si="387"/>
        <v>0.32890817807208267</v>
      </c>
    </row>
    <row r="898" spans="1:15" s="236" customFormat="1" x14ac:dyDescent="0.2">
      <c r="A898" s="237" t="str">
        <f>name!E$9</f>
        <v>Caring, leisure and other service occupations</v>
      </c>
      <c r="B898" s="302">
        <v>3.2065158075937197E-2</v>
      </c>
      <c r="C898" s="302">
        <v>9.4764408960451296E-3</v>
      </c>
      <c r="D898" s="302">
        <v>2.2494206862478824E-2</v>
      </c>
      <c r="E898" s="302">
        <f t="shared" si="385"/>
        <v>6.4035805834461154E-2</v>
      </c>
      <c r="F898" s="303"/>
      <c r="G898" s="302">
        <v>2.6719537114599283E-2</v>
      </c>
      <c r="H898" s="302">
        <v>9.2404540944427353E-3</v>
      </c>
      <c r="I898" s="302">
        <v>2.0473050564530752E-2</v>
      </c>
      <c r="J898" s="302">
        <f t="shared" ref="J898:J901" si="388">SUM(G898:I898)</f>
        <v>5.6433041773572765E-2</v>
      </c>
      <c r="K898" s="303"/>
      <c r="L898" s="302">
        <v>2.7184305260798632E-2</v>
      </c>
      <c r="M898" s="302">
        <v>8.9967339476102175E-3</v>
      </c>
      <c r="N898" s="302">
        <v>3.9048977696890363E-2</v>
      </c>
      <c r="O898" s="302">
        <f t="shared" si="387"/>
        <v>7.5230016905299207E-2</v>
      </c>
    </row>
    <row r="899" spans="1:15" s="236" customFormat="1" x14ac:dyDescent="0.2">
      <c r="A899" s="237" t="str">
        <f>name!E$10</f>
        <v>Sales and customer service occupations</v>
      </c>
      <c r="B899" s="302">
        <v>0.45103270110282734</v>
      </c>
      <c r="C899" s="302">
        <v>0.44446048055662718</v>
      </c>
      <c r="D899" s="302">
        <v>7.7712229157176516E-2</v>
      </c>
      <c r="E899" s="302">
        <f t="shared" si="385"/>
        <v>0.97320541081663103</v>
      </c>
      <c r="F899" s="303"/>
      <c r="G899" s="302">
        <v>0.38384155056867908</v>
      </c>
      <c r="H899" s="302">
        <v>0.4009862298856417</v>
      </c>
      <c r="I899" s="302">
        <v>2.9865292779498391E-2</v>
      </c>
      <c r="J899" s="302">
        <f t="shared" si="388"/>
        <v>0.81469307323381912</v>
      </c>
      <c r="K899" s="303"/>
      <c r="L899" s="302">
        <v>0.41701946333627066</v>
      </c>
      <c r="M899" s="302">
        <v>0.50452420952514976</v>
      </c>
      <c r="N899" s="302">
        <v>2.5792602525102397E-2</v>
      </c>
      <c r="O899" s="302">
        <f t="shared" si="387"/>
        <v>0.94733627538652276</v>
      </c>
    </row>
    <row r="900" spans="1:15" s="236" customFormat="1" x14ac:dyDescent="0.2">
      <c r="A900" s="237" t="str">
        <f>name!E$11</f>
        <v>Process, plant and machine operatives</v>
      </c>
      <c r="B900" s="302">
        <v>0.25764752404556573</v>
      </c>
      <c r="C900" s="302">
        <v>3.8627233764732559E-2</v>
      </c>
      <c r="D900" s="302">
        <v>1.82825075325302E-2</v>
      </c>
      <c r="E900" s="302">
        <f t="shared" si="385"/>
        <v>0.31455726534282846</v>
      </c>
      <c r="F900" s="303"/>
      <c r="G900" s="302">
        <v>0.14672034200841497</v>
      </c>
      <c r="H900" s="302">
        <v>4.1854871847590423E-2</v>
      </c>
      <c r="I900" s="302">
        <v>1.5989350003041237E-2</v>
      </c>
      <c r="J900" s="302">
        <f t="shared" si="388"/>
        <v>0.20456456385904664</v>
      </c>
      <c r="K900" s="303"/>
      <c r="L900" s="302">
        <v>0.13354715458607086</v>
      </c>
      <c r="M900" s="302">
        <v>5.0389327823943592E-2</v>
      </c>
      <c r="N900" s="302">
        <v>2.0812130868910303E-2</v>
      </c>
      <c r="O900" s="302">
        <f t="shared" si="387"/>
        <v>0.20474861327892474</v>
      </c>
    </row>
    <row r="901" spans="1:15" s="236" customFormat="1" x14ac:dyDescent="0.2">
      <c r="A901" s="237" t="str">
        <f>name!E$12</f>
        <v>Elementary occupations</v>
      </c>
      <c r="B901" s="302">
        <v>0.23724553998965878</v>
      </c>
      <c r="C901" s="302">
        <v>8.9516693716077997E-2</v>
      </c>
      <c r="D901" s="302">
        <v>2.4677222284931462E-2</v>
      </c>
      <c r="E901" s="302">
        <f t="shared" si="385"/>
        <v>0.35143945599066823</v>
      </c>
      <c r="F901" s="303"/>
      <c r="G901" s="302">
        <v>0.16447467961475776</v>
      </c>
      <c r="H901" s="302">
        <v>7.4576309420476605E-2</v>
      </c>
      <c r="I901" s="302">
        <v>1.1645099902722894E-2</v>
      </c>
      <c r="J901" s="302">
        <f t="shared" si="388"/>
        <v>0.25069608893795725</v>
      </c>
      <c r="K901" s="303"/>
      <c r="L901" s="302">
        <v>0.13356239192653954</v>
      </c>
      <c r="M901" s="302">
        <v>6.6039679908490093E-2</v>
      </c>
      <c r="N901" s="302">
        <v>1.574896897470748E-2</v>
      </c>
      <c r="O901" s="302">
        <f t="shared" si="387"/>
        <v>0.21535104080973713</v>
      </c>
    </row>
    <row r="902" spans="1:15" s="236" customFormat="1" x14ac:dyDescent="0.2">
      <c r="A902" s="237"/>
      <c r="B902" s="302"/>
      <c r="C902" s="302"/>
      <c r="D902" s="302"/>
      <c r="E902" s="302"/>
      <c r="F902" s="303"/>
      <c r="G902" s="302"/>
      <c r="H902" s="302"/>
      <c r="I902" s="302"/>
      <c r="J902" s="302"/>
      <c r="K902" s="303"/>
      <c r="L902" s="302"/>
      <c r="M902" s="302"/>
      <c r="N902" s="302"/>
      <c r="O902" s="302"/>
    </row>
    <row r="903" spans="1:15" s="236" customFormat="1" x14ac:dyDescent="0.2">
      <c r="A903" s="244" t="s">
        <v>32</v>
      </c>
      <c r="B903" s="311">
        <f>SUM(B893:B901)</f>
        <v>9.1909999998339558</v>
      </c>
      <c r="C903" s="311">
        <f t="shared" ref="C903:E903" si="389">SUM(C893:C901)</f>
        <v>3.0650000000046376</v>
      </c>
      <c r="D903" s="311">
        <f t="shared" si="389"/>
        <v>1.2560000000045408</v>
      </c>
      <c r="E903" s="311">
        <f t="shared" si="389"/>
        <v>13.511999999843134</v>
      </c>
      <c r="F903" s="311"/>
      <c r="G903" s="311">
        <f t="shared" ref="G903:J903" si="390">SUM(G893:G901)</f>
        <v>8.7169999999302235</v>
      </c>
      <c r="H903" s="311">
        <f t="shared" si="390"/>
        <v>2.9930000000128869</v>
      </c>
      <c r="I903" s="311">
        <f t="shared" si="390"/>
        <v>0.82500000000417151</v>
      </c>
      <c r="J903" s="311">
        <f t="shared" si="390"/>
        <v>12.534999999947283</v>
      </c>
      <c r="K903" s="311"/>
      <c r="L903" s="311">
        <f t="shared" ref="L903:O903" si="391">SUM(L893:L901)</f>
        <v>8.8240000000894039</v>
      </c>
      <c r="M903" s="311">
        <f t="shared" si="391"/>
        <v>3.2550000000082626</v>
      </c>
      <c r="N903" s="311">
        <f t="shared" si="391"/>
        <v>0.83500000002770625</v>
      </c>
      <c r="O903" s="311">
        <f t="shared" si="391"/>
        <v>12.914000000125379</v>
      </c>
    </row>
    <row r="904" spans="1:15" s="236" customFormat="1" x14ac:dyDescent="0.2">
      <c r="A904" s="237"/>
      <c r="B904" s="237"/>
      <c r="C904" s="237"/>
      <c r="D904" s="237"/>
      <c r="E904" s="237"/>
      <c r="F904" s="237"/>
      <c r="G904" s="237"/>
      <c r="H904" s="237"/>
      <c r="I904" s="237"/>
      <c r="J904" s="237"/>
      <c r="K904" s="237"/>
      <c r="L904" s="237"/>
      <c r="M904" s="237"/>
      <c r="N904" s="240"/>
    </row>
    <row r="905" spans="1:15" s="236" customFormat="1" x14ac:dyDescent="0.2">
      <c r="A905" s="237"/>
      <c r="B905" s="237"/>
      <c r="C905" s="237"/>
      <c r="D905" s="237"/>
      <c r="E905" s="237"/>
      <c r="F905" s="237"/>
      <c r="G905" s="237"/>
      <c r="H905" s="237"/>
      <c r="I905" s="237"/>
      <c r="J905" s="237"/>
      <c r="K905" s="237"/>
      <c r="L905" s="237"/>
      <c r="M905" s="237"/>
      <c r="N905" s="240"/>
      <c r="O905" s="251" t="s">
        <v>35</v>
      </c>
    </row>
    <row r="906" spans="1:15" s="236" customFormat="1" x14ac:dyDescent="0.2">
      <c r="A906" s="242"/>
      <c r="B906" s="242"/>
      <c r="C906" s="242"/>
      <c r="D906" s="242"/>
      <c r="E906" s="242"/>
      <c r="F906" s="242"/>
      <c r="G906" s="242"/>
      <c r="H906" s="242"/>
      <c r="I906" s="242"/>
      <c r="J906" s="242"/>
      <c r="K906" s="242"/>
      <c r="L906" s="242"/>
      <c r="M906" s="242"/>
      <c r="N906" s="242"/>
      <c r="O906" s="242"/>
    </row>
    <row r="907" spans="1:15" s="236" customFormat="1" x14ac:dyDescent="0.2">
      <c r="A907" s="241" t="str">
        <f>name!A56</f>
        <v>Architectural and related</v>
      </c>
      <c r="B907" s="374">
        <f>$B$6</f>
        <v>2015</v>
      </c>
      <c r="C907" s="374"/>
      <c r="D907" s="374"/>
      <c r="E907" s="374"/>
      <c r="F907" s="263"/>
      <c r="G907" s="374">
        <f>$G$6</f>
        <v>2020</v>
      </c>
      <c r="H907" s="374"/>
      <c r="I907" s="374"/>
      <c r="J907" s="374"/>
      <c r="K907" s="263"/>
      <c r="L907" s="374">
        <f>$L$6</f>
        <v>2035</v>
      </c>
      <c r="M907" s="374"/>
      <c r="N907" s="374"/>
      <c r="O907" s="374"/>
    </row>
    <row r="908" spans="1:15" s="236" customFormat="1" x14ac:dyDescent="0.2">
      <c r="A908" s="254"/>
      <c r="B908" s="268" t="str">
        <f>$B$7</f>
        <v>FT</v>
      </c>
      <c r="C908" s="268" t="str">
        <f>$C$7</f>
        <v>PT</v>
      </c>
      <c r="D908" s="268" t="str">
        <f>$D$7</f>
        <v>SE</v>
      </c>
      <c r="E908" s="268" t="str">
        <f>$E$7</f>
        <v>Total</v>
      </c>
      <c r="F908" s="268"/>
      <c r="G908" s="268" t="str">
        <f>$G$7</f>
        <v>FT</v>
      </c>
      <c r="H908" s="268" t="str">
        <f>$H$7</f>
        <v>PT</v>
      </c>
      <c r="I908" s="268" t="str">
        <f>$I$7</f>
        <v>SE</v>
      </c>
      <c r="J908" s="268" t="str">
        <f>$J$7</f>
        <v>Total</v>
      </c>
      <c r="K908" s="268"/>
      <c r="L908" s="268" t="str">
        <f>$L$7</f>
        <v>FT</v>
      </c>
      <c r="M908" s="268" t="str">
        <f>$M$7</f>
        <v>PT</v>
      </c>
      <c r="N908" s="268" t="str">
        <f>$N$7</f>
        <v>SE</v>
      </c>
      <c r="O908" s="268" t="str">
        <f>$O$7</f>
        <v>Total</v>
      </c>
    </row>
    <row r="909" spans="1:15" s="236" customFormat="1" x14ac:dyDescent="0.2">
      <c r="A909" s="258"/>
      <c r="B909" s="239"/>
      <c r="C909" s="239"/>
      <c r="D909" s="239"/>
      <c r="E909" s="239"/>
      <c r="F909" s="239"/>
      <c r="G909" s="239"/>
      <c r="H909" s="239"/>
      <c r="I909" s="239"/>
      <c r="J909" s="239"/>
      <c r="K909" s="239"/>
      <c r="L909" s="239"/>
      <c r="M909" s="239"/>
      <c r="N909" s="239"/>
      <c r="O909" s="239"/>
    </row>
    <row r="910" spans="1:15" s="236" customFormat="1" x14ac:dyDescent="0.2">
      <c r="A910" s="237" t="str">
        <f>name!E$4</f>
        <v>Managers, directors and senior officials</v>
      </c>
      <c r="B910" s="302">
        <v>2.5868460789571364</v>
      </c>
      <c r="C910" s="302">
        <v>0.18295209058275905</v>
      </c>
      <c r="D910" s="302">
        <v>0.56004938294585882</v>
      </c>
      <c r="E910" s="302">
        <f>SUM(B910:D910)</f>
        <v>3.329847552485754</v>
      </c>
      <c r="F910" s="303"/>
      <c r="G910" s="302">
        <v>1.9411412687631828</v>
      </c>
      <c r="H910" s="302">
        <v>0.1612901293634203</v>
      </c>
      <c r="I910" s="302">
        <v>0.6051204432192302</v>
      </c>
      <c r="J910" s="302">
        <f>SUM(G910:I910)</f>
        <v>2.707551841345833</v>
      </c>
      <c r="K910" s="303"/>
      <c r="L910" s="302">
        <v>1.7351578062916362</v>
      </c>
      <c r="M910" s="302">
        <v>0.19207299447737577</v>
      </c>
      <c r="N910" s="302">
        <v>0.67896209165765253</v>
      </c>
      <c r="O910" s="302">
        <f>SUM(L910:N910)</f>
        <v>2.6061928924266646</v>
      </c>
    </row>
    <row r="911" spans="1:15" s="236" customFormat="1" x14ac:dyDescent="0.2">
      <c r="A911" s="237" t="str">
        <f>name!E$5</f>
        <v>Professional occupations</v>
      </c>
      <c r="B911" s="302">
        <v>9.7300482419363838</v>
      </c>
      <c r="C911" s="302">
        <v>0.37205689401732561</v>
      </c>
      <c r="D911" s="302">
        <v>1.2011883327447028</v>
      </c>
      <c r="E911" s="302">
        <f t="shared" ref="E911:E918" si="392">SUM(B911:D911)</f>
        <v>11.303293468698412</v>
      </c>
      <c r="F911" s="303"/>
      <c r="G911" s="302">
        <v>8.3910475092952908</v>
      </c>
      <c r="H911" s="302">
        <v>0.29153385913579533</v>
      </c>
      <c r="I911" s="302">
        <v>1.1417581315790326</v>
      </c>
      <c r="J911" s="302">
        <f t="shared" ref="J911:J913" si="393">SUM(G911:I911)</f>
        <v>9.8243395000101188</v>
      </c>
      <c r="K911" s="303"/>
      <c r="L911" s="302">
        <v>8.9218089128674727</v>
      </c>
      <c r="M911" s="302">
        <v>0.33256528442135336</v>
      </c>
      <c r="N911" s="302">
        <v>0.7489498674548315</v>
      </c>
      <c r="O911" s="302">
        <f t="shared" ref="O911:O918" si="394">SUM(L911:N911)</f>
        <v>10.003324064743657</v>
      </c>
    </row>
    <row r="912" spans="1:15" s="236" customFormat="1" x14ac:dyDescent="0.2">
      <c r="A912" s="237" t="str">
        <f>name!E$6</f>
        <v>Associate professional occupations</v>
      </c>
      <c r="B912" s="302">
        <v>4.4529745529732345</v>
      </c>
      <c r="C912" s="302">
        <v>0.37981682481481255</v>
      </c>
      <c r="D912" s="302">
        <v>0.6542156178516122</v>
      </c>
      <c r="E912" s="302">
        <f t="shared" si="392"/>
        <v>5.4870069956396597</v>
      </c>
      <c r="F912" s="303"/>
      <c r="G912" s="302">
        <v>3.5903295265553594</v>
      </c>
      <c r="H912" s="302">
        <v>0.2796913043524431</v>
      </c>
      <c r="I912" s="302">
        <v>0.58936801352292745</v>
      </c>
      <c r="J912" s="302">
        <f t="shared" si="393"/>
        <v>4.4593888444307295</v>
      </c>
      <c r="K912" s="303"/>
      <c r="L912" s="302">
        <v>3.1098451297749494</v>
      </c>
      <c r="M912" s="302">
        <v>0.26965412717280524</v>
      </c>
      <c r="N912" s="302">
        <v>0.51089180935417244</v>
      </c>
      <c r="O912" s="302">
        <f t="shared" si="394"/>
        <v>3.8903910663019272</v>
      </c>
    </row>
    <row r="913" spans="1:15" s="236" customFormat="1" x14ac:dyDescent="0.2">
      <c r="A913" s="237" t="str">
        <f>name!E$7</f>
        <v>Administrative and secretarial occupations</v>
      </c>
      <c r="B913" s="302">
        <v>6.0415390190613554</v>
      </c>
      <c r="C913" s="302">
        <v>1.8429969346838393</v>
      </c>
      <c r="D913" s="302">
        <v>0.53144554050041493</v>
      </c>
      <c r="E913" s="302">
        <f t="shared" si="392"/>
        <v>8.4159814942456102</v>
      </c>
      <c r="F913" s="303"/>
      <c r="G913" s="302">
        <v>4.345643788725436</v>
      </c>
      <c r="H913" s="302">
        <v>0.9957394552271992</v>
      </c>
      <c r="I913" s="302">
        <v>0.33548416479399262</v>
      </c>
      <c r="J913" s="302">
        <f t="shared" si="393"/>
        <v>5.6768674087466282</v>
      </c>
      <c r="K913" s="303"/>
      <c r="L913" s="302">
        <v>4.1362784083164552</v>
      </c>
      <c r="M913" s="302">
        <v>0.9050905526121289</v>
      </c>
      <c r="N913" s="302">
        <v>0.43459449836985919</v>
      </c>
      <c r="O913" s="302">
        <f t="shared" si="394"/>
        <v>5.475963459298443</v>
      </c>
    </row>
    <row r="914" spans="1:15" s="236" customFormat="1" x14ac:dyDescent="0.2">
      <c r="A914" s="237" t="str">
        <f>name!E$8</f>
        <v>Skilled trades occupations</v>
      </c>
      <c r="B914" s="302">
        <v>1.6613655940695282</v>
      </c>
      <c r="C914" s="302">
        <v>8.8757814146939201E-2</v>
      </c>
      <c r="D914" s="302">
        <v>0.27134522805181832</v>
      </c>
      <c r="E914" s="302">
        <f t="shared" si="392"/>
        <v>2.0214686362682857</v>
      </c>
      <c r="F914" s="303"/>
      <c r="G914" s="302">
        <v>0.86564944304627478</v>
      </c>
      <c r="H914" s="302">
        <v>4.6625715362895753E-2</v>
      </c>
      <c r="I914" s="302">
        <v>0.22527348612916323</v>
      </c>
      <c r="J914" s="302">
        <f>SUM(G914:I914)</f>
        <v>1.1375486445383338</v>
      </c>
      <c r="K914" s="303"/>
      <c r="L914" s="302">
        <v>0.54630719887107115</v>
      </c>
      <c r="M914" s="302">
        <v>5.2541805317181473E-2</v>
      </c>
      <c r="N914" s="302">
        <v>0.24990868322439913</v>
      </c>
      <c r="O914" s="302">
        <f t="shared" si="394"/>
        <v>0.84875768741265167</v>
      </c>
    </row>
    <row r="915" spans="1:15" s="236" customFormat="1" x14ac:dyDescent="0.2">
      <c r="A915" s="237" t="str">
        <f>name!E$9</f>
        <v>Caring, leisure and other service occupations</v>
      </c>
      <c r="B915" s="302">
        <v>9.5942273301432887E-2</v>
      </c>
      <c r="C915" s="302">
        <v>1.2005899158046656E-2</v>
      </c>
      <c r="D915" s="302">
        <v>7.7813862791764304E-2</v>
      </c>
      <c r="E915" s="302">
        <f t="shared" si="392"/>
        <v>0.18576203525124385</v>
      </c>
      <c r="F915" s="303"/>
      <c r="G915" s="302">
        <v>6.6168863361897312E-2</v>
      </c>
      <c r="H915" s="302">
        <v>8.5040338358051172E-3</v>
      </c>
      <c r="I915" s="302">
        <v>8.6869449196607371E-2</v>
      </c>
      <c r="J915" s="302">
        <f t="shared" ref="J915:J918" si="395">SUM(G915:I915)</f>
        <v>0.16154234639430981</v>
      </c>
      <c r="K915" s="303"/>
      <c r="L915" s="302">
        <v>6.3783138765935207E-2</v>
      </c>
      <c r="M915" s="302">
        <v>8.237513960055445E-3</v>
      </c>
      <c r="N915" s="302">
        <v>0.154682818181508</v>
      </c>
      <c r="O915" s="302">
        <f t="shared" si="394"/>
        <v>0.22670347090749865</v>
      </c>
    </row>
    <row r="916" spans="1:15" s="236" customFormat="1" x14ac:dyDescent="0.2">
      <c r="A916" s="237" t="str">
        <f>name!E$10</f>
        <v>Sales and customer service occupations</v>
      </c>
      <c r="B916" s="302">
        <v>1.1468659389018205</v>
      </c>
      <c r="C916" s="302">
        <v>0.52873314825566742</v>
      </c>
      <c r="D916" s="302">
        <v>0.17058815498632271</v>
      </c>
      <c r="E916" s="302">
        <f t="shared" si="392"/>
        <v>1.8461872421438106</v>
      </c>
      <c r="F916" s="303"/>
      <c r="G916" s="302">
        <v>0.75472949995425942</v>
      </c>
      <c r="H916" s="302">
        <v>0.3147664992442592</v>
      </c>
      <c r="I916" s="302">
        <v>0.10318946498945933</v>
      </c>
      <c r="J916" s="302">
        <f t="shared" si="395"/>
        <v>1.172685464187978</v>
      </c>
      <c r="K916" s="303"/>
      <c r="L916" s="302">
        <v>0.82758841542815076</v>
      </c>
      <c r="M916" s="302">
        <v>0.39106815138535672</v>
      </c>
      <c r="N916" s="302">
        <v>8.9149704616186237E-2</v>
      </c>
      <c r="O916" s="302">
        <f t="shared" si="394"/>
        <v>1.3078062714296936</v>
      </c>
    </row>
    <row r="917" spans="1:15" s="236" customFormat="1" x14ac:dyDescent="0.2">
      <c r="A917" s="237" t="str">
        <f>name!E$11</f>
        <v>Process, plant and machine operatives</v>
      </c>
      <c r="B917" s="302">
        <v>0.90451771083591392</v>
      </c>
      <c r="C917" s="302">
        <v>5.4285392524841596E-2</v>
      </c>
      <c r="D917" s="302">
        <v>7.1780603176198332E-2</v>
      </c>
      <c r="E917" s="302">
        <f t="shared" si="392"/>
        <v>1.0305837065369539</v>
      </c>
      <c r="F917" s="303"/>
      <c r="G917" s="302">
        <v>0.4451931310747741</v>
      </c>
      <c r="H917" s="302">
        <v>4.5352393581828736E-2</v>
      </c>
      <c r="I917" s="302">
        <v>7.0623359643937081E-2</v>
      </c>
      <c r="J917" s="302">
        <f t="shared" si="395"/>
        <v>0.56116888430053991</v>
      </c>
      <c r="K917" s="303"/>
      <c r="L917" s="302">
        <v>0.383123499387797</v>
      </c>
      <c r="M917" s="302">
        <v>5.2939120744624819E-2</v>
      </c>
      <c r="N917" s="302">
        <v>8.365155933617964E-2</v>
      </c>
      <c r="O917" s="302">
        <f t="shared" si="394"/>
        <v>0.51971417946860143</v>
      </c>
    </row>
    <row r="918" spans="1:15" s="236" customFormat="1" x14ac:dyDescent="0.2">
      <c r="A918" s="237" t="str">
        <f>name!E$12</f>
        <v>Elementary occupations</v>
      </c>
      <c r="B918" s="302">
        <v>0.75090058945055249</v>
      </c>
      <c r="C918" s="302">
        <v>0.11539500182072746</v>
      </c>
      <c r="D918" s="302">
        <v>6.0573276962863347E-2</v>
      </c>
      <c r="E918" s="302">
        <f t="shared" si="392"/>
        <v>0.92686886823414327</v>
      </c>
      <c r="F918" s="303"/>
      <c r="G918" s="302">
        <v>0.42409696901883237</v>
      </c>
      <c r="H918" s="302">
        <v>6.9496609902650483E-2</v>
      </c>
      <c r="I918" s="302">
        <v>4.4313486948720483E-2</v>
      </c>
      <c r="J918" s="302">
        <f t="shared" si="395"/>
        <v>0.53790706587020332</v>
      </c>
      <c r="K918" s="303"/>
      <c r="L918" s="302">
        <v>0.32710749054604749</v>
      </c>
      <c r="M918" s="302">
        <v>6.2830449912544772E-2</v>
      </c>
      <c r="N918" s="302">
        <v>5.2208967920638366E-2</v>
      </c>
      <c r="O918" s="302">
        <f t="shared" si="394"/>
        <v>0.44214690837923065</v>
      </c>
    </row>
    <row r="919" spans="1:15" s="236" customFormat="1" x14ac:dyDescent="0.2">
      <c r="A919" s="237"/>
      <c r="B919" s="302"/>
      <c r="C919" s="302"/>
      <c r="D919" s="302"/>
      <c r="E919" s="302"/>
      <c r="F919" s="303"/>
      <c r="G919" s="302"/>
      <c r="H919" s="302"/>
      <c r="I919" s="302"/>
      <c r="J919" s="302"/>
      <c r="K919" s="303"/>
      <c r="L919" s="302"/>
      <c r="M919" s="302"/>
      <c r="N919" s="302"/>
      <c r="O919" s="302"/>
    </row>
    <row r="920" spans="1:15" s="236" customFormat="1" x14ac:dyDescent="0.2">
      <c r="A920" s="244" t="s">
        <v>32</v>
      </c>
      <c r="B920" s="311">
        <f>SUM(B910:B918)</f>
        <v>27.37099999948736</v>
      </c>
      <c r="C920" s="311">
        <f t="shared" ref="C920:E920" si="396">SUM(C910:C918)</f>
        <v>3.5770000000049587</v>
      </c>
      <c r="D920" s="311">
        <f t="shared" si="396"/>
        <v>3.5990000000115558</v>
      </c>
      <c r="E920" s="311">
        <f t="shared" si="396"/>
        <v>34.546999999503875</v>
      </c>
      <c r="F920" s="311"/>
      <c r="G920" s="311">
        <f t="shared" ref="G920:J920" si="397">SUM(G910:G918)</f>
        <v>20.823999999795312</v>
      </c>
      <c r="H920" s="311">
        <f t="shared" si="397"/>
        <v>2.2130000000062973</v>
      </c>
      <c r="I920" s="311">
        <f t="shared" si="397"/>
        <v>3.2020000000230708</v>
      </c>
      <c r="J920" s="311">
        <f t="shared" si="397"/>
        <v>26.238999999824674</v>
      </c>
      <c r="K920" s="311"/>
      <c r="L920" s="311">
        <f t="shared" ref="L920:O920" si="398">SUM(L910:L918)</f>
        <v>20.051000000249509</v>
      </c>
      <c r="M920" s="311">
        <f t="shared" si="398"/>
        <v>2.2670000000034269</v>
      </c>
      <c r="N920" s="311">
        <f t="shared" si="398"/>
        <v>3.0030000001154278</v>
      </c>
      <c r="O920" s="311">
        <f t="shared" si="398"/>
        <v>25.321000000368365</v>
      </c>
    </row>
    <row r="921" spans="1:15" s="236" customFormat="1" x14ac:dyDescent="0.2">
      <c r="A921" s="237"/>
      <c r="B921" s="237"/>
      <c r="C921" s="237"/>
      <c r="D921" s="237"/>
      <c r="E921" s="237"/>
      <c r="F921" s="237"/>
      <c r="G921" s="237"/>
      <c r="H921" s="237"/>
      <c r="I921" s="237"/>
      <c r="J921" s="237"/>
      <c r="K921" s="237"/>
      <c r="L921" s="237"/>
      <c r="M921" s="237"/>
      <c r="N921" s="240"/>
    </row>
    <row r="922" spans="1:15" s="236" customFormat="1" x14ac:dyDescent="0.2">
      <c r="A922" s="237"/>
      <c r="B922" s="237"/>
      <c r="C922" s="237"/>
      <c r="D922" s="237"/>
      <c r="E922" s="237"/>
      <c r="F922" s="237"/>
      <c r="G922" s="237"/>
      <c r="H922" s="237"/>
      <c r="I922" s="237"/>
      <c r="J922" s="237"/>
      <c r="K922" s="237"/>
      <c r="L922" s="237"/>
      <c r="M922" s="237"/>
      <c r="N922" s="240"/>
      <c r="O922" s="251" t="s">
        <v>35</v>
      </c>
    </row>
    <row r="923" spans="1:15" s="236" customFormat="1" x14ac:dyDescent="0.2">
      <c r="A923" s="242"/>
      <c r="B923" s="242"/>
      <c r="C923" s="242"/>
      <c r="D923" s="242"/>
      <c r="E923" s="242"/>
      <c r="F923" s="242"/>
      <c r="G923" s="242"/>
      <c r="H923" s="242"/>
      <c r="I923" s="242"/>
      <c r="J923" s="242"/>
      <c r="K923" s="242"/>
      <c r="L923" s="242"/>
      <c r="M923" s="242"/>
      <c r="N923" s="242"/>
      <c r="O923" s="242"/>
    </row>
    <row r="924" spans="1:15" s="236" customFormat="1" x14ac:dyDescent="0.2">
      <c r="A924" s="241" t="str">
        <f>name!A57</f>
        <v>Scientific research and development</v>
      </c>
      <c r="B924" s="374">
        <f>$B$6</f>
        <v>2015</v>
      </c>
      <c r="C924" s="374"/>
      <c r="D924" s="374"/>
      <c r="E924" s="374"/>
      <c r="F924" s="263"/>
      <c r="G924" s="374">
        <f>$G$6</f>
        <v>2020</v>
      </c>
      <c r="H924" s="374"/>
      <c r="I924" s="374"/>
      <c r="J924" s="374"/>
      <c r="K924" s="263"/>
      <c r="L924" s="374">
        <f>$L$6</f>
        <v>2035</v>
      </c>
      <c r="M924" s="374"/>
      <c r="N924" s="374"/>
      <c r="O924" s="374"/>
    </row>
    <row r="925" spans="1:15" s="236" customFormat="1" x14ac:dyDescent="0.2">
      <c r="A925" s="254"/>
      <c r="B925" s="268" t="str">
        <f>$B$7</f>
        <v>FT</v>
      </c>
      <c r="C925" s="268" t="str">
        <f>$C$7</f>
        <v>PT</v>
      </c>
      <c r="D925" s="268" t="str">
        <f>$D$7</f>
        <v>SE</v>
      </c>
      <c r="E925" s="268" t="str">
        <f>$E$7</f>
        <v>Total</v>
      </c>
      <c r="F925" s="268"/>
      <c r="G925" s="268" t="str">
        <f>$G$7</f>
        <v>FT</v>
      </c>
      <c r="H925" s="268" t="str">
        <f>$H$7</f>
        <v>PT</v>
      </c>
      <c r="I925" s="268" t="str">
        <f>$I$7</f>
        <v>SE</v>
      </c>
      <c r="J925" s="268" t="str">
        <f>$J$7</f>
        <v>Total</v>
      </c>
      <c r="K925" s="268"/>
      <c r="L925" s="268" t="str">
        <f>$L$7</f>
        <v>FT</v>
      </c>
      <c r="M925" s="268" t="str">
        <f>$M$7</f>
        <v>PT</v>
      </c>
      <c r="N925" s="268" t="str">
        <f>$N$7</f>
        <v>SE</v>
      </c>
      <c r="O925" s="268" t="str">
        <f>$O$7</f>
        <v>Total</v>
      </c>
    </row>
    <row r="926" spans="1:15" s="236" customFormat="1" x14ac:dyDescent="0.2">
      <c r="A926" s="258"/>
      <c r="B926" s="239"/>
      <c r="C926" s="239"/>
      <c r="D926" s="239"/>
      <c r="E926" s="239"/>
      <c r="F926" s="239"/>
      <c r="G926" s="239"/>
      <c r="H926" s="239"/>
      <c r="I926" s="239"/>
      <c r="J926" s="239"/>
      <c r="K926" s="239"/>
      <c r="L926" s="239"/>
      <c r="M926" s="239"/>
      <c r="N926" s="239"/>
      <c r="O926" s="239"/>
    </row>
    <row r="927" spans="1:15" s="236" customFormat="1" x14ac:dyDescent="0.2">
      <c r="A927" s="237" t="str">
        <f>name!E$4</f>
        <v>Managers, directors and senior officials</v>
      </c>
      <c r="B927" s="302">
        <v>0.29376485862792617</v>
      </c>
      <c r="C927" s="302">
        <v>4.7632790638955482E-3</v>
      </c>
      <c r="D927" s="302">
        <v>0.21989016343998691</v>
      </c>
      <c r="E927" s="302">
        <f>SUM(B927:D927)</f>
        <v>0.51841830113180865</v>
      </c>
      <c r="F927" s="303"/>
      <c r="G927" s="302">
        <v>0.13648926242916695</v>
      </c>
      <c r="H927" s="302">
        <v>4.0962805336324506E-3</v>
      </c>
      <c r="I927" s="302">
        <v>0.12227238411217201</v>
      </c>
      <c r="J927" s="302">
        <f>SUM(G927:I927)</f>
        <v>0.26285792707497141</v>
      </c>
      <c r="K927" s="303"/>
      <c r="L927" s="302">
        <v>0.17063673093612552</v>
      </c>
      <c r="M927" s="302">
        <v>6.8180242502654722E-3</v>
      </c>
      <c r="N927" s="302">
        <v>0.21713155594009412</v>
      </c>
      <c r="O927" s="302">
        <f>SUM(L927:N927)</f>
        <v>0.39458631112648512</v>
      </c>
    </row>
    <row r="928" spans="1:15" s="236" customFormat="1" x14ac:dyDescent="0.2">
      <c r="A928" s="237" t="str">
        <f>name!E$5</f>
        <v>Professional occupations</v>
      </c>
      <c r="B928" s="302">
        <v>1.860360963724456</v>
      </c>
      <c r="C928" s="302">
        <v>1.9953799434910813E-2</v>
      </c>
      <c r="D928" s="302">
        <v>1.0683961925659093</v>
      </c>
      <c r="E928" s="302">
        <f t="shared" ref="E928:E935" si="399">SUM(B928:D928)</f>
        <v>2.948710955725276</v>
      </c>
      <c r="F928" s="303"/>
      <c r="G928" s="302">
        <v>0.94691225964777925</v>
      </c>
      <c r="H928" s="302">
        <v>1.5027744145556628E-2</v>
      </c>
      <c r="I928" s="302">
        <v>0.5408145526520467</v>
      </c>
      <c r="J928" s="302">
        <f t="shared" ref="J928:J930" si="400">SUM(G928:I928)</f>
        <v>1.5027545564453826</v>
      </c>
      <c r="K928" s="303"/>
      <c r="L928" s="302">
        <v>1.405542817486287</v>
      </c>
      <c r="M928" s="302">
        <v>2.3131623831158073E-2</v>
      </c>
      <c r="N928" s="302">
        <v>0.63525085360677125</v>
      </c>
      <c r="O928" s="302">
        <f t="shared" ref="O928:O935" si="401">SUM(L928:N928)</f>
        <v>2.0639252949242164</v>
      </c>
    </row>
    <row r="929" spans="1:15" s="236" customFormat="1" x14ac:dyDescent="0.2">
      <c r="A929" s="237" t="str">
        <f>name!E$6</f>
        <v>Associate professional occupations</v>
      </c>
      <c r="B929" s="302">
        <v>0.61969681821073075</v>
      </c>
      <c r="C929" s="302">
        <v>1.4615829899329632E-2</v>
      </c>
      <c r="D929" s="302">
        <v>0.18459060766367252</v>
      </c>
      <c r="E929" s="302">
        <f t="shared" si="399"/>
        <v>0.81890325577373291</v>
      </c>
      <c r="F929" s="303"/>
      <c r="G929" s="302">
        <v>0.31016932882707249</v>
      </c>
      <c r="H929" s="302">
        <v>1.0402600166488899E-2</v>
      </c>
      <c r="I929" s="302">
        <v>7.2275303723729728E-2</v>
      </c>
      <c r="J929" s="302">
        <f t="shared" si="400"/>
        <v>0.39284723271729116</v>
      </c>
      <c r="K929" s="303"/>
      <c r="L929" s="302">
        <v>0.39447301955728908</v>
      </c>
      <c r="M929" s="302">
        <v>1.4787478117852092E-2</v>
      </c>
      <c r="N929" s="302">
        <v>0.11452127822614602</v>
      </c>
      <c r="O929" s="302">
        <f t="shared" si="401"/>
        <v>0.52378177590128716</v>
      </c>
    </row>
    <row r="930" spans="1:15" s="236" customFormat="1" x14ac:dyDescent="0.2">
      <c r="A930" s="237" t="str">
        <f>name!E$7</f>
        <v>Administrative and secretarial occupations</v>
      </c>
      <c r="B930" s="302">
        <v>0.52779064334608272</v>
      </c>
      <c r="C930" s="302">
        <v>4.5455064678841806E-2</v>
      </c>
      <c r="D930" s="302">
        <v>0.22334909204418352</v>
      </c>
      <c r="E930" s="302">
        <f t="shared" si="399"/>
        <v>0.79659480006910799</v>
      </c>
      <c r="F930" s="303"/>
      <c r="G930" s="302">
        <v>0.22741864795377498</v>
      </c>
      <c r="H930" s="302">
        <v>2.5285485733522451E-2</v>
      </c>
      <c r="I930" s="302">
        <v>6.5171414244385717E-2</v>
      </c>
      <c r="J930" s="302">
        <f t="shared" si="400"/>
        <v>0.31787554793168316</v>
      </c>
      <c r="K930" s="303"/>
      <c r="L930" s="302">
        <v>0.28605313261826781</v>
      </c>
      <c r="M930" s="302">
        <v>3.0926944554958567E-2</v>
      </c>
      <c r="N930" s="302">
        <v>0.12406196526248833</v>
      </c>
      <c r="O930" s="302">
        <f t="shared" si="401"/>
        <v>0.44104204243571477</v>
      </c>
    </row>
    <row r="931" spans="1:15" s="236" customFormat="1" x14ac:dyDescent="0.2">
      <c r="A931" s="237" t="str">
        <f>name!E$8</f>
        <v>Skilled trades occupations</v>
      </c>
      <c r="B931" s="302">
        <v>0.26448756238944943</v>
      </c>
      <c r="C931" s="302">
        <v>3.9231914270474897E-3</v>
      </c>
      <c r="D931" s="302">
        <v>0.19701934340923055</v>
      </c>
      <c r="E931" s="302">
        <f t="shared" si="399"/>
        <v>0.46543009722572748</v>
      </c>
      <c r="F931" s="303"/>
      <c r="G931" s="302">
        <v>8.2122960181287674E-2</v>
      </c>
      <c r="H931" s="302">
        <v>1.4006580586268238E-3</v>
      </c>
      <c r="I931" s="302">
        <v>9.0181532610913454E-2</v>
      </c>
      <c r="J931" s="302">
        <f>SUM(G931:I931)</f>
        <v>0.17370515085082794</v>
      </c>
      <c r="K931" s="303"/>
      <c r="L931" s="302">
        <v>7.4557053735626058E-2</v>
      </c>
      <c r="M931" s="302">
        <v>2.2531935903992322E-3</v>
      </c>
      <c r="N931" s="302">
        <v>0.16065710353658597</v>
      </c>
      <c r="O931" s="302">
        <f t="shared" si="401"/>
        <v>0.23746735086261125</v>
      </c>
    </row>
    <row r="932" spans="1:15" s="236" customFormat="1" x14ac:dyDescent="0.2">
      <c r="A932" s="237" t="str">
        <f>name!E$9</f>
        <v>Caring, leisure and other service occupations</v>
      </c>
      <c r="B932" s="302">
        <v>0.1457680750407912</v>
      </c>
      <c r="C932" s="302">
        <v>2.9310643723958868E-3</v>
      </c>
      <c r="D932" s="302">
        <v>8.5038484077779891E-2</v>
      </c>
      <c r="E932" s="302">
        <f t="shared" si="399"/>
        <v>0.23373762349096697</v>
      </c>
      <c r="F932" s="303"/>
      <c r="G932" s="302">
        <v>6.2799365027081444E-2</v>
      </c>
      <c r="H932" s="302">
        <v>1.5896317378269469E-3</v>
      </c>
      <c r="I932" s="302">
        <v>2.6309052488067291E-2</v>
      </c>
      <c r="J932" s="302">
        <f t="shared" ref="J932:J935" si="402">SUM(G932:I932)</f>
        <v>9.0698049252975685E-2</v>
      </c>
      <c r="K932" s="303"/>
      <c r="L932" s="302">
        <v>8.3974400746226127E-2</v>
      </c>
      <c r="M932" s="302">
        <v>2.31876164608144E-3</v>
      </c>
      <c r="N932" s="302">
        <v>7.5770932902522889E-2</v>
      </c>
      <c r="O932" s="302">
        <f t="shared" si="401"/>
        <v>0.16206409529483046</v>
      </c>
    </row>
    <row r="933" spans="1:15" s="236" customFormat="1" x14ac:dyDescent="0.2">
      <c r="A933" s="237" t="str">
        <f>name!E$10</f>
        <v>Sales and customer service occupations</v>
      </c>
      <c r="B933" s="302">
        <v>0.11158866411571643</v>
      </c>
      <c r="C933" s="302">
        <v>2.9832248572103284E-2</v>
      </c>
      <c r="D933" s="302">
        <v>0.13409096198722811</v>
      </c>
      <c r="E933" s="302">
        <f t="shared" si="399"/>
        <v>0.27551187467504779</v>
      </c>
      <c r="F933" s="303"/>
      <c r="G933" s="302">
        <v>4.56689426641037E-2</v>
      </c>
      <c r="H933" s="302">
        <v>1.5614380051597126E-2</v>
      </c>
      <c r="I933" s="302">
        <v>4.278598723705463E-2</v>
      </c>
      <c r="J933" s="302">
        <f t="shared" si="402"/>
        <v>0.10406930995275546</v>
      </c>
      <c r="K933" s="303"/>
      <c r="L933" s="302">
        <v>9.541526644993395E-2</v>
      </c>
      <c r="M933" s="302">
        <v>2.5244108675652133E-2</v>
      </c>
      <c r="N933" s="302">
        <v>6.3482040138432852E-2</v>
      </c>
      <c r="O933" s="302">
        <f t="shared" si="401"/>
        <v>0.18414141526401895</v>
      </c>
    </row>
    <row r="934" spans="1:15" s="236" customFormat="1" x14ac:dyDescent="0.2">
      <c r="A934" s="237" t="str">
        <f>name!E$11</f>
        <v>Process, plant and machine operatives</v>
      </c>
      <c r="B934" s="302">
        <v>0.12734578418333986</v>
      </c>
      <c r="C934" s="302">
        <v>4.8687984529123323E-3</v>
      </c>
      <c r="D934" s="302">
        <v>0.1055569525852485</v>
      </c>
      <c r="E934" s="302">
        <f t="shared" si="399"/>
        <v>0.23777153522150068</v>
      </c>
      <c r="F934" s="303"/>
      <c r="G934" s="302">
        <v>3.8837728262761329E-2</v>
      </c>
      <c r="H934" s="302">
        <v>2.5001710578125974E-3</v>
      </c>
      <c r="I934" s="302">
        <v>5.7113642375228549E-2</v>
      </c>
      <c r="J934" s="302">
        <f t="shared" si="402"/>
        <v>9.8451541695802475E-2</v>
      </c>
      <c r="K934" s="303"/>
      <c r="L934" s="302">
        <v>4.8458060876803544E-2</v>
      </c>
      <c r="M934" s="302">
        <v>3.3927525234430343E-3</v>
      </c>
      <c r="N934" s="302">
        <v>0.10402709697943405</v>
      </c>
      <c r="O934" s="302">
        <f t="shared" si="401"/>
        <v>0.15587791037968063</v>
      </c>
    </row>
    <row r="935" spans="1:15" s="236" customFormat="1" x14ac:dyDescent="0.2">
      <c r="A935" s="237" t="str">
        <f>name!E$12</f>
        <v>Elementary occupations</v>
      </c>
      <c r="B935" s="302">
        <v>0.11219663030908884</v>
      </c>
      <c r="C935" s="302">
        <v>2.6567240984451674E-3</v>
      </c>
      <c r="D935" s="302">
        <v>0.2350682022283038</v>
      </c>
      <c r="E935" s="302">
        <f t="shared" si="399"/>
        <v>0.34992155663583779</v>
      </c>
      <c r="F935" s="303"/>
      <c r="G935" s="302">
        <v>3.6581505004204887E-2</v>
      </c>
      <c r="H935" s="302">
        <v>1.0830485151339015E-3</v>
      </c>
      <c r="I935" s="302">
        <v>6.9076130561279453E-2</v>
      </c>
      <c r="J935" s="302">
        <f t="shared" si="402"/>
        <v>0.10674068408061824</v>
      </c>
      <c r="K935" s="303"/>
      <c r="L935" s="302">
        <v>3.8889517631821038E-2</v>
      </c>
      <c r="M935" s="302">
        <v>1.1271128104876963E-3</v>
      </c>
      <c r="N935" s="302">
        <v>0.12109717346857568</v>
      </c>
      <c r="O935" s="302">
        <f t="shared" si="401"/>
        <v>0.16111380391088442</v>
      </c>
    </row>
    <row r="936" spans="1:15" s="236" customFormat="1" x14ac:dyDescent="0.2">
      <c r="A936" s="237"/>
      <c r="B936" s="302"/>
      <c r="C936" s="302"/>
      <c r="D936" s="302"/>
      <c r="E936" s="302"/>
      <c r="F936" s="303"/>
      <c r="G936" s="302"/>
      <c r="H936" s="302"/>
      <c r="I936" s="302"/>
      <c r="J936" s="302"/>
      <c r="K936" s="303"/>
      <c r="L936" s="302"/>
      <c r="M936" s="302"/>
      <c r="N936" s="302"/>
      <c r="O936" s="302"/>
    </row>
    <row r="937" spans="1:15" s="236" customFormat="1" x14ac:dyDescent="0.2">
      <c r="A937" s="244" t="s">
        <v>32</v>
      </c>
      <c r="B937" s="311">
        <f>SUM(B927:B935)</f>
        <v>4.0629999999475812</v>
      </c>
      <c r="C937" s="311">
        <f t="shared" ref="C937:E937" si="403">SUM(C927:C935)</f>
        <v>0.12899999999988196</v>
      </c>
      <c r="D937" s="311">
        <f t="shared" si="403"/>
        <v>2.4530000000015426</v>
      </c>
      <c r="E937" s="311">
        <f t="shared" si="403"/>
        <v>6.6449999999490057</v>
      </c>
      <c r="F937" s="311"/>
      <c r="G937" s="311">
        <f t="shared" ref="G937:J937" si="404">SUM(G927:G935)</f>
        <v>1.8869999999972327</v>
      </c>
      <c r="H937" s="311">
        <f t="shared" si="404"/>
        <v>7.7000000000197827E-2</v>
      </c>
      <c r="I937" s="311">
        <f t="shared" si="404"/>
        <v>1.0860000000048775</v>
      </c>
      <c r="J937" s="311">
        <f t="shared" si="404"/>
        <v>3.0500000000023073</v>
      </c>
      <c r="K937" s="311"/>
      <c r="L937" s="311">
        <f t="shared" ref="L937:O937" si="405">SUM(L927:L935)</f>
        <v>2.5980000000383807</v>
      </c>
      <c r="M937" s="311">
        <f t="shared" si="405"/>
        <v>0.11000000000029773</v>
      </c>
      <c r="N937" s="311">
        <f t="shared" si="405"/>
        <v>1.6160000000610513</v>
      </c>
      <c r="O937" s="311">
        <f t="shared" si="405"/>
        <v>4.3240000000997298</v>
      </c>
    </row>
    <row r="938" spans="1:15" s="236" customFormat="1" x14ac:dyDescent="0.2">
      <c r="A938" s="237"/>
      <c r="B938" s="237"/>
      <c r="C938" s="237"/>
      <c r="D938" s="237"/>
      <c r="E938" s="237"/>
      <c r="F938" s="237"/>
      <c r="G938" s="237"/>
      <c r="H938" s="237"/>
      <c r="I938" s="237"/>
      <c r="J938" s="237"/>
      <c r="K938" s="237"/>
      <c r="L938" s="237"/>
      <c r="M938" s="237"/>
      <c r="N938" s="240"/>
    </row>
    <row r="939" spans="1:15" s="236" customFormat="1" x14ac:dyDescent="0.2">
      <c r="A939" s="237"/>
      <c r="B939" s="237"/>
      <c r="C939" s="237"/>
      <c r="D939" s="237"/>
      <c r="E939" s="237"/>
      <c r="F939" s="237"/>
      <c r="G939" s="237"/>
      <c r="H939" s="237"/>
      <c r="I939" s="237"/>
      <c r="J939" s="237"/>
      <c r="K939" s="237"/>
      <c r="L939" s="237"/>
      <c r="M939" s="237"/>
      <c r="N939" s="240"/>
      <c r="O939" s="251" t="s">
        <v>35</v>
      </c>
    </row>
    <row r="940" spans="1:15" s="236" customFormat="1" x14ac:dyDescent="0.2">
      <c r="A940" s="242"/>
      <c r="B940" s="242"/>
      <c r="C940" s="242"/>
      <c r="D940" s="242"/>
      <c r="E940" s="242"/>
      <c r="F940" s="242"/>
      <c r="G940" s="242"/>
      <c r="H940" s="242"/>
      <c r="I940" s="242"/>
      <c r="J940" s="242"/>
      <c r="K940" s="242"/>
      <c r="L940" s="242"/>
      <c r="M940" s="242"/>
      <c r="N940" s="242"/>
      <c r="O940" s="242"/>
    </row>
    <row r="941" spans="1:15" s="236" customFormat="1" x14ac:dyDescent="0.2">
      <c r="A941" s="241" t="str">
        <f>name!A58</f>
        <v>Advertising, etc</v>
      </c>
      <c r="B941" s="374">
        <f>$B$6</f>
        <v>2015</v>
      </c>
      <c r="C941" s="374"/>
      <c r="D941" s="374"/>
      <c r="E941" s="374"/>
      <c r="F941" s="263"/>
      <c r="G941" s="374">
        <f>$G$6</f>
        <v>2020</v>
      </c>
      <c r="H941" s="374"/>
      <c r="I941" s="374"/>
      <c r="J941" s="374"/>
      <c r="K941" s="263"/>
      <c r="L941" s="374">
        <f>$L$6</f>
        <v>2035</v>
      </c>
      <c r="M941" s="374"/>
      <c r="N941" s="374"/>
      <c r="O941" s="374"/>
    </row>
    <row r="942" spans="1:15" s="236" customFormat="1" x14ac:dyDescent="0.2">
      <c r="A942" s="254"/>
      <c r="B942" s="268" t="str">
        <f>$B$7</f>
        <v>FT</v>
      </c>
      <c r="C942" s="268" t="str">
        <f>$C$7</f>
        <v>PT</v>
      </c>
      <c r="D942" s="268" t="str">
        <f>$D$7</f>
        <v>SE</v>
      </c>
      <c r="E942" s="268" t="str">
        <f>$E$7</f>
        <v>Total</v>
      </c>
      <c r="F942" s="268"/>
      <c r="G942" s="268" t="str">
        <f>$G$7</f>
        <v>FT</v>
      </c>
      <c r="H942" s="268" t="str">
        <f>$H$7</f>
        <v>PT</v>
      </c>
      <c r="I942" s="268" t="str">
        <f>$I$7</f>
        <v>SE</v>
      </c>
      <c r="J942" s="268" t="str">
        <f>$J$7</f>
        <v>Total</v>
      </c>
      <c r="K942" s="268"/>
      <c r="L942" s="268" t="str">
        <f>$L$7</f>
        <v>FT</v>
      </c>
      <c r="M942" s="268" t="str">
        <f>$M$7</f>
        <v>PT</v>
      </c>
      <c r="N942" s="268" t="str">
        <f>$N$7</f>
        <v>SE</v>
      </c>
      <c r="O942" s="268" t="str">
        <f>$O$7</f>
        <v>Total</v>
      </c>
    </row>
    <row r="943" spans="1:15" s="236" customFormat="1" x14ac:dyDescent="0.2">
      <c r="A943" s="258"/>
      <c r="B943" s="239"/>
      <c r="C943" s="239"/>
      <c r="D943" s="239"/>
      <c r="E943" s="239"/>
      <c r="F943" s="239"/>
      <c r="G943" s="239"/>
      <c r="H943" s="239"/>
      <c r="I943" s="239"/>
      <c r="J943" s="239"/>
      <c r="K943" s="239"/>
      <c r="L943" s="239"/>
      <c r="M943" s="239"/>
      <c r="N943" s="239"/>
      <c r="O943" s="239"/>
    </row>
    <row r="944" spans="1:15" s="236" customFormat="1" x14ac:dyDescent="0.2">
      <c r="A944" s="237" t="str">
        <f>name!E$4</f>
        <v>Managers, directors and senior officials</v>
      </c>
      <c r="B944" s="302">
        <v>9.7794966866848479E-2</v>
      </c>
      <c r="C944" s="302">
        <v>6.3911062613998995E-2</v>
      </c>
      <c r="D944" s="302">
        <v>0.14403718520545739</v>
      </c>
      <c r="E944" s="302">
        <f>SUM(B944:D944)</f>
        <v>0.30574321468630483</v>
      </c>
      <c r="F944" s="303"/>
      <c r="G944" s="302">
        <v>0.13461608827889845</v>
      </c>
      <c r="H944" s="302">
        <v>4.0389315064884149E-2</v>
      </c>
      <c r="I944" s="302">
        <v>0.11587064453846133</v>
      </c>
      <c r="J944" s="302">
        <f>SUM(G944:I944)</f>
        <v>0.29087604788224397</v>
      </c>
      <c r="K944" s="303"/>
      <c r="L944" s="302">
        <v>0.18500215268977815</v>
      </c>
      <c r="M944" s="302">
        <v>6.8115344904053493E-2</v>
      </c>
      <c r="N944" s="302">
        <v>0.1918999244786824</v>
      </c>
      <c r="O944" s="302">
        <f>SUM(L944:N944)</f>
        <v>0.44501742207251405</v>
      </c>
    </row>
    <row r="945" spans="1:15" s="236" customFormat="1" x14ac:dyDescent="0.2">
      <c r="A945" s="237" t="str">
        <f>name!E$5</f>
        <v>Professional occupations</v>
      </c>
      <c r="B945" s="302">
        <v>0.3613259936157116</v>
      </c>
      <c r="C945" s="302">
        <v>0.13608013958548715</v>
      </c>
      <c r="D945" s="302">
        <v>0.30500675391868748</v>
      </c>
      <c r="E945" s="302">
        <f t="shared" ref="E945:E952" si="406">SUM(B945:D945)</f>
        <v>0.80241288711988623</v>
      </c>
      <c r="F945" s="303"/>
      <c r="G945" s="302">
        <v>0.57756219944339782</v>
      </c>
      <c r="H945" s="302">
        <v>7.9589953501908894E-2</v>
      </c>
      <c r="I945" s="302">
        <v>0.21132667742413799</v>
      </c>
      <c r="J945" s="302">
        <f t="shared" ref="J945:J947" si="407">SUM(G945:I945)</f>
        <v>0.86847883036944473</v>
      </c>
      <c r="K945" s="303"/>
      <c r="L945" s="302">
        <v>0.92246548003038065</v>
      </c>
      <c r="M945" s="302">
        <v>0.12845774847485694</v>
      </c>
      <c r="N945" s="302">
        <v>0.25502355231965385</v>
      </c>
      <c r="O945" s="302">
        <f t="shared" ref="O945:O952" si="408">SUM(L945:N945)</f>
        <v>1.3059467808248915</v>
      </c>
    </row>
    <row r="946" spans="1:15" s="236" customFormat="1" x14ac:dyDescent="0.2">
      <c r="A946" s="237" t="str">
        <f>name!E$6</f>
        <v>Associate professional occupations</v>
      </c>
      <c r="B946" s="302">
        <v>0.17952231993181381</v>
      </c>
      <c r="C946" s="302">
        <v>0.13498892093833167</v>
      </c>
      <c r="D946" s="302">
        <v>0.20391799837633809</v>
      </c>
      <c r="E946" s="302">
        <f t="shared" si="406"/>
        <v>0.51842923924648354</v>
      </c>
      <c r="F946" s="303"/>
      <c r="G946" s="302">
        <v>0.2652840430954726</v>
      </c>
      <c r="H946" s="302">
        <v>6.5447719900847717E-2</v>
      </c>
      <c r="I946" s="302">
        <v>0.12268741134426821</v>
      </c>
      <c r="J946" s="302">
        <f t="shared" si="407"/>
        <v>0.45341917434058854</v>
      </c>
      <c r="K946" s="303"/>
      <c r="L946" s="302">
        <v>0.35235017805295366</v>
      </c>
      <c r="M946" s="302">
        <v>0.10134699472918611</v>
      </c>
      <c r="N946" s="302">
        <v>0.19024010971912661</v>
      </c>
      <c r="O946" s="302">
        <f t="shared" si="408"/>
        <v>0.64393728250126636</v>
      </c>
    </row>
    <row r="947" spans="1:15" s="236" customFormat="1" x14ac:dyDescent="0.2">
      <c r="A947" s="237" t="str">
        <f>name!E$7</f>
        <v>Administrative and secretarial occupations</v>
      </c>
      <c r="B947" s="302">
        <v>0.30926684557143097</v>
      </c>
      <c r="C947" s="302">
        <v>0.6780346206459108</v>
      </c>
      <c r="D947" s="302">
        <v>0.23761994778024756</v>
      </c>
      <c r="E947" s="302">
        <f t="shared" si="406"/>
        <v>1.2249214139975895</v>
      </c>
      <c r="F947" s="303"/>
      <c r="G947" s="302">
        <v>0.39570757934198475</v>
      </c>
      <c r="H947" s="302">
        <v>0.27380920782734819</v>
      </c>
      <c r="I947" s="302">
        <v>0.10637537391471764</v>
      </c>
      <c r="J947" s="302">
        <f t="shared" si="407"/>
        <v>0.77589216108405057</v>
      </c>
      <c r="K947" s="303"/>
      <c r="L947" s="302">
        <v>0.47024795855131124</v>
      </c>
      <c r="M947" s="302">
        <v>0.34158869472108666</v>
      </c>
      <c r="N947" s="302">
        <v>0.17305908961986172</v>
      </c>
      <c r="O947" s="302">
        <f t="shared" si="408"/>
        <v>0.98489574289225967</v>
      </c>
    </row>
    <row r="948" spans="1:15" s="236" customFormat="1" x14ac:dyDescent="0.2">
      <c r="A948" s="237" t="str">
        <f>name!E$8</f>
        <v>Skilled trades occupations</v>
      </c>
      <c r="B948" s="302">
        <v>5.2621138580469504E-2</v>
      </c>
      <c r="C948" s="302">
        <v>2.2453155705191907E-2</v>
      </c>
      <c r="D948" s="302">
        <v>5.2361187391894201E-2</v>
      </c>
      <c r="E948" s="302">
        <f t="shared" si="406"/>
        <v>0.12743548167755561</v>
      </c>
      <c r="F948" s="303"/>
      <c r="G948" s="302">
        <v>4.8929317771899475E-2</v>
      </c>
      <c r="H948" s="302">
        <v>5.4570725817452391E-3</v>
      </c>
      <c r="I948" s="302">
        <v>3.7216661638209164E-2</v>
      </c>
      <c r="J948" s="302">
        <f>SUM(G948:I948)</f>
        <v>9.1603051991853882E-2</v>
      </c>
      <c r="K948" s="303"/>
      <c r="L948" s="302">
        <v>4.9165581024886849E-2</v>
      </c>
      <c r="M948" s="302">
        <v>1.0726984682711811E-2</v>
      </c>
      <c r="N948" s="302">
        <v>7.2393760817321268E-2</v>
      </c>
      <c r="O948" s="302">
        <f t="shared" si="408"/>
        <v>0.13228632652491992</v>
      </c>
    </row>
    <row r="949" spans="1:15" s="236" customFormat="1" x14ac:dyDescent="0.2">
      <c r="A949" s="237" t="str">
        <f>name!E$9</f>
        <v>Caring, leisure and other service occupations</v>
      </c>
      <c r="B949" s="302">
        <v>3.8981436251368413E-3</v>
      </c>
      <c r="C949" s="302">
        <v>3.6685873271610908E-3</v>
      </c>
      <c r="D949" s="302">
        <v>1.8006367254138868E-2</v>
      </c>
      <c r="E949" s="302">
        <f t="shared" si="406"/>
        <v>2.5573098206436801E-2</v>
      </c>
      <c r="F949" s="303"/>
      <c r="G949" s="302">
        <v>4.7211518262760569E-3</v>
      </c>
      <c r="H949" s="302">
        <v>1.3356838080803859E-3</v>
      </c>
      <c r="I949" s="302">
        <v>1.5057146227889161E-2</v>
      </c>
      <c r="J949" s="302">
        <f t="shared" ref="J949:J952" si="409">SUM(G949:I949)</f>
        <v>2.1113981862245605E-2</v>
      </c>
      <c r="K949" s="303"/>
      <c r="L949" s="302">
        <v>6.6037548700976032E-3</v>
      </c>
      <c r="M949" s="302">
        <v>1.6793494673321924E-3</v>
      </c>
      <c r="N949" s="302">
        <v>4.1152599271038003E-2</v>
      </c>
      <c r="O949" s="302">
        <f t="shared" si="408"/>
        <v>4.9435703608467801E-2</v>
      </c>
    </row>
    <row r="950" spans="1:15" s="236" customFormat="1" x14ac:dyDescent="0.2">
      <c r="A950" s="237" t="str">
        <f>name!E$10</f>
        <v>Sales and customer service occupations</v>
      </c>
      <c r="B950" s="302">
        <v>5.89896774130729E-2</v>
      </c>
      <c r="C950" s="302">
        <v>0.1812065964844688</v>
      </c>
      <c r="D950" s="302">
        <v>7.0319504540262465E-2</v>
      </c>
      <c r="E950" s="302">
        <f t="shared" si="406"/>
        <v>0.31051577843780415</v>
      </c>
      <c r="F950" s="303"/>
      <c r="G950" s="302">
        <v>7.0585824242419798E-2</v>
      </c>
      <c r="H950" s="302">
        <v>6.9823801680396896E-2</v>
      </c>
      <c r="I950" s="302">
        <v>2.5767251521420263E-2</v>
      </c>
      <c r="J950" s="302">
        <f t="shared" si="409"/>
        <v>0.16617687744423695</v>
      </c>
      <c r="K950" s="303"/>
      <c r="L950" s="302">
        <v>0.10348290727812304</v>
      </c>
      <c r="M950" s="302">
        <v>0.11160600662559242</v>
      </c>
      <c r="N950" s="302">
        <v>3.2226441575187836E-2</v>
      </c>
      <c r="O950" s="302">
        <f t="shared" si="408"/>
        <v>0.24731535547890329</v>
      </c>
    </row>
    <row r="951" spans="1:15" s="236" customFormat="1" x14ac:dyDescent="0.2">
      <c r="A951" s="237" t="str">
        <f>name!E$11</f>
        <v>Process, plant and machine operatives</v>
      </c>
      <c r="B951" s="302">
        <v>2.8581004944935869E-2</v>
      </c>
      <c r="C951" s="302">
        <v>1.3530631628271315E-2</v>
      </c>
      <c r="D951" s="302">
        <v>1.3930114175307689E-2</v>
      </c>
      <c r="E951" s="302">
        <f t="shared" si="406"/>
        <v>5.6041750748514876E-2</v>
      </c>
      <c r="F951" s="303"/>
      <c r="G951" s="302">
        <v>2.4769230987983917E-2</v>
      </c>
      <c r="H951" s="302">
        <v>4.5562384065403836E-3</v>
      </c>
      <c r="I951" s="302">
        <v>1.1310550751036777E-2</v>
      </c>
      <c r="J951" s="302">
        <f t="shared" si="409"/>
        <v>4.0636020145561079E-2</v>
      </c>
      <c r="K951" s="303"/>
      <c r="L951" s="302">
        <v>3.1434500554437098E-2</v>
      </c>
      <c r="M951" s="302">
        <v>7.7330509358823673E-3</v>
      </c>
      <c r="N951" s="302">
        <v>2.1464765572067512E-2</v>
      </c>
      <c r="O951" s="302">
        <f t="shared" si="408"/>
        <v>6.0632317062386976E-2</v>
      </c>
    </row>
    <row r="952" spans="1:15" s="236" customFormat="1" x14ac:dyDescent="0.2">
      <c r="A952" s="237" t="str">
        <f>name!E$12</f>
        <v>Elementary occupations</v>
      </c>
      <c r="B952" s="302">
        <v>2.7999909430720438E-2</v>
      </c>
      <c r="C952" s="302">
        <v>3.4126285073217001E-2</v>
      </c>
      <c r="D952" s="302">
        <v>2.1800941361643358E-2</v>
      </c>
      <c r="E952" s="302">
        <f t="shared" si="406"/>
        <v>8.3927135865580801E-2</v>
      </c>
      <c r="F952" s="303"/>
      <c r="G952" s="302">
        <v>2.8824564999788697E-2</v>
      </c>
      <c r="H952" s="302">
        <v>1.0591007231326275E-2</v>
      </c>
      <c r="I952" s="302">
        <v>9.3882826420591259E-3</v>
      </c>
      <c r="J952" s="302">
        <f t="shared" si="409"/>
        <v>4.8803854873174096E-2</v>
      </c>
      <c r="K952" s="303"/>
      <c r="L952" s="302">
        <v>3.224748696917653E-2</v>
      </c>
      <c r="M952" s="302">
        <v>1.174582546185916E-2</v>
      </c>
      <c r="N952" s="302">
        <v>2.0539756654061363E-2</v>
      </c>
      <c r="O952" s="302">
        <f t="shared" si="408"/>
        <v>6.4533069085097053E-2</v>
      </c>
    </row>
    <row r="953" spans="1:15" s="236" customFormat="1" x14ac:dyDescent="0.2">
      <c r="A953" s="237"/>
      <c r="B953" s="302"/>
      <c r="C953" s="302"/>
      <c r="D953" s="302"/>
      <c r="E953" s="302"/>
      <c r="F953" s="303"/>
      <c r="G953" s="302"/>
      <c r="H953" s="302"/>
      <c r="I953" s="302"/>
      <c r="J953" s="302"/>
      <c r="K953" s="303"/>
      <c r="L953" s="302"/>
      <c r="M953" s="302"/>
      <c r="N953" s="302"/>
      <c r="O953" s="302"/>
    </row>
    <row r="954" spans="1:15" s="236" customFormat="1" x14ac:dyDescent="0.2">
      <c r="A954" s="244" t="s">
        <v>32</v>
      </c>
      <c r="B954" s="311">
        <f>SUM(B944:B952)</f>
        <v>1.1199999999801404</v>
      </c>
      <c r="C954" s="311">
        <f t="shared" ref="C954:E954" si="410">SUM(C944:C952)</f>
        <v>1.2680000000020384</v>
      </c>
      <c r="D954" s="311">
        <f t="shared" si="410"/>
        <v>1.067000000003977</v>
      </c>
      <c r="E954" s="311">
        <f t="shared" si="410"/>
        <v>3.4549999999861565</v>
      </c>
      <c r="F954" s="311"/>
      <c r="G954" s="311">
        <f t="shared" ref="G954:J954" si="411">SUM(G944:G952)</f>
        <v>1.5509999999881214</v>
      </c>
      <c r="H954" s="311">
        <f t="shared" si="411"/>
        <v>0.55100000000307814</v>
      </c>
      <c r="I954" s="311">
        <f t="shared" si="411"/>
        <v>0.6550000000021996</v>
      </c>
      <c r="J954" s="311">
        <f t="shared" si="411"/>
        <v>2.7569999999933992</v>
      </c>
      <c r="K954" s="311"/>
      <c r="L954" s="311">
        <f t="shared" ref="L954:O954" si="412">SUM(L944:L952)</f>
        <v>2.1530000000211444</v>
      </c>
      <c r="M954" s="311">
        <f t="shared" si="412"/>
        <v>0.7830000000025612</v>
      </c>
      <c r="N954" s="311">
        <f t="shared" si="412"/>
        <v>0.99800000002700062</v>
      </c>
      <c r="O954" s="311">
        <f t="shared" si="412"/>
        <v>3.9340000000507067</v>
      </c>
    </row>
    <row r="955" spans="1:15" s="236" customFormat="1" x14ac:dyDescent="0.2">
      <c r="A955" s="237"/>
      <c r="B955" s="237"/>
      <c r="C955" s="237"/>
      <c r="D955" s="237"/>
      <c r="E955" s="237"/>
      <c r="F955" s="237"/>
      <c r="G955" s="237"/>
      <c r="H955" s="237"/>
      <c r="I955" s="237"/>
      <c r="J955" s="237"/>
      <c r="K955" s="237"/>
      <c r="L955" s="237"/>
      <c r="M955" s="237"/>
      <c r="N955" s="240"/>
    </row>
    <row r="956" spans="1:15" s="236" customFormat="1" x14ac:dyDescent="0.2">
      <c r="A956" s="237"/>
      <c r="B956" s="237"/>
      <c r="C956" s="237"/>
      <c r="D956" s="237"/>
      <c r="E956" s="237"/>
      <c r="F956" s="237"/>
      <c r="G956" s="237"/>
      <c r="H956" s="237"/>
      <c r="I956" s="237"/>
      <c r="J956" s="237"/>
      <c r="K956" s="237"/>
      <c r="L956" s="237"/>
      <c r="M956" s="237"/>
      <c r="N956" s="240"/>
      <c r="O956" s="251" t="s">
        <v>35</v>
      </c>
    </row>
    <row r="957" spans="1:15" s="236" customFormat="1" x14ac:dyDescent="0.2">
      <c r="A957" s="242"/>
      <c r="B957" s="242"/>
      <c r="C957" s="242"/>
      <c r="D957" s="242"/>
      <c r="E957" s="242"/>
      <c r="F957" s="242"/>
      <c r="G957" s="242"/>
      <c r="H957" s="242"/>
      <c r="I957" s="242"/>
      <c r="J957" s="242"/>
      <c r="K957" s="242"/>
      <c r="L957" s="242"/>
      <c r="M957" s="242"/>
      <c r="N957" s="242"/>
      <c r="O957" s="242"/>
    </row>
    <row r="958" spans="1:15" s="236" customFormat="1" x14ac:dyDescent="0.2">
      <c r="A958" s="241" t="str">
        <f>name!A59</f>
        <v>Other professional</v>
      </c>
      <c r="B958" s="374">
        <f>$B$6</f>
        <v>2015</v>
      </c>
      <c r="C958" s="374"/>
      <c r="D958" s="374"/>
      <c r="E958" s="374"/>
      <c r="F958" s="263"/>
      <c r="G958" s="374">
        <f>$G$6</f>
        <v>2020</v>
      </c>
      <c r="H958" s="374"/>
      <c r="I958" s="374"/>
      <c r="J958" s="374"/>
      <c r="K958" s="263"/>
      <c r="L958" s="374">
        <f>$L$6</f>
        <v>2035</v>
      </c>
      <c r="M958" s="374"/>
      <c r="N958" s="374"/>
      <c r="O958" s="374"/>
    </row>
    <row r="959" spans="1:15" s="236" customFormat="1" x14ac:dyDescent="0.2">
      <c r="A959" s="254"/>
      <c r="B959" s="268" t="str">
        <f>$B$7</f>
        <v>FT</v>
      </c>
      <c r="C959" s="268" t="str">
        <f>$C$7</f>
        <v>PT</v>
      </c>
      <c r="D959" s="268" t="str">
        <f>$D$7</f>
        <v>SE</v>
      </c>
      <c r="E959" s="268" t="str">
        <f>$E$7</f>
        <v>Total</v>
      </c>
      <c r="F959" s="268"/>
      <c r="G959" s="268" t="str">
        <f>$G$7</f>
        <v>FT</v>
      </c>
      <c r="H959" s="268" t="str">
        <f>$H$7</f>
        <v>PT</v>
      </c>
      <c r="I959" s="268" t="str">
        <f>$I$7</f>
        <v>SE</v>
      </c>
      <c r="J959" s="268" t="str">
        <f>$J$7</f>
        <v>Total</v>
      </c>
      <c r="K959" s="268"/>
      <c r="L959" s="268" t="str">
        <f>$L$7</f>
        <v>FT</v>
      </c>
      <c r="M959" s="268" t="str">
        <f>$M$7</f>
        <v>PT</v>
      </c>
      <c r="N959" s="268" t="str">
        <f>$N$7</f>
        <v>SE</v>
      </c>
      <c r="O959" s="268" t="str">
        <f>$O$7</f>
        <v>Total</v>
      </c>
    </row>
    <row r="960" spans="1:15" s="236" customFormat="1" x14ac:dyDescent="0.2">
      <c r="A960" s="258"/>
      <c r="B960" s="239"/>
      <c r="C960" s="239"/>
      <c r="D960" s="239"/>
      <c r="E960" s="239"/>
      <c r="F960" s="239"/>
      <c r="G960" s="239"/>
      <c r="H960" s="239"/>
      <c r="I960" s="239"/>
      <c r="J960" s="239"/>
      <c r="K960" s="239"/>
      <c r="L960" s="239"/>
      <c r="M960" s="239"/>
      <c r="N960" s="239"/>
      <c r="O960" s="239"/>
    </row>
    <row r="961" spans="1:15" s="236" customFormat="1" x14ac:dyDescent="0.2">
      <c r="A961" s="237" t="str">
        <f>name!E$4</f>
        <v>Managers, directors and senior officials</v>
      </c>
      <c r="B961" s="302">
        <v>0.18651283695591528</v>
      </c>
      <c r="C961" s="302">
        <v>3.0177338148977945E-3</v>
      </c>
      <c r="D961" s="302">
        <v>0.16410921241635948</v>
      </c>
      <c r="E961" s="302">
        <f>SUM(B961:D961)</f>
        <v>0.35363978318717254</v>
      </c>
      <c r="F961" s="303"/>
      <c r="G961" s="302">
        <v>0.23333524895874139</v>
      </c>
      <c r="H961" s="302">
        <v>2.2121664585769699E-2</v>
      </c>
      <c r="I961" s="302">
        <v>0.20780754652161806</v>
      </c>
      <c r="J961" s="302">
        <f>SUM(G961:I961)</f>
        <v>0.4632644600661292</v>
      </c>
      <c r="K961" s="303"/>
      <c r="L961" s="302">
        <v>0.33647161131758002</v>
      </c>
      <c r="M961" s="302">
        <v>3.5488385118650836E-2</v>
      </c>
      <c r="N961" s="302">
        <v>0.34934496499553697</v>
      </c>
      <c r="O961" s="302">
        <f>SUM(L961:N961)</f>
        <v>0.72130496143176781</v>
      </c>
    </row>
    <row r="962" spans="1:15" s="236" customFormat="1" x14ac:dyDescent="0.2">
      <c r="A962" s="237" t="str">
        <f>name!E$5</f>
        <v>Professional occupations</v>
      </c>
      <c r="B962" s="302">
        <v>0.53958034518073872</v>
      </c>
      <c r="C962" s="302">
        <v>6.3238763984186435E-3</v>
      </c>
      <c r="D962" s="302">
        <v>0.2559378316531607</v>
      </c>
      <c r="E962" s="302">
        <f t="shared" ref="E962:E969" si="413">SUM(B962:D962)</f>
        <v>0.80184205323231805</v>
      </c>
      <c r="F962" s="303"/>
      <c r="G962" s="302">
        <v>0.79733193297828431</v>
      </c>
      <c r="H962" s="302">
        <v>4.1759921523891436E-2</v>
      </c>
      <c r="I962" s="302">
        <v>0.28991525280689157</v>
      </c>
      <c r="J962" s="302">
        <f t="shared" ref="J962:J964" si="414">SUM(G962:I962)</f>
        <v>1.1290071073090673</v>
      </c>
      <c r="K962" s="303"/>
      <c r="L962" s="302">
        <v>1.3318448878590741</v>
      </c>
      <c r="M962" s="302">
        <v>6.4259695927448346E-2</v>
      </c>
      <c r="N962" s="302">
        <v>0.29658066764804725</v>
      </c>
      <c r="O962" s="302">
        <f t="shared" ref="O962:O969" si="415">SUM(L962:N962)</f>
        <v>1.6926852514345696</v>
      </c>
    </row>
    <row r="963" spans="1:15" s="236" customFormat="1" x14ac:dyDescent="0.2">
      <c r="A963" s="237" t="str">
        <f>name!E$6</f>
        <v>Associate professional occupations</v>
      </c>
      <c r="B963" s="302">
        <v>0.37993513900918008</v>
      </c>
      <c r="C963" s="302">
        <v>9.7901427797039316E-3</v>
      </c>
      <c r="D963" s="302">
        <v>0.23699221206772625</v>
      </c>
      <c r="E963" s="302">
        <f t="shared" si="413"/>
        <v>0.62671749385661024</v>
      </c>
      <c r="F963" s="303"/>
      <c r="G963" s="302">
        <v>0.49946261207230142</v>
      </c>
      <c r="H963" s="302">
        <v>5.41153389267598E-2</v>
      </c>
      <c r="I963" s="302">
        <v>0.26239056046608195</v>
      </c>
      <c r="J963" s="302">
        <f t="shared" si="414"/>
        <v>0.81596851146514315</v>
      </c>
      <c r="K963" s="303"/>
      <c r="L963" s="302">
        <v>0.70237313415718172</v>
      </c>
      <c r="M963" s="302">
        <v>8.6423155289701389E-2</v>
      </c>
      <c r="N963" s="302">
        <v>0.35115015161726287</v>
      </c>
      <c r="O963" s="302">
        <f t="shared" si="415"/>
        <v>1.139946441064146</v>
      </c>
    </row>
    <row r="964" spans="1:15" s="236" customFormat="1" x14ac:dyDescent="0.2">
      <c r="A964" s="237" t="str">
        <f>name!E$7</f>
        <v>Administrative and secretarial occupations</v>
      </c>
      <c r="B964" s="302">
        <v>0.8213364868334404</v>
      </c>
      <c r="C964" s="302">
        <v>3.7928034802340707E-2</v>
      </c>
      <c r="D964" s="302">
        <v>0.14782315046616087</v>
      </c>
      <c r="E964" s="302">
        <f t="shared" si="413"/>
        <v>1.0070876721019419</v>
      </c>
      <c r="F964" s="303"/>
      <c r="G964" s="302">
        <v>0.92060605044979726</v>
      </c>
      <c r="H964" s="302">
        <v>0.18366664496458651</v>
      </c>
      <c r="I964" s="302">
        <v>0.11937417122743299</v>
      </c>
      <c r="J964" s="302">
        <f t="shared" si="414"/>
        <v>1.2236468666418168</v>
      </c>
      <c r="K964" s="303"/>
      <c r="L964" s="302">
        <v>1.0633759216337813</v>
      </c>
      <c r="M964" s="302">
        <v>0.24485323286362054</v>
      </c>
      <c r="N964" s="302">
        <v>0.22396731583006924</v>
      </c>
      <c r="O964" s="302">
        <f t="shared" si="415"/>
        <v>1.5321964703274711</v>
      </c>
    </row>
    <row r="965" spans="1:15" s="236" customFormat="1" x14ac:dyDescent="0.2">
      <c r="A965" s="237" t="str">
        <f>name!E$8</f>
        <v>Skilled trades occupations</v>
      </c>
      <c r="B965" s="302">
        <v>9.2214742135856995E-2</v>
      </c>
      <c r="C965" s="302">
        <v>1.3128115762418267E-3</v>
      </c>
      <c r="D965" s="302">
        <v>0.13512601741764371</v>
      </c>
      <c r="E965" s="302">
        <f t="shared" si="413"/>
        <v>0.22865357112974255</v>
      </c>
      <c r="F965" s="303"/>
      <c r="G965" s="302">
        <v>7.6591543697917167E-2</v>
      </c>
      <c r="H965" s="302">
        <v>4.9031108997966586E-3</v>
      </c>
      <c r="I965" s="302">
        <v>0.14636642627747565</v>
      </c>
      <c r="J965" s="302">
        <f>SUM(G965:I965)</f>
        <v>0.22786108087518947</v>
      </c>
      <c r="K965" s="303"/>
      <c r="L965" s="302">
        <v>8.0789666170392654E-2</v>
      </c>
      <c r="M965" s="302">
        <v>9.21092533056991E-3</v>
      </c>
      <c r="N965" s="302">
        <v>0.23039381744314336</v>
      </c>
      <c r="O965" s="302">
        <f t="shared" si="415"/>
        <v>0.32039440894410592</v>
      </c>
    </row>
    <row r="966" spans="1:15" s="236" customFormat="1" x14ac:dyDescent="0.2">
      <c r="A966" s="237" t="str">
        <f>name!E$9</f>
        <v>Caring, leisure and other service occupations</v>
      </c>
      <c r="B966" s="302">
        <v>8.5969551087309942E-2</v>
      </c>
      <c r="C966" s="302">
        <v>8.9494021390484537E-3</v>
      </c>
      <c r="D966" s="302">
        <v>6.7845189686960447E-2</v>
      </c>
      <c r="E966" s="302">
        <f t="shared" si="413"/>
        <v>0.16276414291331884</v>
      </c>
      <c r="F966" s="303"/>
      <c r="G966" s="302">
        <v>9.364322523864739E-2</v>
      </c>
      <c r="H966" s="302">
        <v>4.320085079099488E-2</v>
      </c>
      <c r="I966" s="302">
        <v>7.3977615633575064E-2</v>
      </c>
      <c r="J966" s="302">
        <f t="shared" ref="J966:J969" si="416">SUM(G966:I966)</f>
        <v>0.21082169166321735</v>
      </c>
      <c r="K966" s="303"/>
      <c r="L966" s="302">
        <v>0.12987968905904856</v>
      </c>
      <c r="M966" s="302">
        <v>6.1740582673796236E-2</v>
      </c>
      <c r="N966" s="302">
        <v>0.14258204370427013</v>
      </c>
      <c r="O966" s="302">
        <f t="shared" si="415"/>
        <v>0.33420231543711493</v>
      </c>
    </row>
    <row r="967" spans="1:15" s="236" customFormat="1" x14ac:dyDescent="0.2">
      <c r="A967" s="237" t="str">
        <f>name!E$10</f>
        <v>Sales and customer service occupations</v>
      </c>
      <c r="B967" s="302">
        <v>0.26632068788581387</v>
      </c>
      <c r="C967" s="302">
        <v>1.3098279162603456E-2</v>
      </c>
      <c r="D967" s="302">
        <v>5.9303718345691862E-2</v>
      </c>
      <c r="E967" s="302">
        <f t="shared" si="413"/>
        <v>0.33872268539410921</v>
      </c>
      <c r="F967" s="303"/>
      <c r="G967" s="302">
        <v>0.28353423447979215</v>
      </c>
      <c r="H967" s="302">
        <v>7.0172466583630841E-2</v>
      </c>
      <c r="I967" s="302">
        <v>4.637192896121646E-2</v>
      </c>
      <c r="J967" s="302">
        <f t="shared" si="416"/>
        <v>0.40007863002463945</v>
      </c>
      <c r="K967" s="303"/>
      <c r="L967" s="302">
        <v>0.46248482587878104</v>
      </c>
      <c r="M967" s="302">
        <v>0.13242456292381061</v>
      </c>
      <c r="N967" s="302">
        <v>6.139839793296975E-2</v>
      </c>
      <c r="O967" s="302">
        <f t="shared" si="415"/>
        <v>0.65630778673556134</v>
      </c>
    </row>
    <row r="968" spans="1:15" s="236" customFormat="1" x14ac:dyDescent="0.2">
      <c r="A968" s="237" t="str">
        <f>name!E$11</f>
        <v>Process, plant and machine operatives</v>
      </c>
      <c r="B968" s="302">
        <v>0.10582245302734793</v>
      </c>
      <c r="C968" s="302">
        <v>1.7649723283566776E-3</v>
      </c>
      <c r="D968" s="302">
        <v>2.748623655756114E-2</v>
      </c>
      <c r="E968" s="302">
        <f t="shared" si="413"/>
        <v>0.13507366191326575</v>
      </c>
      <c r="F968" s="303"/>
      <c r="G968" s="302">
        <v>8.7968437484869808E-2</v>
      </c>
      <c r="H968" s="302">
        <v>8.4165817235342302E-3</v>
      </c>
      <c r="I968" s="302">
        <v>3.6990979455184092E-2</v>
      </c>
      <c r="J968" s="302">
        <f t="shared" si="416"/>
        <v>0.13337599866358812</v>
      </c>
      <c r="K968" s="303"/>
      <c r="L968" s="302">
        <v>0.1174453993033889</v>
      </c>
      <c r="M968" s="302">
        <v>1.7225911063774794E-2</v>
      </c>
      <c r="N968" s="302">
        <v>6.0759985670584264E-2</v>
      </c>
      <c r="O968" s="302">
        <f t="shared" si="415"/>
        <v>0.19543129603774798</v>
      </c>
    </row>
    <row r="969" spans="1:15" s="236" customFormat="1" x14ac:dyDescent="0.2">
      <c r="A969" s="237" t="str">
        <f>name!E$12</f>
        <v>Elementary occupations</v>
      </c>
      <c r="B969" s="302">
        <v>0.64930775785297801</v>
      </c>
      <c r="C969" s="302">
        <v>3.9814746999517509E-2</v>
      </c>
      <c r="D969" s="302">
        <v>0.24737643139619561</v>
      </c>
      <c r="E969" s="302">
        <f t="shared" si="413"/>
        <v>0.93649893624869107</v>
      </c>
      <c r="F969" s="303"/>
      <c r="G969" s="302">
        <v>0.61252671462074992</v>
      </c>
      <c r="H969" s="302">
        <v>0.16764342000292495</v>
      </c>
      <c r="I969" s="302">
        <v>0.23080551865622292</v>
      </c>
      <c r="J969" s="302">
        <f t="shared" si="416"/>
        <v>1.0109756532798979</v>
      </c>
      <c r="K969" s="303"/>
      <c r="L969" s="302">
        <v>0.80033486463792525</v>
      </c>
      <c r="M969" s="302">
        <v>0.19137354881111901</v>
      </c>
      <c r="N969" s="302">
        <v>0.39582265519284293</v>
      </c>
      <c r="O969" s="302">
        <f t="shared" si="415"/>
        <v>1.3875310686418871</v>
      </c>
    </row>
    <row r="970" spans="1:15" s="236" customFormat="1" x14ac:dyDescent="0.2">
      <c r="A970" s="237"/>
      <c r="B970" s="302"/>
      <c r="C970" s="302"/>
      <c r="D970" s="302"/>
      <c r="E970" s="302"/>
      <c r="F970" s="303"/>
      <c r="G970" s="302"/>
      <c r="H970" s="302"/>
      <c r="I970" s="302"/>
      <c r="J970" s="302"/>
      <c r="K970" s="303"/>
      <c r="L970" s="302"/>
      <c r="M970" s="302"/>
      <c r="N970" s="302"/>
      <c r="O970" s="302"/>
    </row>
    <row r="971" spans="1:15" s="236" customFormat="1" x14ac:dyDescent="0.2">
      <c r="A971" s="244" t="s">
        <v>32</v>
      </c>
      <c r="B971" s="311">
        <f>SUM(B961:B969)</f>
        <v>3.1269999999685814</v>
      </c>
      <c r="C971" s="311">
        <f t="shared" ref="C971:E971" si="417">SUM(C961:C969)</f>
        <v>0.12200000000112901</v>
      </c>
      <c r="D971" s="311">
        <f t="shared" si="417"/>
        <v>1.3420000000074603</v>
      </c>
      <c r="E971" s="311">
        <f t="shared" si="417"/>
        <v>4.5909999999771696</v>
      </c>
      <c r="F971" s="311"/>
      <c r="G971" s="311">
        <f t="shared" ref="G971:J971" si="418">SUM(G961:G969)</f>
        <v>3.6049999999811004</v>
      </c>
      <c r="H971" s="311">
        <f t="shared" si="418"/>
        <v>0.59600000000188902</v>
      </c>
      <c r="I971" s="311">
        <f t="shared" si="418"/>
        <v>1.4140000000056989</v>
      </c>
      <c r="J971" s="311">
        <f t="shared" si="418"/>
        <v>5.6149999999886884</v>
      </c>
      <c r="K971" s="311"/>
      <c r="L971" s="311">
        <f t="shared" ref="L971:O971" si="419">SUM(L961:L969)</f>
        <v>5.0250000000171537</v>
      </c>
      <c r="M971" s="311">
        <f t="shared" si="419"/>
        <v>0.84300000000249165</v>
      </c>
      <c r="N971" s="311">
        <f t="shared" si="419"/>
        <v>2.1120000000347265</v>
      </c>
      <c r="O971" s="311">
        <f t="shared" si="419"/>
        <v>7.9800000000543712</v>
      </c>
    </row>
    <row r="972" spans="1:15" s="236" customFormat="1" x14ac:dyDescent="0.2">
      <c r="A972" s="237"/>
      <c r="B972" s="237"/>
      <c r="C972" s="237"/>
      <c r="D972" s="237"/>
      <c r="E972" s="237"/>
      <c r="F972" s="237"/>
      <c r="G972" s="237"/>
      <c r="H972" s="237"/>
      <c r="I972" s="237"/>
      <c r="J972" s="237"/>
      <c r="K972" s="237"/>
      <c r="L972" s="237"/>
      <c r="M972" s="237"/>
      <c r="N972" s="240"/>
    </row>
    <row r="973" spans="1:15" s="236" customFormat="1" x14ac:dyDescent="0.2">
      <c r="A973" s="237"/>
      <c r="B973" s="237"/>
      <c r="C973" s="237"/>
      <c r="D973" s="237"/>
      <c r="E973" s="237"/>
      <c r="F973" s="237"/>
      <c r="G973" s="237"/>
      <c r="H973" s="237"/>
      <c r="I973" s="237"/>
      <c r="J973" s="237"/>
      <c r="K973" s="237"/>
      <c r="L973" s="237"/>
      <c r="M973" s="237"/>
      <c r="N973" s="240"/>
      <c r="O973" s="251" t="s">
        <v>35</v>
      </c>
    </row>
    <row r="974" spans="1:15" s="236" customFormat="1" x14ac:dyDescent="0.2">
      <c r="A974" s="242"/>
      <c r="B974" s="242"/>
      <c r="C974" s="242"/>
      <c r="D974" s="242"/>
      <c r="E974" s="242"/>
      <c r="F974" s="242"/>
      <c r="G974" s="242"/>
      <c r="H974" s="242"/>
      <c r="I974" s="242"/>
      <c r="J974" s="242"/>
      <c r="K974" s="242"/>
      <c r="L974" s="242"/>
      <c r="M974" s="242"/>
      <c r="N974" s="242"/>
      <c r="O974" s="242"/>
    </row>
    <row r="975" spans="1:15" s="236" customFormat="1" x14ac:dyDescent="0.2">
      <c r="A975" s="241" t="str">
        <f>name!A60</f>
        <v>Veterinary</v>
      </c>
      <c r="B975" s="374">
        <f>$B$6</f>
        <v>2015</v>
      </c>
      <c r="C975" s="374"/>
      <c r="D975" s="374"/>
      <c r="E975" s="374"/>
      <c r="F975" s="263"/>
      <c r="G975" s="374">
        <f>$G$6</f>
        <v>2020</v>
      </c>
      <c r="H975" s="374"/>
      <c r="I975" s="374"/>
      <c r="J975" s="374"/>
      <c r="K975" s="263"/>
      <c r="L975" s="374">
        <f>$L$6</f>
        <v>2035</v>
      </c>
      <c r="M975" s="374"/>
      <c r="N975" s="374"/>
      <c r="O975" s="374"/>
    </row>
    <row r="976" spans="1:15" s="236" customFormat="1" x14ac:dyDescent="0.2">
      <c r="A976" s="254"/>
      <c r="B976" s="268" t="str">
        <f>$B$7</f>
        <v>FT</v>
      </c>
      <c r="C976" s="268" t="str">
        <f>$C$7</f>
        <v>PT</v>
      </c>
      <c r="D976" s="268" t="str">
        <f>$D$7</f>
        <v>SE</v>
      </c>
      <c r="E976" s="268" t="str">
        <f>$E$7</f>
        <v>Total</v>
      </c>
      <c r="F976" s="268"/>
      <c r="G976" s="268" t="str">
        <f>$G$7</f>
        <v>FT</v>
      </c>
      <c r="H976" s="268" t="str">
        <f>$H$7</f>
        <v>PT</v>
      </c>
      <c r="I976" s="268" t="str">
        <f>$I$7</f>
        <v>SE</v>
      </c>
      <c r="J976" s="268" t="str">
        <f>$J$7</f>
        <v>Total</v>
      </c>
      <c r="K976" s="268"/>
      <c r="L976" s="268" t="str">
        <f>$L$7</f>
        <v>FT</v>
      </c>
      <c r="M976" s="268" t="str">
        <f>$M$7</f>
        <v>PT</v>
      </c>
      <c r="N976" s="268" t="str">
        <f>$N$7</f>
        <v>SE</v>
      </c>
      <c r="O976" s="268" t="str">
        <f>$O$7</f>
        <v>Total</v>
      </c>
    </row>
    <row r="977" spans="1:15" s="236" customFormat="1" x14ac:dyDescent="0.2">
      <c r="A977" s="258"/>
      <c r="B977" s="239"/>
      <c r="C977" s="239"/>
      <c r="D977" s="239"/>
      <c r="E977" s="239"/>
      <c r="F977" s="239"/>
      <c r="G977" s="239"/>
      <c r="H977" s="239"/>
      <c r="I977" s="239"/>
      <c r="J977" s="239"/>
      <c r="K977" s="239"/>
      <c r="L977" s="239"/>
      <c r="M977" s="239"/>
      <c r="N977" s="239"/>
      <c r="O977" s="239"/>
    </row>
    <row r="978" spans="1:15" s="236" customFormat="1" x14ac:dyDescent="0.2">
      <c r="A978" s="237" t="str">
        <f>name!E$4</f>
        <v>Managers, directors and senior officials</v>
      </c>
      <c r="B978" s="302">
        <v>4.0837029497656607E-2</v>
      </c>
      <c r="C978" s="302">
        <v>1.599243702654201E-2</v>
      </c>
      <c r="D978" s="302">
        <v>4.2930495126927599E-2</v>
      </c>
      <c r="E978" s="302">
        <f>SUM(B978:D978)</f>
        <v>9.9759961651126217E-2</v>
      </c>
      <c r="F978" s="303"/>
      <c r="G978" s="302">
        <v>4.7709476810961736E-2</v>
      </c>
      <c r="H978" s="302">
        <v>1.9693296432893411E-2</v>
      </c>
      <c r="I978" s="302">
        <v>3.037355091070151E-2</v>
      </c>
      <c r="J978" s="302">
        <f>SUM(G978:I978)</f>
        <v>9.7776324154556657E-2</v>
      </c>
      <c r="K978" s="303"/>
      <c r="L978" s="302">
        <v>6.1071064581949039E-2</v>
      </c>
      <c r="M978" s="302">
        <v>3.1065542504542999E-2</v>
      </c>
      <c r="N978" s="302">
        <v>4.3624590941400539E-2</v>
      </c>
      <c r="O978" s="302">
        <f>SUM(L978:N978)</f>
        <v>0.13576119802789258</v>
      </c>
    </row>
    <row r="979" spans="1:15" s="236" customFormat="1" x14ac:dyDescent="0.2">
      <c r="A979" s="237" t="str">
        <f>name!E$5</f>
        <v>Professional occupations</v>
      </c>
      <c r="B979" s="302">
        <v>0.28159365012277804</v>
      </c>
      <c r="C979" s="302">
        <v>0.17755895761520676</v>
      </c>
      <c r="D979" s="302">
        <v>0.21258256428972985</v>
      </c>
      <c r="E979" s="302">
        <f t="shared" ref="E979:E986" si="420">SUM(B979:D979)</f>
        <v>0.67173517202771471</v>
      </c>
      <c r="F979" s="303"/>
      <c r="G979" s="302">
        <v>0.39257616290817182</v>
      </c>
      <c r="H979" s="302">
        <v>0.20725064631110687</v>
      </c>
      <c r="I979" s="302">
        <v>0.16304741473794693</v>
      </c>
      <c r="J979" s="302">
        <f t="shared" ref="J979:J981" si="421">SUM(G979:I979)</f>
        <v>0.76287422395722559</v>
      </c>
      <c r="K979" s="303"/>
      <c r="L979" s="302">
        <v>0.56940889209015266</v>
      </c>
      <c r="M979" s="302">
        <v>0.35652327533713674</v>
      </c>
      <c r="N979" s="302">
        <v>0.2247362593282797</v>
      </c>
      <c r="O979" s="302">
        <f t="shared" ref="O979:O986" si="422">SUM(L979:N979)</f>
        <v>1.1506684267555691</v>
      </c>
    </row>
    <row r="980" spans="1:15" s="236" customFormat="1" x14ac:dyDescent="0.2">
      <c r="A980" s="237" t="str">
        <f>name!E$6</f>
        <v>Associate professional occupations</v>
      </c>
      <c r="B980" s="302">
        <v>0.1189446126769881</v>
      </c>
      <c r="C980" s="302">
        <v>7.8647896260040234E-2</v>
      </c>
      <c r="D980" s="302">
        <v>7.0181109189103918E-2</v>
      </c>
      <c r="E980" s="302">
        <f t="shared" si="420"/>
        <v>0.26777361812613226</v>
      </c>
      <c r="F980" s="303"/>
      <c r="G980" s="302">
        <v>0.14454142009136933</v>
      </c>
      <c r="H980" s="302">
        <v>8.8864337268731414E-2</v>
      </c>
      <c r="I980" s="302">
        <v>3.3900598635954494E-2</v>
      </c>
      <c r="J980" s="302">
        <f t="shared" si="421"/>
        <v>0.26730635599605523</v>
      </c>
      <c r="K980" s="303"/>
      <c r="L980" s="302">
        <v>0.19430682169662691</v>
      </c>
      <c r="M980" s="302">
        <v>0.13197189793129779</v>
      </c>
      <c r="N980" s="302">
        <v>4.3972386731739081E-2</v>
      </c>
      <c r="O980" s="302">
        <f t="shared" si="422"/>
        <v>0.3702511063596638</v>
      </c>
    </row>
    <row r="981" spans="1:15" s="236" customFormat="1" x14ac:dyDescent="0.2">
      <c r="A981" s="237" t="str">
        <f>name!E$7</f>
        <v>Administrative and secretarial occupations</v>
      </c>
      <c r="B981" s="302">
        <v>2.6782348419762961E-2</v>
      </c>
      <c r="C981" s="302">
        <v>7.9416126153390984E-2</v>
      </c>
      <c r="D981" s="302">
        <v>1.5209629116561608E-2</v>
      </c>
      <c r="E981" s="302">
        <f t="shared" si="420"/>
        <v>0.12140810368971555</v>
      </c>
      <c r="F981" s="303"/>
      <c r="G981" s="302">
        <v>2.9934539306897476E-2</v>
      </c>
      <c r="H981" s="302">
        <v>7.0271871690043813E-2</v>
      </c>
      <c r="I981" s="302">
        <v>5.5551223221108345E-3</v>
      </c>
      <c r="J981" s="302">
        <f t="shared" si="421"/>
        <v>0.10576153331905212</v>
      </c>
      <c r="K981" s="303"/>
      <c r="L981" s="302">
        <v>2.7561066671581872E-2</v>
      </c>
      <c r="M981" s="302">
        <v>3.8640455158226457E-2</v>
      </c>
      <c r="N981" s="302">
        <v>4.648718182344835E-3</v>
      </c>
      <c r="O981" s="302">
        <f t="shared" si="422"/>
        <v>7.0850240012153162E-2</v>
      </c>
    </row>
    <row r="982" spans="1:15" s="236" customFormat="1" x14ac:dyDescent="0.2">
      <c r="A982" s="237" t="str">
        <f>name!E$8</f>
        <v>Skilled trades occupations</v>
      </c>
      <c r="B982" s="302">
        <v>1.3101859902339821E-2</v>
      </c>
      <c r="C982" s="302">
        <v>1.1046085919586076E-2</v>
      </c>
      <c r="D982" s="302">
        <v>1.2010571026434064E-2</v>
      </c>
      <c r="E982" s="302">
        <f t="shared" si="420"/>
        <v>3.6158516848359967E-2</v>
      </c>
      <c r="F982" s="303"/>
      <c r="G982" s="302">
        <v>1.0396099358569175E-2</v>
      </c>
      <c r="H982" s="302">
        <v>7.2117640708893793E-3</v>
      </c>
      <c r="I982" s="302">
        <v>8.3766507610141764E-3</v>
      </c>
      <c r="J982" s="302">
        <f>SUM(G982:I982)</f>
        <v>2.5984514190472728E-2</v>
      </c>
      <c r="K982" s="303"/>
      <c r="L982" s="302">
        <v>5.3894076029076263E-3</v>
      </c>
      <c r="M982" s="302">
        <v>4.4908778457862022E-3</v>
      </c>
      <c r="N982" s="302">
        <v>1.2243324513353799E-2</v>
      </c>
      <c r="O982" s="302">
        <f t="shared" si="422"/>
        <v>2.2123609962047625E-2</v>
      </c>
    </row>
    <row r="983" spans="1:15" s="236" customFormat="1" x14ac:dyDescent="0.2">
      <c r="A983" s="237" t="str">
        <f>name!E$9</f>
        <v>Caring, leisure and other service occupations</v>
      </c>
      <c r="B983" s="302">
        <v>0.12843794603339315</v>
      </c>
      <c r="C983" s="302">
        <v>0.21573853870939844</v>
      </c>
      <c r="D983" s="302">
        <v>0.17734941742418822</v>
      </c>
      <c r="E983" s="302">
        <f t="shared" si="420"/>
        <v>0.5215259021669798</v>
      </c>
      <c r="F983" s="303"/>
      <c r="G983" s="302">
        <v>0.14551154356988724</v>
      </c>
      <c r="H983" s="302">
        <v>0.21105629791766398</v>
      </c>
      <c r="I983" s="302">
        <v>8.634001567573911E-2</v>
      </c>
      <c r="J983" s="302">
        <f t="shared" ref="J983:J986" si="423">SUM(G983:I983)</f>
        <v>0.44290785716329034</v>
      </c>
      <c r="K983" s="303"/>
      <c r="L983" s="302">
        <v>0.20947062327792143</v>
      </c>
      <c r="M983" s="302">
        <v>0.32352303416762906</v>
      </c>
      <c r="N983" s="302">
        <v>0.1415833520441227</v>
      </c>
      <c r="O983" s="302">
        <f t="shared" si="422"/>
        <v>0.67457700948967325</v>
      </c>
    </row>
    <row r="984" spans="1:15" s="236" customFormat="1" x14ac:dyDescent="0.2">
      <c r="A984" s="237" t="str">
        <f>name!E$10</f>
        <v>Sales and customer service occupations</v>
      </c>
      <c r="B984" s="302">
        <v>6.8005327565752111E-3</v>
      </c>
      <c r="C984" s="302">
        <v>1.2625992328911616E-2</v>
      </c>
      <c r="D984" s="302">
        <v>8.9579145407354295E-3</v>
      </c>
      <c r="E984" s="302">
        <f t="shared" si="420"/>
        <v>2.8384439626222255E-2</v>
      </c>
      <c r="F984" s="303"/>
      <c r="G984" s="302">
        <v>7.1224817638447339E-3</v>
      </c>
      <c r="H984" s="302">
        <v>1.1497881728770072E-2</v>
      </c>
      <c r="I984" s="302">
        <v>3.2354351937816362E-3</v>
      </c>
      <c r="J984" s="302">
        <f t="shared" si="423"/>
        <v>2.1855798686396439E-2</v>
      </c>
      <c r="K984" s="303"/>
      <c r="L984" s="302">
        <v>9.7071609223506206E-3</v>
      </c>
      <c r="M984" s="302">
        <v>1.4311220896606847E-2</v>
      </c>
      <c r="N984" s="302">
        <v>4.6803714692812675E-3</v>
      </c>
      <c r="O984" s="302">
        <f t="shared" si="422"/>
        <v>2.8698753288238739E-2</v>
      </c>
    </row>
    <row r="985" spans="1:15" s="236" customFormat="1" x14ac:dyDescent="0.2">
      <c r="A985" s="237" t="str">
        <f>name!E$11</f>
        <v>Process, plant and machine operatives</v>
      </c>
      <c r="B985" s="302">
        <v>3.432471840093826E-3</v>
      </c>
      <c r="C985" s="302">
        <v>8.0908339891036553E-3</v>
      </c>
      <c r="D985" s="302">
        <v>4.035059023340338E-3</v>
      </c>
      <c r="E985" s="302">
        <f t="shared" si="420"/>
        <v>1.555836485253782E-2</v>
      </c>
      <c r="F985" s="303"/>
      <c r="G985" s="302">
        <v>2.6729658024132546E-3</v>
      </c>
      <c r="H985" s="302">
        <v>6.0111289740853698E-3</v>
      </c>
      <c r="I985" s="302">
        <v>2.2582300719961191E-3</v>
      </c>
      <c r="J985" s="302">
        <f t="shared" si="423"/>
        <v>1.0942324848494743E-2</v>
      </c>
      <c r="K985" s="303"/>
      <c r="L985" s="302">
        <v>1.0822800669199842E-3</v>
      </c>
      <c r="M985" s="302">
        <v>4.965989921755929E-3</v>
      </c>
      <c r="N985" s="302">
        <v>9.8117197508198681E-3</v>
      </c>
      <c r="O985" s="302">
        <f t="shared" si="422"/>
        <v>1.5859989739495782E-2</v>
      </c>
    </row>
    <row r="986" spans="1:15" s="236" customFormat="1" x14ac:dyDescent="0.2">
      <c r="A986" s="237" t="str">
        <f>name!E$12</f>
        <v>Elementary occupations</v>
      </c>
      <c r="B986" s="302">
        <v>1.9069548743695802E-2</v>
      </c>
      <c r="C986" s="302">
        <v>3.5883131987050836E-2</v>
      </c>
      <c r="D986" s="302">
        <v>9.0743240234861799E-2</v>
      </c>
      <c r="E986" s="302">
        <f t="shared" si="420"/>
        <v>0.14569592096560843</v>
      </c>
      <c r="F986" s="303"/>
      <c r="G986" s="302">
        <v>1.7535310386545828E-2</v>
      </c>
      <c r="H986" s="302">
        <v>2.5142775597618693E-2</v>
      </c>
      <c r="I986" s="302">
        <v>2.2912981711093384E-2</v>
      </c>
      <c r="J986" s="302">
        <f t="shared" si="423"/>
        <v>6.559106769525791E-2</v>
      </c>
      <c r="K986" s="303"/>
      <c r="L986" s="302">
        <v>2.2002683096399977E-2</v>
      </c>
      <c r="M986" s="302">
        <v>1.5507706240273767E-2</v>
      </c>
      <c r="N986" s="302">
        <v>7.669927705612517E-2</v>
      </c>
      <c r="O986" s="302">
        <f t="shared" si="422"/>
        <v>0.11420966639279892</v>
      </c>
    </row>
    <row r="987" spans="1:15" s="236" customFormat="1" x14ac:dyDescent="0.2">
      <c r="A987" s="237"/>
      <c r="B987" s="302"/>
      <c r="C987" s="302"/>
      <c r="D987" s="302"/>
      <c r="E987" s="302"/>
      <c r="F987" s="303"/>
      <c r="G987" s="302"/>
      <c r="H987" s="302"/>
      <c r="I987" s="302"/>
      <c r="J987" s="302"/>
      <c r="K987" s="303"/>
      <c r="L987" s="302"/>
      <c r="M987" s="302"/>
      <c r="N987" s="302"/>
      <c r="O987" s="302"/>
    </row>
    <row r="988" spans="1:15" s="236" customFormat="1" x14ac:dyDescent="0.2">
      <c r="A988" s="244" t="s">
        <v>32</v>
      </c>
      <c r="B988" s="311">
        <f>SUM(B978:B986)</f>
        <v>0.6389999999932835</v>
      </c>
      <c r="C988" s="311">
        <f t="shared" ref="C988:E988" si="424">SUM(C978:C986)</f>
        <v>0.63499999998923062</v>
      </c>
      <c r="D988" s="311">
        <f t="shared" si="424"/>
        <v>0.63399999997188283</v>
      </c>
      <c r="E988" s="311">
        <f t="shared" si="424"/>
        <v>1.9079999999543973</v>
      </c>
      <c r="F988" s="311"/>
      <c r="G988" s="311">
        <f t="shared" ref="G988:J988" si="425">SUM(G978:G986)</f>
        <v>0.79799999999866078</v>
      </c>
      <c r="H988" s="311">
        <f t="shared" si="425"/>
        <v>0.64699999999180302</v>
      </c>
      <c r="I988" s="311">
        <f t="shared" si="425"/>
        <v>0.35600000002033816</v>
      </c>
      <c r="J988" s="311">
        <f t="shared" si="425"/>
        <v>1.8010000000108017</v>
      </c>
      <c r="K988" s="311"/>
      <c r="L988" s="311">
        <f t="shared" ref="L988:O988" si="426">SUM(L978:L986)</f>
        <v>1.10000000000681</v>
      </c>
      <c r="M988" s="311">
        <f t="shared" si="426"/>
        <v>0.92100000000325577</v>
      </c>
      <c r="N988" s="311">
        <f t="shared" si="426"/>
        <v>0.56200000001746697</v>
      </c>
      <c r="O988" s="311">
        <f t="shared" si="426"/>
        <v>2.5830000000275333</v>
      </c>
    </row>
    <row r="989" spans="1:15" s="236" customFormat="1" x14ac:dyDescent="0.2">
      <c r="A989" s="237"/>
      <c r="B989" s="237"/>
      <c r="C989" s="237"/>
      <c r="D989" s="237"/>
      <c r="E989" s="237"/>
      <c r="F989" s="237"/>
      <c r="G989" s="237"/>
      <c r="H989" s="237"/>
      <c r="I989" s="237"/>
      <c r="J989" s="237"/>
      <c r="K989" s="237"/>
      <c r="L989" s="237"/>
      <c r="M989" s="237"/>
      <c r="N989" s="240"/>
    </row>
    <row r="990" spans="1:15" s="236" customFormat="1" x14ac:dyDescent="0.2">
      <c r="A990" s="237"/>
      <c r="B990" s="237"/>
      <c r="C990" s="237"/>
      <c r="D990" s="237"/>
      <c r="E990" s="237"/>
      <c r="F990" s="237"/>
      <c r="G990" s="237"/>
      <c r="H990" s="237"/>
      <c r="I990" s="237"/>
      <c r="J990" s="237"/>
      <c r="K990" s="237"/>
      <c r="L990" s="237"/>
      <c r="M990" s="237"/>
      <c r="N990" s="240"/>
      <c r="O990" s="251" t="s">
        <v>35</v>
      </c>
    </row>
    <row r="991" spans="1:15" s="236" customFormat="1" x14ac:dyDescent="0.2">
      <c r="A991" s="242"/>
      <c r="B991" s="242"/>
      <c r="C991" s="242"/>
      <c r="D991" s="242"/>
      <c r="E991" s="242"/>
      <c r="F991" s="242"/>
      <c r="G991" s="242"/>
      <c r="H991" s="242"/>
      <c r="I991" s="242"/>
      <c r="J991" s="242"/>
      <c r="K991" s="242"/>
      <c r="L991" s="242"/>
      <c r="M991" s="242"/>
      <c r="N991" s="242"/>
      <c r="O991" s="242"/>
    </row>
    <row r="992" spans="1:15" s="236" customFormat="1" x14ac:dyDescent="0.2">
      <c r="A992" s="241" t="str">
        <f>name!A61</f>
        <v>Rental and leasing</v>
      </c>
      <c r="B992" s="374">
        <f>$B$6</f>
        <v>2015</v>
      </c>
      <c r="C992" s="374"/>
      <c r="D992" s="374"/>
      <c r="E992" s="374"/>
      <c r="F992" s="263"/>
      <c r="G992" s="374">
        <f>$G$6</f>
        <v>2020</v>
      </c>
      <c r="H992" s="374"/>
      <c r="I992" s="374"/>
      <c r="J992" s="374"/>
      <c r="K992" s="263"/>
      <c r="L992" s="374">
        <f>$L$6</f>
        <v>2035</v>
      </c>
      <c r="M992" s="374"/>
      <c r="N992" s="374"/>
      <c r="O992" s="374"/>
    </row>
    <row r="993" spans="1:15" s="236" customFormat="1" x14ac:dyDescent="0.2">
      <c r="A993" s="254"/>
      <c r="B993" s="268" t="str">
        <f>$B$7</f>
        <v>FT</v>
      </c>
      <c r="C993" s="268" t="str">
        <f>$C$7</f>
        <v>PT</v>
      </c>
      <c r="D993" s="268" t="str">
        <f>$D$7</f>
        <v>SE</v>
      </c>
      <c r="E993" s="268" t="str">
        <f>$E$7</f>
        <v>Total</v>
      </c>
      <c r="F993" s="268"/>
      <c r="G993" s="268" t="str">
        <f>$G$7</f>
        <v>FT</v>
      </c>
      <c r="H993" s="268" t="str">
        <f>$H$7</f>
        <v>PT</v>
      </c>
      <c r="I993" s="268" t="str">
        <f>$I$7</f>
        <v>SE</v>
      </c>
      <c r="J993" s="268" t="str">
        <f>$J$7</f>
        <v>Total</v>
      </c>
      <c r="K993" s="268"/>
      <c r="L993" s="268" t="str">
        <f>$L$7</f>
        <v>FT</v>
      </c>
      <c r="M993" s="268" t="str">
        <f>$M$7</f>
        <v>PT</v>
      </c>
      <c r="N993" s="268" t="str">
        <f>$N$7</f>
        <v>SE</v>
      </c>
      <c r="O993" s="268" t="str">
        <f>$O$7</f>
        <v>Total</v>
      </c>
    </row>
    <row r="994" spans="1:15" s="236" customFormat="1" x14ac:dyDescent="0.2">
      <c r="A994" s="258"/>
      <c r="B994" s="239"/>
      <c r="C994" s="239"/>
      <c r="D994" s="239"/>
      <c r="E994" s="239"/>
      <c r="F994" s="239"/>
      <c r="G994" s="239"/>
      <c r="H994" s="239"/>
      <c r="I994" s="239"/>
      <c r="J994" s="239"/>
      <c r="K994" s="239"/>
      <c r="L994" s="239"/>
      <c r="M994" s="239"/>
      <c r="N994" s="239"/>
      <c r="O994" s="239"/>
    </row>
    <row r="995" spans="1:15" s="236" customFormat="1" x14ac:dyDescent="0.2">
      <c r="A995" s="237" t="str">
        <f>name!E$4</f>
        <v>Managers, directors and senior officials</v>
      </c>
      <c r="B995" s="302">
        <v>0.21016480093591139</v>
      </c>
      <c r="C995" s="302">
        <v>1.3667351325200717E-2</v>
      </c>
      <c r="D995" s="302">
        <v>5.9994922798826608E-2</v>
      </c>
      <c r="E995" s="302">
        <f>SUM(B995:D995)</f>
        <v>0.2838270750599387</v>
      </c>
      <c r="F995" s="303"/>
      <c r="G995" s="302">
        <v>0.46003230302821346</v>
      </c>
      <c r="H995" s="302">
        <v>2.2375478060680912E-2</v>
      </c>
      <c r="I995" s="302">
        <v>0.15683809237567209</v>
      </c>
      <c r="J995" s="302">
        <f>SUM(G995:I995)</f>
        <v>0.63924587346456652</v>
      </c>
      <c r="K995" s="303"/>
      <c r="L995" s="302">
        <v>0.4771766149489996</v>
      </c>
      <c r="M995" s="302">
        <v>2.4106728503976015E-2</v>
      </c>
      <c r="N995" s="302">
        <v>0.19374297428731041</v>
      </c>
      <c r="O995" s="302">
        <f>SUM(L995:N995)</f>
        <v>0.695026317740286</v>
      </c>
    </row>
    <row r="996" spans="1:15" s="236" customFormat="1" x14ac:dyDescent="0.2">
      <c r="A996" s="237" t="str">
        <f>name!E$5</f>
        <v>Professional occupations</v>
      </c>
      <c r="B996" s="302">
        <v>0.27365993603360589</v>
      </c>
      <c r="C996" s="302">
        <v>1.5533571408806724E-2</v>
      </c>
      <c r="D996" s="302">
        <v>2.2456549395689168E-2</v>
      </c>
      <c r="E996" s="302">
        <f t="shared" ref="E996:E1003" si="427">SUM(B996:D996)</f>
        <v>0.31165005683810176</v>
      </c>
      <c r="F996" s="303"/>
      <c r="G996" s="302">
        <v>0.64997912425145787</v>
      </c>
      <c r="H996" s="302">
        <v>2.6269609155334359E-2</v>
      </c>
      <c r="I996" s="302">
        <v>5.5461822880255522E-2</v>
      </c>
      <c r="J996" s="302">
        <f t="shared" ref="J996:J998" si="428">SUM(G996:I996)</f>
        <v>0.73171055628704773</v>
      </c>
      <c r="K996" s="303"/>
      <c r="L996" s="302">
        <v>0.81464744231396347</v>
      </c>
      <c r="M996" s="302">
        <v>2.9848786217537386E-2</v>
      </c>
      <c r="N996" s="302">
        <v>4.4380807811049069E-2</v>
      </c>
      <c r="O996" s="302">
        <f t="shared" ref="O996:O1003" si="429">SUM(L996:N996)</f>
        <v>0.88887703634254989</v>
      </c>
    </row>
    <row r="997" spans="1:15" s="236" customFormat="1" x14ac:dyDescent="0.2">
      <c r="A997" s="237" t="str">
        <f>name!E$6</f>
        <v>Associate professional occupations</v>
      </c>
      <c r="B997" s="302">
        <v>0.27316269635659951</v>
      </c>
      <c r="C997" s="302">
        <v>3.0709450542816874E-2</v>
      </c>
      <c r="D997" s="302">
        <v>2.1229383144440034E-2</v>
      </c>
      <c r="E997" s="302">
        <f t="shared" si="427"/>
        <v>0.32510153004385645</v>
      </c>
      <c r="F997" s="303"/>
      <c r="G997" s="302">
        <v>0.60809260961364453</v>
      </c>
      <c r="H997" s="302">
        <v>4.2279724620725281E-2</v>
      </c>
      <c r="I997" s="302">
        <v>4.1688405271541003E-2</v>
      </c>
      <c r="J997" s="302">
        <f t="shared" si="428"/>
        <v>0.69206073950591085</v>
      </c>
      <c r="K997" s="303"/>
      <c r="L997" s="302">
        <v>0.6363956968677712</v>
      </c>
      <c r="M997" s="302">
        <v>3.7681430945850865E-2</v>
      </c>
      <c r="N997" s="302">
        <v>3.9426945985331779E-2</v>
      </c>
      <c r="O997" s="302">
        <f t="shared" si="429"/>
        <v>0.71350407379895386</v>
      </c>
    </row>
    <row r="998" spans="1:15" s="236" customFormat="1" x14ac:dyDescent="0.2">
      <c r="A998" s="237" t="str">
        <f>name!E$7</f>
        <v>Administrative and secretarial occupations</v>
      </c>
      <c r="B998" s="302">
        <v>0.51034237752594236</v>
      </c>
      <c r="C998" s="302">
        <v>0.13982932664589715</v>
      </c>
      <c r="D998" s="302">
        <v>1.7760009578055E-2</v>
      </c>
      <c r="E998" s="302">
        <f t="shared" si="427"/>
        <v>0.66793171374989457</v>
      </c>
      <c r="F998" s="303"/>
      <c r="G998" s="302">
        <v>1.0023587416985091</v>
      </c>
      <c r="H998" s="302">
        <v>0.15901858725747245</v>
      </c>
      <c r="I998" s="302">
        <v>2.1828695617941329E-2</v>
      </c>
      <c r="J998" s="302">
        <f t="shared" si="428"/>
        <v>1.1832060245739231</v>
      </c>
      <c r="K998" s="303"/>
      <c r="L998" s="302">
        <v>1.134485148717183</v>
      </c>
      <c r="M998" s="302">
        <v>0.13355469993938521</v>
      </c>
      <c r="N998" s="302">
        <v>2.3126727104516725E-2</v>
      </c>
      <c r="O998" s="302">
        <f t="shared" si="429"/>
        <v>1.2911665757610851</v>
      </c>
    </row>
    <row r="999" spans="1:15" s="236" customFormat="1" x14ac:dyDescent="0.2">
      <c r="A999" s="237" t="str">
        <f>name!E$8</f>
        <v>Skilled trades occupations</v>
      </c>
      <c r="B999" s="302">
        <v>0.37297524250090758</v>
      </c>
      <c r="C999" s="302">
        <v>2.635764925120037E-2</v>
      </c>
      <c r="D999" s="302">
        <v>3.9270237886954794E-2</v>
      </c>
      <c r="E999" s="302">
        <f t="shared" si="427"/>
        <v>0.43860312963906273</v>
      </c>
      <c r="F999" s="303"/>
      <c r="G999" s="302">
        <v>0.59282842658977042</v>
      </c>
      <c r="H999" s="302">
        <v>1.7352739934464279E-2</v>
      </c>
      <c r="I999" s="302">
        <v>9.1369661516874173E-2</v>
      </c>
      <c r="J999" s="302">
        <f>SUM(G999:I999)</f>
        <v>0.70155082804110891</v>
      </c>
      <c r="K999" s="303"/>
      <c r="L999" s="302">
        <v>0.50652402976334454</v>
      </c>
      <c r="M999" s="302">
        <v>2.112451255369362E-2</v>
      </c>
      <c r="N999" s="302">
        <v>0.10715507287878406</v>
      </c>
      <c r="O999" s="302">
        <f t="shared" si="429"/>
        <v>0.63480361519582229</v>
      </c>
    </row>
    <row r="1000" spans="1:15" s="236" customFormat="1" x14ac:dyDescent="0.2">
      <c r="A1000" s="237" t="str">
        <f>name!E$9</f>
        <v>Caring, leisure and other service occupations</v>
      </c>
      <c r="B1000" s="302">
        <v>7.0592800158114921E-2</v>
      </c>
      <c r="C1000" s="302">
        <v>2.2532649234785013E-2</v>
      </c>
      <c r="D1000" s="302">
        <v>1.2819702781568517E-2</v>
      </c>
      <c r="E1000" s="302">
        <f t="shared" si="427"/>
        <v>0.10594515217446845</v>
      </c>
      <c r="F1000" s="303"/>
      <c r="G1000" s="302">
        <v>0.13862272094714628</v>
      </c>
      <c r="H1000" s="302">
        <v>2.6499696254914062E-2</v>
      </c>
      <c r="I1000" s="302">
        <v>2.508559005236537E-2</v>
      </c>
      <c r="J1000" s="302">
        <f t="shared" ref="J1000:J1003" si="430">SUM(G1000:I1000)</f>
        <v>0.19020800725442571</v>
      </c>
      <c r="K1000" s="303"/>
      <c r="L1000" s="302">
        <v>0.20917067324534408</v>
      </c>
      <c r="M1000" s="302">
        <v>3.293516616699281E-2</v>
      </c>
      <c r="N1000" s="302">
        <v>3.7184098217007154E-2</v>
      </c>
      <c r="O1000" s="302">
        <f t="shared" si="429"/>
        <v>0.27928993762934401</v>
      </c>
    </row>
    <row r="1001" spans="1:15" s="236" customFormat="1" x14ac:dyDescent="0.2">
      <c r="A1001" s="237" t="str">
        <f>name!E$10</f>
        <v>Sales and customer service occupations</v>
      </c>
      <c r="B1001" s="302">
        <v>0.24359174563304231</v>
      </c>
      <c r="C1001" s="302">
        <v>0.36313138038020099</v>
      </c>
      <c r="D1001" s="302">
        <v>4.4597439956382767E-2</v>
      </c>
      <c r="E1001" s="302">
        <f t="shared" si="427"/>
        <v>0.65132056596962606</v>
      </c>
      <c r="F1001" s="303"/>
      <c r="G1001" s="302">
        <v>0.40972783158451659</v>
      </c>
      <c r="H1001" s="302">
        <v>0.37395242689280456</v>
      </c>
      <c r="I1001" s="302">
        <v>7.7670517349243476E-2</v>
      </c>
      <c r="J1001" s="302">
        <f t="shared" si="430"/>
        <v>0.86135077582656461</v>
      </c>
      <c r="K1001" s="303"/>
      <c r="L1001" s="302">
        <v>0.44984508944256901</v>
      </c>
      <c r="M1001" s="302">
        <v>0.41264662511387978</v>
      </c>
      <c r="N1001" s="302">
        <v>5.6523399285586418E-2</v>
      </c>
      <c r="O1001" s="302">
        <f t="shared" si="429"/>
        <v>0.91901511384203527</v>
      </c>
    </row>
    <row r="1002" spans="1:15" s="236" customFormat="1" x14ac:dyDescent="0.2">
      <c r="A1002" s="237" t="str">
        <f>name!E$11</f>
        <v>Process, plant and machine operatives</v>
      </c>
      <c r="B1002" s="302">
        <v>0.54168272027059827</v>
      </c>
      <c r="C1002" s="302">
        <v>0.17758197691717606</v>
      </c>
      <c r="D1002" s="302">
        <v>2.3628305780449225E-2</v>
      </c>
      <c r="E1002" s="302">
        <f t="shared" si="427"/>
        <v>0.74289300296822358</v>
      </c>
      <c r="F1002" s="303"/>
      <c r="G1002" s="302">
        <v>0.88255223445322328</v>
      </c>
      <c r="H1002" s="302">
        <v>0.1958579987103376</v>
      </c>
      <c r="I1002" s="302">
        <v>9.2204720374581828E-2</v>
      </c>
      <c r="J1002" s="302">
        <f t="shared" si="430"/>
        <v>1.1706149535381427</v>
      </c>
      <c r="K1002" s="303"/>
      <c r="L1002" s="302">
        <v>0.86157148759630742</v>
      </c>
      <c r="M1002" s="302">
        <v>0.19904737698846675</v>
      </c>
      <c r="N1002" s="302">
        <v>8.668066902656113E-2</v>
      </c>
      <c r="O1002" s="302">
        <f t="shared" si="429"/>
        <v>1.1472995336113354</v>
      </c>
    </row>
    <row r="1003" spans="1:15" s="236" customFormat="1" x14ac:dyDescent="0.2">
      <c r="A1003" s="237" t="str">
        <f>name!E$12</f>
        <v>Elementary occupations</v>
      </c>
      <c r="B1003" s="302">
        <v>0.12082768058823742</v>
      </c>
      <c r="C1003" s="302">
        <v>4.9656644308900294E-2</v>
      </c>
      <c r="D1003" s="302">
        <v>1.9243448680206953E-2</v>
      </c>
      <c r="E1003" s="302">
        <f t="shared" si="427"/>
        <v>0.18972777357734466</v>
      </c>
      <c r="F1003" s="303"/>
      <c r="G1003" s="302">
        <v>0.1808060078232544</v>
      </c>
      <c r="H1003" s="302">
        <v>4.1393739122791269E-2</v>
      </c>
      <c r="I1003" s="302">
        <v>2.8852494565204875E-2</v>
      </c>
      <c r="J1003" s="302">
        <f t="shared" si="430"/>
        <v>0.25105224151125055</v>
      </c>
      <c r="K1003" s="303"/>
      <c r="L1003" s="302">
        <v>0.1711838170752705</v>
      </c>
      <c r="M1003" s="302">
        <v>4.0054673569916481E-2</v>
      </c>
      <c r="N1003" s="302">
        <v>3.2779305413024248E-2</v>
      </c>
      <c r="O1003" s="302">
        <f t="shared" si="429"/>
        <v>0.24401779605821122</v>
      </c>
    </row>
    <row r="1004" spans="1:15" s="236" customFormat="1" x14ac:dyDescent="0.2">
      <c r="A1004" s="237"/>
      <c r="B1004" s="302"/>
      <c r="C1004" s="302"/>
      <c r="D1004" s="302"/>
      <c r="E1004" s="302"/>
      <c r="F1004" s="303"/>
      <c r="G1004" s="302"/>
      <c r="H1004" s="302"/>
      <c r="I1004" s="302"/>
      <c r="J1004" s="302"/>
      <c r="K1004" s="303"/>
      <c r="L1004" s="302"/>
      <c r="M1004" s="302"/>
      <c r="N1004" s="302"/>
      <c r="O1004" s="302"/>
    </row>
    <row r="1005" spans="1:15" s="236" customFormat="1" x14ac:dyDescent="0.2">
      <c r="A1005" s="244" t="s">
        <v>32</v>
      </c>
      <c r="B1005" s="311">
        <f>SUM(B995:B1003)</f>
        <v>2.6170000000029598</v>
      </c>
      <c r="C1005" s="311">
        <f t="shared" ref="C1005:E1005" si="431">SUM(C995:C1003)</f>
        <v>0.83900000001498409</v>
      </c>
      <c r="D1005" s="311">
        <f t="shared" si="431"/>
        <v>0.26100000000257306</v>
      </c>
      <c r="E1005" s="311">
        <f t="shared" si="431"/>
        <v>3.717000000020517</v>
      </c>
      <c r="F1005" s="311"/>
      <c r="G1005" s="311">
        <f t="shared" ref="G1005:J1005" si="432">SUM(G995:G1003)</f>
        <v>4.924999999989736</v>
      </c>
      <c r="H1005" s="311">
        <f t="shared" si="432"/>
        <v>0.90500000000952485</v>
      </c>
      <c r="I1005" s="311">
        <f t="shared" si="432"/>
        <v>0.59100000000367969</v>
      </c>
      <c r="J1005" s="311">
        <f t="shared" si="432"/>
        <v>6.4210000000029401</v>
      </c>
      <c r="K1005" s="311"/>
      <c r="L1005" s="311">
        <f t="shared" ref="L1005:O1005" si="433">SUM(L995:L1003)</f>
        <v>5.2609999999707533</v>
      </c>
      <c r="M1005" s="311">
        <f t="shared" si="433"/>
        <v>0.93099999999969896</v>
      </c>
      <c r="N1005" s="311">
        <f t="shared" si="433"/>
        <v>0.62100000000917099</v>
      </c>
      <c r="O1005" s="311">
        <f t="shared" si="433"/>
        <v>6.8129999999796222</v>
      </c>
    </row>
    <row r="1006" spans="1:15" s="236" customFormat="1" x14ac:dyDescent="0.2">
      <c r="A1006" s="237"/>
      <c r="B1006" s="237"/>
      <c r="C1006" s="237"/>
      <c r="D1006" s="237"/>
      <c r="E1006" s="237"/>
      <c r="F1006" s="237"/>
      <c r="G1006" s="237"/>
      <c r="H1006" s="237"/>
      <c r="I1006" s="237"/>
      <c r="J1006" s="237"/>
      <c r="K1006" s="237"/>
      <c r="L1006" s="237"/>
      <c r="M1006" s="237"/>
      <c r="N1006" s="240"/>
    </row>
    <row r="1007" spans="1:15" s="236" customFormat="1" x14ac:dyDescent="0.2">
      <c r="A1007" s="237"/>
      <c r="B1007" s="237"/>
      <c r="C1007" s="237"/>
      <c r="D1007" s="237"/>
      <c r="E1007" s="237"/>
      <c r="F1007" s="237"/>
      <c r="G1007" s="237"/>
      <c r="H1007" s="237"/>
      <c r="I1007" s="237"/>
      <c r="J1007" s="237"/>
      <c r="K1007" s="237"/>
      <c r="L1007" s="237"/>
      <c r="M1007" s="237"/>
      <c r="N1007" s="240"/>
      <c r="O1007" s="251" t="s">
        <v>35</v>
      </c>
    </row>
    <row r="1008" spans="1:15" s="236" customFormat="1" x14ac:dyDescent="0.2">
      <c r="A1008" s="242"/>
      <c r="B1008" s="242"/>
      <c r="C1008" s="242"/>
      <c r="D1008" s="242"/>
      <c r="E1008" s="242"/>
      <c r="F1008" s="242"/>
      <c r="G1008" s="242"/>
      <c r="H1008" s="242"/>
      <c r="I1008" s="242"/>
      <c r="J1008" s="242"/>
      <c r="K1008" s="242"/>
      <c r="L1008" s="242"/>
      <c r="M1008" s="242"/>
      <c r="N1008" s="242"/>
      <c r="O1008" s="242"/>
    </row>
    <row r="1009" spans="1:15" s="236" customFormat="1" x14ac:dyDescent="0.2">
      <c r="A1009" s="241" t="str">
        <f>name!A62</f>
        <v>Employment activities</v>
      </c>
      <c r="B1009" s="374">
        <f>$B$6</f>
        <v>2015</v>
      </c>
      <c r="C1009" s="374"/>
      <c r="D1009" s="374"/>
      <c r="E1009" s="374"/>
      <c r="F1009" s="263"/>
      <c r="G1009" s="374">
        <f>$G$6</f>
        <v>2020</v>
      </c>
      <c r="H1009" s="374"/>
      <c r="I1009" s="374"/>
      <c r="J1009" s="374"/>
      <c r="K1009" s="263"/>
      <c r="L1009" s="374">
        <f>$L$6</f>
        <v>2035</v>
      </c>
      <c r="M1009" s="374"/>
      <c r="N1009" s="374"/>
      <c r="O1009" s="374"/>
    </row>
    <row r="1010" spans="1:15" s="236" customFormat="1" x14ac:dyDescent="0.2">
      <c r="A1010" s="254"/>
      <c r="B1010" s="268" t="str">
        <f>$B$7</f>
        <v>FT</v>
      </c>
      <c r="C1010" s="268" t="str">
        <f>$C$7</f>
        <v>PT</v>
      </c>
      <c r="D1010" s="268" t="str">
        <f>$D$7</f>
        <v>SE</v>
      </c>
      <c r="E1010" s="268" t="str">
        <f>$E$7</f>
        <v>Total</v>
      </c>
      <c r="F1010" s="268"/>
      <c r="G1010" s="268" t="str">
        <f>$G$7</f>
        <v>FT</v>
      </c>
      <c r="H1010" s="268" t="str">
        <f>$H$7</f>
        <v>PT</v>
      </c>
      <c r="I1010" s="268" t="str">
        <f>$I$7</f>
        <v>SE</v>
      </c>
      <c r="J1010" s="268" t="str">
        <f>$J$7</f>
        <v>Total</v>
      </c>
      <c r="K1010" s="268"/>
      <c r="L1010" s="268" t="str">
        <f>$L$7</f>
        <v>FT</v>
      </c>
      <c r="M1010" s="268" t="str">
        <f>$M$7</f>
        <v>PT</v>
      </c>
      <c r="N1010" s="268" t="str">
        <f>$N$7</f>
        <v>SE</v>
      </c>
      <c r="O1010" s="268" t="str">
        <f>$O$7</f>
        <v>Total</v>
      </c>
    </row>
    <row r="1011" spans="1:15" s="236" customFormat="1" x14ac:dyDescent="0.2">
      <c r="A1011" s="258"/>
      <c r="B1011" s="239"/>
      <c r="C1011" s="239"/>
      <c r="D1011" s="239"/>
      <c r="E1011" s="239"/>
      <c r="F1011" s="239"/>
      <c r="G1011" s="239"/>
      <c r="H1011" s="239"/>
      <c r="I1011" s="239"/>
      <c r="J1011" s="239"/>
      <c r="K1011" s="239"/>
      <c r="L1011" s="239"/>
      <c r="M1011" s="239"/>
      <c r="N1011" s="239"/>
      <c r="O1011" s="239"/>
    </row>
    <row r="1012" spans="1:15" s="236" customFormat="1" x14ac:dyDescent="0.2">
      <c r="A1012" s="237" t="str">
        <f>name!E$4</f>
        <v>Managers, directors and senior officials</v>
      </c>
      <c r="B1012" s="302">
        <v>0.72227304598682152</v>
      </c>
      <c r="C1012" s="302">
        <v>0.1082415747946891</v>
      </c>
      <c r="D1012" s="302">
        <v>0.17073730666084225</v>
      </c>
      <c r="E1012" s="302">
        <f>SUM(B1012:D1012)</f>
        <v>1.0012519274423528</v>
      </c>
      <c r="F1012" s="303"/>
      <c r="G1012" s="302">
        <v>0.80669072235690265</v>
      </c>
      <c r="H1012" s="302">
        <v>0.17408072770987168</v>
      </c>
      <c r="I1012" s="302">
        <v>0.25656150473602674</v>
      </c>
      <c r="J1012" s="302">
        <f>SUM(G1012:I1012)</f>
        <v>1.2373329548028011</v>
      </c>
      <c r="K1012" s="303"/>
      <c r="L1012" s="302">
        <v>0.85881210595507518</v>
      </c>
      <c r="M1012" s="302">
        <v>0.17623264918953793</v>
      </c>
      <c r="N1012" s="302">
        <v>0.2879230622349635</v>
      </c>
      <c r="O1012" s="302">
        <f>SUM(L1012:N1012)</f>
        <v>1.3229678173795767</v>
      </c>
    </row>
    <row r="1013" spans="1:15" s="236" customFormat="1" x14ac:dyDescent="0.2">
      <c r="A1013" s="237" t="str">
        <f>name!E$5</f>
        <v>Professional occupations</v>
      </c>
      <c r="B1013" s="302">
        <v>1.142636664636711</v>
      </c>
      <c r="C1013" s="302">
        <v>0.17085315012729241</v>
      </c>
      <c r="D1013" s="302">
        <v>0.14370977202701582</v>
      </c>
      <c r="E1013" s="302">
        <f t="shared" ref="E1013:E1020" si="434">SUM(B1013:D1013)</f>
        <v>1.4571995867910192</v>
      </c>
      <c r="F1013" s="303"/>
      <c r="G1013" s="302">
        <v>1.4694316029918859</v>
      </c>
      <c r="H1013" s="302">
        <v>0.26921648731922365</v>
      </c>
      <c r="I1013" s="302">
        <v>0.17322619346081206</v>
      </c>
      <c r="J1013" s="302">
        <f t="shared" ref="J1013:J1015" si="435">SUM(G1013:I1013)</f>
        <v>1.9118742837719218</v>
      </c>
      <c r="K1013" s="303"/>
      <c r="L1013" s="302">
        <v>1.8604342477880782</v>
      </c>
      <c r="M1013" s="302">
        <v>0.30410248008756718</v>
      </c>
      <c r="N1013" s="302">
        <v>0.14283083129584043</v>
      </c>
      <c r="O1013" s="302">
        <f t="shared" ref="O1013:O1020" si="436">SUM(L1013:N1013)</f>
        <v>2.3073675591714862</v>
      </c>
    </row>
    <row r="1014" spans="1:15" s="236" customFormat="1" x14ac:dyDescent="0.2">
      <c r="A1014" s="237" t="str">
        <f>name!E$6</f>
        <v>Associate professional occupations</v>
      </c>
      <c r="B1014" s="302">
        <v>1.5953347733300636</v>
      </c>
      <c r="C1014" s="302">
        <v>0.33209449837277988</v>
      </c>
      <c r="D1014" s="302">
        <v>0.42920109441927762</v>
      </c>
      <c r="E1014" s="302">
        <f t="shared" si="434"/>
        <v>2.3566303661221211</v>
      </c>
      <c r="F1014" s="303"/>
      <c r="G1014" s="302">
        <v>1.8364218981370584</v>
      </c>
      <c r="H1014" s="302">
        <v>0.43566850020638431</v>
      </c>
      <c r="I1014" s="302">
        <v>0.46925072107330984</v>
      </c>
      <c r="J1014" s="302">
        <f t="shared" si="435"/>
        <v>2.7413411194167523</v>
      </c>
      <c r="K1014" s="303"/>
      <c r="L1014" s="302">
        <v>1.7904020839926422</v>
      </c>
      <c r="M1014" s="302">
        <v>0.49867264651186777</v>
      </c>
      <c r="N1014" s="302">
        <v>0.46130427629895077</v>
      </c>
      <c r="O1014" s="302">
        <f t="shared" si="436"/>
        <v>2.7503790068034606</v>
      </c>
    </row>
    <row r="1015" spans="1:15" s="236" customFormat="1" x14ac:dyDescent="0.2">
      <c r="A1015" s="237" t="str">
        <f>name!E$7</f>
        <v>Administrative and secretarial occupations</v>
      </c>
      <c r="B1015" s="302">
        <v>3.4634067708169236</v>
      </c>
      <c r="C1015" s="302">
        <v>1.0726777513608188</v>
      </c>
      <c r="D1015" s="302">
        <v>8.4066040475317516E-2</v>
      </c>
      <c r="E1015" s="302">
        <f t="shared" si="434"/>
        <v>4.6201505626530599</v>
      </c>
      <c r="F1015" s="303"/>
      <c r="G1015" s="302">
        <v>3.246501192432441</v>
      </c>
      <c r="H1015" s="302">
        <v>1.2232357713078219</v>
      </c>
      <c r="I1015" s="302">
        <v>6.681755685938337E-2</v>
      </c>
      <c r="J1015" s="302">
        <f t="shared" si="435"/>
        <v>4.5365545205996458</v>
      </c>
      <c r="K1015" s="303"/>
      <c r="L1015" s="302">
        <v>3.14483675247316</v>
      </c>
      <c r="M1015" s="302">
        <v>1.2346585008125159</v>
      </c>
      <c r="N1015" s="302">
        <v>6.9253179103057713E-2</v>
      </c>
      <c r="O1015" s="302">
        <f t="shared" si="436"/>
        <v>4.448748432388733</v>
      </c>
    </row>
    <row r="1016" spans="1:15" s="236" customFormat="1" x14ac:dyDescent="0.2">
      <c r="A1016" s="237" t="str">
        <f>name!E$8</f>
        <v>Skilled trades occupations</v>
      </c>
      <c r="B1016" s="302">
        <v>0.49137811336630211</v>
      </c>
      <c r="C1016" s="302">
        <v>0.14574039607868511</v>
      </c>
      <c r="D1016" s="302">
        <v>0.20261962098513447</v>
      </c>
      <c r="E1016" s="302">
        <f t="shared" si="434"/>
        <v>0.83973813043012169</v>
      </c>
      <c r="F1016" s="303"/>
      <c r="G1016" s="302">
        <v>0.4069129927934389</v>
      </c>
      <c r="H1016" s="302">
        <v>0.10831081962912918</v>
      </c>
      <c r="I1016" s="302">
        <v>0.25859209182986975</v>
      </c>
      <c r="J1016" s="302">
        <f>SUM(G1016:I1016)</f>
        <v>0.77381590425243785</v>
      </c>
      <c r="K1016" s="303"/>
      <c r="L1016" s="302">
        <v>0.32646072915277652</v>
      </c>
      <c r="M1016" s="302">
        <v>0.11927962447785052</v>
      </c>
      <c r="N1016" s="302">
        <v>0.22489351881473787</v>
      </c>
      <c r="O1016" s="302">
        <f t="shared" si="436"/>
        <v>0.67063387244536488</v>
      </c>
    </row>
    <row r="1017" spans="1:15" s="236" customFormat="1" x14ac:dyDescent="0.2">
      <c r="A1017" s="237" t="str">
        <f>name!E$9</f>
        <v>Caring, leisure and other service occupations</v>
      </c>
      <c r="B1017" s="302">
        <v>0.92060088118944283</v>
      </c>
      <c r="C1017" s="302">
        <v>0.52969001424452777</v>
      </c>
      <c r="D1017" s="302">
        <v>0.15058175154780096</v>
      </c>
      <c r="E1017" s="302">
        <f t="shared" si="434"/>
        <v>1.6008726469817716</v>
      </c>
      <c r="F1017" s="303"/>
      <c r="G1017" s="302">
        <v>0.870131058677998</v>
      </c>
      <c r="H1017" s="302">
        <v>0.59832730530337919</v>
      </c>
      <c r="I1017" s="302">
        <v>0.17930804942140172</v>
      </c>
      <c r="J1017" s="302">
        <f t="shared" ref="J1017:J1020" si="437">SUM(G1017:I1017)</f>
        <v>1.6477664134027787</v>
      </c>
      <c r="K1017" s="303"/>
      <c r="L1017" s="302">
        <v>0.9865472241664538</v>
      </c>
      <c r="M1017" s="302">
        <v>0.64184945695721685</v>
      </c>
      <c r="N1017" s="302">
        <v>0.21342312064000993</v>
      </c>
      <c r="O1017" s="302">
        <f t="shared" si="436"/>
        <v>1.8418198017636807</v>
      </c>
    </row>
    <row r="1018" spans="1:15" s="236" customFormat="1" x14ac:dyDescent="0.2">
      <c r="A1018" s="237" t="str">
        <f>name!E$10</f>
        <v>Sales and customer service occupations</v>
      </c>
      <c r="B1018" s="302">
        <v>1.8602185370271913</v>
      </c>
      <c r="C1018" s="302">
        <v>0.74341698020644775</v>
      </c>
      <c r="D1018" s="302">
        <v>6.2085548329812119E-2</v>
      </c>
      <c r="E1018" s="302">
        <f t="shared" si="434"/>
        <v>2.6657210655634511</v>
      </c>
      <c r="F1018" s="303"/>
      <c r="G1018" s="302">
        <v>1.8022020843137638</v>
      </c>
      <c r="H1018" s="302">
        <v>0.82665393840066137</v>
      </c>
      <c r="I1018" s="302">
        <v>6.5545953874309726E-2</v>
      </c>
      <c r="J1018" s="302">
        <f t="shared" si="437"/>
        <v>2.6944019765887353</v>
      </c>
      <c r="K1018" s="303"/>
      <c r="L1018" s="302">
        <v>2.2887902730637499</v>
      </c>
      <c r="M1018" s="302">
        <v>1.1516449984867769</v>
      </c>
      <c r="N1018" s="302">
        <v>5.2435352322433557E-2</v>
      </c>
      <c r="O1018" s="302">
        <f t="shared" si="436"/>
        <v>3.4928706238729603</v>
      </c>
    </row>
    <row r="1019" spans="1:15" s="236" customFormat="1" x14ac:dyDescent="0.2">
      <c r="A1019" s="237" t="str">
        <f>name!E$11</f>
        <v>Process, plant and machine operatives</v>
      </c>
      <c r="B1019" s="302">
        <v>0.81325260494759422</v>
      </c>
      <c r="C1019" s="302">
        <v>0.31089837848182394</v>
      </c>
      <c r="D1019" s="302">
        <v>3.5153344660734456E-2</v>
      </c>
      <c r="E1019" s="302">
        <f t="shared" si="434"/>
        <v>1.1593043280901525</v>
      </c>
      <c r="F1019" s="303"/>
      <c r="G1019" s="302">
        <v>0.67553477889737745</v>
      </c>
      <c r="H1019" s="302">
        <v>0.35466375586555199</v>
      </c>
      <c r="I1019" s="302">
        <v>6.0072179840870862E-2</v>
      </c>
      <c r="J1019" s="302">
        <f t="shared" si="437"/>
        <v>1.0902707146038002</v>
      </c>
      <c r="K1019" s="303"/>
      <c r="L1019" s="302">
        <v>0.6341270772449461</v>
      </c>
      <c r="M1019" s="302">
        <v>0.42497023270474471</v>
      </c>
      <c r="N1019" s="302">
        <v>6.0694360460664974E-2</v>
      </c>
      <c r="O1019" s="302">
        <f t="shared" si="436"/>
        <v>1.1197916704103557</v>
      </c>
    </row>
    <row r="1020" spans="1:15" s="236" customFormat="1" x14ac:dyDescent="0.2">
      <c r="A1020" s="237" t="str">
        <f>name!E$12</f>
        <v>Elementary occupations</v>
      </c>
      <c r="B1020" s="302">
        <v>6.3398986087329083</v>
      </c>
      <c r="C1020" s="302">
        <v>3.9253872564453887</v>
      </c>
      <c r="D1020" s="302">
        <v>0.64984552092073555</v>
      </c>
      <c r="E1020" s="302">
        <f t="shared" si="434"/>
        <v>10.915131386099032</v>
      </c>
      <c r="F1020" s="303"/>
      <c r="G1020" s="302">
        <v>5.6211736693239143</v>
      </c>
      <c r="H1020" s="302">
        <v>3.550842694258125</v>
      </c>
      <c r="I1020" s="302">
        <v>0.62462574890558675</v>
      </c>
      <c r="J1020" s="302">
        <f t="shared" si="437"/>
        <v>9.7966421124876248</v>
      </c>
      <c r="K1020" s="303"/>
      <c r="L1020" s="302">
        <v>6.1545895060445863</v>
      </c>
      <c r="M1020" s="302">
        <v>3.2235894107511318</v>
      </c>
      <c r="N1020" s="302">
        <v>0.74724229884410298</v>
      </c>
      <c r="O1020" s="302">
        <f t="shared" si="436"/>
        <v>10.125421215639822</v>
      </c>
    </row>
    <row r="1021" spans="1:15" s="236" customFormat="1" x14ac:dyDescent="0.2">
      <c r="A1021" s="237"/>
      <c r="B1021" s="302"/>
      <c r="C1021" s="302"/>
      <c r="D1021" s="302"/>
      <c r="E1021" s="302"/>
      <c r="F1021" s="303"/>
      <c r="G1021" s="302"/>
      <c r="H1021" s="302"/>
      <c r="I1021" s="302"/>
      <c r="J1021" s="302"/>
      <c r="K1021" s="303"/>
      <c r="L1021" s="302"/>
      <c r="M1021" s="302"/>
      <c r="N1021" s="302"/>
      <c r="O1021" s="302"/>
    </row>
    <row r="1022" spans="1:15" s="236" customFormat="1" x14ac:dyDescent="0.2">
      <c r="A1022" s="244" t="s">
        <v>32</v>
      </c>
      <c r="B1022" s="311">
        <f>SUM(B1012:B1020)</f>
        <v>17.349000000033957</v>
      </c>
      <c r="C1022" s="311">
        <f t="shared" ref="C1022:E1022" si="438">SUM(C1012:C1020)</f>
        <v>7.3390000001124536</v>
      </c>
      <c r="D1022" s="311">
        <f t="shared" si="438"/>
        <v>1.9280000000266706</v>
      </c>
      <c r="E1022" s="311">
        <f t="shared" si="438"/>
        <v>26.616000000173081</v>
      </c>
      <c r="F1022" s="311"/>
      <c r="G1022" s="311">
        <f t="shared" ref="G1022:J1022" si="439">SUM(G1012:G1020)</f>
        <v>16.734999999924781</v>
      </c>
      <c r="H1022" s="311">
        <f t="shared" si="439"/>
        <v>7.5410000000001487</v>
      </c>
      <c r="I1022" s="311">
        <f t="shared" si="439"/>
        <v>2.1540000000015707</v>
      </c>
      <c r="J1022" s="311">
        <f t="shared" si="439"/>
        <v>26.429999999926498</v>
      </c>
      <c r="K1022" s="311"/>
      <c r="L1022" s="311">
        <f t="shared" ref="L1022:O1022" si="440">SUM(L1012:L1020)</f>
        <v>18.044999999881469</v>
      </c>
      <c r="M1022" s="311">
        <f t="shared" si="440"/>
        <v>7.7749999999792099</v>
      </c>
      <c r="N1022" s="311">
        <f t="shared" si="440"/>
        <v>2.2600000000147613</v>
      </c>
      <c r="O1022" s="311">
        <f t="shared" si="440"/>
        <v>28.079999999875437</v>
      </c>
    </row>
    <row r="1023" spans="1:15" s="236" customFormat="1" x14ac:dyDescent="0.2">
      <c r="A1023" s="237"/>
      <c r="B1023" s="237"/>
      <c r="C1023" s="237"/>
      <c r="D1023" s="237"/>
      <c r="E1023" s="237"/>
      <c r="F1023" s="237"/>
      <c r="G1023" s="237"/>
      <c r="H1023" s="237"/>
      <c r="I1023" s="237"/>
      <c r="J1023" s="237"/>
      <c r="K1023" s="237"/>
      <c r="L1023" s="237"/>
      <c r="M1023" s="237"/>
      <c r="N1023" s="240"/>
    </row>
    <row r="1024" spans="1:15" s="236" customFormat="1" x14ac:dyDescent="0.2">
      <c r="A1024" s="237"/>
      <c r="B1024" s="237"/>
      <c r="C1024" s="237"/>
      <c r="D1024" s="237"/>
      <c r="E1024" s="237"/>
      <c r="F1024" s="237"/>
      <c r="G1024" s="237"/>
      <c r="H1024" s="237"/>
      <c r="I1024" s="237"/>
      <c r="J1024" s="237"/>
      <c r="K1024" s="237"/>
      <c r="L1024" s="237"/>
      <c r="M1024" s="237"/>
      <c r="N1024" s="240"/>
      <c r="O1024" s="251" t="s">
        <v>35</v>
      </c>
    </row>
    <row r="1025" spans="1:15" s="236" customFormat="1" x14ac:dyDescent="0.2">
      <c r="A1025" s="242"/>
      <c r="B1025" s="242"/>
      <c r="C1025" s="242"/>
      <c r="D1025" s="242"/>
      <c r="E1025" s="242"/>
      <c r="F1025" s="242"/>
      <c r="G1025" s="242"/>
      <c r="H1025" s="242"/>
      <c r="I1025" s="242"/>
      <c r="J1025" s="242"/>
      <c r="K1025" s="242"/>
      <c r="L1025" s="242"/>
      <c r="M1025" s="242"/>
      <c r="N1025" s="242"/>
      <c r="O1025" s="242"/>
    </row>
    <row r="1026" spans="1:15" s="236" customFormat="1" x14ac:dyDescent="0.2">
      <c r="A1026" s="241" t="str">
        <f>name!A63</f>
        <v>Travel, etc</v>
      </c>
      <c r="B1026" s="374">
        <f>$B$6</f>
        <v>2015</v>
      </c>
      <c r="C1026" s="374"/>
      <c r="D1026" s="374"/>
      <c r="E1026" s="374"/>
      <c r="F1026" s="263"/>
      <c r="G1026" s="374">
        <f>$G$6</f>
        <v>2020</v>
      </c>
      <c r="H1026" s="374"/>
      <c r="I1026" s="374"/>
      <c r="J1026" s="374"/>
      <c r="K1026" s="263"/>
      <c r="L1026" s="374">
        <f>$L$6</f>
        <v>2035</v>
      </c>
      <c r="M1026" s="374"/>
      <c r="N1026" s="374"/>
      <c r="O1026" s="374"/>
    </row>
    <row r="1027" spans="1:15" s="236" customFormat="1" x14ac:dyDescent="0.2">
      <c r="A1027" s="254"/>
      <c r="B1027" s="268" t="str">
        <f>$B$7</f>
        <v>FT</v>
      </c>
      <c r="C1027" s="268" t="str">
        <f>$C$7</f>
        <v>PT</v>
      </c>
      <c r="D1027" s="268" t="str">
        <f>$D$7</f>
        <v>SE</v>
      </c>
      <c r="E1027" s="268" t="str">
        <f>$E$7</f>
        <v>Total</v>
      </c>
      <c r="F1027" s="268"/>
      <c r="G1027" s="268" t="str">
        <f>$G$7</f>
        <v>FT</v>
      </c>
      <c r="H1027" s="268" t="str">
        <f>$H$7</f>
        <v>PT</v>
      </c>
      <c r="I1027" s="268" t="str">
        <f>$I$7</f>
        <v>SE</v>
      </c>
      <c r="J1027" s="268" t="str">
        <f>$J$7</f>
        <v>Total</v>
      </c>
      <c r="K1027" s="268"/>
      <c r="L1027" s="268" t="str">
        <f>$L$7</f>
        <v>FT</v>
      </c>
      <c r="M1027" s="268" t="str">
        <f>$M$7</f>
        <v>PT</v>
      </c>
      <c r="N1027" s="268" t="str">
        <f>$N$7</f>
        <v>SE</v>
      </c>
      <c r="O1027" s="268" t="str">
        <f>$O$7</f>
        <v>Total</v>
      </c>
    </row>
    <row r="1028" spans="1:15" s="236" customFormat="1" x14ac:dyDescent="0.2">
      <c r="A1028" s="258"/>
      <c r="B1028" s="239"/>
      <c r="C1028" s="239"/>
      <c r="D1028" s="239"/>
      <c r="E1028" s="239"/>
      <c r="F1028" s="239"/>
      <c r="G1028" s="239"/>
      <c r="H1028" s="239"/>
      <c r="I1028" s="239"/>
      <c r="J1028" s="239"/>
      <c r="K1028" s="239"/>
      <c r="L1028" s="239"/>
      <c r="M1028" s="239"/>
      <c r="N1028" s="239"/>
      <c r="O1028" s="239"/>
    </row>
    <row r="1029" spans="1:15" s="236" customFormat="1" x14ac:dyDescent="0.2">
      <c r="A1029" s="237" t="str">
        <f>name!E$4</f>
        <v>Managers, directors and senior officials</v>
      </c>
      <c r="B1029" s="302">
        <v>0.14077019192398083</v>
      </c>
      <c r="C1029" s="302">
        <v>3.0741329633753648E-2</v>
      </c>
      <c r="D1029" s="302">
        <v>2.5763933690910443E-2</v>
      </c>
      <c r="E1029" s="302">
        <f>SUM(B1029:D1029)</f>
        <v>0.19727545524864493</v>
      </c>
      <c r="F1029" s="303"/>
      <c r="G1029" s="302">
        <v>0.14367723578566557</v>
      </c>
      <c r="H1029" s="302">
        <v>3.2183736453259358E-2</v>
      </c>
      <c r="I1029" s="302">
        <v>2.2688289783170362E-2</v>
      </c>
      <c r="J1029" s="302">
        <f>SUM(G1029:I1029)</f>
        <v>0.1985492620220953</v>
      </c>
      <c r="K1029" s="303"/>
      <c r="L1029" s="302">
        <v>0.16272878731024124</v>
      </c>
      <c r="M1029" s="302">
        <v>3.8088931060584343E-2</v>
      </c>
      <c r="N1029" s="302">
        <v>2.4710255857588549E-2</v>
      </c>
      <c r="O1029" s="302">
        <f>SUM(L1029:N1029)</f>
        <v>0.22552797422841411</v>
      </c>
    </row>
    <row r="1030" spans="1:15" s="236" customFormat="1" x14ac:dyDescent="0.2">
      <c r="A1030" s="237" t="str">
        <f>name!E$5</f>
        <v>Professional occupations</v>
      </c>
      <c r="B1030" s="302">
        <v>9.8662281638070143E-2</v>
      </c>
      <c r="C1030" s="302">
        <v>1.8046470329866331E-2</v>
      </c>
      <c r="D1030" s="302">
        <v>6.0746635126100682E-3</v>
      </c>
      <c r="E1030" s="302">
        <f t="shared" ref="E1030:E1037" si="441">SUM(B1030:D1030)</f>
        <v>0.12278341548054655</v>
      </c>
      <c r="F1030" s="303"/>
      <c r="G1030" s="302">
        <v>0.11173053242785208</v>
      </c>
      <c r="H1030" s="302">
        <v>1.983625184343105E-2</v>
      </c>
      <c r="I1030" s="302">
        <v>5.6660200319357422E-3</v>
      </c>
      <c r="J1030" s="302">
        <f t="shared" ref="J1030:J1032" si="442">SUM(G1030:I1030)</f>
        <v>0.13723280430321888</v>
      </c>
      <c r="K1030" s="303"/>
      <c r="L1030" s="302">
        <v>0.15800537605110412</v>
      </c>
      <c r="M1030" s="302">
        <v>2.4944538619354077E-2</v>
      </c>
      <c r="N1030" s="302">
        <v>4.4104746909633128E-3</v>
      </c>
      <c r="O1030" s="302">
        <f t="shared" ref="O1030:O1037" si="443">SUM(L1030:N1030)</f>
        <v>0.18736038936142152</v>
      </c>
    </row>
    <row r="1031" spans="1:15" s="236" customFormat="1" x14ac:dyDescent="0.2">
      <c r="A1031" s="237" t="str">
        <f>name!E$6</f>
        <v>Associate professional occupations</v>
      </c>
      <c r="B1031" s="302">
        <v>8.8736624100845124E-2</v>
      </c>
      <c r="C1031" s="302">
        <v>2.6155318983384832E-2</v>
      </c>
      <c r="D1031" s="302">
        <v>7.6144197145421475E-3</v>
      </c>
      <c r="E1031" s="302">
        <f t="shared" si="441"/>
        <v>0.1225063627987721</v>
      </c>
      <c r="F1031" s="303"/>
      <c r="G1031" s="302">
        <v>9.0468832406308194E-2</v>
      </c>
      <c r="H1031" s="302">
        <v>2.3694395768475509E-2</v>
      </c>
      <c r="I1031" s="302">
        <v>5.2342964885625986E-3</v>
      </c>
      <c r="J1031" s="302">
        <f t="shared" si="442"/>
        <v>0.1193975246633463</v>
      </c>
      <c r="K1031" s="303"/>
      <c r="L1031" s="302">
        <v>0.10406992139859172</v>
      </c>
      <c r="M1031" s="302">
        <v>2.384944813603054E-2</v>
      </c>
      <c r="N1031" s="302">
        <v>5.0447195610738406E-3</v>
      </c>
      <c r="O1031" s="302">
        <f t="shared" si="443"/>
        <v>0.1329640890956961</v>
      </c>
    </row>
    <row r="1032" spans="1:15" s="236" customFormat="1" x14ac:dyDescent="0.2">
      <c r="A1032" s="237" t="str">
        <f>name!E$7</f>
        <v>Administrative and secretarial occupations</v>
      </c>
      <c r="B1032" s="302">
        <v>0.27495287957071557</v>
      </c>
      <c r="C1032" s="302">
        <v>8.1419446160575351E-2</v>
      </c>
      <c r="D1032" s="302">
        <v>1.0792114296155618E-2</v>
      </c>
      <c r="E1032" s="302">
        <f t="shared" si="441"/>
        <v>0.36716444002744653</v>
      </c>
      <c r="F1032" s="303"/>
      <c r="G1032" s="302">
        <v>0.22900587790603805</v>
      </c>
      <c r="H1032" s="302">
        <v>6.4099317235269793E-2</v>
      </c>
      <c r="I1032" s="302">
        <v>6.3904774954763521E-3</v>
      </c>
      <c r="J1032" s="302">
        <f t="shared" si="442"/>
        <v>0.29949567263678417</v>
      </c>
      <c r="K1032" s="303"/>
      <c r="L1032" s="302">
        <v>0.22623802291100084</v>
      </c>
      <c r="M1032" s="302">
        <v>4.8172663784396233E-2</v>
      </c>
      <c r="N1032" s="302">
        <v>7.3670782727217081E-3</v>
      </c>
      <c r="O1032" s="302">
        <f t="shared" si="443"/>
        <v>0.28177776496811879</v>
      </c>
    </row>
    <row r="1033" spans="1:15" s="236" customFormat="1" x14ac:dyDescent="0.2">
      <c r="A1033" s="237" t="str">
        <f>name!E$8</f>
        <v>Skilled trades occupations</v>
      </c>
      <c r="B1033" s="302">
        <v>3.4632849736167412E-2</v>
      </c>
      <c r="C1033" s="302">
        <v>3.4658364317168774E-2</v>
      </c>
      <c r="D1033" s="302">
        <v>5.0351817312991277E-3</v>
      </c>
      <c r="E1033" s="302">
        <f t="shared" si="441"/>
        <v>7.4326395784635318E-2</v>
      </c>
      <c r="F1033" s="303"/>
      <c r="G1033" s="302">
        <v>2.5378816203475488E-2</v>
      </c>
      <c r="H1033" s="302">
        <v>1.5701039015203647E-2</v>
      </c>
      <c r="I1033" s="302">
        <v>4.166618749600187E-3</v>
      </c>
      <c r="J1033" s="302">
        <f>SUM(G1033:I1033)</f>
        <v>4.524647396827932E-2</v>
      </c>
      <c r="K1033" s="303"/>
      <c r="L1033" s="302">
        <v>2.8172155140544681E-2</v>
      </c>
      <c r="M1033" s="302">
        <v>2.0934766580708804E-2</v>
      </c>
      <c r="N1033" s="302">
        <v>5.9875420454260303E-3</v>
      </c>
      <c r="O1033" s="302">
        <f t="shared" si="443"/>
        <v>5.5094463766679515E-2</v>
      </c>
    </row>
    <row r="1034" spans="1:15" s="236" customFormat="1" x14ac:dyDescent="0.2">
      <c r="A1034" s="237" t="str">
        <f>name!E$9</f>
        <v>Caring, leisure and other service occupations</v>
      </c>
      <c r="B1034" s="302">
        <v>0.36870580474198988</v>
      </c>
      <c r="C1034" s="302">
        <v>0.2411020359519071</v>
      </c>
      <c r="D1034" s="302">
        <v>0.20430795371840818</v>
      </c>
      <c r="E1034" s="302">
        <f t="shared" si="441"/>
        <v>0.81411579441230508</v>
      </c>
      <c r="F1034" s="303"/>
      <c r="G1034" s="302">
        <v>0.25308068742959827</v>
      </c>
      <c r="H1034" s="302">
        <v>0.15417294404414378</v>
      </c>
      <c r="I1034" s="302">
        <v>9.675123582541717E-2</v>
      </c>
      <c r="J1034" s="302">
        <f t="shared" ref="J1034:J1037" si="444">SUM(G1034:I1034)</f>
        <v>0.50400486729915928</v>
      </c>
      <c r="K1034" s="303"/>
      <c r="L1034" s="302">
        <v>0.26939384936642286</v>
      </c>
      <c r="M1034" s="302">
        <v>0.15291704884522017</v>
      </c>
      <c r="N1034" s="302">
        <v>0.10408629162967234</v>
      </c>
      <c r="O1034" s="302">
        <f t="shared" si="443"/>
        <v>0.52639718984131534</v>
      </c>
    </row>
    <row r="1035" spans="1:15" s="236" customFormat="1" x14ac:dyDescent="0.2">
      <c r="A1035" s="237" t="str">
        <f>name!E$10</f>
        <v>Sales and customer service occupations</v>
      </c>
      <c r="B1035" s="302">
        <v>0.15739875991729849</v>
      </c>
      <c r="C1035" s="302">
        <v>8.3109990629426478E-2</v>
      </c>
      <c r="D1035" s="302">
        <v>1.3275854968240878E-2</v>
      </c>
      <c r="E1035" s="302">
        <f t="shared" si="441"/>
        <v>0.25378460551496584</v>
      </c>
      <c r="F1035" s="303"/>
      <c r="G1035" s="302">
        <v>0.12127011983276469</v>
      </c>
      <c r="H1035" s="302">
        <v>5.5250028726322828E-2</v>
      </c>
      <c r="I1035" s="302">
        <v>5.6195268643829234E-3</v>
      </c>
      <c r="J1035" s="302">
        <f t="shared" si="444"/>
        <v>0.18213967542347043</v>
      </c>
      <c r="K1035" s="303"/>
      <c r="L1035" s="302">
        <v>0.14594973919570922</v>
      </c>
      <c r="M1035" s="302">
        <v>7.1605736350277893E-2</v>
      </c>
      <c r="N1035" s="302">
        <v>5.5456312265452726E-3</v>
      </c>
      <c r="O1035" s="302">
        <f t="shared" si="443"/>
        <v>0.22310110677253239</v>
      </c>
    </row>
    <row r="1036" spans="1:15" s="236" customFormat="1" x14ac:dyDescent="0.2">
      <c r="A1036" s="237" t="str">
        <f>name!E$11</f>
        <v>Process, plant and machine operatives</v>
      </c>
      <c r="B1036" s="302">
        <v>0.34331164768107197</v>
      </c>
      <c r="C1036" s="302">
        <v>0.19430867824156026</v>
      </c>
      <c r="D1036" s="302">
        <v>6.9001817516143931E-3</v>
      </c>
      <c r="E1036" s="302">
        <f t="shared" si="441"/>
        <v>0.54452050767424665</v>
      </c>
      <c r="F1036" s="303"/>
      <c r="G1036" s="302">
        <v>0.26610838407304577</v>
      </c>
      <c r="H1036" s="302">
        <v>0.1335743161752066</v>
      </c>
      <c r="I1036" s="302">
        <v>9.3968071150272118E-3</v>
      </c>
      <c r="J1036" s="302">
        <f t="shared" si="444"/>
        <v>0.40907950736327958</v>
      </c>
      <c r="K1036" s="303"/>
      <c r="L1036" s="302">
        <v>0.29793290074579998</v>
      </c>
      <c r="M1036" s="302">
        <v>0.15736317851511211</v>
      </c>
      <c r="N1036" s="302">
        <v>7.7038125812459177E-3</v>
      </c>
      <c r="O1036" s="302">
        <f t="shared" si="443"/>
        <v>0.46299989184215801</v>
      </c>
    </row>
    <row r="1037" spans="1:15" s="236" customFormat="1" x14ac:dyDescent="0.2">
      <c r="A1037" s="237" t="str">
        <f>name!E$12</f>
        <v>Elementary occupations</v>
      </c>
      <c r="B1037" s="302">
        <v>0.42482896069115644</v>
      </c>
      <c r="C1037" s="302">
        <v>0.19145836576602024</v>
      </c>
      <c r="D1037" s="302">
        <v>4.2356966225266428E-3</v>
      </c>
      <c r="E1037" s="302">
        <f t="shared" si="441"/>
        <v>0.62052302307970331</v>
      </c>
      <c r="F1037" s="303"/>
      <c r="G1037" s="302">
        <v>0.29227951392528917</v>
      </c>
      <c r="H1037" s="302">
        <v>0.10848797074036486</v>
      </c>
      <c r="I1037" s="302">
        <v>3.0867276439622204E-3</v>
      </c>
      <c r="J1037" s="302">
        <f t="shared" si="444"/>
        <v>0.40385421230961627</v>
      </c>
      <c r="K1037" s="303"/>
      <c r="L1037" s="302">
        <v>0.26150924786913632</v>
      </c>
      <c r="M1037" s="302">
        <v>8.9123688107478893E-2</v>
      </c>
      <c r="N1037" s="302">
        <v>3.1441941359830676E-3</v>
      </c>
      <c r="O1037" s="302">
        <f t="shared" si="443"/>
        <v>0.35377713011259826</v>
      </c>
    </row>
    <row r="1038" spans="1:15" s="236" customFormat="1" x14ac:dyDescent="0.2">
      <c r="A1038" s="237"/>
      <c r="B1038" s="302"/>
      <c r="C1038" s="302"/>
      <c r="D1038" s="302"/>
      <c r="E1038" s="302"/>
      <c r="F1038" s="303"/>
      <c r="G1038" s="302"/>
      <c r="H1038" s="302"/>
      <c r="I1038" s="302"/>
      <c r="J1038" s="302"/>
      <c r="K1038" s="303"/>
      <c r="L1038" s="302"/>
      <c r="M1038" s="302"/>
      <c r="N1038" s="302"/>
      <c r="O1038" s="302"/>
    </row>
    <row r="1039" spans="1:15" s="236" customFormat="1" x14ac:dyDescent="0.2">
      <c r="A1039" s="244" t="s">
        <v>32</v>
      </c>
      <c r="B1039" s="311">
        <f>SUM(B1029:B1037)</f>
        <v>1.9320000000012958</v>
      </c>
      <c r="C1039" s="311">
        <f t="shared" ref="C1039:E1039" si="445">SUM(C1029:C1037)</f>
        <v>0.90100000001366309</v>
      </c>
      <c r="D1039" s="311">
        <f t="shared" si="445"/>
        <v>0.28400000000630748</v>
      </c>
      <c r="E1039" s="311">
        <f t="shared" si="445"/>
        <v>3.1170000000212661</v>
      </c>
      <c r="F1039" s="311"/>
      <c r="G1039" s="311">
        <f t="shared" ref="G1039:J1039" si="446">SUM(G1029:G1037)</f>
        <v>1.5329999999900372</v>
      </c>
      <c r="H1039" s="311">
        <f t="shared" si="446"/>
        <v>0.60700000000167742</v>
      </c>
      <c r="I1039" s="311">
        <f t="shared" si="446"/>
        <v>0.15899999999753475</v>
      </c>
      <c r="J1039" s="311">
        <f t="shared" si="446"/>
        <v>2.298999999989249</v>
      </c>
      <c r="K1039" s="311"/>
      <c r="L1039" s="311">
        <f t="shared" ref="L1039:O1039" si="447">SUM(L1029:L1037)</f>
        <v>1.6539999999885511</v>
      </c>
      <c r="M1039" s="311">
        <f t="shared" si="447"/>
        <v>0.62699999999916312</v>
      </c>
      <c r="N1039" s="311">
        <f t="shared" si="447"/>
        <v>0.16800000000122003</v>
      </c>
      <c r="O1039" s="311">
        <f t="shared" si="447"/>
        <v>2.448999999988934</v>
      </c>
    </row>
    <row r="1040" spans="1:15" s="236" customFormat="1" x14ac:dyDescent="0.2">
      <c r="A1040" s="237"/>
      <c r="B1040" s="237"/>
      <c r="C1040" s="237"/>
      <c r="D1040" s="237"/>
      <c r="E1040" s="237"/>
      <c r="F1040" s="237"/>
      <c r="G1040" s="237"/>
      <c r="H1040" s="237"/>
      <c r="I1040" s="237"/>
      <c r="J1040" s="237"/>
      <c r="K1040" s="237"/>
      <c r="L1040" s="237"/>
      <c r="M1040" s="237"/>
      <c r="N1040" s="240"/>
    </row>
    <row r="1041" spans="1:15" s="236" customFormat="1" x14ac:dyDescent="0.2">
      <c r="A1041" s="237"/>
      <c r="B1041" s="237"/>
      <c r="C1041" s="237"/>
      <c r="D1041" s="237"/>
      <c r="E1041" s="237"/>
      <c r="F1041" s="237"/>
      <c r="G1041" s="237"/>
      <c r="H1041" s="237"/>
      <c r="I1041" s="237"/>
      <c r="J1041" s="237"/>
      <c r="K1041" s="237"/>
      <c r="L1041" s="237"/>
      <c r="M1041" s="237"/>
      <c r="N1041" s="240"/>
      <c r="O1041" s="251" t="s">
        <v>35</v>
      </c>
    </row>
    <row r="1042" spans="1:15" s="236" customFormat="1" x14ac:dyDescent="0.2">
      <c r="A1042" s="242"/>
      <c r="B1042" s="242"/>
      <c r="C1042" s="242"/>
      <c r="D1042" s="242"/>
      <c r="E1042" s="242"/>
      <c r="F1042" s="242"/>
      <c r="G1042" s="242"/>
      <c r="H1042" s="242"/>
      <c r="I1042" s="242"/>
      <c r="J1042" s="242"/>
      <c r="K1042" s="242"/>
      <c r="L1042" s="242"/>
      <c r="M1042" s="242"/>
      <c r="N1042" s="242"/>
      <c r="O1042" s="242"/>
    </row>
    <row r="1043" spans="1:15" s="236" customFormat="1" x14ac:dyDescent="0.2">
      <c r="A1043" s="241" t="str">
        <f>name!A64</f>
        <v>Security, etc</v>
      </c>
      <c r="B1043" s="374">
        <f>$B$6</f>
        <v>2015</v>
      </c>
      <c r="C1043" s="374"/>
      <c r="D1043" s="374"/>
      <c r="E1043" s="374"/>
      <c r="F1043" s="263"/>
      <c r="G1043" s="374">
        <f>$G$6</f>
        <v>2020</v>
      </c>
      <c r="H1043" s="374"/>
      <c r="I1043" s="374"/>
      <c r="J1043" s="374"/>
      <c r="K1043" s="263"/>
      <c r="L1043" s="374">
        <f>$L$6</f>
        <v>2035</v>
      </c>
      <c r="M1043" s="374"/>
      <c r="N1043" s="374"/>
      <c r="O1043" s="374"/>
    </row>
    <row r="1044" spans="1:15" s="236" customFormat="1" x14ac:dyDescent="0.2">
      <c r="A1044" s="254"/>
      <c r="B1044" s="268" t="str">
        <f>$B$7</f>
        <v>FT</v>
      </c>
      <c r="C1044" s="268" t="str">
        <f>$C$7</f>
        <v>PT</v>
      </c>
      <c r="D1044" s="268" t="str">
        <f>$D$7</f>
        <v>SE</v>
      </c>
      <c r="E1044" s="268" t="str">
        <f>$E$7</f>
        <v>Total</v>
      </c>
      <c r="F1044" s="268"/>
      <c r="G1044" s="268" t="str">
        <f>$G$7</f>
        <v>FT</v>
      </c>
      <c r="H1044" s="268" t="str">
        <f>$H$7</f>
        <v>PT</v>
      </c>
      <c r="I1044" s="268" t="str">
        <f>$I$7</f>
        <v>SE</v>
      </c>
      <c r="J1044" s="268" t="str">
        <f>$J$7</f>
        <v>Total</v>
      </c>
      <c r="K1044" s="268"/>
      <c r="L1044" s="268" t="str">
        <f>$L$7</f>
        <v>FT</v>
      </c>
      <c r="M1044" s="268" t="str">
        <f>$M$7</f>
        <v>PT</v>
      </c>
      <c r="N1044" s="268" t="str">
        <f>$N$7</f>
        <v>SE</v>
      </c>
      <c r="O1044" s="268" t="str">
        <f>$O$7</f>
        <v>Total</v>
      </c>
    </row>
    <row r="1045" spans="1:15" s="236" customFormat="1" x14ac:dyDescent="0.2">
      <c r="A1045" s="258"/>
      <c r="B1045" s="239"/>
      <c r="C1045" s="239"/>
      <c r="D1045" s="239"/>
      <c r="E1045" s="239"/>
      <c r="F1045" s="239"/>
      <c r="G1045" s="239"/>
      <c r="H1045" s="239"/>
      <c r="I1045" s="239"/>
      <c r="J1045" s="239"/>
      <c r="K1045" s="239"/>
      <c r="L1045" s="239"/>
      <c r="M1045" s="239"/>
      <c r="N1045" s="239"/>
      <c r="O1045" s="239"/>
    </row>
    <row r="1046" spans="1:15" s="236" customFormat="1" x14ac:dyDescent="0.2">
      <c r="A1046" s="237" t="str">
        <f>name!E$4</f>
        <v>Managers, directors and senior officials</v>
      </c>
      <c r="B1046" s="302">
        <v>0.13454777859192638</v>
      </c>
      <c r="C1046" s="302">
        <v>2.7254984304296907E-2</v>
      </c>
      <c r="D1046" s="302">
        <v>3.8573502254933639E-2</v>
      </c>
      <c r="E1046" s="302">
        <f>SUM(B1046:D1046)</f>
        <v>0.20037626515115692</v>
      </c>
      <c r="F1046" s="303"/>
      <c r="G1046" s="302">
        <v>0.21327715965474595</v>
      </c>
      <c r="H1046" s="302">
        <v>8.9264174323597442E-2</v>
      </c>
      <c r="I1046" s="302">
        <v>0.11098578271810886</v>
      </c>
      <c r="J1046" s="302">
        <f>SUM(G1046:I1046)</f>
        <v>0.41352711669645226</v>
      </c>
      <c r="K1046" s="303"/>
      <c r="L1046" s="302">
        <v>0.2184363897092538</v>
      </c>
      <c r="M1046" s="302">
        <v>9.2667329086317501E-2</v>
      </c>
      <c r="N1046" s="302">
        <v>0.12716007272721119</v>
      </c>
      <c r="O1046" s="302">
        <f>SUM(L1046:N1046)</f>
        <v>0.4382637915227825</v>
      </c>
    </row>
    <row r="1047" spans="1:15" s="236" customFormat="1" x14ac:dyDescent="0.2">
      <c r="A1047" s="237" t="str">
        <f>name!E$5</f>
        <v>Professional occupations</v>
      </c>
      <c r="B1047" s="302">
        <v>0.19441332674281683</v>
      </c>
      <c r="C1047" s="302">
        <v>4.5871405754380264E-2</v>
      </c>
      <c r="D1047" s="302">
        <v>2.2754525397201172E-2</v>
      </c>
      <c r="E1047" s="302">
        <f t="shared" ref="E1047:E1054" si="448">SUM(B1047:D1047)</f>
        <v>0.26303925789439825</v>
      </c>
      <c r="F1047" s="303"/>
      <c r="G1047" s="302">
        <v>0.34773268362913029</v>
      </c>
      <c r="H1047" s="302">
        <v>0.14200756254887958</v>
      </c>
      <c r="I1047" s="302">
        <v>6.0290406131503389E-2</v>
      </c>
      <c r="J1047" s="302">
        <f t="shared" ref="J1047:J1049" si="449">SUM(G1047:I1047)</f>
        <v>0.55003065230951331</v>
      </c>
      <c r="K1047" s="303"/>
      <c r="L1047" s="302">
        <v>0.41101419579389825</v>
      </c>
      <c r="M1047" s="302">
        <v>0.16711260042209719</v>
      </c>
      <c r="N1047" s="302">
        <v>4.7494133659417175E-2</v>
      </c>
      <c r="O1047" s="302">
        <f t="shared" ref="O1047:O1054" si="450">SUM(L1047:N1047)</f>
        <v>0.62562092987541262</v>
      </c>
    </row>
    <row r="1048" spans="1:15" s="236" customFormat="1" x14ac:dyDescent="0.2">
      <c r="A1048" s="237" t="str">
        <f>name!E$6</f>
        <v>Associate professional occupations</v>
      </c>
      <c r="B1048" s="302">
        <v>0.29694689057010781</v>
      </c>
      <c r="C1048" s="302">
        <v>9.1727299477513194E-2</v>
      </c>
      <c r="D1048" s="302">
        <v>5.6889396439026664E-2</v>
      </c>
      <c r="E1048" s="302">
        <f t="shared" si="448"/>
        <v>0.44556358648664768</v>
      </c>
      <c r="F1048" s="303"/>
      <c r="G1048" s="302">
        <v>0.48012991696658402</v>
      </c>
      <c r="H1048" s="302">
        <v>0.23951585090070449</v>
      </c>
      <c r="I1048" s="302">
        <v>0.14414122168587726</v>
      </c>
      <c r="J1048" s="302">
        <f t="shared" si="449"/>
        <v>0.8637869895531658</v>
      </c>
      <c r="K1048" s="303"/>
      <c r="L1048" s="302">
        <v>0.44516361823084472</v>
      </c>
      <c r="M1048" s="302">
        <v>0.28015311470113763</v>
      </c>
      <c r="N1048" s="302">
        <v>0.12805886009809217</v>
      </c>
      <c r="O1048" s="302">
        <f t="shared" si="450"/>
        <v>0.85337559303007449</v>
      </c>
    </row>
    <row r="1049" spans="1:15" s="236" customFormat="1" x14ac:dyDescent="0.2">
      <c r="A1049" s="237" t="str">
        <f>name!E$7</f>
        <v>Administrative and secretarial occupations</v>
      </c>
      <c r="B1049" s="302">
        <v>0.64814563299293315</v>
      </c>
      <c r="C1049" s="302">
        <v>0.30356622708345005</v>
      </c>
      <c r="D1049" s="302">
        <v>1.2550757196780917E-2</v>
      </c>
      <c r="E1049" s="302">
        <f t="shared" si="448"/>
        <v>0.96426261727316409</v>
      </c>
      <c r="F1049" s="303"/>
      <c r="G1049" s="302">
        <v>0.87543934652940192</v>
      </c>
      <c r="H1049" s="302">
        <v>0.6878627786051148</v>
      </c>
      <c r="I1049" s="302">
        <v>2.1255135354460213E-2</v>
      </c>
      <c r="J1049" s="302">
        <f t="shared" si="449"/>
        <v>1.5845572604889768</v>
      </c>
      <c r="K1049" s="303"/>
      <c r="L1049" s="302">
        <v>0.87822431895089126</v>
      </c>
      <c r="M1049" s="302">
        <v>0.71408850496965237</v>
      </c>
      <c r="N1049" s="302">
        <v>2.2978535322453961E-2</v>
      </c>
      <c r="O1049" s="302">
        <f t="shared" si="450"/>
        <v>1.6152913592429974</v>
      </c>
    </row>
    <row r="1050" spans="1:15" s="236" customFormat="1" x14ac:dyDescent="0.2">
      <c r="A1050" s="237" t="str">
        <f>name!E$8</f>
        <v>Skilled trades occupations</v>
      </c>
      <c r="B1050" s="302">
        <v>8.8813819649501871E-2</v>
      </c>
      <c r="C1050" s="302">
        <v>2.7733316698523473E-2</v>
      </c>
      <c r="D1050" s="302">
        <v>5.1576101629653676E-2</v>
      </c>
      <c r="E1050" s="302">
        <f t="shared" si="448"/>
        <v>0.16812323797767903</v>
      </c>
      <c r="F1050" s="303"/>
      <c r="G1050" s="302">
        <v>0.10123528032798924</v>
      </c>
      <c r="H1050" s="302">
        <v>4.2370795269850089E-2</v>
      </c>
      <c r="I1050" s="302">
        <v>0.11572228566696105</v>
      </c>
      <c r="J1050" s="302">
        <f>SUM(G1050:I1050)</f>
        <v>0.25932836126480041</v>
      </c>
      <c r="K1050" s="303"/>
      <c r="L1050" s="302">
        <v>7.9544771615472548E-2</v>
      </c>
      <c r="M1050" s="302">
        <v>5.0397040618840261E-2</v>
      </c>
      <c r="N1050" s="302">
        <v>9.1658830645201639E-2</v>
      </c>
      <c r="O1050" s="302">
        <f t="shared" si="450"/>
        <v>0.22160064287951445</v>
      </c>
    </row>
    <row r="1051" spans="1:15" s="236" customFormat="1" x14ac:dyDescent="0.2">
      <c r="A1051" s="237" t="str">
        <f>name!E$9</f>
        <v>Caring, leisure and other service occupations</v>
      </c>
      <c r="B1051" s="302">
        <v>0.16225561958614171</v>
      </c>
      <c r="C1051" s="302">
        <v>0.13473318998467196</v>
      </c>
      <c r="D1051" s="302">
        <v>2.6623954956141525E-2</v>
      </c>
      <c r="E1051" s="302">
        <f t="shared" si="448"/>
        <v>0.32361276452695514</v>
      </c>
      <c r="F1051" s="303"/>
      <c r="G1051" s="302">
        <v>0.22151769488909909</v>
      </c>
      <c r="H1051" s="302">
        <v>0.30476352219568698</v>
      </c>
      <c r="I1051" s="302">
        <v>6.894045196192862E-2</v>
      </c>
      <c r="J1051" s="302">
        <f t="shared" ref="J1051:J1054" si="451">SUM(G1051:I1051)</f>
        <v>0.5952216690467147</v>
      </c>
      <c r="K1051" s="303"/>
      <c r="L1051" s="302">
        <v>0.2531048814279161</v>
      </c>
      <c r="M1051" s="302">
        <v>0.33145339187906986</v>
      </c>
      <c r="N1051" s="302">
        <v>8.6684695493099734E-2</v>
      </c>
      <c r="O1051" s="302">
        <f t="shared" si="450"/>
        <v>0.67124296880008572</v>
      </c>
    </row>
    <row r="1052" spans="1:15" s="236" customFormat="1" x14ac:dyDescent="0.2">
      <c r="A1052" s="237" t="str">
        <f>name!E$10</f>
        <v>Sales and customer service occupations</v>
      </c>
      <c r="B1052" s="302">
        <v>0.36820682075384326</v>
      </c>
      <c r="C1052" s="302">
        <v>0.17679635960486034</v>
      </c>
      <c r="D1052" s="302">
        <v>1.3153828549140833E-2</v>
      </c>
      <c r="E1052" s="302">
        <f t="shared" si="448"/>
        <v>0.55815700890784448</v>
      </c>
      <c r="F1052" s="303"/>
      <c r="G1052" s="302">
        <v>0.51081887049399666</v>
      </c>
      <c r="H1052" s="302">
        <v>0.41152740120941722</v>
      </c>
      <c r="I1052" s="302">
        <v>2.9055766098513729E-2</v>
      </c>
      <c r="J1052" s="302">
        <f t="shared" si="451"/>
        <v>0.95140203780192756</v>
      </c>
      <c r="K1052" s="303"/>
      <c r="L1052" s="302">
        <v>0.65722990442178686</v>
      </c>
      <c r="M1052" s="302">
        <v>0.60766349579616696</v>
      </c>
      <c r="N1052" s="302">
        <v>2.3638026244577112E-2</v>
      </c>
      <c r="O1052" s="302">
        <f t="shared" si="450"/>
        <v>1.2885314264625307</v>
      </c>
    </row>
    <row r="1053" spans="1:15" s="236" customFormat="1" x14ac:dyDescent="0.2">
      <c r="A1053" s="237" t="str">
        <f>name!E$11</f>
        <v>Process, plant and machine operatives</v>
      </c>
      <c r="B1053" s="302">
        <v>0.17555518454508784</v>
      </c>
      <c r="C1053" s="302">
        <v>6.5707182431410244E-2</v>
      </c>
      <c r="D1053" s="302">
        <v>9.9671188039980232E-3</v>
      </c>
      <c r="E1053" s="302">
        <f t="shared" si="448"/>
        <v>0.25122948578049609</v>
      </c>
      <c r="F1053" s="303"/>
      <c r="G1053" s="302">
        <v>0.20572069290595421</v>
      </c>
      <c r="H1053" s="302">
        <v>0.14969716638080841</v>
      </c>
      <c r="I1053" s="302">
        <v>2.9616002004111967E-2</v>
      </c>
      <c r="J1053" s="302">
        <f t="shared" si="451"/>
        <v>0.38503386129087458</v>
      </c>
      <c r="K1053" s="303"/>
      <c r="L1053" s="302">
        <v>0.19577292761520521</v>
      </c>
      <c r="M1053" s="302">
        <v>0.185007897099049</v>
      </c>
      <c r="N1053" s="302">
        <v>2.8834065677921458E-2</v>
      </c>
      <c r="O1053" s="302">
        <f t="shared" si="450"/>
        <v>0.40961489039217569</v>
      </c>
    </row>
    <row r="1054" spans="1:15" s="236" customFormat="1" x14ac:dyDescent="0.2">
      <c r="A1054" s="237" t="str">
        <f>name!E$12</f>
        <v>Elementary occupations</v>
      </c>
      <c r="B1054" s="302">
        <v>1.3661149265769121</v>
      </c>
      <c r="C1054" s="302">
        <v>0.91961003468760405</v>
      </c>
      <c r="D1054" s="302">
        <v>0.1269108147775016</v>
      </c>
      <c r="E1054" s="302">
        <f t="shared" si="448"/>
        <v>2.4126357760420176</v>
      </c>
      <c r="F1054" s="303"/>
      <c r="G1054" s="302">
        <v>1.713128354583753</v>
      </c>
      <c r="H1054" s="302">
        <v>1.6729907485658313</v>
      </c>
      <c r="I1054" s="302">
        <v>0.26999294838165644</v>
      </c>
      <c r="J1054" s="302">
        <f t="shared" si="451"/>
        <v>3.6561120515312409</v>
      </c>
      <c r="K1054" s="303"/>
      <c r="L1054" s="302">
        <v>1.8845089921993883</v>
      </c>
      <c r="M1054" s="302">
        <v>1.408456625420895</v>
      </c>
      <c r="N1054" s="302">
        <v>0.33349278013777617</v>
      </c>
      <c r="O1054" s="302">
        <f t="shared" si="450"/>
        <v>3.6264583977580598</v>
      </c>
    </row>
    <row r="1055" spans="1:15" s="236" customFormat="1" x14ac:dyDescent="0.2">
      <c r="A1055" s="237"/>
      <c r="B1055" s="302"/>
      <c r="C1055" s="302"/>
      <c r="D1055" s="302"/>
      <c r="E1055" s="302"/>
      <c r="F1055" s="303"/>
      <c r="G1055" s="302"/>
      <c r="H1055" s="302"/>
      <c r="I1055" s="302"/>
      <c r="J1055" s="302"/>
      <c r="K1055" s="303"/>
      <c r="L1055" s="302"/>
      <c r="M1055" s="302"/>
      <c r="N1055" s="302"/>
      <c r="O1055" s="302"/>
    </row>
    <row r="1056" spans="1:15" s="236" customFormat="1" x14ac:dyDescent="0.2">
      <c r="A1056" s="244" t="s">
        <v>32</v>
      </c>
      <c r="B1056" s="311">
        <f>SUM(B1046:B1054)</f>
        <v>3.4350000000092709</v>
      </c>
      <c r="C1056" s="311">
        <f t="shared" ref="C1056:E1056" si="452">SUM(C1046:C1054)</f>
        <v>1.7930000000267106</v>
      </c>
      <c r="D1056" s="311">
        <f t="shared" si="452"/>
        <v>0.35900000000437804</v>
      </c>
      <c r="E1056" s="311">
        <f t="shared" si="452"/>
        <v>5.5870000000403603</v>
      </c>
      <c r="F1056" s="311"/>
      <c r="G1056" s="311">
        <f t="shared" ref="G1056:J1056" si="453">SUM(G1046:G1054)</f>
        <v>4.6689999999806542</v>
      </c>
      <c r="H1056" s="311">
        <f t="shared" si="453"/>
        <v>3.7399999999998901</v>
      </c>
      <c r="I1056" s="311">
        <f t="shared" si="453"/>
        <v>0.85000000000312148</v>
      </c>
      <c r="J1056" s="311">
        <f t="shared" si="453"/>
        <v>9.258999999983665</v>
      </c>
      <c r="K1056" s="311"/>
      <c r="L1056" s="311">
        <f t="shared" ref="L1056:O1056" si="454">SUM(L1046:L1054)</f>
        <v>5.0229999999646573</v>
      </c>
      <c r="M1056" s="311">
        <f t="shared" si="454"/>
        <v>3.8369999999932256</v>
      </c>
      <c r="N1056" s="311">
        <f t="shared" si="454"/>
        <v>0.89000000000575064</v>
      </c>
      <c r="O1056" s="311">
        <f t="shared" si="454"/>
        <v>9.7499999999636344</v>
      </c>
    </row>
    <row r="1057" spans="1:15" s="236" customFormat="1" x14ac:dyDescent="0.2">
      <c r="A1057" s="237"/>
      <c r="B1057" s="237"/>
      <c r="C1057" s="237"/>
      <c r="D1057" s="237"/>
      <c r="E1057" s="237"/>
      <c r="F1057" s="237"/>
      <c r="G1057" s="237"/>
      <c r="H1057" s="237"/>
      <c r="I1057" s="237"/>
      <c r="J1057" s="237"/>
      <c r="K1057" s="237"/>
      <c r="L1057" s="237"/>
      <c r="M1057" s="237"/>
      <c r="N1057" s="240"/>
    </row>
    <row r="1058" spans="1:15" s="236" customFormat="1" x14ac:dyDescent="0.2">
      <c r="A1058" s="237"/>
      <c r="B1058" s="237"/>
      <c r="C1058" s="237"/>
      <c r="D1058" s="237"/>
      <c r="E1058" s="237"/>
      <c r="F1058" s="237"/>
      <c r="G1058" s="237"/>
      <c r="H1058" s="237"/>
      <c r="I1058" s="237"/>
      <c r="J1058" s="237"/>
      <c r="K1058" s="237"/>
      <c r="L1058" s="237"/>
      <c r="M1058" s="237"/>
      <c r="N1058" s="240"/>
      <c r="O1058" s="251" t="s">
        <v>35</v>
      </c>
    </row>
    <row r="1059" spans="1:15" s="236" customFormat="1" x14ac:dyDescent="0.2">
      <c r="A1059" s="242"/>
      <c r="B1059" s="242"/>
      <c r="C1059" s="242"/>
      <c r="D1059" s="242"/>
      <c r="E1059" s="242"/>
      <c r="F1059" s="242"/>
      <c r="G1059" s="242"/>
      <c r="H1059" s="242"/>
      <c r="I1059" s="242"/>
      <c r="J1059" s="242"/>
      <c r="K1059" s="242"/>
      <c r="L1059" s="242"/>
      <c r="M1059" s="242"/>
      <c r="N1059" s="242"/>
      <c r="O1059" s="242"/>
    </row>
    <row r="1060" spans="1:15" s="236" customFormat="1" x14ac:dyDescent="0.2">
      <c r="A1060" s="241" t="str">
        <f>name!A65</f>
        <v>Services to buildings</v>
      </c>
      <c r="B1060" s="374">
        <f>$B$6</f>
        <v>2015</v>
      </c>
      <c r="C1060" s="374"/>
      <c r="D1060" s="374"/>
      <c r="E1060" s="374"/>
      <c r="F1060" s="263"/>
      <c r="G1060" s="374">
        <f>$G$6</f>
        <v>2020</v>
      </c>
      <c r="H1060" s="374"/>
      <c r="I1060" s="374"/>
      <c r="J1060" s="374"/>
      <c r="K1060" s="263"/>
      <c r="L1060" s="374">
        <f>$L$6</f>
        <v>2035</v>
      </c>
      <c r="M1060" s="374"/>
      <c r="N1060" s="374"/>
      <c r="O1060" s="374"/>
    </row>
    <row r="1061" spans="1:15" s="236" customFormat="1" x14ac:dyDescent="0.2">
      <c r="A1061" s="254"/>
      <c r="B1061" s="268" t="str">
        <f>$B$7</f>
        <v>FT</v>
      </c>
      <c r="C1061" s="268" t="str">
        <f>$C$7</f>
        <v>PT</v>
      </c>
      <c r="D1061" s="268" t="str">
        <f>$D$7</f>
        <v>SE</v>
      </c>
      <c r="E1061" s="268" t="str">
        <f>$E$7</f>
        <v>Total</v>
      </c>
      <c r="F1061" s="268"/>
      <c r="G1061" s="268" t="str">
        <f>$G$7</f>
        <v>FT</v>
      </c>
      <c r="H1061" s="268" t="str">
        <f>$H$7</f>
        <v>PT</v>
      </c>
      <c r="I1061" s="268" t="str">
        <f>$I$7</f>
        <v>SE</v>
      </c>
      <c r="J1061" s="268" t="str">
        <f>$J$7</f>
        <v>Total</v>
      </c>
      <c r="K1061" s="268"/>
      <c r="L1061" s="268" t="str">
        <f>$L$7</f>
        <v>FT</v>
      </c>
      <c r="M1061" s="268" t="str">
        <f>$M$7</f>
        <v>PT</v>
      </c>
      <c r="N1061" s="268" t="str">
        <f>$N$7</f>
        <v>SE</v>
      </c>
      <c r="O1061" s="268" t="str">
        <f>$O$7</f>
        <v>Total</v>
      </c>
    </row>
    <row r="1062" spans="1:15" s="236" customFormat="1" x14ac:dyDescent="0.2">
      <c r="A1062" s="258"/>
      <c r="B1062" s="239"/>
      <c r="C1062" s="239"/>
      <c r="D1062" s="239"/>
      <c r="E1062" s="239"/>
      <c r="F1062" s="239"/>
      <c r="G1062" s="239"/>
      <c r="H1062" s="239"/>
      <c r="I1062" s="239"/>
      <c r="J1062" s="239"/>
      <c r="K1062" s="239"/>
      <c r="L1062" s="239"/>
      <c r="M1062" s="239"/>
      <c r="N1062" s="239"/>
      <c r="O1062" s="239"/>
    </row>
    <row r="1063" spans="1:15" s="236" customFormat="1" x14ac:dyDescent="0.2">
      <c r="A1063" s="237" t="str">
        <f>name!E$4</f>
        <v>Managers, directors and senior officials</v>
      </c>
      <c r="B1063" s="302">
        <v>0.64574521004145546</v>
      </c>
      <c r="C1063" s="302">
        <v>0.28489933112215715</v>
      </c>
      <c r="D1063" s="302">
        <v>0.41914329829128061</v>
      </c>
      <c r="E1063" s="302">
        <f>SUM(B1063:D1063)</f>
        <v>1.3497878394548932</v>
      </c>
      <c r="F1063" s="303"/>
      <c r="G1063" s="302">
        <v>0.78795066434526584</v>
      </c>
      <c r="H1063" s="302">
        <v>0.36858342820673429</v>
      </c>
      <c r="I1063" s="302">
        <v>0.41455229243104491</v>
      </c>
      <c r="J1063" s="302">
        <f>SUM(G1063:I1063)</f>
        <v>1.571086384983045</v>
      </c>
      <c r="K1063" s="303"/>
      <c r="L1063" s="302">
        <v>0.89726179383911153</v>
      </c>
      <c r="M1063" s="302">
        <v>0.43202620856881968</v>
      </c>
      <c r="N1063" s="302">
        <v>0.51481868690019772</v>
      </c>
      <c r="O1063" s="302">
        <f>SUM(L1063:N1063)</f>
        <v>1.8441066893081288</v>
      </c>
    </row>
    <row r="1064" spans="1:15" s="236" customFormat="1" x14ac:dyDescent="0.2">
      <c r="A1064" s="237" t="str">
        <f>name!E$5</f>
        <v>Professional occupations</v>
      </c>
      <c r="B1064" s="302">
        <v>1.2546381175693377</v>
      </c>
      <c r="C1064" s="302">
        <v>0.77220387120568224</v>
      </c>
      <c r="D1064" s="302">
        <v>0.13383676883053591</v>
      </c>
      <c r="E1064" s="302">
        <f t="shared" ref="E1064:E1071" si="455">SUM(B1064:D1064)</f>
        <v>2.1606787576055559</v>
      </c>
      <c r="F1064" s="303"/>
      <c r="G1064" s="302">
        <v>1.6036677134270167</v>
      </c>
      <c r="H1064" s="302">
        <v>0.79693968774229551</v>
      </c>
      <c r="I1064" s="302">
        <v>0.13450327505591783</v>
      </c>
      <c r="J1064" s="302">
        <f t="shared" ref="J1064:J1066" si="456">SUM(G1064:I1064)</f>
        <v>2.53511067622523</v>
      </c>
      <c r="K1064" s="303"/>
      <c r="L1064" s="302">
        <v>1.9587881926104087</v>
      </c>
      <c r="M1064" s="302">
        <v>0.87659808388951932</v>
      </c>
      <c r="N1064" s="302">
        <v>0.10559572883930433</v>
      </c>
      <c r="O1064" s="302">
        <f t="shared" ref="O1064:O1071" si="457">SUM(L1064:N1064)</f>
        <v>2.9409820053392322</v>
      </c>
    </row>
    <row r="1065" spans="1:15" s="236" customFormat="1" x14ac:dyDescent="0.2">
      <c r="A1065" s="237" t="str">
        <f>name!E$6</f>
        <v>Associate professional occupations</v>
      </c>
      <c r="B1065" s="302">
        <v>1.2382610470887254</v>
      </c>
      <c r="C1065" s="302">
        <v>1.0176028510206334</v>
      </c>
      <c r="D1065" s="302">
        <v>0.25517026426025102</v>
      </c>
      <c r="E1065" s="302">
        <f t="shared" si="455"/>
        <v>2.5110341623696102</v>
      </c>
      <c r="F1065" s="303"/>
      <c r="G1065" s="302">
        <v>1.4984384877298358</v>
      </c>
      <c r="H1065" s="302">
        <v>0.97315940430885872</v>
      </c>
      <c r="I1065" s="302">
        <v>0.2152633890473819</v>
      </c>
      <c r="J1065" s="302">
        <f t="shared" si="456"/>
        <v>2.6868612810860766</v>
      </c>
      <c r="K1065" s="303"/>
      <c r="L1065" s="302">
        <v>1.5048444835423729</v>
      </c>
      <c r="M1065" s="302">
        <v>1.0446249973829052</v>
      </c>
      <c r="N1065" s="302">
        <v>0.17416217868663092</v>
      </c>
      <c r="O1065" s="302">
        <f t="shared" si="457"/>
        <v>2.7236316596119088</v>
      </c>
    </row>
    <row r="1066" spans="1:15" s="236" customFormat="1" x14ac:dyDescent="0.2">
      <c r="A1066" s="237" t="str">
        <f>name!E$7</f>
        <v>Administrative and secretarial occupations</v>
      </c>
      <c r="B1066" s="302">
        <v>2.8067509419208254</v>
      </c>
      <c r="C1066" s="302">
        <v>3.5063046760074887</v>
      </c>
      <c r="D1066" s="302">
        <v>0.18030569999666762</v>
      </c>
      <c r="E1066" s="302">
        <f t="shared" si="455"/>
        <v>6.4933613179249816</v>
      </c>
      <c r="F1066" s="303"/>
      <c r="G1066" s="302">
        <v>2.7610621098437171</v>
      </c>
      <c r="H1066" s="302">
        <v>3.0092318652069294</v>
      </c>
      <c r="I1066" s="302">
        <v>0.11297583002832205</v>
      </c>
      <c r="J1066" s="302">
        <f t="shared" si="456"/>
        <v>5.8832698050789691</v>
      </c>
      <c r="K1066" s="303"/>
      <c r="L1066" s="302">
        <v>2.7246321947106291</v>
      </c>
      <c r="M1066" s="302">
        <v>3.31409027262408</v>
      </c>
      <c r="N1066" s="302">
        <v>0.11838091699328444</v>
      </c>
      <c r="O1066" s="302">
        <f t="shared" si="457"/>
        <v>6.1571033843279936</v>
      </c>
    </row>
    <row r="1067" spans="1:15" s="236" customFormat="1" x14ac:dyDescent="0.2">
      <c r="A1067" s="237" t="str">
        <f>name!E$8</f>
        <v>Skilled trades occupations</v>
      </c>
      <c r="B1067" s="302">
        <v>0.35273327182339925</v>
      </c>
      <c r="C1067" s="302">
        <v>0.16478379669577176</v>
      </c>
      <c r="D1067" s="302">
        <v>0.22133104958847286</v>
      </c>
      <c r="E1067" s="302">
        <f t="shared" si="455"/>
        <v>0.73884811810764384</v>
      </c>
      <c r="F1067" s="303"/>
      <c r="G1067" s="302">
        <v>0.32488976880072584</v>
      </c>
      <c r="H1067" s="302">
        <v>0.10973213984878191</v>
      </c>
      <c r="I1067" s="302">
        <v>0.24567379683447257</v>
      </c>
      <c r="J1067" s="302">
        <f>SUM(G1067:I1067)</f>
        <v>0.68029570548398033</v>
      </c>
      <c r="K1067" s="303"/>
      <c r="L1067" s="302">
        <v>0.312641466760683</v>
      </c>
      <c r="M1067" s="302">
        <v>0.14339768068585004</v>
      </c>
      <c r="N1067" s="302">
        <v>0.30691092026974431</v>
      </c>
      <c r="O1067" s="302">
        <f t="shared" si="457"/>
        <v>0.76295006771627738</v>
      </c>
    </row>
    <row r="1068" spans="1:15" s="236" customFormat="1" x14ac:dyDescent="0.2">
      <c r="A1068" s="237" t="str">
        <f>name!E$9</f>
        <v>Caring, leisure and other service occupations</v>
      </c>
      <c r="B1068" s="302">
        <v>0.88244714759800069</v>
      </c>
      <c r="C1068" s="302">
        <v>1.3884661214469023</v>
      </c>
      <c r="D1068" s="302">
        <v>0.14376528329664789</v>
      </c>
      <c r="E1068" s="302">
        <f t="shared" si="455"/>
        <v>2.414678552341551</v>
      </c>
      <c r="F1068" s="303"/>
      <c r="G1068" s="302">
        <v>0.85379071901883474</v>
      </c>
      <c r="H1068" s="302">
        <v>1.0637264562043796</v>
      </c>
      <c r="I1068" s="302">
        <v>0.12228446005134887</v>
      </c>
      <c r="J1068" s="302">
        <f t="shared" ref="J1068:J1071" si="458">SUM(G1068:I1068)</f>
        <v>2.0398016352745634</v>
      </c>
      <c r="K1068" s="303"/>
      <c r="L1068" s="302">
        <v>0.9108992155854454</v>
      </c>
      <c r="M1068" s="302">
        <v>0.99078211547483397</v>
      </c>
      <c r="N1068" s="302">
        <v>0.11361381770581602</v>
      </c>
      <c r="O1068" s="302">
        <f t="shared" si="457"/>
        <v>2.0152951487660955</v>
      </c>
    </row>
    <row r="1069" spans="1:15" s="236" customFormat="1" x14ac:dyDescent="0.2">
      <c r="A1069" s="237" t="str">
        <f>name!E$10</f>
        <v>Sales and customer service occupations</v>
      </c>
      <c r="B1069" s="302">
        <v>1.539079527246247</v>
      </c>
      <c r="C1069" s="302">
        <v>1.64069384828389</v>
      </c>
      <c r="D1069" s="302">
        <v>0.14302602256305696</v>
      </c>
      <c r="E1069" s="302">
        <f t="shared" si="455"/>
        <v>3.3227993980931938</v>
      </c>
      <c r="F1069" s="303"/>
      <c r="G1069" s="302">
        <v>1.5087682695605034</v>
      </c>
      <c r="H1069" s="302">
        <v>1.5268145450712054</v>
      </c>
      <c r="I1069" s="302">
        <v>9.1468889797097996E-2</v>
      </c>
      <c r="J1069" s="302">
        <f t="shared" si="458"/>
        <v>3.1270517044288066</v>
      </c>
      <c r="K1069" s="303"/>
      <c r="L1069" s="302">
        <v>1.8615944010921313</v>
      </c>
      <c r="M1069" s="302">
        <v>2.4213865844362461</v>
      </c>
      <c r="N1069" s="302">
        <v>7.8717837609992958E-2</v>
      </c>
      <c r="O1069" s="302">
        <f t="shared" si="457"/>
        <v>4.3616988231383704</v>
      </c>
    </row>
    <row r="1070" spans="1:15" s="236" customFormat="1" x14ac:dyDescent="0.2">
      <c r="A1070" s="237" t="str">
        <f>name!E$11</f>
        <v>Process, plant and machine operatives</v>
      </c>
      <c r="B1070" s="302">
        <v>0.46335552996334856</v>
      </c>
      <c r="C1070" s="302">
        <v>0.23841050567691913</v>
      </c>
      <c r="D1070" s="302">
        <v>2.1928195547131608E-2</v>
      </c>
      <c r="E1070" s="302">
        <f t="shared" si="455"/>
        <v>0.72369423118739939</v>
      </c>
      <c r="F1070" s="303"/>
      <c r="G1070" s="302">
        <v>0.40229209928081161</v>
      </c>
      <c r="H1070" s="302">
        <v>0.19459201985995653</v>
      </c>
      <c r="I1070" s="302">
        <v>3.187029370383275E-2</v>
      </c>
      <c r="J1070" s="302">
        <f t="shared" si="458"/>
        <v>0.62875441284460087</v>
      </c>
      <c r="K1070" s="303"/>
      <c r="L1070" s="302">
        <v>0.4024623793232171</v>
      </c>
      <c r="M1070" s="302">
        <v>0.28224116723032433</v>
      </c>
      <c r="N1070" s="302">
        <v>3.4059616017236734E-2</v>
      </c>
      <c r="O1070" s="302">
        <f t="shared" si="457"/>
        <v>0.7187631625707781</v>
      </c>
    </row>
    <row r="1071" spans="1:15" s="236" customFormat="1" x14ac:dyDescent="0.2">
      <c r="A1071" s="237" t="str">
        <f>name!E$12</f>
        <v>Elementary occupations</v>
      </c>
      <c r="B1071" s="302">
        <v>3.3149892067514779</v>
      </c>
      <c r="C1071" s="302">
        <v>4.9076349986948991</v>
      </c>
      <c r="D1071" s="302">
        <v>0.55549341765243154</v>
      </c>
      <c r="E1071" s="302">
        <f t="shared" si="455"/>
        <v>8.7781176230988081</v>
      </c>
      <c r="F1071" s="303"/>
      <c r="G1071" s="302">
        <v>2.9891401679067044</v>
      </c>
      <c r="H1071" s="302">
        <v>3.2792204535632687</v>
      </c>
      <c r="I1071" s="302">
        <v>0.33540777304144515</v>
      </c>
      <c r="J1071" s="302">
        <f t="shared" si="458"/>
        <v>6.6037683945114187</v>
      </c>
      <c r="K1071" s="303"/>
      <c r="L1071" s="302">
        <v>3.2348758724581947</v>
      </c>
      <c r="M1071" s="302">
        <v>1.9668528897197535</v>
      </c>
      <c r="N1071" s="302">
        <v>0.34374029698176706</v>
      </c>
      <c r="O1071" s="302">
        <f t="shared" si="457"/>
        <v>5.5454690591597151</v>
      </c>
    </row>
    <row r="1072" spans="1:15" s="236" customFormat="1" x14ac:dyDescent="0.2">
      <c r="A1072" s="237"/>
      <c r="B1072" s="302"/>
      <c r="C1072" s="302"/>
      <c r="D1072" s="302"/>
      <c r="E1072" s="302"/>
      <c r="F1072" s="303"/>
      <c r="G1072" s="302"/>
      <c r="H1072" s="302"/>
      <c r="I1072" s="302"/>
      <c r="J1072" s="302"/>
      <c r="K1072" s="303"/>
      <c r="L1072" s="302"/>
      <c r="M1072" s="302"/>
      <c r="N1072" s="302"/>
      <c r="O1072" s="302"/>
    </row>
    <row r="1073" spans="1:15" s="236" customFormat="1" x14ac:dyDescent="0.2">
      <c r="A1073" s="244" t="s">
        <v>32</v>
      </c>
      <c r="B1073" s="311">
        <f>SUM(B1063:B1071)</f>
        <v>12.498000000002815</v>
      </c>
      <c r="C1073" s="311">
        <f t="shared" ref="C1073:E1073" si="459">SUM(C1063:C1071)</f>
        <v>13.921000000154343</v>
      </c>
      <c r="D1073" s="311">
        <f t="shared" si="459"/>
        <v>2.0740000000264756</v>
      </c>
      <c r="E1073" s="311">
        <f t="shared" si="459"/>
        <v>28.493000000183635</v>
      </c>
      <c r="F1073" s="311"/>
      <c r="G1073" s="311">
        <f t="shared" ref="G1073:J1073" si="460">SUM(G1063:G1071)</f>
        <v>12.729999999913415</v>
      </c>
      <c r="H1073" s="311">
        <f t="shared" si="460"/>
        <v>11.322000000012411</v>
      </c>
      <c r="I1073" s="311">
        <f t="shared" si="460"/>
        <v>1.7039999999908637</v>
      </c>
      <c r="J1073" s="311">
        <f t="shared" si="460"/>
        <v>25.755999999916689</v>
      </c>
      <c r="K1073" s="311"/>
      <c r="L1073" s="311">
        <f t="shared" ref="L1073:O1073" si="461">SUM(L1063:L1071)</f>
        <v>13.807999999922192</v>
      </c>
      <c r="M1073" s="311">
        <f t="shared" si="461"/>
        <v>11.472000000012333</v>
      </c>
      <c r="N1073" s="311">
        <f t="shared" si="461"/>
        <v>1.7900000000039746</v>
      </c>
      <c r="O1073" s="311">
        <f t="shared" si="461"/>
        <v>27.069999999938499</v>
      </c>
    </row>
    <row r="1074" spans="1:15" s="236" customFormat="1" x14ac:dyDescent="0.2">
      <c r="A1074" s="237"/>
      <c r="B1074" s="237"/>
      <c r="C1074" s="237"/>
      <c r="D1074" s="237"/>
      <c r="E1074" s="237"/>
      <c r="F1074" s="237"/>
      <c r="G1074" s="237"/>
      <c r="H1074" s="237"/>
      <c r="I1074" s="237"/>
      <c r="J1074" s="237"/>
      <c r="K1074" s="237"/>
      <c r="L1074" s="237"/>
      <c r="M1074" s="237"/>
      <c r="N1074" s="240"/>
    </row>
    <row r="1075" spans="1:15" s="236" customFormat="1" x14ac:dyDescent="0.2">
      <c r="A1075" s="237"/>
      <c r="B1075" s="237"/>
      <c r="C1075" s="237"/>
      <c r="D1075" s="237"/>
      <c r="E1075" s="237"/>
      <c r="F1075" s="237"/>
      <c r="G1075" s="237"/>
      <c r="H1075" s="237"/>
      <c r="I1075" s="237"/>
      <c r="J1075" s="237"/>
      <c r="K1075" s="237"/>
      <c r="L1075" s="237"/>
      <c r="M1075" s="237"/>
      <c r="N1075" s="240"/>
      <c r="O1075" s="251" t="s">
        <v>35</v>
      </c>
    </row>
    <row r="1076" spans="1:15" s="236" customFormat="1" x14ac:dyDescent="0.2">
      <c r="A1076" s="242"/>
      <c r="B1076" s="242"/>
      <c r="C1076" s="242"/>
      <c r="D1076" s="242"/>
      <c r="E1076" s="242"/>
      <c r="F1076" s="242"/>
      <c r="G1076" s="242"/>
      <c r="H1076" s="242"/>
      <c r="I1076" s="242"/>
      <c r="J1076" s="242"/>
      <c r="K1076" s="242"/>
      <c r="L1076" s="242"/>
      <c r="M1076" s="242"/>
      <c r="N1076" s="242"/>
      <c r="O1076" s="242"/>
    </row>
    <row r="1077" spans="1:15" s="236" customFormat="1" x14ac:dyDescent="0.2">
      <c r="A1077" s="241" t="str">
        <f>name!A66</f>
        <v>Office administrative</v>
      </c>
      <c r="B1077" s="374">
        <f>$B$6</f>
        <v>2015</v>
      </c>
      <c r="C1077" s="374"/>
      <c r="D1077" s="374"/>
      <c r="E1077" s="374"/>
      <c r="F1077" s="263"/>
      <c r="G1077" s="374">
        <f>$G$6</f>
        <v>2020</v>
      </c>
      <c r="H1077" s="374"/>
      <c r="I1077" s="374"/>
      <c r="J1077" s="374"/>
      <c r="K1077" s="263"/>
      <c r="L1077" s="374">
        <f>$L$6</f>
        <v>2035</v>
      </c>
      <c r="M1077" s="374"/>
      <c r="N1077" s="374"/>
      <c r="O1077" s="374"/>
    </row>
    <row r="1078" spans="1:15" s="236" customFormat="1" x14ac:dyDescent="0.2">
      <c r="A1078" s="254"/>
      <c r="B1078" s="268" t="str">
        <f>$B$7</f>
        <v>FT</v>
      </c>
      <c r="C1078" s="268" t="str">
        <f>$C$7</f>
        <v>PT</v>
      </c>
      <c r="D1078" s="268" t="str">
        <f>$D$7</f>
        <v>SE</v>
      </c>
      <c r="E1078" s="268" t="str">
        <f>$E$7</f>
        <v>Total</v>
      </c>
      <c r="F1078" s="268"/>
      <c r="G1078" s="268" t="str">
        <f>$G$7</f>
        <v>FT</v>
      </c>
      <c r="H1078" s="268" t="str">
        <f>$H$7</f>
        <v>PT</v>
      </c>
      <c r="I1078" s="268" t="str">
        <f>$I$7</f>
        <v>SE</v>
      </c>
      <c r="J1078" s="268" t="str">
        <f>$J$7</f>
        <v>Total</v>
      </c>
      <c r="K1078" s="268"/>
      <c r="L1078" s="268" t="str">
        <f>$L$7</f>
        <v>FT</v>
      </c>
      <c r="M1078" s="268" t="str">
        <f>$M$7</f>
        <v>PT</v>
      </c>
      <c r="N1078" s="268" t="str">
        <f>$N$7</f>
        <v>SE</v>
      </c>
      <c r="O1078" s="268" t="str">
        <f>$O$7</f>
        <v>Total</v>
      </c>
    </row>
    <row r="1079" spans="1:15" s="236" customFormat="1" x14ac:dyDescent="0.2">
      <c r="A1079" s="258"/>
      <c r="B1079" s="239"/>
      <c r="C1079" s="239"/>
      <c r="D1079" s="239"/>
      <c r="E1079" s="239"/>
      <c r="F1079" s="239"/>
      <c r="G1079" s="239"/>
      <c r="H1079" s="239"/>
      <c r="I1079" s="239"/>
      <c r="J1079" s="239"/>
      <c r="K1079" s="239"/>
      <c r="L1079" s="239"/>
      <c r="M1079" s="239"/>
      <c r="N1079" s="239"/>
      <c r="O1079" s="239"/>
    </row>
    <row r="1080" spans="1:15" s="236" customFormat="1" x14ac:dyDescent="0.2">
      <c r="A1080" s="237" t="str">
        <f>name!E$4</f>
        <v>Managers, directors and senior officials</v>
      </c>
      <c r="B1080" s="302">
        <v>0.50857387231515772</v>
      </c>
      <c r="C1080" s="302">
        <v>3.9089137855034692E-2</v>
      </c>
      <c r="D1080" s="302">
        <v>0.12381103754822825</v>
      </c>
      <c r="E1080" s="302">
        <f>SUM(B1080:D1080)</f>
        <v>0.67147404771842067</v>
      </c>
      <c r="F1080" s="303"/>
      <c r="G1080" s="302">
        <v>0.59439000293184141</v>
      </c>
      <c r="H1080" s="302">
        <v>4.9539155751806424E-2</v>
      </c>
      <c r="I1080" s="302">
        <v>0.16944300704285634</v>
      </c>
      <c r="J1080" s="302">
        <f>SUM(G1080:I1080)</f>
        <v>0.81337216572650417</v>
      </c>
      <c r="K1080" s="303"/>
      <c r="L1080" s="302">
        <v>0.58988770984365002</v>
      </c>
      <c r="M1080" s="302">
        <v>4.9100292581940659E-2</v>
      </c>
      <c r="N1080" s="302">
        <v>0.18427721954172382</v>
      </c>
      <c r="O1080" s="302">
        <f>SUM(L1080:N1080)</f>
        <v>0.82326522196731455</v>
      </c>
    </row>
    <row r="1081" spans="1:15" s="236" customFormat="1" x14ac:dyDescent="0.2">
      <c r="A1081" s="237" t="str">
        <f>name!E$5</f>
        <v>Professional occupations</v>
      </c>
      <c r="B1081" s="302">
        <v>0.68008699824618435</v>
      </c>
      <c r="C1081" s="302">
        <v>5.696628718638793E-2</v>
      </c>
      <c r="D1081" s="302">
        <v>8.2433907563961864E-2</v>
      </c>
      <c r="E1081" s="302">
        <f t="shared" ref="E1081:E1088" si="462">SUM(B1081:D1081)</f>
        <v>0.81948719299653416</v>
      </c>
      <c r="F1081" s="303"/>
      <c r="G1081" s="302">
        <v>0.89008931389130341</v>
      </c>
      <c r="H1081" s="302">
        <v>7.1573009007281377E-2</v>
      </c>
      <c r="I1081" s="302">
        <v>9.5269483628699414E-2</v>
      </c>
      <c r="J1081" s="302">
        <f t="shared" ref="J1081:J1083" si="463">SUM(G1081:I1081)</f>
        <v>1.0569318065272841</v>
      </c>
      <c r="K1081" s="303"/>
      <c r="L1081" s="302">
        <v>1.0074452384580761</v>
      </c>
      <c r="M1081" s="302">
        <v>8.1718692485509933E-2</v>
      </c>
      <c r="N1081" s="302">
        <v>7.6736462860389557E-2</v>
      </c>
      <c r="O1081" s="302">
        <f t="shared" ref="O1081:O1088" si="464">SUM(L1081:N1081)</f>
        <v>1.1659003938039756</v>
      </c>
    </row>
    <row r="1082" spans="1:15" s="236" customFormat="1" x14ac:dyDescent="0.2">
      <c r="A1082" s="237" t="str">
        <f>name!E$6</f>
        <v>Associate professional occupations</v>
      </c>
      <c r="B1082" s="302">
        <v>1.1097042163817201</v>
      </c>
      <c r="C1082" s="302">
        <v>0.11499258954975144</v>
      </c>
      <c r="D1082" s="302">
        <v>0.23975337707303088</v>
      </c>
      <c r="E1082" s="302">
        <f t="shared" si="462"/>
        <v>1.4644501830045025</v>
      </c>
      <c r="F1082" s="303"/>
      <c r="G1082" s="302">
        <v>1.3091082361110828</v>
      </c>
      <c r="H1082" s="302">
        <v>0.11959906762764431</v>
      </c>
      <c r="I1082" s="302">
        <v>0.24992604489346321</v>
      </c>
      <c r="J1082" s="302">
        <f t="shared" si="463"/>
        <v>1.6786333486321905</v>
      </c>
      <c r="K1082" s="303"/>
      <c r="L1082" s="302">
        <v>1.1308910135950645</v>
      </c>
      <c r="M1082" s="302">
        <v>0.13836376308714465</v>
      </c>
      <c r="N1082" s="302">
        <v>0.23050932840013547</v>
      </c>
      <c r="O1082" s="302">
        <f t="shared" si="464"/>
        <v>1.4997641050823445</v>
      </c>
    </row>
    <row r="1083" spans="1:15" s="236" customFormat="1" x14ac:dyDescent="0.2">
      <c r="A1083" s="237" t="str">
        <f>name!E$7</f>
        <v>Administrative and secretarial occupations</v>
      </c>
      <c r="B1083" s="302">
        <v>1.8657145269136233</v>
      </c>
      <c r="C1083" s="302">
        <v>0.37460194903753502</v>
      </c>
      <c r="D1083" s="302">
        <v>8.8513158388704646E-2</v>
      </c>
      <c r="E1083" s="302">
        <f t="shared" si="462"/>
        <v>2.3288296343398631</v>
      </c>
      <c r="F1083" s="303"/>
      <c r="G1083" s="302">
        <v>2.0161775593379692</v>
      </c>
      <c r="H1083" s="302">
        <v>0.33765257632927564</v>
      </c>
      <c r="I1083" s="302">
        <v>6.4433766676713938E-2</v>
      </c>
      <c r="J1083" s="302">
        <f t="shared" si="463"/>
        <v>2.4182639023439587</v>
      </c>
      <c r="K1083" s="303"/>
      <c r="L1083" s="302">
        <v>2.2333051712255716</v>
      </c>
      <c r="M1083" s="302">
        <v>0.34587097853276272</v>
      </c>
      <c r="N1083" s="302">
        <v>6.581425475228847E-2</v>
      </c>
      <c r="O1083" s="302">
        <f t="shared" si="464"/>
        <v>2.6449904045106227</v>
      </c>
    </row>
    <row r="1084" spans="1:15" s="236" customFormat="1" x14ac:dyDescent="0.2">
      <c r="A1084" s="237" t="str">
        <f>name!E$8</f>
        <v>Skilled trades occupations</v>
      </c>
      <c r="B1084" s="302">
        <v>0.45316467559309898</v>
      </c>
      <c r="C1084" s="302">
        <v>4.7934081740132931E-2</v>
      </c>
      <c r="D1084" s="302">
        <v>0.12292296341645131</v>
      </c>
      <c r="E1084" s="302">
        <f t="shared" si="462"/>
        <v>0.62402172074968321</v>
      </c>
      <c r="F1084" s="303"/>
      <c r="G1084" s="302">
        <v>0.36581462368127143</v>
      </c>
      <c r="H1084" s="302">
        <v>2.7397097435357239E-2</v>
      </c>
      <c r="I1084" s="302">
        <v>0.1518643025012846</v>
      </c>
      <c r="J1084" s="302">
        <f>SUM(G1084:I1084)</f>
        <v>0.5450760236179133</v>
      </c>
      <c r="K1084" s="303"/>
      <c r="L1084" s="302">
        <v>0.27489113179724906</v>
      </c>
      <c r="M1084" s="302">
        <v>3.0647559947283874E-2</v>
      </c>
      <c r="N1084" s="302">
        <v>0.12783073417648252</v>
      </c>
      <c r="O1084" s="302">
        <f t="shared" si="464"/>
        <v>0.43336942592101546</v>
      </c>
    </row>
    <row r="1085" spans="1:15" s="236" customFormat="1" x14ac:dyDescent="0.2">
      <c r="A1085" s="237" t="str">
        <f>name!E$9</f>
        <v>Caring, leisure and other service occupations</v>
      </c>
      <c r="B1085" s="302">
        <v>0.47969097537148037</v>
      </c>
      <c r="C1085" s="302">
        <v>0.18416068796784363</v>
      </c>
      <c r="D1085" s="302">
        <v>0.14858623338789323</v>
      </c>
      <c r="E1085" s="302">
        <f t="shared" si="462"/>
        <v>0.81243789672721722</v>
      </c>
      <c r="F1085" s="303"/>
      <c r="G1085" s="302">
        <v>0.51129013059961315</v>
      </c>
      <c r="H1085" s="302">
        <v>0.16629252956203006</v>
      </c>
      <c r="I1085" s="302">
        <v>0.15183300919787679</v>
      </c>
      <c r="J1085" s="302">
        <f t="shared" ref="J1085:J1088" si="465">SUM(G1085:I1085)</f>
        <v>0.82941566935952005</v>
      </c>
      <c r="K1085" s="303"/>
      <c r="L1085" s="302">
        <v>0.56185883779510848</v>
      </c>
      <c r="M1085" s="302">
        <v>0.18282202591394739</v>
      </c>
      <c r="N1085" s="302">
        <v>0.18029540826528631</v>
      </c>
      <c r="O1085" s="302">
        <f t="shared" si="464"/>
        <v>0.92497627197434218</v>
      </c>
    </row>
    <row r="1086" spans="1:15" s="236" customFormat="1" x14ac:dyDescent="0.2">
      <c r="A1086" s="237" t="str">
        <f>name!E$10</f>
        <v>Sales and customer service occupations</v>
      </c>
      <c r="B1086" s="302">
        <v>1.4052088548748751</v>
      </c>
      <c r="C1086" s="302">
        <v>0.27145166012839916</v>
      </c>
      <c r="D1086" s="302">
        <v>5.1788760575063951E-2</v>
      </c>
      <c r="E1086" s="302">
        <f t="shared" si="462"/>
        <v>1.7284492755783383</v>
      </c>
      <c r="F1086" s="303"/>
      <c r="G1086" s="302">
        <v>1.4647776971361224</v>
      </c>
      <c r="H1086" s="302">
        <v>0.23846870863493569</v>
      </c>
      <c r="I1086" s="302">
        <v>4.5510857790912476E-2</v>
      </c>
      <c r="J1086" s="302">
        <f t="shared" si="465"/>
        <v>1.7487572635619706</v>
      </c>
      <c r="K1086" s="303"/>
      <c r="L1086" s="302">
        <v>1.8780607911294971</v>
      </c>
      <c r="M1086" s="302">
        <v>0.33615118686677131</v>
      </c>
      <c r="N1086" s="302">
        <v>3.5005241713395439E-2</v>
      </c>
      <c r="O1086" s="302">
        <f t="shared" si="464"/>
        <v>2.249217219709664</v>
      </c>
    </row>
    <row r="1087" spans="1:15" s="236" customFormat="1" x14ac:dyDescent="0.2">
      <c r="A1087" s="237" t="str">
        <f>name!E$11</f>
        <v>Process, plant and machine operatives</v>
      </c>
      <c r="B1087" s="302">
        <v>0.85760675708217671</v>
      </c>
      <c r="C1087" s="302">
        <v>0.12319847614438612</v>
      </c>
      <c r="D1087" s="302">
        <v>2.4412570644105513E-2</v>
      </c>
      <c r="E1087" s="302">
        <f t="shared" si="462"/>
        <v>1.0052178038706683</v>
      </c>
      <c r="F1087" s="303"/>
      <c r="G1087" s="302">
        <v>0.7314955898251343</v>
      </c>
      <c r="H1087" s="302">
        <v>0.11014184508179084</v>
      </c>
      <c r="I1087" s="302">
        <v>3.8358582024637551E-2</v>
      </c>
      <c r="J1087" s="302">
        <f t="shared" si="465"/>
        <v>0.87999601693156271</v>
      </c>
      <c r="K1087" s="303"/>
      <c r="L1087" s="302">
        <v>0.65771819610180082</v>
      </c>
      <c r="M1087" s="302">
        <v>0.12806923637676973</v>
      </c>
      <c r="N1087" s="302">
        <v>3.9645249542403803E-2</v>
      </c>
      <c r="O1087" s="302">
        <f t="shared" si="464"/>
        <v>0.82543268202097431</v>
      </c>
    </row>
    <row r="1088" spans="1:15" s="236" customFormat="1" x14ac:dyDescent="0.2">
      <c r="A1088" s="237" t="str">
        <f>name!E$12</f>
        <v>Elementary occupations</v>
      </c>
      <c r="B1088" s="302">
        <v>6.3362491232834692</v>
      </c>
      <c r="C1088" s="302">
        <v>1.5186051304334418</v>
      </c>
      <c r="D1088" s="302">
        <v>0.65677799142756887</v>
      </c>
      <c r="E1088" s="302">
        <f t="shared" si="462"/>
        <v>8.5116322451444795</v>
      </c>
      <c r="F1088" s="303"/>
      <c r="G1088" s="302">
        <v>5.7928568464724464</v>
      </c>
      <c r="H1088" s="302">
        <v>1.0753360105696141</v>
      </c>
      <c r="I1088" s="302">
        <v>0.50636094623892469</v>
      </c>
      <c r="J1088" s="302">
        <f t="shared" si="465"/>
        <v>7.3745538032809854</v>
      </c>
      <c r="K1088" s="303"/>
      <c r="L1088" s="302">
        <v>6.2569419099473738</v>
      </c>
      <c r="M1088" s="302">
        <v>0.97325626420112143</v>
      </c>
      <c r="N1088" s="302">
        <v>0.6068861007542834</v>
      </c>
      <c r="O1088" s="302">
        <f t="shared" si="464"/>
        <v>7.8370842749027787</v>
      </c>
    </row>
    <row r="1089" spans="1:15" s="236" customFormat="1" x14ac:dyDescent="0.2">
      <c r="A1089" s="237"/>
      <c r="B1089" s="302"/>
      <c r="C1089" s="302"/>
      <c r="D1089" s="302"/>
      <c r="E1089" s="302"/>
      <c r="F1089" s="303"/>
      <c r="G1089" s="302"/>
      <c r="H1089" s="302"/>
      <c r="I1089" s="302"/>
      <c r="J1089" s="302"/>
      <c r="K1089" s="303"/>
      <c r="L1089" s="302"/>
      <c r="M1089" s="302"/>
      <c r="N1089" s="302"/>
      <c r="O1089" s="302"/>
    </row>
    <row r="1090" spans="1:15" s="236" customFormat="1" x14ac:dyDescent="0.2">
      <c r="A1090" s="244" t="s">
        <v>32</v>
      </c>
      <c r="B1090" s="311">
        <f>SUM(B1080:B1088)</f>
        <v>13.696000000061787</v>
      </c>
      <c r="C1090" s="311">
        <f t="shared" ref="C1090:E1090" si="466">SUM(C1080:C1088)</f>
        <v>2.7310000000429127</v>
      </c>
      <c r="D1090" s="311">
        <f t="shared" si="466"/>
        <v>1.5390000000250086</v>
      </c>
      <c r="E1090" s="311">
        <f t="shared" si="466"/>
        <v>17.966000000129707</v>
      </c>
      <c r="F1090" s="311"/>
      <c r="G1090" s="311">
        <f t="shared" ref="G1090:J1090" si="467">SUM(G1080:G1088)</f>
        <v>13.675999999986786</v>
      </c>
      <c r="H1090" s="311">
        <f t="shared" si="467"/>
        <v>2.1959999999997359</v>
      </c>
      <c r="I1090" s="311">
        <f t="shared" si="467"/>
        <v>1.4729999999953689</v>
      </c>
      <c r="J1090" s="311">
        <f t="shared" si="467"/>
        <v>17.344999999981887</v>
      </c>
      <c r="K1090" s="311"/>
      <c r="L1090" s="311">
        <f t="shared" ref="L1090:O1090" si="468">SUM(L1080:L1088)</f>
        <v>14.590999999893391</v>
      </c>
      <c r="M1090" s="311">
        <f t="shared" si="468"/>
        <v>2.2659999999932516</v>
      </c>
      <c r="N1090" s="311">
        <f t="shared" si="468"/>
        <v>1.5470000000063888</v>
      </c>
      <c r="O1090" s="311">
        <f t="shared" si="468"/>
        <v>18.403999999893031</v>
      </c>
    </row>
    <row r="1091" spans="1:15" s="236" customFormat="1" x14ac:dyDescent="0.2">
      <c r="A1091" s="237"/>
      <c r="B1091" s="237"/>
      <c r="C1091" s="237"/>
      <c r="D1091" s="237"/>
      <c r="E1091" s="237"/>
      <c r="F1091" s="237"/>
      <c r="G1091" s="237"/>
      <c r="H1091" s="237"/>
      <c r="I1091" s="237"/>
      <c r="J1091" s="237"/>
      <c r="K1091" s="237"/>
      <c r="L1091" s="237"/>
      <c r="M1091" s="237"/>
      <c r="N1091" s="240"/>
    </row>
    <row r="1092" spans="1:15" s="236" customFormat="1" x14ac:dyDescent="0.2">
      <c r="A1092" s="237"/>
      <c r="B1092" s="237"/>
      <c r="C1092" s="237"/>
      <c r="D1092" s="237"/>
      <c r="E1092" s="237"/>
      <c r="F1092" s="237"/>
      <c r="G1092" s="237"/>
      <c r="H1092" s="237"/>
      <c r="I1092" s="237"/>
      <c r="J1092" s="237"/>
      <c r="K1092" s="237"/>
      <c r="L1092" s="237"/>
      <c r="M1092" s="237"/>
      <c r="N1092" s="240"/>
      <c r="O1092" s="251" t="s">
        <v>35</v>
      </c>
    </row>
    <row r="1093" spans="1:15" s="236" customFormat="1" x14ac:dyDescent="0.2">
      <c r="A1093" s="242"/>
      <c r="B1093" s="242"/>
      <c r="C1093" s="242"/>
      <c r="D1093" s="242"/>
      <c r="E1093" s="242"/>
      <c r="F1093" s="242"/>
      <c r="G1093" s="242"/>
      <c r="H1093" s="242"/>
      <c r="I1093" s="242"/>
      <c r="J1093" s="242"/>
      <c r="K1093" s="242"/>
      <c r="L1093" s="242"/>
      <c r="M1093" s="242"/>
      <c r="N1093" s="242"/>
      <c r="O1093" s="242"/>
    </row>
    <row r="1094" spans="1:15" s="236" customFormat="1" x14ac:dyDescent="0.2">
      <c r="A1094" s="241" t="str">
        <f>name!A67</f>
        <v>Public administration and defence</v>
      </c>
      <c r="B1094" s="374">
        <f>$B$6</f>
        <v>2015</v>
      </c>
      <c r="C1094" s="374"/>
      <c r="D1094" s="374"/>
      <c r="E1094" s="374"/>
      <c r="F1094" s="263"/>
      <c r="G1094" s="374">
        <f>$G$6</f>
        <v>2020</v>
      </c>
      <c r="H1094" s="374"/>
      <c r="I1094" s="374"/>
      <c r="J1094" s="374"/>
      <c r="K1094" s="263"/>
      <c r="L1094" s="374">
        <f>$L$6</f>
        <v>2035</v>
      </c>
      <c r="M1094" s="374"/>
      <c r="N1094" s="374"/>
      <c r="O1094" s="374"/>
    </row>
    <row r="1095" spans="1:15" s="236" customFormat="1" x14ac:dyDescent="0.2">
      <c r="A1095" s="254"/>
      <c r="B1095" s="268" t="str">
        <f>$B$7</f>
        <v>FT</v>
      </c>
      <c r="C1095" s="268" t="str">
        <f>$C$7</f>
        <v>PT</v>
      </c>
      <c r="D1095" s="268" t="str">
        <f>$D$7</f>
        <v>SE</v>
      </c>
      <c r="E1095" s="268" t="str">
        <f>$E$7</f>
        <v>Total</v>
      </c>
      <c r="F1095" s="268"/>
      <c r="G1095" s="268" t="str">
        <f>$G$7</f>
        <v>FT</v>
      </c>
      <c r="H1095" s="268" t="str">
        <f>$H$7</f>
        <v>PT</v>
      </c>
      <c r="I1095" s="268" t="str">
        <f>$I$7</f>
        <v>SE</v>
      </c>
      <c r="J1095" s="268" t="str">
        <f>$J$7</f>
        <v>Total</v>
      </c>
      <c r="K1095" s="268"/>
      <c r="L1095" s="268" t="str">
        <f>$L$7</f>
        <v>FT</v>
      </c>
      <c r="M1095" s="268" t="str">
        <f>$M$7</f>
        <v>PT</v>
      </c>
      <c r="N1095" s="268" t="str">
        <f>$N$7</f>
        <v>SE</v>
      </c>
      <c r="O1095" s="268" t="str">
        <f>$O$7</f>
        <v>Total</v>
      </c>
    </row>
    <row r="1096" spans="1:15" s="236" customFormat="1" x14ac:dyDescent="0.2">
      <c r="A1096" s="258"/>
      <c r="B1096" s="239"/>
      <c r="C1096" s="239"/>
      <c r="D1096" s="239"/>
      <c r="E1096" s="239"/>
      <c r="F1096" s="239"/>
      <c r="G1096" s="239"/>
      <c r="H1096" s="239"/>
      <c r="I1096" s="239"/>
      <c r="J1096" s="239"/>
      <c r="K1096" s="239"/>
      <c r="L1096" s="239"/>
      <c r="M1096" s="239"/>
      <c r="N1096" s="239"/>
      <c r="O1096" s="239"/>
    </row>
    <row r="1097" spans="1:15" s="236" customFormat="1" x14ac:dyDescent="0.2">
      <c r="A1097" s="237" t="str">
        <f>name!E$4</f>
        <v>Managers, directors and senior officials</v>
      </c>
      <c r="B1097" s="302">
        <v>3.6339740321572935</v>
      </c>
      <c r="C1097" s="302">
        <v>1.0025188764299162</v>
      </c>
      <c r="D1097" s="302">
        <v>0.24660973194866245</v>
      </c>
      <c r="E1097" s="302">
        <f>SUM(B1097:D1097)</f>
        <v>4.8831026405358724</v>
      </c>
      <c r="F1097" s="303"/>
      <c r="G1097" s="302">
        <v>3.993568426892093</v>
      </c>
      <c r="H1097" s="302">
        <v>1.33763621123557</v>
      </c>
      <c r="I1097" s="302">
        <v>0.27669511671242647</v>
      </c>
      <c r="J1097" s="302">
        <f>SUM(G1097:I1097)</f>
        <v>5.6078997548400897</v>
      </c>
      <c r="K1097" s="303"/>
      <c r="L1097" s="302">
        <v>3.8248014607918157</v>
      </c>
      <c r="M1097" s="302">
        <v>1.6305835401789894</v>
      </c>
      <c r="N1097" s="302">
        <v>0.29288514164655471</v>
      </c>
      <c r="O1097" s="302">
        <f>SUM(L1097:N1097)</f>
        <v>5.7482701426173604</v>
      </c>
    </row>
    <row r="1098" spans="1:15" s="236" customFormat="1" x14ac:dyDescent="0.2">
      <c r="A1098" s="237" t="str">
        <f>name!E$5</f>
        <v>Professional occupations</v>
      </c>
      <c r="B1098" s="302">
        <v>8.8743408065105864</v>
      </c>
      <c r="C1098" s="302">
        <v>3.318303256358393</v>
      </c>
      <c r="D1098" s="302">
        <v>0.77794730954461155</v>
      </c>
      <c r="E1098" s="302">
        <f t="shared" ref="E1098:E1105" si="469">SUM(B1098:D1098)</f>
        <v>12.97059137241359</v>
      </c>
      <c r="F1098" s="303"/>
      <c r="G1098" s="302">
        <v>11.128788317718598</v>
      </c>
      <c r="H1098" s="302">
        <v>4.1354490441051279</v>
      </c>
      <c r="I1098" s="302">
        <v>1.3310647784411795</v>
      </c>
      <c r="J1098" s="302">
        <f t="shared" ref="J1098:J1100" si="470">SUM(G1098:I1098)</f>
        <v>16.595302140264906</v>
      </c>
      <c r="K1098" s="303"/>
      <c r="L1098" s="302">
        <v>12.413091272914883</v>
      </c>
      <c r="M1098" s="302">
        <v>5.1946134410508344</v>
      </c>
      <c r="N1098" s="302">
        <v>1.3096622354780256</v>
      </c>
      <c r="O1098" s="302">
        <f t="shared" ref="O1098:O1105" si="471">SUM(L1098:N1098)</f>
        <v>18.917366949443743</v>
      </c>
    </row>
    <row r="1099" spans="1:15" s="236" customFormat="1" x14ac:dyDescent="0.2">
      <c r="A1099" s="237" t="str">
        <f>name!E$6</f>
        <v>Associate professional occupations</v>
      </c>
      <c r="B1099" s="302">
        <v>15.271241794106921</v>
      </c>
      <c r="C1099" s="302">
        <v>3.4922126382140961</v>
      </c>
      <c r="D1099" s="302">
        <v>0.36936523611355249</v>
      </c>
      <c r="E1099" s="302">
        <f t="shared" si="469"/>
        <v>19.132819668434568</v>
      </c>
      <c r="F1099" s="303"/>
      <c r="G1099" s="302">
        <v>17.053477494253045</v>
      </c>
      <c r="H1099" s="302">
        <v>3.5841514065942297</v>
      </c>
      <c r="I1099" s="302">
        <v>0.44072975370560524</v>
      </c>
      <c r="J1099" s="302">
        <f t="shared" si="470"/>
        <v>21.078358654552879</v>
      </c>
      <c r="K1099" s="303"/>
      <c r="L1099" s="302">
        <v>18.323676004114031</v>
      </c>
      <c r="M1099" s="302">
        <v>4.0915064046057577</v>
      </c>
      <c r="N1099" s="302">
        <v>0.49295326683052593</v>
      </c>
      <c r="O1099" s="302">
        <f t="shared" si="471"/>
        <v>22.908135675550312</v>
      </c>
    </row>
    <row r="1100" spans="1:15" s="236" customFormat="1" x14ac:dyDescent="0.2">
      <c r="A1100" s="237" t="str">
        <f>name!E$7</f>
        <v>Administrative and secretarial occupations</v>
      </c>
      <c r="B1100" s="302">
        <v>10.17319834031192</v>
      </c>
      <c r="C1100" s="302">
        <v>10.955337676621685</v>
      </c>
      <c r="D1100" s="302">
        <v>0.14194355971424732</v>
      </c>
      <c r="E1100" s="302">
        <f t="shared" si="469"/>
        <v>21.270479576647851</v>
      </c>
      <c r="F1100" s="303"/>
      <c r="G1100" s="302">
        <v>9.5322258428490212</v>
      </c>
      <c r="H1100" s="302">
        <v>9.6474679167503883</v>
      </c>
      <c r="I1100" s="302">
        <v>0.20710240751777348</v>
      </c>
      <c r="J1100" s="302">
        <f t="shared" si="470"/>
        <v>19.386796167117183</v>
      </c>
      <c r="K1100" s="303"/>
      <c r="L1100" s="302">
        <v>5.7144699625619237</v>
      </c>
      <c r="M1100" s="302">
        <v>8.1700214172070673</v>
      </c>
      <c r="N1100" s="302">
        <v>0.16523378378036929</v>
      </c>
      <c r="O1100" s="302">
        <f t="shared" si="471"/>
        <v>14.049725163549361</v>
      </c>
    </row>
    <row r="1101" spans="1:15" s="236" customFormat="1" x14ac:dyDescent="0.2">
      <c r="A1101" s="237" t="str">
        <f>name!E$8</f>
        <v>Skilled trades occupations</v>
      </c>
      <c r="B1101" s="302">
        <v>0.76866873632770538</v>
      </c>
      <c r="C1101" s="302">
        <v>0.11158567368805669</v>
      </c>
      <c r="D1101" s="302">
        <v>0.16033899111224276</v>
      </c>
      <c r="E1101" s="302">
        <f t="shared" si="469"/>
        <v>1.0405934011280049</v>
      </c>
      <c r="F1101" s="303"/>
      <c r="G1101" s="302">
        <v>0.61428001725369386</v>
      </c>
      <c r="H1101" s="302">
        <v>9.3830684005065473E-2</v>
      </c>
      <c r="I1101" s="302">
        <v>2.8471431430593355E-2</v>
      </c>
      <c r="J1101" s="302">
        <f>SUM(G1101:I1101)</f>
        <v>0.73658213268935269</v>
      </c>
      <c r="K1101" s="303"/>
      <c r="L1101" s="302">
        <v>0.5812586981671044</v>
      </c>
      <c r="M1101" s="302">
        <v>0.21860524019101038</v>
      </c>
      <c r="N1101" s="302">
        <v>5.7713679348385186E-2</v>
      </c>
      <c r="O1101" s="302">
        <f t="shared" si="471"/>
        <v>0.85757761770649998</v>
      </c>
    </row>
    <row r="1102" spans="1:15" s="236" customFormat="1" x14ac:dyDescent="0.2">
      <c r="A1102" s="237" t="str">
        <f>name!E$9</f>
        <v>Caring, leisure and other service occupations</v>
      </c>
      <c r="B1102" s="302">
        <v>1.524899909985824</v>
      </c>
      <c r="C1102" s="302">
        <v>1.1354439254294748</v>
      </c>
      <c r="D1102" s="302">
        <v>7.5273215505675187E-2</v>
      </c>
      <c r="E1102" s="302">
        <f t="shared" si="469"/>
        <v>2.7356170509209741</v>
      </c>
      <c r="F1102" s="303"/>
      <c r="G1102" s="302">
        <v>1.4444392649085576</v>
      </c>
      <c r="H1102" s="302">
        <v>1.0311340680572947</v>
      </c>
      <c r="I1102" s="302">
        <v>0.1843409726244227</v>
      </c>
      <c r="J1102" s="302">
        <f t="shared" ref="J1102:J1105" si="472">SUM(G1102:I1102)</f>
        <v>2.6599143055902745</v>
      </c>
      <c r="K1102" s="303"/>
      <c r="L1102" s="302">
        <v>1.5285841363828012</v>
      </c>
      <c r="M1102" s="302">
        <v>1.0476899726618289</v>
      </c>
      <c r="N1102" s="302">
        <v>0.13489716684502812</v>
      </c>
      <c r="O1102" s="302">
        <f t="shared" si="471"/>
        <v>2.711171275889658</v>
      </c>
    </row>
    <row r="1103" spans="1:15" s="236" customFormat="1" x14ac:dyDescent="0.2">
      <c r="A1103" s="237" t="str">
        <f>name!E$10</f>
        <v>Sales and customer service occupations</v>
      </c>
      <c r="B1103" s="302">
        <v>0.84883907439302853</v>
      </c>
      <c r="C1103" s="302">
        <v>1.1409221412460702</v>
      </c>
      <c r="D1103" s="302">
        <v>5.4194119198842573E-2</v>
      </c>
      <c r="E1103" s="302">
        <f t="shared" si="469"/>
        <v>2.0439553348379413</v>
      </c>
      <c r="F1103" s="303"/>
      <c r="G1103" s="302">
        <v>0.81130973484789248</v>
      </c>
      <c r="H1103" s="302">
        <v>1.0713023579009135</v>
      </c>
      <c r="I1103" s="302">
        <v>4.1006887389848444E-2</v>
      </c>
      <c r="J1103" s="302">
        <f t="shared" si="472"/>
        <v>1.9236189801386543</v>
      </c>
      <c r="K1103" s="303"/>
      <c r="L1103" s="302">
        <v>0.83652058407170371</v>
      </c>
      <c r="M1103" s="302">
        <v>1.3141831283890524</v>
      </c>
      <c r="N1103" s="302">
        <v>5.738168988777434E-2</v>
      </c>
      <c r="O1103" s="302">
        <f t="shared" si="471"/>
        <v>2.2080854023485306</v>
      </c>
    </row>
    <row r="1104" spans="1:15" s="236" customFormat="1" x14ac:dyDescent="0.2">
      <c r="A1104" s="237" t="str">
        <f>name!E$11</f>
        <v>Process, plant and machine operatives</v>
      </c>
      <c r="B1104" s="302">
        <v>0.49026373801846695</v>
      </c>
      <c r="C1104" s="302">
        <v>0.28371359208706981</v>
      </c>
      <c r="D1104" s="302">
        <v>2.427456342718869E-2</v>
      </c>
      <c r="E1104" s="302">
        <f t="shared" si="469"/>
        <v>0.79825189353272552</v>
      </c>
      <c r="F1104" s="303"/>
      <c r="G1104" s="302">
        <v>0.36254615152714159</v>
      </c>
      <c r="H1104" s="302">
        <v>0.20940262303550819</v>
      </c>
      <c r="I1104" s="302">
        <v>1.3390061397315516E-2</v>
      </c>
      <c r="J1104" s="302">
        <f t="shared" si="472"/>
        <v>0.58533883595996528</v>
      </c>
      <c r="K1104" s="303"/>
      <c r="L1104" s="302">
        <v>0.33376256254181669</v>
      </c>
      <c r="M1104" s="302">
        <v>0.27210252163514842</v>
      </c>
      <c r="N1104" s="302">
        <v>1.7819230194889225E-2</v>
      </c>
      <c r="O1104" s="302">
        <f t="shared" si="471"/>
        <v>0.62368431437185423</v>
      </c>
    </row>
    <row r="1105" spans="1:15" s="236" customFormat="1" x14ac:dyDescent="0.2">
      <c r="A1105" s="237" t="str">
        <f>name!E$12</f>
        <v>Elementary occupations</v>
      </c>
      <c r="B1105" s="302">
        <v>1.1445735678043907</v>
      </c>
      <c r="C1105" s="302">
        <v>1.4059622197870147</v>
      </c>
      <c r="D1105" s="302">
        <v>3.2053273422229453E-2</v>
      </c>
      <c r="E1105" s="302">
        <f t="shared" si="469"/>
        <v>2.5825890610136351</v>
      </c>
      <c r="F1105" s="303"/>
      <c r="G1105" s="302">
        <v>0.89836474962574508</v>
      </c>
      <c r="H1105" s="302">
        <v>0.99862568830744025</v>
      </c>
      <c r="I1105" s="302">
        <v>2.119859087044389E-2</v>
      </c>
      <c r="J1105" s="302">
        <f t="shared" si="472"/>
        <v>1.9181890288036294</v>
      </c>
      <c r="K1105" s="303"/>
      <c r="L1105" s="302">
        <v>0.71283531867827721</v>
      </c>
      <c r="M1105" s="302">
        <v>0.73069433410435991</v>
      </c>
      <c r="N1105" s="302">
        <v>3.1453806005683538E-2</v>
      </c>
      <c r="O1105" s="302">
        <f t="shared" si="471"/>
        <v>1.4749834587883206</v>
      </c>
    </row>
    <row r="1106" spans="1:15" s="236" customFormat="1" x14ac:dyDescent="0.2">
      <c r="A1106" s="237"/>
      <c r="B1106" s="302"/>
      <c r="C1106" s="302"/>
      <c r="D1106" s="302"/>
      <c r="E1106" s="302"/>
      <c r="F1106" s="303"/>
      <c r="G1106" s="302"/>
      <c r="H1106" s="302"/>
      <c r="I1106" s="302"/>
      <c r="J1106" s="302"/>
      <c r="K1106" s="303"/>
      <c r="L1106" s="302"/>
      <c r="M1106" s="302"/>
      <c r="N1106" s="302"/>
      <c r="O1106" s="302"/>
    </row>
    <row r="1107" spans="1:15" s="236" customFormat="1" x14ac:dyDescent="0.2">
      <c r="A1107" s="244" t="s">
        <v>32</v>
      </c>
      <c r="B1107" s="311">
        <f>SUM(B1097:B1105)</f>
        <v>42.72999999961614</v>
      </c>
      <c r="C1107" s="311">
        <f t="shared" ref="C1107:E1107" si="473">SUM(C1097:C1105)</f>
        <v>22.845999999861775</v>
      </c>
      <c r="D1107" s="311">
        <f t="shared" si="473"/>
        <v>1.8819999999872525</v>
      </c>
      <c r="E1107" s="311">
        <f t="shared" si="473"/>
        <v>67.457999999465159</v>
      </c>
      <c r="F1107" s="311"/>
      <c r="G1107" s="311">
        <f t="shared" ref="G1107:J1107" si="474">SUM(G1097:G1105)</f>
        <v>45.838999999875789</v>
      </c>
      <c r="H1107" s="311">
        <f t="shared" si="474"/>
        <v>22.108999999991539</v>
      </c>
      <c r="I1107" s="311">
        <f t="shared" si="474"/>
        <v>2.5440000000896084</v>
      </c>
      <c r="J1107" s="311">
        <f t="shared" si="474"/>
        <v>70.491999999956917</v>
      </c>
      <c r="K1107" s="311"/>
      <c r="L1107" s="311">
        <f t="shared" ref="L1107:O1107" si="475">SUM(L1097:L1105)</f>
        <v>44.269000000224359</v>
      </c>
      <c r="M1107" s="311">
        <f t="shared" si="475"/>
        <v>22.67000000002405</v>
      </c>
      <c r="N1107" s="311">
        <f t="shared" si="475"/>
        <v>2.560000000017236</v>
      </c>
      <c r="O1107" s="311">
        <f t="shared" si="475"/>
        <v>69.499000000265639</v>
      </c>
    </row>
    <row r="1108" spans="1:15" s="236" customFormat="1" x14ac:dyDescent="0.2">
      <c r="A1108" s="237"/>
      <c r="B1108" s="237"/>
      <c r="C1108" s="237"/>
      <c r="D1108" s="237"/>
      <c r="E1108" s="237"/>
      <c r="F1108" s="237"/>
      <c r="G1108" s="237"/>
      <c r="H1108" s="237"/>
      <c r="I1108" s="237"/>
      <c r="J1108" s="237"/>
      <c r="K1108" s="237"/>
      <c r="L1108" s="237"/>
      <c r="M1108" s="237"/>
      <c r="N1108" s="240"/>
    </row>
    <row r="1109" spans="1:15" s="236" customFormat="1" x14ac:dyDescent="0.2">
      <c r="A1109" s="237"/>
      <c r="B1109" s="237"/>
      <c r="C1109" s="237"/>
      <c r="D1109" s="237"/>
      <c r="E1109" s="237"/>
      <c r="F1109" s="237"/>
      <c r="G1109" s="237"/>
      <c r="H1109" s="237"/>
      <c r="I1109" s="237"/>
      <c r="J1109" s="237"/>
      <c r="K1109" s="237"/>
      <c r="L1109" s="237"/>
      <c r="M1109" s="237"/>
      <c r="N1109" s="240"/>
      <c r="O1109" s="251" t="s">
        <v>35</v>
      </c>
    </row>
    <row r="1110" spans="1:15" s="236" customFormat="1" x14ac:dyDescent="0.2">
      <c r="A1110" s="242"/>
      <c r="B1110" s="242"/>
      <c r="C1110" s="242"/>
      <c r="D1110" s="242"/>
      <c r="E1110" s="242"/>
      <c r="F1110" s="242"/>
      <c r="G1110" s="242"/>
      <c r="H1110" s="242"/>
      <c r="I1110" s="242"/>
      <c r="J1110" s="242"/>
      <c r="K1110" s="242"/>
      <c r="L1110" s="242"/>
      <c r="M1110" s="242"/>
      <c r="N1110" s="242"/>
      <c r="O1110" s="242"/>
    </row>
    <row r="1111" spans="1:15" s="236" customFormat="1" x14ac:dyDescent="0.2">
      <c r="A1111" s="241" t="str">
        <f>name!A68</f>
        <v xml:space="preserve">Education </v>
      </c>
      <c r="B1111" s="374">
        <f>$B$6</f>
        <v>2015</v>
      </c>
      <c r="C1111" s="374"/>
      <c r="D1111" s="374"/>
      <c r="E1111" s="374"/>
      <c r="F1111" s="263"/>
      <c r="G1111" s="374">
        <f>$G$6</f>
        <v>2020</v>
      </c>
      <c r="H1111" s="374"/>
      <c r="I1111" s="374"/>
      <c r="J1111" s="374"/>
      <c r="K1111" s="263"/>
      <c r="L1111" s="374">
        <f>$L$6</f>
        <v>2035</v>
      </c>
      <c r="M1111" s="374"/>
      <c r="N1111" s="374"/>
      <c r="O1111" s="374"/>
    </row>
    <row r="1112" spans="1:15" s="236" customFormat="1" x14ac:dyDescent="0.2">
      <c r="A1112" s="254"/>
      <c r="B1112" s="268" t="str">
        <f>$B$7</f>
        <v>FT</v>
      </c>
      <c r="C1112" s="268" t="str">
        <f>$C$7</f>
        <v>PT</v>
      </c>
      <c r="D1112" s="268" t="str">
        <f>$D$7</f>
        <v>SE</v>
      </c>
      <c r="E1112" s="268" t="str">
        <f>$E$7</f>
        <v>Total</v>
      </c>
      <c r="F1112" s="268"/>
      <c r="G1112" s="268" t="str">
        <f>$G$7</f>
        <v>FT</v>
      </c>
      <c r="H1112" s="268" t="str">
        <f>$H$7</f>
        <v>PT</v>
      </c>
      <c r="I1112" s="268" t="str">
        <f>$I$7</f>
        <v>SE</v>
      </c>
      <c r="J1112" s="268" t="str">
        <f>$J$7</f>
        <v>Total</v>
      </c>
      <c r="K1112" s="268"/>
      <c r="L1112" s="268" t="str">
        <f>$L$7</f>
        <v>FT</v>
      </c>
      <c r="M1112" s="268" t="str">
        <f>$M$7</f>
        <v>PT</v>
      </c>
      <c r="N1112" s="268" t="str">
        <f>$N$7</f>
        <v>SE</v>
      </c>
      <c r="O1112" s="268" t="str">
        <f>$O$7</f>
        <v>Total</v>
      </c>
    </row>
    <row r="1113" spans="1:15" s="236" customFormat="1" x14ac:dyDescent="0.2">
      <c r="A1113" s="258"/>
      <c r="B1113" s="239"/>
      <c r="C1113" s="239"/>
      <c r="D1113" s="239"/>
      <c r="E1113" s="239"/>
      <c r="F1113" s="239"/>
      <c r="G1113" s="239"/>
      <c r="H1113" s="239"/>
      <c r="I1113" s="239"/>
      <c r="J1113" s="239"/>
      <c r="K1113" s="239"/>
      <c r="L1113" s="239"/>
      <c r="M1113" s="239"/>
      <c r="N1113" s="239"/>
      <c r="O1113" s="239"/>
    </row>
    <row r="1114" spans="1:15" s="236" customFormat="1" x14ac:dyDescent="0.2">
      <c r="A1114" s="237" t="str">
        <f>name!E$4</f>
        <v>Managers, directors and senior officials</v>
      </c>
      <c r="B1114" s="302">
        <v>1.7712547473252716</v>
      </c>
      <c r="C1114" s="302">
        <v>0.43815189432272111</v>
      </c>
      <c r="D1114" s="302">
        <v>0.51672706354453002</v>
      </c>
      <c r="E1114" s="302">
        <f>SUM(B1114:D1114)</f>
        <v>2.7261337051925225</v>
      </c>
      <c r="F1114" s="303"/>
      <c r="G1114" s="302">
        <v>1.5070960328925458</v>
      </c>
      <c r="H1114" s="302">
        <v>0.55400043741773641</v>
      </c>
      <c r="I1114" s="302">
        <v>0.44984912782826902</v>
      </c>
      <c r="J1114" s="302">
        <f>SUM(G1114:I1114)</f>
        <v>2.5109455981385516</v>
      </c>
      <c r="K1114" s="303"/>
      <c r="L1114" s="302">
        <v>1.6281673599474493</v>
      </c>
      <c r="M1114" s="302">
        <v>0.70215176606712948</v>
      </c>
      <c r="N1114" s="302">
        <v>0.32453245815090281</v>
      </c>
      <c r="O1114" s="302">
        <f>SUM(L1114:N1114)</f>
        <v>2.6548515841654812</v>
      </c>
    </row>
    <row r="1115" spans="1:15" s="236" customFormat="1" x14ac:dyDescent="0.2">
      <c r="A1115" s="237" t="str">
        <f>name!E$5</f>
        <v>Professional occupations</v>
      </c>
      <c r="B1115" s="302">
        <v>40.406676657393355</v>
      </c>
      <c r="C1115" s="302">
        <v>11.566508672847871</v>
      </c>
      <c r="D1115" s="302">
        <v>0.70519881363658676</v>
      </c>
      <c r="E1115" s="302">
        <f t="shared" ref="E1115:E1122" si="476">SUM(B1115:D1115)</f>
        <v>52.678384143877807</v>
      </c>
      <c r="F1115" s="303"/>
      <c r="G1115" s="302">
        <v>40.387549105067635</v>
      </c>
      <c r="H1115" s="302">
        <v>12.818600478305513</v>
      </c>
      <c r="I1115" s="302">
        <v>0.68713102933857784</v>
      </c>
      <c r="J1115" s="302">
        <f t="shared" ref="J1115:J1117" si="477">SUM(G1115:I1115)</f>
        <v>53.893280612711727</v>
      </c>
      <c r="K1115" s="303"/>
      <c r="L1115" s="302">
        <v>47.357969334990457</v>
      </c>
      <c r="M1115" s="302">
        <v>16.892853648283808</v>
      </c>
      <c r="N1115" s="302">
        <v>5.127565348353811E-2</v>
      </c>
      <c r="O1115" s="302">
        <f t="shared" ref="O1115:O1122" si="478">SUM(L1115:N1115)</f>
        <v>64.302098636757805</v>
      </c>
    </row>
    <row r="1116" spans="1:15" s="236" customFormat="1" x14ac:dyDescent="0.2">
      <c r="A1116" s="237" t="str">
        <f>name!E$6</f>
        <v>Associate professional occupations</v>
      </c>
      <c r="B1116" s="302">
        <v>4.7658745811772025</v>
      </c>
      <c r="C1116" s="302">
        <v>2.7079886230549906</v>
      </c>
      <c r="D1116" s="302">
        <v>0.40642528070736827</v>
      </c>
      <c r="E1116" s="302">
        <f t="shared" si="476"/>
        <v>7.8802884849395616</v>
      </c>
      <c r="F1116" s="303"/>
      <c r="G1116" s="302">
        <v>4.3777951223458516</v>
      </c>
      <c r="H1116" s="302">
        <v>2.951726907627946</v>
      </c>
      <c r="I1116" s="302">
        <v>0.28903227729076442</v>
      </c>
      <c r="J1116" s="302">
        <f t="shared" si="477"/>
        <v>7.6185543072645618</v>
      </c>
      <c r="K1116" s="303"/>
      <c r="L1116" s="302">
        <v>4.2398228232392663</v>
      </c>
      <c r="M1116" s="302">
        <v>3.2278806772020725</v>
      </c>
      <c r="N1116" s="302">
        <v>3.3476631120300374E-2</v>
      </c>
      <c r="O1116" s="302">
        <f t="shared" si="478"/>
        <v>7.5011801315616387</v>
      </c>
    </row>
    <row r="1117" spans="1:15" s="236" customFormat="1" x14ac:dyDescent="0.2">
      <c r="A1117" s="237" t="str">
        <f>name!E$7</f>
        <v>Administrative and secretarial occupations</v>
      </c>
      <c r="B1117" s="302">
        <v>2.0677439027668942</v>
      </c>
      <c r="C1117" s="302">
        <v>4.940323358782936</v>
      </c>
      <c r="D1117" s="302">
        <v>0.30640086662693727</v>
      </c>
      <c r="E1117" s="302">
        <f t="shared" si="476"/>
        <v>7.3144681281767676</v>
      </c>
      <c r="F1117" s="303"/>
      <c r="G1117" s="302">
        <v>1.8114557650681575</v>
      </c>
      <c r="H1117" s="302">
        <v>4.3989528502938464</v>
      </c>
      <c r="I1117" s="302">
        <v>0.25646098120133853</v>
      </c>
      <c r="J1117" s="302">
        <f t="shared" si="477"/>
        <v>6.4668695965633427</v>
      </c>
      <c r="K1117" s="303"/>
      <c r="L1117" s="302">
        <v>0.72736249538369591</v>
      </c>
      <c r="M1117" s="302">
        <v>3.475124005001816</v>
      </c>
      <c r="N1117" s="302">
        <v>0.28144943161461783</v>
      </c>
      <c r="O1117" s="302">
        <f t="shared" si="478"/>
        <v>4.4839359320001302</v>
      </c>
    </row>
    <row r="1118" spans="1:15" s="236" customFormat="1" x14ac:dyDescent="0.2">
      <c r="A1118" s="237" t="str">
        <f>name!E$8</f>
        <v>Skilled trades occupations</v>
      </c>
      <c r="B1118" s="302">
        <v>1.0341127680632762</v>
      </c>
      <c r="C1118" s="302">
        <v>0.57332184611645776</v>
      </c>
      <c r="D1118" s="302">
        <v>1.0560483328532284</v>
      </c>
      <c r="E1118" s="302">
        <f t="shared" si="476"/>
        <v>2.6634829470329624</v>
      </c>
      <c r="F1118" s="303"/>
      <c r="G1118" s="302">
        <v>0.61452485047946948</v>
      </c>
      <c r="H1118" s="302">
        <v>0.39064617078418346</v>
      </c>
      <c r="I1118" s="302">
        <v>0.90848420857737355</v>
      </c>
      <c r="J1118" s="302">
        <f>SUM(G1118:I1118)</f>
        <v>1.9136552298410265</v>
      </c>
      <c r="K1118" s="303"/>
      <c r="L1118" s="302">
        <v>0.36030369360801628</v>
      </c>
      <c r="M1118" s="302">
        <v>0.20114663106946251</v>
      </c>
      <c r="N1118" s="302">
        <v>1.4248908555546349</v>
      </c>
      <c r="O1118" s="302">
        <f t="shared" si="478"/>
        <v>1.9863411802321136</v>
      </c>
    </row>
    <row r="1119" spans="1:15" s="236" customFormat="1" x14ac:dyDescent="0.2">
      <c r="A1119" s="237" t="str">
        <f>name!E$9</f>
        <v>Caring, leisure and other service occupations</v>
      </c>
      <c r="B1119" s="302">
        <v>11.098839301020913</v>
      </c>
      <c r="C1119" s="302">
        <v>12.401515343012283</v>
      </c>
      <c r="D1119" s="302">
        <v>1.8889190808022176</v>
      </c>
      <c r="E1119" s="302">
        <f t="shared" si="476"/>
        <v>25.389273724835412</v>
      </c>
      <c r="F1119" s="303"/>
      <c r="G1119" s="302">
        <v>10.559269317180132</v>
      </c>
      <c r="H1119" s="302">
        <v>11.753456666438241</v>
      </c>
      <c r="I1119" s="302">
        <v>1.2901927345539266</v>
      </c>
      <c r="J1119" s="302">
        <f t="shared" ref="J1119:J1122" si="479">SUM(G1119:I1119)</f>
        <v>23.602918718172297</v>
      </c>
      <c r="K1119" s="303"/>
      <c r="L1119" s="302">
        <v>12.806803987602725</v>
      </c>
      <c r="M1119" s="302">
        <v>12.933577970540821</v>
      </c>
      <c r="N1119" s="302">
        <v>2.093809562573949</v>
      </c>
      <c r="O1119" s="302">
        <f t="shared" si="478"/>
        <v>27.834191520717493</v>
      </c>
    </row>
    <row r="1120" spans="1:15" s="236" customFormat="1" x14ac:dyDescent="0.2">
      <c r="A1120" s="237" t="str">
        <f>name!E$10</f>
        <v>Sales and customer service occupations</v>
      </c>
      <c r="B1120" s="302">
        <v>0.2277757554410271</v>
      </c>
      <c r="C1120" s="302">
        <v>0.41489355315790466</v>
      </c>
      <c r="D1120" s="302">
        <v>0.48380388313500788</v>
      </c>
      <c r="E1120" s="302">
        <f t="shared" si="476"/>
        <v>1.1264731917339397</v>
      </c>
      <c r="F1120" s="303"/>
      <c r="G1120" s="302">
        <v>0.1827526261122274</v>
      </c>
      <c r="H1120" s="302">
        <v>0.36690246877679145</v>
      </c>
      <c r="I1120" s="302">
        <v>0.36796058336819365</v>
      </c>
      <c r="J1120" s="302">
        <f t="shared" si="479"/>
        <v>0.91761567825721246</v>
      </c>
      <c r="K1120" s="303"/>
      <c r="L1120" s="302">
        <v>0.1899917509909905</v>
      </c>
      <c r="M1120" s="302">
        <v>0.37200963542089083</v>
      </c>
      <c r="N1120" s="302">
        <v>0.43637360184534046</v>
      </c>
      <c r="O1120" s="302">
        <f t="shared" si="478"/>
        <v>0.99837498825722182</v>
      </c>
    </row>
    <row r="1121" spans="1:15" s="236" customFormat="1" x14ac:dyDescent="0.2">
      <c r="A1121" s="237" t="str">
        <f>name!E$11</f>
        <v>Process, plant and machine operatives</v>
      </c>
      <c r="B1121" s="302">
        <v>0.1770740541893033</v>
      </c>
      <c r="C1121" s="302">
        <v>0.20450155704433604</v>
      </c>
      <c r="D1121" s="302">
        <v>1.7260994662127378</v>
      </c>
      <c r="E1121" s="302">
        <f t="shared" si="476"/>
        <v>2.1076750774463773</v>
      </c>
      <c r="F1121" s="303"/>
      <c r="G1121" s="302">
        <v>9.4251735567170702E-2</v>
      </c>
      <c r="H1121" s="302">
        <v>0.1350331412913269</v>
      </c>
      <c r="I1121" s="302">
        <v>2.2761296056305711</v>
      </c>
      <c r="J1121" s="302">
        <f t="shared" si="479"/>
        <v>2.5054144824890687</v>
      </c>
      <c r="K1121" s="303"/>
      <c r="L1121" s="302">
        <v>6.2475312315358578E-2</v>
      </c>
      <c r="M1121" s="302">
        <v>0.14369377751923432</v>
      </c>
      <c r="N1121" s="302">
        <v>2.3276217866575273</v>
      </c>
      <c r="O1121" s="302">
        <f t="shared" si="478"/>
        <v>2.53379087649212</v>
      </c>
    </row>
    <row r="1122" spans="1:15" s="236" customFormat="1" x14ac:dyDescent="0.2">
      <c r="A1122" s="237" t="str">
        <f>name!E$12</f>
        <v>Elementary occupations</v>
      </c>
      <c r="B1122" s="302">
        <v>0.69064823403623632</v>
      </c>
      <c r="C1122" s="302">
        <v>4.1067951501673354</v>
      </c>
      <c r="D1122" s="302">
        <v>1.7333772124870204</v>
      </c>
      <c r="E1122" s="302">
        <f t="shared" si="476"/>
        <v>6.5308205966905923</v>
      </c>
      <c r="F1122" s="303"/>
      <c r="G1122" s="302">
        <v>0.53130544807494007</v>
      </c>
      <c r="H1122" s="302">
        <v>3.1166808781967847</v>
      </c>
      <c r="I1122" s="302">
        <v>1.165759452204445</v>
      </c>
      <c r="J1122" s="302">
        <f t="shared" si="479"/>
        <v>4.8137457784761697</v>
      </c>
      <c r="K1122" s="303"/>
      <c r="L1122" s="302">
        <v>0.61210324365398905</v>
      </c>
      <c r="M1122" s="302">
        <v>0.1095618891988679</v>
      </c>
      <c r="N1122" s="302">
        <v>1.7505700189292248</v>
      </c>
      <c r="O1122" s="302">
        <f t="shared" si="478"/>
        <v>2.4722351517820815</v>
      </c>
    </row>
    <row r="1123" spans="1:15" s="236" customFormat="1" x14ac:dyDescent="0.2">
      <c r="A1123" s="237"/>
      <c r="B1123" s="302"/>
      <c r="C1123" s="302"/>
      <c r="D1123" s="302"/>
      <c r="E1123" s="302"/>
      <c r="F1123" s="303"/>
      <c r="G1123" s="302"/>
      <c r="H1123" s="302"/>
      <c r="I1123" s="302"/>
      <c r="J1123" s="302"/>
      <c r="K1123" s="303"/>
      <c r="L1123" s="302"/>
      <c r="M1123" s="302"/>
      <c r="N1123" s="302"/>
      <c r="O1123" s="302"/>
    </row>
    <row r="1124" spans="1:15" s="236" customFormat="1" x14ac:dyDescent="0.2">
      <c r="A1124" s="244" t="s">
        <v>32</v>
      </c>
      <c r="B1124" s="311">
        <f>SUM(B1114:B1122)</f>
        <v>62.240000001413485</v>
      </c>
      <c r="C1124" s="311">
        <f t="shared" ref="C1124:E1124" si="480">SUM(C1114:C1122)</f>
        <v>37.353999998506836</v>
      </c>
      <c r="D1124" s="311">
        <f t="shared" si="480"/>
        <v>8.823000000005635</v>
      </c>
      <c r="E1124" s="311">
        <f t="shared" si="480"/>
        <v>108.41699999992592</v>
      </c>
      <c r="F1124" s="311"/>
      <c r="G1124" s="311">
        <f t="shared" ref="G1124:J1124" si="481">SUM(G1114:G1122)</f>
        <v>60.06600000278813</v>
      </c>
      <c r="H1124" s="311">
        <f t="shared" si="481"/>
        <v>36.48599999913236</v>
      </c>
      <c r="I1124" s="311">
        <f t="shared" si="481"/>
        <v>7.6909999999934593</v>
      </c>
      <c r="J1124" s="311">
        <f t="shared" si="481"/>
        <v>104.24300000191396</v>
      </c>
      <c r="K1124" s="311"/>
      <c r="L1124" s="311">
        <f t="shared" ref="L1124:O1124" si="482">SUM(L1114:L1122)</f>
        <v>67.985000001731933</v>
      </c>
      <c r="M1124" s="311">
        <f t="shared" si="482"/>
        <v>38.058000000304091</v>
      </c>
      <c r="N1124" s="311">
        <f t="shared" si="482"/>
        <v>8.7239999999300348</v>
      </c>
      <c r="O1124" s="311">
        <f t="shared" si="482"/>
        <v>114.76700000196611</v>
      </c>
    </row>
    <row r="1125" spans="1:15" s="236" customFormat="1" x14ac:dyDescent="0.2">
      <c r="A1125" s="237"/>
      <c r="B1125" s="237"/>
      <c r="C1125" s="237"/>
      <c r="D1125" s="237"/>
      <c r="E1125" s="237"/>
      <c r="F1125" s="237"/>
      <c r="G1125" s="237"/>
      <c r="H1125" s="237"/>
      <c r="I1125" s="237"/>
      <c r="J1125" s="237"/>
      <c r="K1125" s="237"/>
      <c r="L1125" s="237"/>
      <c r="M1125" s="237"/>
      <c r="N1125" s="240"/>
    </row>
    <row r="1126" spans="1:15" s="236" customFormat="1" x14ac:dyDescent="0.2">
      <c r="A1126" s="237"/>
      <c r="B1126" s="237"/>
      <c r="C1126" s="237"/>
      <c r="D1126" s="237"/>
      <c r="E1126" s="237"/>
      <c r="F1126" s="237"/>
      <c r="G1126" s="237"/>
      <c r="H1126" s="237"/>
      <c r="I1126" s="237"/>
      <c r="J1126" s="237"/>
      <c r="K1126" s="237"/>
      <c r="L1126" s="237"/>
      <c r="M1126" s="237"/>
      <c r="N1126" s="240"/>
      <c r="O1126" s="251" t="s">
        <v>35</v>
      </c>
    </row>
    <row r="1127" spans="1:15" s="236" customFormat="1" x14ac:dyDescent="0.2">
      <c r="A1127" s="242"/>
      <c r="B1127" s="242"/>
      <c r="C1127" s="242"/>
      <c r="D1127" s="242"/>
      <c r="E1127" s="242"/>
      <c r="F1127" s="242"/>
      <c r="G1127" s="242"/>
      <c r="H1127" s="242"/>
      <c r="I1127" s="242"/>
      <c r="J1127" s="242"/>
      <c r="K1127" s="242"/>
      <c r="L1127" s="242"/>
      <c r="M1127" s="242"/>
      <c r="N1127" s="242"/>
      <c r="O1127" s="242"/>
    </row>
    <row r="1128" spans="1:15" s="236" customFormat="1" x14ac:dyDescent="0.2">
      <c r="A1128" s="241" t="str">
        <f>name!A69</f>
        <v>Health</v>
      </c>
      <c r="B1128" s="374">
        <f>$B$6</f>
        <v>2015</v>
      </c>
      <c r="C1128" s="374"/>
      <c r="D1128" s="374"/>
      <c r="E1128" s="374"/>
      <c r="F1128" s="263"/>
      <c r="G1128" s="374">
        <f>$G$6</f>
        <v>2020</v>
      </c>
      <c r="H1128" s="374"/>
      <c r="I1128" s="374"/>
      <c r="J1128" s="374"/>
      <c r="K1128" s="263"/>
      <c r="L1128" s="374">
        <f>$L$6</f>
        <v>2035</v>
      </c>
      <c r="M1128" s="374"/>
      <c r="N1128" s="374"/>
      <c r="O1128" s="374"/>
    </row>
    <row r="1129" spans="1:15" s="236" customFormat="1" x14ac:dyDescent="0.2">
      <c r="A1129" s="254"/>
      <c r="B1129" s="268" t="str">
        <f>$B$7</f>
        <v>FT</v>
      </c>
      <c r="C1129" s="268" t="str">
        <f>$C$7</f>
        <v>PT</v>
      </c>
      <c r="D1129" s="268" t="str">
        <f>$D$7</f>
        <v>SE</v>
      </c>
      <c r="E1129" s="268" t="str">
        <f>$E$7</f>
        <v>Total</v>
      </c>
      <c r="F1129" s="268"/>
      <c r="G1129" s="268" t="str">
        <f>$G$7</f>
        <v>FT</v>
      </c>
      <c r="H1129" s="268" t="str">
        <f>$H$7</f>
        <v>PT</v>
      </c>
      <c r="I1129" s="268" t="str">
        <f>$I$7</f>
        <v>SE</v>
      </c>
      <c r="J1129" s="268" t="str">
        <f>$J$7</f>
        <v>Total</v>
      </c>
      <c r="K1129" s="268"/>
      <c r="L1129" s="268" t="str">
        <f>$L$7</f>
        <v>FT</v>
      </c>
      <c r="M1129" s="268" t="str">
        <f>$M$7</f>
        <v>PT</v>
      </c>
      <c r="N1129" s="268" t="str">
        <f>$N$7</f>
        <v>SE</v>
      </c>
      <c r="O1129" s="268" t="str">
        <f>$O$7</f>
        <v>Total</v>
      </c>
    </row>
    <row r="1130" spans="1:15" s="236" customFormat="1" x14ac:dyDescent="0.2">
      <c r="A1130" s="258"/>
      <c r="B1130" s="239"/>
      <c r="C1130" s="239"/>
      <c r="D1130" s="239"/>
      <c r="E1130" s="239"/>
      <c r="F1130" s="239"/>
      <c r="G1130" s="239"/>
      <c r="H1130" s="239"/>
      <c r="I1130" s="239"/>
      <c r="J1130" s="239"/>
      <c r="K1130" s="239"/>
      <c r="L1130" s="239"/>
      <c r="M1130" s="239"/>
      <c r="N1130" s="239"/>
      <c r="O1130" s="239"/>
    </row>
    <row r="1131" spans="1:15" s="236" customFormat="1" x14ac:dyDescent="0.2">
      <c r="A1131" s="237" t="str">
        <f>name!E$4</f>
        <v>Managers, directors and senior officials</v>
      </c>
      <c r="B1131" s="302">
        <v>3.4197133304322795</v>
      </c>
      <c r="C1131" s="302">
        <v>0.87718515893780113</v>
      </c>
      <c r="D1131" s="302">
        <v>0.59848115745948871</v>
      </c>
      <c r="E1131" s="302">
        <f>SUM(B1131:D1131)</f>
        <v>4.8953796468295696</v>
      </c>
      <c r="F1131" s="303"/>
      <c r="G1131" s="302">
        <v>3.6147787324852887</v>
      </c>
      <c r="H1131" s="302">
        <v>1.3795300530336794</v>
      </c>
      <c r="I1131" s="302">
        <v>0.5315916483679376</v>
      </c>
      <c r="J1131" s="302">
        <f>SUM(G1131:I1131)</f>
        <v>5.525900433886906</v>
      </c>
      <c r="K1131" s="303"/>
      <c r="L1131" s="302">
        <v>4.7507638841929367</v>
      </c>
      <c r="M1131" s="302">
        <v>1.8965715110160359</v>
      </c>
      <c r="N1131" s="302">
        <v>0.52585571476603188</v>
      </c>
      <c r="O1131" s="302">
        <f>SUM(L1131:N1131)</f>
        <v>7.1731911099750052</v>
      </c>
    </row>
    <row r="1132" spans="1:15" s="236" customFormat="1" x14ac:dyDescent="0.2">
      <c r="A1132" s="237" t="str">
        <f>name!E$5</f>
        <v>Professional occupations</v>
      </c>
      <c r="B1132" s="302">
        <v>25.707042923029483</v>
      </c>
      <c r="C1132" s="302">
        <v>11.843037865180598</v>
      </c>
      <c r="D1132" s="302">
        <v>3.4808432249529502</v>
      </c>
      <c r="E1132" s="302">
        <f t="shared" ref="E1132:E1139" si="483">SUM(B1132:D1132)</f>
        <v>41.03092401316303</v>
      </c>
      <c r="F1132" s="303"/>
      <c r="G1132" s="302">
        <v>28.426308245854123</v>
      </c>
      <c r="H1132" s="302">
        <v>15.622757810187329</v>
      </c>
      <c r="I1132" s="302">
        <v>2.7250904778182976</v>
      </c>
      <c r="J1132" s="302">
        <f t="shared" ref="J1132:J1134" si="484">SUM(G1132:I1132)</f>
        <v>46.774156533859752</v>
      </c>
      <c r="K1132" s="303"/>
      <c r="L1132" s="302">
        <v>36.782605229775257</v>
      </c>
      <c r="M1132" s="302">
        <v>21.678612333294222</v>
      </c>
      <c r="N1132" s="302">
        <v>3.0444014594489777</v>
      </c>
      <c r="O1132" s="302">
        <f t="shared" ref="O1132:O1139" si="485">SUM(L1132:N1132)</f>
        <v>61.505619022518459</v>
      </c>
    </row>
    <row r="1133" spans="1:15" s="236" customFormat="1" x14ac:dyDescent="0.2">
      <c r="A1133" s="237" t="str">
        <f>name!E$6</f>
        <v>Associate professional occupations</v>
      </c>
      <c r="B1133" s="302">
        <v>9.166157315713896</v>
      </c>
      <c r="C1133" s="302">
        <v>5.0106592619689021</v>
      </c>
      <c r="D1133" s="302">
        <v>0.81959573187834711</v>
      </c>
      <c r="E1133" s="302">
        <f t="shared" si="483"/>
        <v>14.996412309561146</v>
      </c>
      <c r="F1133" s="303"/>
      <c r="G1133" s="302">
        <v>9.9439751751989736</v>
      </c>
      <c r="H1133" s="302">
        <v>6.6123371139240259</v>
      </c>
      <c r="I1133" s="302">
        <v>0.52994214168199227</v>
      </c>
      <c r="J1133" s="302">
        <f t="shared" si="484"/>
        <v>17.086254430804992</v>
      </c>
      <c r="K1133" s="303"/>
      <c r="L1133" s="302">
        <v>11.516231610954716</v>
      </c>
      <c r="M1133" s="302">
        <v>7.7939601888512087</v>
      </c>
      <c r="N1133" s="302">
        <v>0.62129774809040272</v>
      </c>
      <c r="O1133" s="302">
        <f t="shared" si="485"/>
        <v>19.931489547896327</v>
      </c>
    </row>
    <row r="1134" spans="1:15" s="236" customFormat="1" x14ac:dyDescent="0.2">
      <c r="A1134" s="237" t="str">
        <f>name!E$7</f>
        <v>Administrative and secretarial occupations</v>
      </c>
      <c r="B1134" s="302">
        <v>3.9995853651152631</v>
      </c>
      <c r="C1134" s="302">
        <v>5.3056642387111008</v>
      </c>
      <c r="D1134" s="302">
        <v>0.14658311217541081</v>
      </c>
      <c r="E1134" s="302">
        <f t="shared" si="483"/>
        <v>9.4518327160017748</v>
      </c>
      <c r="F1134" s="303"/>
      <c r="G1134" s="302">
        <v>3.513750368127885</v>
      </c>
      <c r="H1134" s="302">
        <v>5.3585015035095767</v>
      </c>
      <c r="I1134" s="302">
        <v>8.8490439815386332E-2</v>
      </c>
      <c r="J1134" s="302">
        <f t="shared" si="484"/>
        <v>8.9607423114528473</v>
      </c>
      <c r="K1134" s="303"/>
      <c r="L1134" s="302">
        <v>2.7745911816638373</v>
      </c>
      <c r="M1134" s="302">
        <v>2.7703538689375895</v>
      </c>
      <c r="N1134" s="302">
        <v>7.0671013931460538E-2</v>
      </c>
      <c r="O1134" s="302">
        <f t="shared" si="485"/>
        <v>5.6156160645328876</v>
      </c>
    </row>
    <row r="1135" spans="1:15" s="236" customFormat="1" x14ac:dyDescent="0.2">
      <c r="A1135" s="237" t="str">
        <f>name!E$8</f>
        <v>Skilled trades occupations</v>
      </c>
      <c r="B1135" s="302">
        <v>0.80026528389735974</v>
      </c>
      <c r="C1135" s="302">
        <v>0.58045610768129929</v>
      </c>
      <c r="D1135" s="302">
        <v>0.26436424911549994</v>
      </c>
      <c r="E1135" s="302">
        <f t="shared" si="483"/>
        <v>1.645085640694159</v>
      </c>
      <c r="F1135" s="303"/>
      <c r="G1135" s="302">
        <v>0.62548454993684133</v>
      </c>
      <c r="H1135" s="302">
        <v>0.51268742522150934</v>
      </c>
      <c r="I1135" s="302">
        <v>0.18165322154282018</v>
      </c>
      <c r="J1135" s="302">
        <f>SUM(G1135:I1135)</f>
        <v>1.3198251967011709</v>
      </c>
      <c r="K1135" s="303"/>
      <c r="L1135" s="302">
        <v>0.40235045956217941</v>
      </c>
      <c r="M1135" s="302">
        <v>0.42063359092195501</v>
      </c>
      <c r="N1135" s="302">
        <v>0.18805625310263693</v>
      </c>
      <c r="O1135" s="302">
        <f t="shared" si="485"/>
        <v>1.0110403035867712</v>
      </c>
    </row>
    <row r="1136" spans="1:15" s="236" customFormat="1" x14ac:dyDescent="0.2">
      <c r="A1136" s="237" t="str">
        <f>name!E$9</f>
        <v>Caring, leisure and other service occupations</v>
      </c>
      <c r="B1136" s="302">
        <v>17.479928481251992</v>
      </c>
      <c r="C1136" s="302">
        <v>14.24012639692409</v>
      </c>
      <c r="D1136" s="302">
        <v>1.3119975425449235</v>
      </c>
      <c r="E1136" s="302">
        <f t="shared" si="483"/>
        <v>33.032052420721008</v>
      </c>
      <c r="F1136" s="303"/>
      <c r="G1136" s="302">
        <v>16.281866339617267</v>
      </c>
      <c r="H1136" s="302">
        <v>15.401829991482334</v>
      </c>
      <c r="I1136" s="302">
        <v>1.1572406318212207</v>
      </c>
      <c r="J1136" s="302">
        <f t="shared" ref="J1136:J1139" si="486">SUM(G1136:I1136)</f>
        <v>32.840936962920821</v>
      </c>
      <c r="K1136" s="303"/>
      <c r="L1136" s="302">
        <v>17.653127047280588</v>
      </c>
      <c r="M1136" s="302">
        <v>17.808577345855415</v>
      </c>
      <c r="N1136" s="302">
        <v>1.5751344017221163</v>
      </c>
      <c r="O1136" s="302">
        <f t="shared" si="485"/>
        <v>37.03683879485812</v>
      </c>
    </row>
    <row r="1137" spans="1:15" s="236" customFormat="1" x14ac:dyDescent="0.2">
      <c r="A1137" s="237" t="str">
        <f>name!E$10</f>
        <v>Sales and customer service occupations</v>
      </c>
      <c r="B1137" s="302">
        <v>0.80072753658070706</v>
      </c>
      <c r="C1137" s="302">
        <v>0.7948630557796782</v>
      </c>
      <c r="D1137" s="302">
        <v>0.10348004582588011</v>
      </c>
      <c r="E1137" s="302">
        <f t="shared" si="483"/>
        <v>1.6990706381862655</v>
      </c>
      <c r="F1137" s="303"/>
      <c r="G1137" s="302">
        <v>0.7059863287197583</v>
      </c>
      <c r="H1137" s="302">
        <v>0.81204035100778826</v>
      </c>
      <c r="I1137" s="302">
        <v>5.1532611692006049E-2</v>
      </c>
      <c r="J1137" s="302">
        <f t="shared" si="486"/>
        <v>1.5695592914195526</v>
      </c>
      <c r="K1137" s="303"/>
      <c r="L1137" s="302">
        <v>0.84115624250035848</v>
      </c>
      <c r="M1137" s="302">
        <v>0.89345451320144564</v>
      </c>
      <c r="N1137" s="302">
        <v>6.6884754984253683E-2</v>
      </c>
      <c r="O1137" s="302">
        <f t="shared" si="485"/>
        <v>1.801495510686058</v>
      </c>
    </row>
    <row r="1138" spans="1:15" s="236" customFormat="1" x14ac:dyDescent="0.2">
      <c r="A1138" s="237" t="str">
        <f>name!E$11</f>
        <v>Process, plant and machine operatives</v>
      </c>
      <c r="B1138" s="302">
        <v>0.32294502069454795</v>
      </c>
      <c r="C1138" s="302">
        <v>0.31842487327095725</v>
      </c>
      <c r="D1138" s="302">
        <v>4.5566049413344613E-2</v>
      </c>
      <c r="E1138" s="302">
        <f t="shared" si="483"/>
        <v>0.68693594337884989</v>
      </c>
      <c r="F1138" s="303"/>
      <c r="G1138" s="302">
        <v>0.23180887709987275</v>
      </c>
      <c r="H1138" s="302">
        <v>0.32940112885838507</v>
      </c>
      <c r="I1138" s="302">
        <v>3.0821224552078075E-2</v>
      </c>
      <c r="J1138" s="302">
        <f t="shared" si="486"/>
        <v>0.5920312305103359</v>
      </c>
      <c r="K1138" s="303"/>
      <c r="L1138" s="302">
        <v>8.1264073703213743E-2</v>
      </c>
      <c r="M1138" s="302">
        <v>0.23573869169231518</v>
      </c>
      <c r="N1138" s="302">
        <v>0.1087239747928503</v>
      </c>
      <c r="O1138" s="302">
        <f t="shared" si="485"/>
        <v>0.42572674018837919</v>
      </c>
    </row>
    <row r="1139" spans="1:15" s="236" customFormat="1" x14ac:dyDescent="0.2">
      <c r="A1139" s="237" t="str">
        <f>name!E$12</f>
        <v>Elementary occupations</v>
      </c>
      <c r="B1139" s="302">
        <v>2.7996347427196255</v>
      </c>
      <c r="C1139" s="302">
        <v>1.9805830407472471</v>
      </c>
      <c r="D1139" s="302">
        <v>0.63408888650669204</v>
      </c>
      <c r="E1139" s="302">
        <f t="shared" si="483"/>
        <v>5.4143066699735645</v>
      </c>
      <c r="F1139" s="303"/>
      <c r="G1139" s="302">
        <v>2.1720413829200083</v>
      </c>
      <c r="H1139" s="302">
        <v>1.7139146221000692</v>
      </c>
      <c r="I1139" s="302">
        <v>0.30963760302199006</v>
      </c>
      <c r="J1139" s="302">
        <f t="shared" si="486"/>
        <v>4.195593608042067</v>
      </c>
      <c r="K1139" s="303"/>
      <c r="L1139" s="302">
        <v>3.8879102706230757</v>
      </c>
      <c r="M1139" s="302">
        <v>0.3170979561432114</v>
      </c>
      <c r="N1139" s="302">
        <v>0.84097467942279358</v>
      </c>
      <c r="O1139" s="302">
        <f t="shared" si="485"/>
        <v>5.0459829061890806</v>
      </c>
    </row>
    <row r="1140" spans="1:15" s="236" customFormat="1" x14ac:dyDescent="0.2">
      <c r="A1140" s="237"/>
      <c r="B1140" s="302"/>
      <c r="C1140" s="302"/>
      <c r="D1140" s="302"/>
      <c r="E1140" s="302"/>
      <c r="F1140" s="303"/>
      <c r="G1140" s="302"/>
      <c r="H1140" s="302"/>
      <c r="I1140" s="302"/>
      <c r="J1140" s="302"/>
      <c r="K1140" s="303"/>
      <c r="L1140" s="302"/>
      <c r="M1140" s="302"/>
      <c r="N1140" s="302"/>
      <c r="O1140" s="302"/>
    </row>
    <row r="1141" spans="1:15" s="236" customFormat="1" x14ac:dyDescent="0.2">
      <c r="A1141" s="244" t="s">
        <v>32</v>
      </c>
      <c r="B1141" s="311">
        <f>SUM(B1131:B1139)</f>
        <v>64.495999999435156</v>
      </c>
      <c r="C1141" s="311">
        <f t="shared" ref="C1141:E1141" si="487">SUM(C1131:C1139)</f>
        <v>40.950999999201677</v>
      </c>
      <c r="D1141" s="311">
        <f t="shared" si="487"/>
        <v>7.4049999998725378</v>
      </c>
      <c r="E1141" s="311">
        <f t="shared" si="487"/>
        <v>112.85199999850938</v>
      </c>
      <c r="F1141" s="311"/>
      <c r="G1141" s="311">
        <f t="shared" ref="G1141:J1141" si="488">SUM(G1131:G1139)</f>
        <v>65.51599999996003</v>
      </c>
      <c r="H1141" s="311">
        <f t="shared" si="488"/>
        <v>47.742999999324702</v>
      </c>
      <c r="I1141" s="311">
        <f t="shared" si="488"/>
        <v>5.6060000003137294</v>
      </c>
      <c r="J1141" s="311">
        <f t="shared" si="488"/>
        <v>118.86499999959844</v>
      </c>
      <c r="K1141" s="311"/>
      <c r="L1141" s="311">
        <f t="shared" ref="L1141:O1141" si="489">SUM(L1131:L1139)</f>
        <v>78.690000000256163</v>
      </c>
      <c r="M1141" s="311">
        <f t="shared" si="489"/>
        <v>53.81499999991339</v>
      </c>
      <c r="N1141" s="311">
        <f t="shared" si="489"/>
        <v>7.042000000261524</v>
      </c>
      <c r="O1141" s="311">
        <f t="shared" si="489"/>
        <v>139.54700000043107</v>
      </c>
    </row>
    <row r="1142" spans="1:15" s="236" customFormat="1" x14ac:dyDescent="0.2">
      <c r="A1142" s="237"/>
      <c r="B1142" s="237"/>
      <c r="C1142" s="237"/>
      <c r="D1142" s="237"/>
      <c r="E1142" s="237"/>
      <c r="F1142" s="237"/>
      <c r="G1142" s="237"/>
      <c r="H1142" s="237"/>
      <c r="I1142" s="237"/>
      <c r="J1142" s="237"/>
      <c r="K1142" s="237"/>
      <c r="L1142" s="237"/>
      <c r="M1142" s="237"/>
      <c r="N1142" s="240"/>
    </row>
    <row r="1143" spans="1:15" s="236" customFormat="1" x14ac:dyDescent="0.2">
      <c r="A1143" s="237"/>
      <c r="B1143" s="237"/>
      <c r="C1143" s="237"/>
      <c r="D1143" s="237"/>
      <c r="E1143" s="237"/>
      <c r="F1143" s="237"/>
      <c r="G1143" s="237"/>
      <c r="H1143" s="237"/>
      <c r="I1143" s="237"/>
      <c r="J1143" s="237"/>
      <c r="K1143" s="237"/>
      <c r="L1143" s="237"/>
      <c r="M1143" s="237"/>
      <c r="N1143" s="240"/>
      <c r="O1143" s="251" t="s">
        <v>35</v>
      </c>
    </row>
    <row r="1144" spans="1:15" s="236" customFormat="1" x14ac:dyDescent="0.2">
      <c r="A1144" s="242"/>
      <c r="B1144" s="242"/>
      <c r="C1144" s="242"/>
      <c r="D1144" s="242"/>
      <c r="E1144" s="242"/>
      <c r="F1144" s="242"/>
      <c r="G1144" s="242"/>
      <c r="H1144" s="242"/>
      <c r="I1144" s="242"/>
      <c r="J1144" s="242"/>
      <c r="K1144" s="242"/>
      <c r="L1144" s="242"/>
      <c r="M1144" s="242"/>
      <c r="N1144" s="242"/>
      <c r="O1144" s="242"/>
    </row>
    <row r="1145" spans="1:15" s="236" customFormat="1" x14ac:dyDescent="0.2">
      <c r="A1145" s="241" t="str">
        <f>name!A70</f>
        <v>Residential care</v>
      </c>
      <c r="B1145" s="374">
        <f>$B$6</f>
        <v>2015</v>
      </c>
      <c r="C1145" s="374"/>
      <c r="D1145" s="374"/>
      <c r="E1145" s="374"/>
      <c r="F1145" s="263"/>
      <c r="G1145" s="374">
        <f>$G$6</f>
        <v>2020</v>
      </c>
      <c r="H1145" s="374"/>
      <c r="I1145" s="374"/>
      <c r="J1145" s="374"/>
      <c r="K1145" s="263"/>
      <c r="L1145" s="374">
        <f>$L$6</f>
        <v>2035</v>
      </c>
      <c r="M1145" s="374"/>
      <c r="N1145" s="374"/>
      <c r="O1145" s="374"/>
    </row>
    <row r="1146" spans="1:15" s="236" customFormat="1" x14ac:dyDescent="0.2">
      <c r="A1146" s="254"/>
      <c r="B1146" s="268" t="str">
        <f>$B$7</f>
        <v>FT</v>
      </c>
      <c r="C1146" s="268" t="str">
        <f>$C$7</f>
        <v>PT</v>
      </c>
      <c r="D1146" s="268" t="str">
        <f>$D$7</f>
        <v>SE</v>
      </c>
      <c r="E1146" s="268" t="str">
        <f>$E$7</f>
        <v>Total</v>
      </c>
      <c r="F1146" s="268"/>
      <c r="G1146" s="268" t="str">
        <f>$G$7</f>
        <v>FT</v>
      </c>
      <c r="H1146" s="268" t="str">
        <f>$H$7</f>
        <v>PT</v>
      </c>
      <c r="I1146" s="268" t="str">
        <f>$I$7</f>
        <v>SE</v>
      </c>
      <c r="J1146" s="268" t="str">
        <f>$J$7</f>
        <v>Total</v>
      </c>
      <c r="K1146" s="268"/>
      <c r="L1146" s="268" t="str">
        <f>$L$7</f>
        <v>FT</v>
      </c>
      <c r="M1146" s="268" t="str">
        <f>$M$7</f>
        <v>PT</v>
      </c>
      <c r="N1146" s="268" t="str">
        <f>$N$7</f>
        <v>SE</v>
      </c>
      <c r="O1146" s="268" t="str">
        <f>$O$7</f>
        <v>Total</v>
      </c>
    </row>
    <row r="1147" spans="1:15" s="236" customFormat="1" x14ac:dyDescent="0.2">
      <c r="A1147" s="258"/>
      <c r="B1147" s="239"/>
      <c r="C1147" s="239"/>
      <c r="D1147" s="239"/>
      <c r="E1147" s="239"/>
      <c r="F1147" s="239"/>
      <c r="G1147" s="239"/>
      <c r="H1147" s="239"/>
      <c r="I1147" s="239"/>
      <c r="J1147" s="239"/>
      <c r="K1147" s="239"/>
      <c r="L1147" s="239"/>
      <c r="M1147" s="239"/>
      <c r="N1147" s="239"/>
      <c r="O1147" s="239"/>
    </row>
    <row r="1148" spans="1:15" s="236" customFormat="1" x14ac:dyDescent="0.2">
      <c r="A1148" s="237" t="str">
        <f>name!E$4</f>
        <v>Managers, directors and senior officials</v>
      </c>
      <c r="B1148" s="302">
        <v>1.1498675760655006</v>
      </c>
      <c r="C1148" s="302">
        <v>0.3226982273105673</v>
      </c>
      <c r="D1148" s="302">
        <v>0.15236305547867932</v>
      </c>
      <c r="E1148" s="302">
        <f>SUM(B1148:D1148)</f>
        <v>1.624928858854747</v>
      </c>
      <c r="F1148" s="303"/>
      <c r="G1148" s="302">
        <v>1.1319010801914953</v>
      </c>
      <c r="H1148" s="302">
        <v>0.4263888436591643</v>
      </c>
      <c r="I1148" s="302">
        <v>0.10952553480711628</v>
      </c>
      <c r="J1148" s="302">
        <f>SUM(G1148:I1148)</f>
        <v>1.6678154586577758</v>
      </c>
      <c r="K1148" s="303"/>
      <c r="L1148" s="302">
        <v>1.5212830829511392</v>
      </c>
      <c r="M1148" s="302">
        <v>0.47725684500638799</v>
      </c>
      <c r="N1148" s="302">
        <v>9.9707672163043437E-2</v>
      </c>
      <c r="O1148" s="302">
        <f>SUM(L1148:N1148)</f>
        <v>2.0982476001205708</v>
      </c>
    </row>
    <row r="1149" spans="1:15" s="236" customFormat="1" x14ac:dyDescent="0.2">
      <c r="A1149" s="237" t="str">
        <f>name!E$5</f>
        <v>Professional occupations</v>
      </c>
      <c r="B1149" s="302">
        <v>8.6683895676548577</v>
      </c>
      <c r="C1149" s="302">
        <v>3.8527867566024594</v>
      </c>
      <c r="D1149" s="302">
        <v>0.86391791749430147</v>
      </c>
      <c r="E1149" s="302">
        <f t="shared" ref="E1149:E1156" si="490">SUM(B1149:D1149)</f>
        <v>13.385094241751618</v>
      </c>
      <c r="F1149" s="303"/>
      <c r="G1149" s="302">
        <v>8.8381589798091191</v>
      </c>
      <c r="H1149" s="302">
        <v>4.4203922763297383</v>
      </c>
      <c r="I1149" s="302">
        <v>0.71917241844059088</v>
      </c>
      <c r="J1149" s="302">
        <f t="shared" ref="J1149:J1151" si="491">SUM(G1149:I1149)</f>
        <v>13.977723674579449</v>
      </c>
      <c r="K1149" s="303"/>
      <c r="L1149" s="302">
        <v>11.59167372853779</v>
      </c>
      <c r="M1149" s="302">
        <v>5.0815201928144198</v>
      </c>
      <c r="N1149" s="302">
        <v>0.73542110191879939</v>
      </c>
      <c r="O1149" s="302">
        <f t="shared" ref="O1149:O1156" si="492">SUM(L1149:N1149)</f>
        <v>17.408615023271008</v>
      </c>
    </row>
    <row r="1150" spans="1:15" s="236" customFormat="1" x14ac:dyDescent="0.2">
      <c r="A1150" s="237" t="str">
        <f>name!E$6</f>
        <v>Associate professional occupations</v>
      </c>
      <c r="B1150" s="302">
        <v>3.0709259924075187</v>
      </c>
      <c r="C1150" s="302">
        <v>1.6699364956943878</v>
      </c>
      <c r="D1150" s="302">
        <v>0.26295811885617865</v>
      </c>
      <c r="E1150" s="302">
        <f t="shared" si="490"/>
        <v>5.0038206069580848</v>
      </c>
      <c r="F1150" s="303"/>
      <c r="G1150" s="302">
        <v>3.0655308678850122</v>
      </c>
      <c r="H1150" s="302">
        <v>1.8962981442892601</v>
      </c>
      <c r="I1150" s="302">
        <v>0.17750548888150411</v>
      </c>
      <c r="J1150" s="302">
        <f t="shared" si="491"/>
        <v>5.1393345010557763</v>
      </c>
      <c r="K1150" s="303"/>
      <c r="L1150" s="302">
        <v>3.6193916094674687</v>
      </c>
      <c r="M1150" s="302">
        <v>1.8234890955405625</v>
      </c>
      <c r="N1150" s="302">
        <v>0.17565189359428826</v>
      </c>
      <c r="O1150" s="302">
        <f t="shared" si="492"/>
        <v>5.6185325986023198</v>
      </c>
    </row>
    <row r="1151" spans="1:15" s="236" customFormat="1" x14ac:dyDescent="0.2">
      <c r="A1151" s="237" t="str">
        <f>name!E$7</f>
        <v>Administrative and secretarial occupations</v>
      </c>
      <c r="B1151" s="302">
        <v>1.368221362515013</v>
      </c>
      <c r="C1151" s="302">
        <v>1.7087171518457007</v>
      </c>
      <c r="D1151" s="302">
        <v>5.4806402633587679E-2</v>
      </c>
      <c r="E1151" s="302">
        <f t="shared" si="490"/>
        <v>3.1317449169943012</v>
      </c>
      <c r="F1151" s="303"/>
      <c r="G1151" s="302">
        <v>1.1426676942159124</v>
      </c>
      <c r="H1151" s="302">
        <v>1.4762553433780883</v>
      </c>
      <c r="I1151" s="302">
        <v>3.0615450156799773E-2</v>
      </c>
      <c r="J1151" s="302">
        <f t="shared" si="491"/>
        <v>2.6495384877508004</v>
      </c>
      <c r="K1151" s="303"/>
      <c r="L1151" s="302">
        <v>0.92987062872275006</v>
      </c>
      <c r="M1151" s="302">
        <v>0.65256918796451036</v>
      </c>
      <c r="N1151" s="302">
        <v>1.8918750434513819E-2</v>
      </c>
      <c r="O1151" s="302">
        <f t="shared" si="492"/>
        <v>1.6013585671217743</v>
      </c>
    </row>
    <row r="1152" spans="1:15" s="236" customFormat="1" x14ac:dyDescent="0.2">
      <c r="A1152" s="237" t="str">
        <f>name!E$8</f>
        <v>Skilled trades occupations</v>
      </c>
      <c r="B1152" s="302">
        <v>0.2649556061601695</v>
      </c>
      <c r="C1152" s="302">
        <v>0.2165106276708553</v>
      </c>
      <c r="D1152" s="302">
        <v>5.0458657410672077E-2</v>
      </c>
      <c r="E1152" s="302">
        <f t="shared" si="490"/>
        <v>0.53192489124169695</v>
      </c>
      <c r="F1152" s="303"/>
      <c r="G1152" s="302">
        <v>0.18765969847623151</v>
      </c>
      <c r="H1152" s="302">
        <v>0.15668171104406656</v>
      </c>
      <c r="I1152" s="302">
        <v>3.0120724975817179E-2</v>
      </c>
      <c r="J1152" s="302">
        <f>SUM(G1152:I1152)</f>
        <v>0.37446213449611526</v>
      </c>
      <c r="K1152" s="303"/>
      <c r="L1152" s="302">
        <v>0.11823583359754375</v>
      </c>
      <c r="M1152" s="302">
        <v>0.10887496245563204</v>
      </c>
      <c r="N1152" s="302">
        <v>2.9706826172521024E-2</v>
      </c>
      <c r="O1152" s="302">
        <f t="shared" si="492"/>
        <v>0.25681762222569682</v>
      </c>
    </row>
    <row r="1153" spans="1:15" s="236" customFormat="1" x14ac:dyDescent="0.2">
      <c r="A1153" s="237" t="str">
        <f>name!E$9</f>
        <v>Caring, leisure and other service occupations</v>
      </c>
      <c r="B1153" s="302">
        <v>5.9665977265352756</v>
      </c>
      <c r="C1153" s="302">
        <v>4.6184668706447276</v>
      </c>
      <c r="D1153" s="302">
        <v>0.55858416075932771</v>
      </c>
      <c r="E1153" s="302">
        <f t="shared" si="490"/>
        <v>11.143648757939332</v>
      </c>
      <c r="F1153" s="303"/>
      <c r="G1153" s="302">
        <v>5.2749925934847273</v>
      </c>
      <c r="H1153" s="302">
        <v>4.3199820082007045</v>
      </c>
      <c r="I1153" s="302">
        <v>0.48729025535167542</v>
      </c>
      <c r="J1153" s="302">
        <f t="shared" ref="J1153:J1156" si="493">SUM(G1153:I1153)</f>
        <v>10.082264857037108</v>
      </c>
      <c r="K1153" s="303"/>
      <c r="L1153" s="302">
        <v>5.7712237079054152</v>
      </c>
      <c r="M1153" s="302">
        <v>4.1834782338495939</v>
      </c>
      <c r="N1153" s="302">
        <v>0.53728512445842158</v>
      </c>
      <c r="O1153" s="302">
        <f t="shared" si="492"/>
        <v>10.491987066213429</v>
      </c>
    </row>
    <row r="1154" spans="1:15" s="236" customFormat="1" x14ac:dyDescent="0.2">
      <c r="A1154" s="237" t="str">
        <f>name!E$10</f>
        <v>Sales and customer service occupations</v>
      </c>
      <c r="B1154" s="302">
        <v>0.27235679195338813</v>
      </c>
      <c r="C1154" s="302">
        <v>0.26322190163722614</v>
      </c>
      <c r="D1154" s="302">
        <v>3.5010606993184472E-2</v>
      </c>
      <c r="E1154" s="302">
        <f t="shared" si="490"/>
        <v>0.57058930058379875</v>
      </c>
      <c r="F1154" s="303"/>
      <c r="G1154" s="302">
        <v>0.22650588219416068</v>
      </c>
      <c r="H1154" s="302">
        <v>0.22701181071554463</v>
      </c>
      <c r="I1154" s="302">
        <v>1.4579972504032302E-2</v>
      </c>
      <c r="J1154" s="302">
        <f t="shared" si="493"/>
        <v>0.46809766541373765</v>
      </c>
      <c r="K1154" s="303"/>
      <c r="L1154" s="302">
        <v>0.27807438224154341</v>
      </c>
      <c r="M1154" s="302">
        <v>0.20478450322321198</v>
      </c>
      <c r="N1154" s="302">
        <v>1.9427906641237457E-2</v>
      </c>
      <c r="O1154" s="302">
        <f t="shared" si="492"/>
        <v>0.50228679210599292</v>
      </c>
    </row>
    <row r="1155" spans="1:15" s="236" customFormat="1" x14ac:dyDescent="0.2">
      <c r="A1155" s="237" t="str">
        <f>name!E$11</f>
        <v>Process, plant and machine operatives</v>
      </c>
      <c r="B1155" s="302">
        <v>0.10897654734799421</v>
      </c>
      <c r="C1155" s="302">
        <v>0.14926592165923916</v>
      </c>
      <c r="D1155" s="302">
        <v>1.2687434655512817E-2</v>
      </c>
      <c r="E1155" s="302">
        <f t="shared" si="490"/>
        <v>0.27092990366274616</v>
      </c>
      <c r="F1155" s="303"/>
      <c r="G1155" s="302">
        <v>7.251488456230494E-2</v>
      </c>
      <c r="H1155" s="302">
        <v>0.12809029047494927</v>
      </c>
      <c r="I1155" s="302">
        <v>7.4894174094801078E-3</v>
      </c>
      <c r="J1155" s="302">
        <f t="shared" si="493"/>
        <v>0.20809459244673434</v>
      </c>
      <c r="K1155" s="303"/>
      <c r="L1155" s="302">
        <v>2.449386604027445E-2</v>
      </c>
      <c r="M1155" s="302">
        <v>8.1261648082456894E-2</v>
      </c>
      <c r="N1155" s="302">
        <v>3.6603093619660805E-2</v>
      </c>
      <c r="O1155" s="302">
        <f t="shared" si="492"/>
        <v>0.14235860774239215</v>
      </c>
    </row>
    <row r="1156" spans="1:15" s="236" customFormat="1" x14ac:dyDescent="0.2">
      <c r="A1156" s="237" t="str">
        <f>name!E$12</f>
        <v>Elementary occupations</v>
      </c>
      <c r="B1156" s="302">
        <v>0.95670882917313471</v>
      </c>
      <c r="C1156" s="302">
        <v>0.72039604668391777</v>
      </c>
      <c r="D1156" s="302">
        <v>0.28921364562228813</v>
      </c>
      <c r="E1156" s="302">
        <f t="shared" si="490"/>
        <v>1.9663185214793408</v>
      </c>
      <c r="F1156" s="303"/>
      <c r="G1156" s="302">
        <v>0.70406831918055846</v>
      </c>
      <c r="H1156" s="302">
        <v>0.52289957173519364</v>
      </c>
      <c r="I1156" s="302">
        <v>0.13570073758663667</v>
      </c>
      <c r="J1156" s="302">
        <f t="shared" si="493"/>
        <v>1.3626686285023886</v>
      </c>
      <c r="K1156" s="303"/>
      <c r="L1156" s="302">
        <v>1.3347531605852474</v>
      </c>
      <c r="M1156" s="302">
        <v>0.11576533104361073</v>
      </c>
      <c r="N1156" s="302">
        <v>0.30227763102072708</v>
      </c>
      <c r="O1156" s="302">
        <f t="shared" si="492"/>
        <v>1.7527961226495852</v>
      </c>
    </row>
    <row r="1157" spans="1:15" s="236" customFormat="1" x14ac:dyDescent="0.2">
      <c r="A1157" s="237"/>
      <c r="B1157" s="302"/>
      <c r="C1157" s="302"/>
      <c r="D1157" s="302"/>
      <c r="E1157" s="302"/>
      <c r="F1157" s="303"/>
      <c r="G1157" s="302"/>
      <c r="H1157" s="302"/>
      <c r="I1157" s="302"/>
      <c r="J1157" s="302"/>
      <c r="K1157" s="303"/>
      <c r="L1157" s="302"/>
      <c r="M1157" s="302"/>
      <c r="N1157" s="302"/>
      <c r="O1157" s="302"/>
    </row>
    <row r="1158" spans="1:15" s="236" customFormat="1" x14ac:dyDescent="0.2">
      <c r="A1158" s="244" t="s">
        <v>32</v>
      </c>
      <c r="B1158" s="311">
        <f>SUM(B1148:B1156)</f>
        <v>21.826999999812852</v>
      </c>
      <c r="C1158" s="311">
        <f t="shared" ref="C1158:E1158" si="494">SUM(C1148:C1156)</f>
        <v>13.521999999749083</v>
      </c>
      <c r="D1158" s="311">
        <f t="shared" si="494"/>
        <v>2.2799999999037319</v>
      </c>
      <c r="E1158" s="311">
        <f t="shared" si="494"/>
        <v>37.628999999465663</v>
      </c>
      <c r="F1158" s="311"/>
      <c r="G1158" s="311">
        <f t="shared" ref="G1158:J1158" si="495">SUM(G1148:G1156)</f>
        <v>20.643999999999522</v>
      </c>
      <c r="H1158" s="311">
        <f t="shared" si="495"/>
        <v>13.573999999826711</v>
      </c>
      <c r="I1158" s="311">
        <f t="shared" si="495"/>
        <v>1.7120000001136524</v>
      </c>
      <c r="J1158" s="311">
        <f t="shared" si="495"/>
        <v>35.929999999939888</v>
      </c>
      <c r="K1158" s="311"/>
      <c r="L1158" s="311">
        <f t="shared" ref="L1158:O1158" si="496">SUM(L1148:L1156)</f>
        <v>25.189000000049173</v>
      </c>
      <c r="M1158" s="311">
        <f t="shared" si="496"/>
        <v>12.728999999980386</v>
      </c>
      <c r="N1158" s="311">
        <f t="shared" si="496"/>
        <v>1.9550000000232131</v>
      </c>
      <c r="O1158" s="311">
        <f t="shared" si="496"/>
        <v>39.87300000005277</v>
      </c>
    </row>
    <row r="1159" spans="1:15" s="236" customFormat="1" x14ac:dyDescent="0.2">
      <c r="A1159" s="237"/>
      <c r="B1159" s="237"/>
      <c r="C1159" s="237"/>
      <c r="D1159" s="237"/>
      <c r="E1159" s="237"/>
      <c r="F1159" s="237"/>
      <c r="G1159" s="237"/>
      <c r="H1159" s="237"/>
      <c r="I1159" s="237"/>
      <c r="J1159" s="237"/>
      <c r="K1159" s="237"/>
      <c r="L1159" s="237"/>
      <c r="M1159" s="237"/>
      <c r="N1159" s="240"/>
    </row>
    <row r="1160" spans="1:15" s="236" customFormat="1" x14ac:dyDescent="0.2">
      <c r="A1160" s="237"/>
      <c r="B1160" s="237"/>
      <c r="C1160" s="237"/>
      <c r="D1160" s="237"/>
      <c r="E1160" s="237"/>
      <c r="F1160" s="237"/>
      <c r="G1160" s="237"/>
      <c r="H1160" s="237"/>
      <c r="I1160" s="237"/>
      <c r="J1160" s="237"/>
      <c r="K1160" s="237"/>
      <c r="L1160" s="237"/>
      <c r="M1160" s="237"/>
      <c r="N1160" s="240"/>
      <c r="O1160" s="251" t="s">
        <v>35</v>
      </c>
    </row>
    <row r="1161" spans="1:15" s="236" customFormat="1" x14ac:dyDescent="0.2">
      <c r="A1161" s="242"/>
      <c r="B1161" s="242"/>
      <c r="C1161" s="242"/>
      <c r="D1161" s="242"/>
      <c r="E1161" s="242"/>
      <c r="F1161" s="242"/>
      <c r="G1161" s="242"/>
      <c r="H1161" s="242"/>
      <c r="I1161" s="242"/>
      <c r="J1161" s="242"/>
      <c r="K1161" s="242"/>
      <c r="L1161" s="242"/>
      <c r="M1161" s="242"/>
      <c r="N1161" s="242"/>
      <c r="O1161" s="242"/>
    </row>
    <row r="1162" spans="1:15" s="236" customFormat="1" x14ac:dyDescent="0.2">
      <c r="A1162" s="241" t="str">
        <f>name!A71</f>
        <v>Social work</v>
      </c>
      <c r="B1162" s="374">
        <f>$B$6</f>
        <v>2015</v>
      </c>
      <c r="C1162" s="374"/>
      <c r="D1162" s="374"/>
      <c r="E1162" s="374"/>
      <c r="F1162" s="263"/>
      <c r="G1162" s="374">
        <f>$G$6</f>
        <v>2020</v>
      </c>
      <c r="H1162" s="374"/>
      <c r="I1162" s="374"/>
      <c r="J1162" s="374"/>
      <c r="K1162" s="263"/>
      <c r="L1162" s="374">
        <f>$L$6</f>
        <v>2035</v>
      </c>
      <c r="M1162" s="374"/>
      <c r="N1162" s="374"/>
      <c r="O1162" s="374"/>
    </row>
    <row r="1163" spans="1:15" s="236" customFormat="1" x14ac:dyDescent="0.2">
      <c r="A1163" s="254"/>
      <c r="B1163" s="268" t="str">
        <f>$B$7</f>
        <v>FT</v>
      </c>
      <c r="C1163" s="268" t="str">
        <f>$C$7</f>
        <v>PT</v>
      </c>
      <c r="D1163" s="268" t="str">
        <f>$D$7</f>
        <v>SE</v>
      </c>
      <c r="E1163" s="268" t="str">
        <f>$E$7</f>
        <v>Total</v>
      </c>
      <c r="F1163" s="268"/>
      <c r="G1163" s="268" t="str">
        <f>$G$7</f>
        <v>FT</v>
      </c>
      <c r="H1163" s="268" t="str">
        <f>$H$7</f>
        <v>PT</v>
      </c>
      <c r="I1163" s="268" t="str">
        <f>$I$7</f>
        <v>SE</v>
      </c>
      <c r="J1163" s="268" t="str">
        <f>$J$7</f>
        <v>Total</v>
      </c>
      <c r="K1163" s="268"/>
      <c r="L1163" s="268" t="str">
        <f>$L$7</f>
        <v>FT</v>
      </c>
      <c r="M1163" s="268" t="str">
        <f>$M$7</f>
        <v>PT</v>
      </c>
      <c r="N1163" s="268" t="str">
        <f>$N$7</f>
        <v>SE</v>
      </c>
      <c r="O1163" s="268" t="str">
        <f>$O$7</f>
        <v>Total</v>
      </c>
    </row>
    <row r="1164" spans="1:15" s="236" customFormat="1" x14ac:dyDescent="0.2">
      <c r="A1164" s="258"/>
      <c r="B1164" s="239"/>
      <c r="C1164" s="239"/>
      <c r="D1164" s="239"/>
      <c r="E1164" s="239"/>
      <c r="F1164" s="239"/>
      <c r="G1164" s="239"/>
      <c r="H1164" s="239"/>
      <c r="I1164" s="239"/>
      <c r="J1164" s="239"/>
      <c r="K1164" s="239"/>
      <c r="L1164" s="239"/>
      <c r="M1164" s="239"/>
      <c r="N1164" s="239"/>
      <c r="O1164" s="239"/>
    </row>
    <row r="1165" spans="1:15" s="236" customFormat="1" x14ac:dyDescent="0.2">
      <c r="A1165" s="237" t="str">
        <f>name!E$4</f>
        <v>Managers, directors and senior officials</v>
      </c>
      <c r="B1165" s="302">
        <v>1.131225132203791</v>
      </c>
      <c r="C1165" s="302">
        <v>0.41935893624178783</v>
      </c>
      <c r="D1165" s="302">
        <v>0.18049698819810986</v>
      </c>
      <c r="E1165" s="302">
        <f>SUM(B1165:D1165)</f>
        <v>1.7310810566436885</v>
      </c>
      <c r="F1165" s="303"/>
      <c r="G1165" s="302">
        <v>0.96965139477106477</v>
      </c>
      <c r="H1165" s="302">
        <v>0.54937474409636222</v>
      </c>
      <c r="I1165" s="302">
        <v>0.1202158544832499</v>
      </c>
      <c r="J1165" s="302">
        <f>SUM(G1165:I1165)</f>
        <v>1.639241993350677</v>
      </c>
      <c r="K1165" s="303"/>
      <c r="L1165" s="302">
        <v>1.2868071414097511</v>
      </c>
      <c r="M1165" s="302">
        <v>0.61543822536656123</v>
      </c>
      <c r="N1165" s="302">
        <v>0.10976416123404027</v>
      </c>
      <c r="O1165" s="302">
        <f>SUM(L1165:N1165)</f>
        <v>2.0120095280103523</v>
      </c>
    </row>
    <row r="1166" spans="1:15" s="236" customFormat="1" x14ac:dyDescent="0.2">
      <c r="A1166" s="237" t="str">
        <f>name!E$5</f>
        <v>Professional occupations</v>
      </c>
      <c r="B1166" s="302">
        <v>8.4572304788371078</v>
      </c>
      <c r="C1166" s="302">
        <v>5.066176398658464</v>
      </c>
      <c r="D1166" s="302">
        <v>1.0247369885186026</v>
      </c>
      <c r="E1166" s="302">
        <f t="shared" ref="E1166:E1173" si="497">SUM(B1166:D1166)</f>
        <v>14.548143866014174</v>
      </c>
      <c r="F1166" s="303"/>
      <c r="G1166" s="302">
        <v>7.6259548177854768</v>
      </c>
      <c r="H1166" s="302">
        <v>5.7467630363911564</v>
      </c>
      <c r="I1166" s="302">
        <v>0.78310966755239764</v>
      </c>
      <c r="J1166" s="302">
        <f t="shared" ref="J1166:J1168" si="498">SUM(G1166:I1166)</f>
        <v>14.15582752172903</v>
      </c>
      <c r="K1166" s="303"/>
      <c r="L1166" s="302">
        <v>9.9168759918289169</v>
      </c>
      <c r="M1166" s="302">
        <v>6.5985370899962597</v>
      </c>
      <c r="N1166" s="302">
        <v>0.80112734915573314</v>
      </c>
      <c r="O1166" s="302">
        <f t="shared" ref="O1166:O1173" si="499">SUM(L1166:N1166)</f>
        <v>17.316540430980911</v>
      </c>
    </row>
    <row r="1167" spans="1:15" s="236" customFormat="1" x14ac:dyDescent="0.2">
      <c r="A1167" s="237" t="str">
        <f>name!E$6</f>
        <v>Associate professional occupations</v>
      </c>
      <c r="B1167" s="302">
        <v>3.0533478466060187</v>
      </c>
      <c r="C1167" s="302">
        <v>2.1905567854547479</v>
      </c>
      <c r="D1167" s="302">
        <v>0.30834958627822528</v>
      </c>
      <c r="E1167" s="302">
        <f t="shared" si="497"/>
        <v>5.5522542183389927</v>
      </c>
      <c r="F1167" s="303"/>
      <c r="G1167" s="302">
        <v>2.6679713695434297</v>
      </c>
      <c r="H1167" s="302">
        <v>2.461810221179872</v>
      </c>
      <c r="I1167" s="302">
        <v>0.192120095820597</v>
      </c>
      <c r="J1167" s="302">
        <f t="shared" si="498"/>
        <v>5.3219016865438986</v>
      </c>
      <c r="K1167" s="303"/>
      <c r="L1167" s="302">
        <v>3.102434267768754</v>
      </c>
      <c r="M1167" s="302">
        <v>2.3683176614174495</v>
      </c>
      <c r="N1167" s="302">
        <v>0.19027107539960761</v>
      </c>
      <c r="O1167" s="302">
        <f t="shared" si="499"/>
        <v>5.661023004585811</v>
      </c>
    </row>
    <row r="1168" spans="1:15" s="236" customFormat="1" x14ac:dyDescent="0.2">
      <c r="A1168" s="237" t="str">
        <f>name!E$7</f>
        <v>Administrative and secretarial occupations</v>
      </c>
      <c r="B1168" s="302">
        <v>1.278607276033733</v>
      </c>
      <c r="C1168" s="302">
        <v>2.2491636978103924</v>
      </c>
      <c r="D1168" s="302">
        <v>6.3907469116619625E-2</v>
      </c>
      <c r="E1168" s="302">
        <f t="shared" si="497"/>
        <v>3.5916784429607453</v>
      </c>
      <c r="F1168" s="303"/>
      <c r="G1168" s="302">
        <v>0.94207996141744887</v>
      </c>
      <c r="H1168" s="302">
        <v>1.9247011250686248</v>
      </c>
      <c r="I1168" s="302">
        <v>3.3112314121901291E-2</v>
      </c>
      <c r="J1168" s="302">
        <f t="shared" si="498"/>
        <v>2.8998934006079753</v>
      </c>
      <c r="K1168" s="303"/>
      <c r="L1168" s="302">
        <v>0.76176771116198383</v>
      </c>
      <c r="M1168" s="302">
        <v>0.84696518170786905</v>
      </c>
      <c r="N1168" s="302">
        <v>2.0531426574147967E-2</v>
      </c>
      <c r="O1168" s="302">
        <f t="shared" si="499"/>
        <v>1.6292643194440009</v>
      </c>
    </row>
    <row r="1169" spans="1:15" s="236" customFormat="1" x14ac:dyDescent="0.2">
      <c r="A1169" s="237" t="str">
        <f>name!E$8</f>
        <v>Skilled trades occupations</v>
      </c>
      <c r="B1169" s="302">
        <v>0.27257766683014484</v>
      </c>
      <c r="C1169" s="302">
        <v>0.28101406384690081</v>
      </c>
      <c r="D1169" s="302">
        <v>6.0757275253350514E-2</v>
      </c>
      <c r="E1169" s="302">
        <f t="shared" si="497"/>
        <v>0.61434900593039621</v>
      </c>
      <c r="F1169" s="303"/>
      <c r="G1169" s="302">
        <v>0.16787504611864437</v>
      </c>
      <c r="H1169" s="302">
        <v>0.20209843131631977</v>
      </c>
      <c r="I1169" s="302">
        <v>3.3350578973521491E-2</v>
      </c>
      <c r="J1169" s="302">
        <f>SUM(G1169:I1169)</f>
        <v>0.40332405640848562</v>
      </c>
      <c r="K1169" s="303"/>
      <c r="L1169" s="302">
        <v>0.10636049743454021</v>
      </c>
      <c r="M1169" s="302">
        <v>0.14002737220269831</v>
      </c>
      <c r="N1169" s="302">
        <v>3.3021629400671097E-2</v>
      </c>
      <c r="O1169" s="302">
        <f t="shared" si="499"/>
        <v>0.27940949903790963</v>
      </c>
    </row>
    <row r="1170" spans="1:15" s="236" customFormat="1" x14ac:dyDescent="0.2">
      <c r="A1170" s="237" t="str">
        <f>name!E$9</f>
        <v>Caring, leisure and other service occupations</v>
      </c>
      <c r="B1170" s="302">
        <v>5.6130227663150727</v>
      </c>
      <c r="C1170" s="302">
        <v>6.0748809719526431</v>
      </c>
      <c r="D1170" s="302">
        <v>0.64864261578335325</v>
      </c>
      <c r="E1170" s="302">
        <f t="shared" si="497"/>
        <v>12.33654635405107</v>
      </c>
      <c r="F1170" s="303"/>
      <c r="G1170" s="302">
        <v>4.3655903663107978</v>
      </c>
      <c r="H1170" s="302">
        <v>5.6214323749562185</v>
      </c>
      <c r="I1170" s="302">
        <v>0.52497774380975415</v>
      </c>
      <c r="J1170" s="302">
        <f t="shared" ref="J1170:J1173" si="500">SUM(G1170:I1170)</f>
        <v>10.51200048507677</v>
      </c>
      <c r="K1170" s="303"/>
      <c r="L1170" s="302">
        <v>4.8108427732472734</v>
      </c>
      <c r="M1170" s="302">
        <v>5.4312007957028348</v>
      </c>
      <c r="N1170" s="302">
        <v>0.57870019905406422</v>
      </c>
      <c r="O1170" s="302">
        <f t="shared" si="499"/>
        <v>10.820743768004172</v>
      </c>
    </row>
    <row r="1171" spans="1:15" s="236" customFormat="1" x14ac:dyDescent="0.2">
      <c r="A1171" s="237" t="str">
        <f>name!E$10</f>
        <v>Sales and customer service occupations</v>
      </c>
      <c r="B1171" s="302">
        <v>0.25895533465200826</v>
      </c>
      <c r="C1171" s="302">
        <v>0.34550336765510176</v>
      </c>
      <c r="D1171" s="302">
        <v>4.0970400900503079E-2</v>
      </c>
      <c r="E1171" s="302">
        <f t="shared" si="497"/>
        <v>0.64542910320761304</v>
      </c>
      <c r="F1171" s="303"/>
      <c r="G1171" s="302">
        <v>0.18931788146220163</v>
      </c>
      <c r="H1171" s="302">
        <v>0.29550648387141398</v>
      </c>
      <c r="I1171" s="302">
        <v>1.5845826729695065E-2</v>
      </c>
      <c r="J1171" s="302">
        <f t="shared" si="500"/>
        <v>0.50067019206331065</v>
      </c>
      <c r="K1171" s="303"/>
      <c r="L1171" s="302">
        <v>0.22999403171863633</v>
      </c>
      <c r="M1171" s="302">
        <v>0.26653031248296477</v>
      </c>
      <c r="N1171" s="302">
        <v>2.1026241573037254E-2</v>
      </c>
      <c r="O1171" s="302">
        <f t="shared" si="499"/>
        <v>0.51755058577463831</v>
      </c>
    </row>
    <row r="1172" spans="1:15" s="236" customFormat="1" x14ac:dyDescent="0.2">
      <c r="A1172" s="237" t="str">
        <f>name!E$11</f>
        <v>Process, plant and machine operatives</v>
      </c>
      <c r="B1172" s="302">
        <v>0.10609233496212829</v>
      </c>
      <c r="C1172" s="302">
        <v>0.19019548467838007</v>
      </c>
      <c r="D1172" s="302">
        <v>1.4966838663981706E-2</v>
      </c>
      <c r="E1172" s="302">
        <f t="shared" si="497"/>
        <v>0.31125465830449006</v>
      </c>
      <c r="F1172" s="303"/>
      <c r="G1172" s="302">
        <v>6.2182694791857999E-2</v>
      </c>
      <c r="H1172" s="302">
        <v>0.16173020982345446</v>
      </c>
      <c r="I1172" s="302">
        <v>8.1752228833516551E-3</v>
      </c>
      <c r="J1172" s="302">
        <f t="shared" si="500"/>
        <v>0.23208812749866412</v>
      </c>
      <c r="K1172" s="303"/>
      <c r="L1172" s="302">
        <v>2.1633617371791765E-2</v>
      </c>
      <c r="M1172" s="302">
        <v>0.10210366110431306</v>
      </c>
      <c r="N1172" s="302">
        <v>3.9438915330038113E-2</v>
      </c>
      <c r="O1172" s="302">
        <f t="shared" si="499"/>
        <v>0.16317619380614296</v>
      </c>
    </row>
    <row r="1173" spans="1:15" s="236" customFormat="1" x14ac:dyDescent="0.2">
      <c r="A1173" s="237" t="str">
        <f>name!E$12</f>
        <v>Elementary occupations</v>
      </c>
      <c r="B1173" s="302">
        <v>0.8969411633678489</v>
      </c>
      <c r="C1173" s="302">
        <v>0.93715029337046885</v>
      </c>
      <c r="D1173" s="302">
        <v>0.33517183717692783</v>
      </c>
      <c r="E1173" s="302">
        <f t="shared" si="497"/>
        <v>2.1692632939152454</v>
      </c>
      <c r="F1173" s="303"/>
      <c r="G1173" s="302">
        <v>0.58237646778819285</v>
      </c>
      <c r="H1173" s="302">
        <v>0.67458337306886296</v>
      </c>
      <c r="I1173" s="302">
        <v>0.14609269574833061</v>
      </c>
      <c r="J1173" s="302">
        <f t="shared" si="500"/>
        <v>1.4030525366053863</v>
      </c>
      <c r="K1173" s="303"/>
      <c r="L1173" s="302">
        <v>1.0752839681196209</v>
      </c>
      <c r="M1173" s="302">
        <v>0.14487969999349978</v>
      </c>
      <c r="N1173" s="302">
        <v>0.32511900230562674</v>
      </c>
      <c r="O1173" s="302">
        <f t="shared" si="499"/>
        <v>1.5452826704187475</v>
      </c>
    </row>
    <row r="1174" spans="1:15" s="236" customFormat="1" x14ac:dyDescent="0.2">
      <c r="A1174" s="237"/>
      <c r="B1174" s="302"/>
      <c r="C1174" s="302"/>
      <c r="D1174" s="302"/>
      <c r="E1174" s="302"/>
      <c r="F1174" s="303"/>
      <c r="G1174" s="302"/>
      <c r="H1174" s="302"/>
      <c r="I1174" s="302"/>
      <c r="J1174" s="302"/>
      <c r="K1174" s="303"/>
      <c r="L1174" s="302"/>
      <c r="M1174" s="302"/>
      <c r="N1174" s="302"/>
      <c r="O1174" s="302"/>
    </row>
    <row r="1175" spans="1:15" s="236" customFormat="1" x14ac:dyDescent="0.2">
      <c r="A1175" s="244" t="s">
        <v>32</v>
      </c>
      <c r="B1175" s="311">
        <f>SUM(B1165:B1173)</f>
        <v>21.067999999807853</v>
      </c>
      <c r="C1175" s="311">
        <f t="shared" ref="C1175:E1175" si="501">SUM(C1165:C1173)</f>
        <v>17.753999999668885</v>
      </c>
      <c r="D1175" s="311">
        <f t="shared" si="501"/>
        <v>2.6779999998896735</v>
      </c>
      <c r="E1175" s="311">
        <f t="shared" si="501"/>
        <v>41.499999999366409</v>
      </c>
      <c r="F1175" s="311"/>
      <c r="G1175" s="311">
        <f t="shared" ref="G1175:J1175" si="502">SUM(G1165:G1173)</f>
        <v>17.572999999989115</v>
      </c>
      <c r="H1175" s="311">
        <f t="shared" si="502"/>
        <v>17.637999999772283</v>
      </c>
      <c r="I1175" s="311">
        <f t="shared" si="502"/>
        <v>1.8570000001227989</v>
      </c>
      <c r="J1175" s="311">
        <f t="shared" si="502"/>
        <v>37.067999999884201</v>
      </c>
      <c r="K1175" s="311"/>
      <c r="L1175" s="311">
        <f t="shared" ref="L1175:O1175" si="503">SUM(L1165:L1173)</f>
        <v>21.312000000061264</v>
      </c>
      <c r="M1175" s="311">
        <f t="shared" si="503"/>
        <v>16.513999999974448</v>
      </c>
      <c r="N1175" s="311">
        <f t="shared" si="503"/>
        <v>2.1190000000269666</v>
      </c>
      <c r="O1175" s="311">
        <f t="shared" si="503"/>
        <v>39.945000000062691</v>
      </c>
    </row>
    <row r="1176" spans="1:15" s="236" customFormat="1" x14ac:dyDescent="0.2">
      <c r="A1176" s="237"/>
      <c r="B1176" s="237"/>
      <c r="C1176" s="237"/>
      <c r="D1176" s="237"/>
      <c r="E1176" s="237"/>
      <c r="F1176" s="237"/>
      <c r="G1176" s="237"/>
      <c r="H1176" s="237"/>
      <c r="I1176" s="237"/>
      <c r="J1176" s="237"/>
      <c r="K1176" s="237"/>
      <c r="L1176" s="237"/>
      <c r="M1176" s="237"/>
      <c r="N1176" s="240"/>
    </row>
    <row r="1177" spans="1:15" s="236" customFormat="1" x14ac:dyDescent="0.2">
      <c r="A1177" s="237"/>
      <c r="B1177" s="237"/>
      <c r="C1177" s="237"/>
      <c r="D1177" s="237"/>
      <c r="E1177" s="237"/>
      <c r="F1177" s="237"/>
      <c r="G1177" s="237"/>
      <c r="H1177" s="237"/>
      <c r="I1177" s="237"/>
      <c r="J1177" s="237"/>
      <c r="K1177" s="237"/>
      <c r="L1177" s="237"/>
      <c r="M1177" s="237"/>
      <c r="N1177" s="240"/>
      <c r="O1177" s="251" t="s">
        <v>35</v>
      </c>
    </row>
    <row r="1178" spans="1:15" s="236" customFormat="1" x14ac:dyDescent="0.2">
      <c r="A1178" s="242"/>
      <c r="B1178" s="242"/>
      <c r="C1178" s="242"/>
      <c r="D1178" s="242"/>
      <c r="E1178" s="242"/>
      <c r="F1178" s="242"/>
      <c r="G1178" s="242"/>
      <c r="H1178" s="242"/>
      <c r="I1178" s="242"/>
      <c r="J1178" s="242"/>
      <c r="K1178" s="242"/>
      <c r="L1178" s="242"/>
      <c r="M1178" s="242"/>
      <c r="N1178" s="242"/>
      <c r="O1178" s="242"/>
    </row>
    <row r="1179" spans="1:15" s="236" customFormat="1" x14ac:dyDescent="0.2">
      <c r="A1179" s="241" t="str">
        <f>name!A72</f>
        <v>Arts and entertainment</v>
      </c>
      <c r="B1179" s="374">
        <f>$B$6</f>
        <v>2015</v>
      </c>
      <c r="C1179" s="374"/>
      <c r="D1179" s="374"/>
      <c r="E1179" s="374"/>
      <c r="F1179" s="263"/>
      <c r="G1179" s="374">
        <f>$G$6</f>
        <v>2020</v>
      </c>
      <c r="H1179" s="374"/>
      <c r="I1179" s="374"/>
      <c r="J1179" s="374"/>
      <c r="K1179" s="263"/>
      <c r="L1179" s="374">
        <f>$L$6</f>
        <v>2035</v>
      </c>
      <c r="M1179" s="374"/>
      <c r="N1179" s="374"/>
      <c r="O1179" s="374"/>
    </row>
    <row r="1180" spans="1:15" s="236" customFormat="1" x14ac:dyDescent="0.2">
      <c r="A1180" s="254"/>
      <c r="B1180" s="268" t="str">
        <f>$B$7</f>
        <v>FT</v>
      </c>
      <c r="C1180" s="268" t="str">
        <f>$C$7</f>
        <v>PT</v>
      </c>
      <c r="D1180" s="268" t="str">
        <f>$D$7</f>
        <v>SE</v>
      </c>
      <c r="E1180" s="268" t="str">
        <f>$E$7</f>
        <v>Total</v>
      </c>
      <c r="F1180" s="268"/>
      <c r="G1180" s="268" t="str">
        <f>$G$7</f>
        <v>FT</v>
      </c>
      <c r="H1180" s="268" t="str">
        <f>$H$7</f>
        <v>PT</v>
      </c>
      <c r="I1180" s="268" t="str">
        <f>$I$7</f>
        <v>SE</v>
      </c>
      <c r="J1180" s="268" t="str">
        <f>$J$7</f>
        <v>Total</v>
      </c>
      <c r="K1180" s="268"/>
      <c r="L1180" s="268" t="str">
        <f>$L$7</f>
        <v>FT</v>
      </c>
      <c r="M1180" s="268" t="str">
        <f>$M$7</f>
        <v>PT</v>
      </c>
      <c r="N1180" s="268" t="str">
        <f>$N$7</f>
        <v>SE</v>
      </c>
      <c r="O1180" s="268" t="str">
        <f>$O$7</f>
        <v>Total</v>
      </c>
    </row>
    <row r="1181" spans="1:15" s="236" customFormat="1" x14ac:dyDescent="0.2">
      <c r="A1181" s="258"/>
      <c r="B1181" s="239"/>
      <c r="C1181" s="239"/>
      <c r="D1181" s="239"/>
      <c r="E1181" s="239"/>
      <c r="F1181" s="239"/>
      <c r="G1181" s="239"/>
      <c r="H1181" s="239"/>
      <c r="I1181" s="239"/>
      <c r="J1181" s="239"/>
      <c r="K1181" s="239"/>
      <c r="L1181" s="239"/>
      <c r="M1181" s="239"/>
      <c r="N1181" s="239"/>
      <c r="O1181" s="239"/>
    </row>
    <row r="1182" spans="1:15" s="236" customFormat="1" x14ac:dyDescent="0.2">
      <c r="A1182" s="237" t="str">
        <f>name!E$4</f>
        <v>Managers, directors and senior officials</v>
      </c>
      <c r="B1182" s="302">
        <v>8.1631844052246175E-2</v>
      </c>
      <c r="C1182" s="302">
        <v>3.6108860941014301E-2</v>
      </c>
      <c r="D1182" s="302">
        <v>0.19642682261604874</v>
      </c>
      <c r="E1182" s="302">
        <f>SUM(B1182:D1182)</f>
        <v>0.31416752760930922</v>
      </c>
      <c r="F1182" s="303"/>
      <c r="G1182" s="302">
        <v>6.2601314468209032E-2</v>
      </c>
      <c r="H1182" s="302">
        <v>3.6844265012380202E-2</v>
      </c>
      <c r="I1182" s="302">
        <v>0.15842784533968443</v>
      </c>
      <c r="J1182" s="302">
        <f>SUM(G1182:I1182)</f>
        <v>0.25787342482027364</v>
      </c>
      <c r="K1182" s="303"/>
      <c r="L1182" s="302">
        <v>7.2352574422768406E-2</v>
      </c>
      <c r="M1182" s="302">
        <v>5.316102731331989E-2</v>
      </c>
      <c r="N1182" s="302">
        <v>0.14799060648618836</v>
      </c>
      <c r="O1182" s="302">
        <f>SUM(L1182:N1182)</f>
        <v>0.27350420822227667</v>
      </c>
    </row>
    <row r="1183" spans="1:15" s="236" customFormat="1" x14ac:dyDescent="0.2">
      <c r="A1183" s="237" t="str">
        <f>name!E$5</f>
        <v>Professional occupations</v>
      </c>
      <c r="B1183" s="302">
        <v>0.13106378194547283</v>
      </c>
      <c r="C1183" s="302">
        <v>0.13409253041981395</v>
      </c>
      <c r="D1183" s="302">
        <v>0.53664993071714362</v>
      </c>
      <c r="E1183" s="302">
        <f t="shared" ref="E1183:E1190" si="504">SUM(B1183:D1183)</f>
        <v>0.80180624308243043</v>
      </c>
      <c r="F1183" s="303"/>
      <c r="G1183" s="302">
        <v>0.13231627213482894</v>
      </c>
      <c r="H1183" s="302">
        <v>0.12721353186944837</v>
      </c>
      <c r="I1183" s="302">
        <v>0.43462028069100428</v>
      </c>
      <c r="J1183" s="302">
        <f t="shared" ref="J1183:J1185" si="505">SUM(G1183:I1183)</f>
        <v>0.6941500846952815</v>
      </c>
      <c r="K1183" s="303"/>
      <c r="L1183" s="302">
        <v>0.1573841425645027</v>
      </c>
      <c r="M1183" s="302">
        <v>0.17672714820254237</v>
      </c>
      <c r="N1183" s="302">
        <v>0.39453403383282892</v>
      </c>
      <c r="O1183" s="302">
        <f t="shared" ref="O1183:O1190" si="506">SUM(L1183:N1183)</f>
        <v>0.72864532459987397</v>
      </c>
    </row>
    <row r="1184" spans="1:15" s="236" customFormat="1" x14ac:dyDescent="0.2">
      <c r="A1184" s="237" t="str">
        <f>name!E$6</f>
        <v>Associate professional occupations</v>
      </c>
      <c r="B1184" s="302">
        <v>0.16447722267720127</v>
      </c>
      <c r="C1184" s="302">
        <v>0.18940914649604748</v>
      </c>
      <c r="D1184" s="302">
        <v>1.5174381255981779</v>
      </c>
      <c r="E1184" s="302">
        <f t="shared" si="504"/>
        <v>1.8713244947714267</v>
      </c>
      <c r="F1184" s="303"/>
      <c r="G1184" s="302">
        <v>0.13398223838392775</v>
      </c>
      <c r="H1184" s="302">
        <v>0.14760206793193026</v>
      </c>
      <c r="I1184" s="302">
        <v>1.195797441478877</v>
      </c>
      <c r="J1184" s="302">
        <f t="shared" si="505"/>
        <v>1.4773817477947351</v>
      </c>
      <c r="K1184" s="303"/>
      <c r="L1184" s="302">
        <v>0.13862433806492486</v>
      </c>
      <c r="M1184" s="302">
        <v>0.19607306241313727</v>
      </c>
      <c r="N1184" s="302">
        <v>1.1801026612349061</v>
      </c>
      <c r="O1184" s="302">
        <f t="shared" si="506"/>
        <v>1.5148000617129682</v>
      </c>
    </row>
    <row r="1185" spans="1:15" s="236" customFormat="1" x14ac:dyDescent="0.2">
      <c r="A1185" s="237" t="str">
        <f>name!E$7</f>
        <v>Administrative and secretarial occupations</v>
      </c>
      <c r="B1185" s="302">
        <v>0.20003814349394344</v>
      </c>
      <c r="C1185" s="302">
        <v>0.59761367614755112</v>
      </c>
      <c r="D1185" s="302">
        <v>4.5868217769773185E-2</v>
      </c>
      <c r="E1185" s="302">
        <f t="shared" si="504"/>
        <v>0.8435200374112678</v>
      </c>
      <c r="F1185" s="303"/>
      <c r="G1185" s="302">
        <v>0.14226922454864616</v>
      </c>
      <c r="H1185" s="302">
        <v>0.40448259262966135</v>
      </c>
      <c r="I1185" s="302">
        <v>2.2078590272174233E-2</v>
      </c>
      <c r="J1185" s="302">
        <f t="shared" si="505"/>
        <v>0.56883040745048163</v>
      </c>
      <c r="K1185" s="303"/>
      <c r="L1185" s="302">
        <v>0.1445431351890866</v>
      </c>
      <c r="M1185" s="302">
        <v>0.4401574140843319</v>
      </c>
      <c r="N1185" s="302">
        <v>2.1100382606883069E-2</v>
      </c>
      <c r="O1185" s="302">
        <f t="shared" si="506"/>
        <v>0.6058009318803016</v>
      </c>
    </row>
    <row r="1186" spans="1:15" s="236" customFormat="1" x14ac:dyDescent="0.2">
      <c r="A1186" s="237" t="str">
        <f>name!E$8</f>
        <v>Skilled trades occupations</v>
      </c>
      <c r="B1186" s="302">
        <v>0.19138611951151591</v>
      </c>
      <c r="C1186" s="302">
        <v>3.3871300030009363E-2</v>
      </c>
      <c r="D1186" s="302">
        <v>0.37160081841456888</v>
      </c>
      <c r="E1186" s="302">
        <f t="shared" si="504"/>
        <v>0.59685823795609416</v>
      </c>
      <c r="F1186" s="303"/>
      <c r="G1186" s="302">
        <v>0.10271679740146007</v>
      </c>
      <c r="H1186" s="302">
        <v>2.0045323490180237E-2</v>
      </c>
      <c r="I1186" s="302">
        <v>0.28829433406520083</v>
      </c>
      <c r="J1186" s="302">
        <f>SUM(G1186:I1186)</f>
        <v>0.41105645495684112</v>
      </c>
      <c r="K1186" s="303"/>
      <c r="L1186" s="302">
        <v>8.3031372266229531E-2</v>
      </c>
      <c r="M1186" s="302">
        <v>2.9836531738098096E-2</v>
      </c>
      <c r="N1186" s="302">
        <v>0.27570886288925089</v>
      </c>
      <c r="O1186" s="302">
        <f t="shared" si="506"/>
        <v>0.38857676689357851</v>
      </c>
    </row>
    <row r="1187" spans="1:15" s="236" customFormat="1" x14ac:dyDescent="0.2">
      <c r="A1187" s="237" t="str">
        <f>name!E$9</f>
        <v>Caring, leisure and other service occupations</v>
      </c>
      <c r="B1187" s="302">
        <v>0.10978679818078427</v>
      </c>
      <c r="C1187" s="302">
        <v>0.19911062714678535</v>
      </c>
      <c r="D1187" s="302">
        <v>5.9830594992383808E-2</v>
      </c>
      <c r="E1187" s="302">
        <f t="shared" si="504"/>
        <v>0.36872802031995339</v>
      </c>
      <c r="F1187" s="303"/>
      <c r="G1187" s="302">
        <v>7.1293656530635144E-2</v>
      </c>
      <c r="H1187" s="302">
        <v>0.12581292318598417</v>
      </c>
      <c r="I1187" s="302">
        <v>4.4945361741270562E-2</v>
      </c>
      <c r="J1187" s="302">
        <f t="shared" ref="J1187:J1190" si="507">SUM(G1187:I1187)</f>
        <v>0.24205194145788989</v>
      </c>
      <c r="K1187" s="303"/>
      <c r="L1187" s="302">
        <v>7.3843947256602399E-2</v>
      </c>
      <c r="M1187" s="302">
        <v>0.13865753052827182</v>
      </c>
      <c r="N1187" s="302">
        <v>5.305975203032165E-2</v>
      </c>
      <c r="O1187" s="302">
        <f t="shared" si="506"/>
        <v>0.26556122981519587</v>
      </c>
    </row>
    <row r="1188" spans="1:15" s="236" customFormat="1" x14ac:dyDescent="0.2">
      <c r="A1188" s="237" t="str">
        <f>name!E$10</f>
        <v>Sales and customer service occupations</v>
      </c>
      <c r="B1188" s="302">
        <v>9.1115291277227839E-2</v>
      </c>
      <c r="C1188" s="302">
        <v>0.20987322908477471</v>
      </c>
      <c r="D1188" s="302">
        <v>4.6788722466133206E-2</v>
      </c>
      <c r="E1188" s="302">
        <f t="shared" si="504"/>
        <v>0.34777724282813571</v>
      </c>
      <c r="F1188" s="303"/>
      <c r="G1188" s="302">
        <v>6.2629635936541417E-2</v>
      </c>
      <c r="H1188" s="302">
        <v>0.13983719311307277</v>
      </c>
      <c r="I1188" s="302">
        <v>2.6655723472413555E-2</v>
      </c>
      <c r="J1188" s="302">
        <f t="shared" si="507"/>
        <v>0.22912255252202773</v>
      </c>
      <c r="K1188" s="303"/>
      <c r="L1188" s="302">
        <v>7.4940320938377922E-2</v>
      </c>
      <c r="M1188" s="302">
        <v>0.16733239600282254</v>
      </c>
      <c r="N1188" s="302">
        <v>1.980930685283025E-2</v>
      </c>
      <c r="O1188" s="302">
        <f t="shared" si="506"/>
        <v>0.26208202379403067</v>
      </c>
    </row>
    <row r="1189" spans="1:15" s="236" customFormat="1" x14ac:dyDescent="0.2">
      <c r="A1189" s="237" t="str">
        <f>name!E$11</f>
        <v>Process, plant and machine operatives</v>
      </c>
      <c r="B1189" s="302">
        <v>3.7036152341536316E-2</v>
      </c>
      <c r="C1189" s="302">
        <v>1.062037673880481E-2</v>
      </c>
      <c r="D1189" s="302">
        <v>1.5894444152953862E-2</v>
      </c>
      <c r="E1189" s="302">
        <f t="shared" si="504"/>
        <v>6.3550973233294991E-2</v>
      </c>
      <c r="F1189" s="303"/>
      <c r="G1189" s="302">
        <v>1.7916550147084431E-2</v>
      </c>
      <c r="H1189" s="302">
        <v>6.8667699403348126E-3</v>
      </c>
      <c r="I1189" s="302">
        <v>1.4944970943174672E-2</v>
      </c>
      <c r="J1189" s="302">
        <f t="shared" si="507"/>
        <v>3.9728291030593915E-2</v>
      </c>
      <c r="K1189" s="303"/>
      <c r="L1189" s="302">
        <v>2.0009273882236136E-2</v>
      </c>
      <c r="M1189" s="302">
        <v>1.5054473562312353E-2</v>
      </c>
      <c r="N1189" s="302">
        <v>1.6385954967032268E-2</v>
      </c>
      <c r="O1189" s="302">
        <f t="shared" si="506"/>
        <v>5.1449702411580756E-2</v>
      </c>
    </row>
    <row r="1190" spans="1:15" s="236" customFormat="1" x14ac:dyDescent="0.2">
      <c r="A1190" s="237" t="str">
        <f>name!E$12</f>
        <v>Elementary occupations</v>
      </c>
      <c r="B1190" s="302">
        <v>0.14546464651597682</v>
      </c>
      <c r="C1190" s="302">
        <v>0.43430025300964892</v>
      </c>
      <c r="D1190" s="302">
        <v>4.4502323321091233E-2</v>
      </c>
      <c r="E1190" s="302">
        <f t="shared" si="504"/>
        <v>0.62426722284671698</v>
      </c>
      <c r="F1190" s="303"/>
      <c r="G1190" s="302">
        <v>7.4274310447993236E-2</v>
      </c>
      <c r="H1190" s="302">
        <v>0.2452953328297898</v>
      </c>
      <c r="I1190" s="302">
        <v>2.3235452040611674E-2</v>
      </c>
      <c r="J1190" s="302">
        <f t="shared" si="507"/>
        <v>0.3428050953183947</v>
      </c>
      <c r="K1190" s="303"/>
      <c r="L1190" s="302">
        <v>6.7270895414198395E-2</v>
      </c>
      <c r="M1190" s="302">
        <v>0.21900041615071711</v>
      </c>
      <c r="N1190" s="302">
        <v>2.530843920701507E-2</v>
      </c>
      <c r="O1190" s="302">
        <f t="shared" si="506"/>
        <v>0.31157975077193056</v>
      </c>
    </row>
    <row r="1191" spans="1:15" s="236" customFormat="1" x14ac:dyDescent="0.2">
      <c r="A1191" s="237"/>
      <c r="B1191" s="302"/>
      <c r="C1191" s="302"/>
      <c r="D1191" s="302"/>
      <c r="E1191" s="302"/>
      <c r="F1191" s="303"/>
      <c r="G1191" s="302"/>
      <c r="H1191" s="302"/>
      <c r="I1191" s="302"/>
      <c r="J1191" s="302"/>
      <c r="K1191" s="303"/>
      <c r="L1191" s="302"/>
      <c r="M1191" s="302"/>
      <c r="N1191" s="302"/>
      <c r="O1191" s="302"/>
    </row>
    <row r="1192" spans="1:15" s="236" customFormat="1" x14ac:dyDescent="0.2">
      <c r="A1192" s="244" t="s">
        <v>32</v>
      </c>
      <c r="B1192" s="311">
        <f>SUM(B1182:B1190)</f>
        <v>1.1519999999959047</v>
      </c>
      <c r="C1192" s="311">
        <f t="shared" ref="C1192:E1192" si="508">SUM(C1182:C1190)</f>
        <v>1.84500000001445</v>
      </c>
      <c r="D1192" s="311">
        <f t="shared" si="508"/>
        <v>2.8350000000482747</v>
      </c>
      <c r="E1192" s="311">
        <f t="shared" si="508"/>
        <v>5.8320000000586294</v>
      </c>
      <c r="F1192" s="311"/>
      <c r="G1192" s="311">
        <f t="shared" ref="G1192:J1192" si="509">SUM(G1182:G1190)</f>
        <v>0.79999999999932614</v>
      </c>
      <c r="H1192" s="311">
        <f t="shared" si="509"/>
        <v>1.254000000002782</v>
      </c>
      <c r="I1192" s="311">
        <f t="shared" si="509"/>
        <v>2.2090000000444112</v>
      </c>
      <c r="J1192" s="311">
        <f t="shared" si="509"/>
        <v>4.2630000000465191</v>
      </c>
      <c r="K1192" s="311"/>
      <c r="L1192" s="311">
        <f t="shared" ref="L1192:O1192" si="510">SUM(L1182:L1190)</f>
        <v>0.83199999999892682</v>
      </c>
      <c r="M1192" s="311">
        <f t="shared" si="510"/>
        <v>1.4359999999955535</v>
      </c>
      <c r="N1192" s="311">
        <f t="shared" si="510"/>
        <v>2.1340000001072563</v>
      </c>
      <c r="O1192" s="311">
        <f t="shared" si="510"/>
        <v>4.4020000001017374</v>
      </c>
    </row>
    <row r="1193" spans="1:15" s="236" customFormat="1" x14ac:dyDescent="0.2">
      <c r="A1193" s="237"/>
      <c r="B1193" s="237"/>
      <c r="C1193" s="237"/>
      <c r="D1193" s="237"/>
      <c r="E1193" s="237"/>
      <c r="F1193" s="237"/>
      <c r="G1193" s="237"/>
      <c r="H1193" s="237"/>
      <c r="I1193" s="237"/>
      <c r="J1193" s="237"/>
      <c r="K1193" s="237"/>
      <c r="L1193" s="237"/>
      <c r="M1193" s="237"/>
      <c r="N1193" s="240"/>
    </row>
    <row r="1194" spans="1:15" s="236" customFormat="1" x14ac:dyDescent="0.2">
      <c r="A1194" s="237"/>
      <c r="B1194" s="237"/>
      <c r="C1194" s="237"/>
      <c r="D1194" s="237"/>
      <c r="E1194" s="237"/>
      <c r="F1194" s="237"/>
      <c r="G1194" s="237"/>
      <c r="H1194" s="237"/>
      <c r="I1194" s="237"/>
      <c r="J1194" s="237"/>
      <c r="K1194" s="237"/>
      <c r="L1194" s="237"/>
      <c r="M1194" s="237"/>
      <c r="N1194" s="240"/>
      <c r="O1194" s="251" t="s">
        <v>35</v>
      </c>
    </row>
    <row r="1195" spans="1:15" s="236" customFormat="1" x14ac:dyDescent="0.2">
      <c r="A1195" s="242"/>
      <c r="B1195" s="242"/>
      <c r="C1195" s="242"/>
      <c r="D1195" s="242"/>
      <c r="E1195" s="242"/>
      <c r="F1195" s="242"/>
      <c r="G1195" s="242"/>
      <c r="H1195" s="242"/>
      <c r="I1195" s="242"/>
      <c r="J1195" s="242"/>
      <c r="K1195" s="242"/>
      <c r="L1195" s="242"/>
      <c r="M1195" s="242"/>
      <c r="N1195" s="242"/>
      <c r="O1195" s="242"/>
    </row>
    <row r="1196" spans="1:15" s="236" customFormat="1" x14ac:dyDescent="0.2">
      <c r="A1196" s="241" t="str">
        <f>name!A73</f>
        <v>Libraries, etc</v>
      </c>
      <c r="B1196" s="374">
        <f>$B$6</f>
        <v>2015</v>
      </c>
      <c r="C1196" s="374"/>
      <c r="D1196" s="374"/>
      <c r="E1196" s="374"/>
      <c r="F1196" s="263"/>
      <c r="G1196" s="374">
        <f>$G$6</f>
        <v>2020</v>
      </c>
      <c r="H1196" s="374"/>
      <c r="I1196" s="374"/>
      <c r="J1196" s="374"/>
      <c r="K1196" s="263"/>
      <c r="L1196" s="374">
        <f>$L$6</f>
        <v>2035</v>
      </c>
      <c r="M1196" s="374"/>
      <c r="N1196" s="374"/>
      <c r="O1196" s="374"/>
    </row>
    <row r="1197" spans="1:15" s="236" customFormat="1" x14ac:dyDescent="0.2">
      <c r="A1197" s="254"/>
      <c r="B1197" s="268" t="str">
        <f>$B$7</f>
        <v>FT</v>
      </c>
      <c r="C1197" s="268" t="str">
        <f>$C$7</f>
        <v>PT</v>
      </c>
      <c r="D1197" s="268" t="str">
        <f>$D$7</f>
        <v>SE</v>
      </c>
      <c r="E1197" s="268" t="str">
        <f>$E$7</f>
        <v>Total</v>
      </c>
      <c r="F1197" s="268"/>
      <c r="G1197" s="268" t="str">
        <f>$G$7</f>
        <v>FT</v>
      </c>
      <c r="H1197" s="268" t="str">
        <f>$H$7</f>
        <v>PT</v>
      </c>
      <c r="I1197" s="268" t="str">
        <f>$I$7</f>
        <v>SE</v>
      </c>
      <c r="J1197" s="268" t="str">
        <f>$J$7</f>
        <v>Total</v>
      </c>
      <c r="K1197" s="268"/>
      <c r="L1197" s="268" t="str">
        <f>$L$7</f>
        <v>FT</v>
      </c>
      <c r="M1197" s="268" t="str">
        <f>$M$7</f>
        <v>PT</v>
      </c>
      <c r="N1197" s="268" t="str">
        <f>$N$7</f>
        <v>SE</v>
      </c>
      <c r="O1197" s="268" t="str">
        <f>$O$7</f>
        <v>Total</v>
      </c>
    </row>
    <row r="1198" spans="1:15" s="236" customFormat="1" x14ac:dyDescent="0.2">
      <c r="A1198" s="258"/>
      <c r="B1198" s="239"/>
      <c r="C1198" s="239"/>
      <c r="D1198" s="239"/>
      <c r="E1198" s="239"/>
      <c r="F1198" s="239"/>
      <c r="G1198" s="239"/>
      <c r="H1198" s="239"/>
      <c r="I1198" s="239"/>
      <c r="J1198" s="239"/>
      <c r="K1198" s="239"/>
      <c r="L1198" s="239"/>
      <c r="M1198" s="239"/>
      <c r="N1198" s="239"/>
      <c r="O1198" s="239"/>
    </row>
    <row r="1199" spans="1:15" s="236" customFormat="1" x14ac:dyDescent="0.2">
      <c r="A1199" s="237" t="str">
        <f>name!E$4</f>
        <v>Managers, directors and senior officials</v>
      </c>
      <c r="B1199" s="302">
        <v>0.21649950789409095</v>
      </c>
      <c r="C1199" s="302">
        <v>4.0702260270761223E-2</v>
      </c>
      <c r="D1199" s="302">
        <v>0.30722327231993096</v>
      </c>
      <c r="E1199" s="302">
        <f>SUM(B1199:D1199)</f>
        <v>0.56442504048478315</v>
      </c>
      <c r="F1199" s="303"/>
      <c r="G1199" s="302">
        <v>7.650275148864355E-2</v>
      </c>
      <c r="H1199" s="302">
        <v>7.0254459992136947E-2</v>
      </c>
      <c r="I1199" s="302">
        <v>0.19673509795008368</v>
      </c>
      <c r="J1199" s="302">
        <f>SUM(G1199:I1199)</f>
        <v>0.34349230943086417</v>
      </c>
      <c r="K1199" s="303"/>
      <c r="L1199" s="302">
        <v>8.8605985916426752E-2</v>
      </c>
      <c r="M1199" s="302">
        <v>0.10528381067073374</v>
      </c>
      <c r="N1199" s="302">
        <v>0.1882654938089327</v>
      </c>
      <c r="O1199" s="302">
        <f>SUM(L1199:N1199)</f>
        <v>0.38215529039609319</v>
      </c>
    </row>
    <row r="1200" spans="1:15" s="236" customFormat="1" x14ac:dyDescent="0.2">
      <c r="A1200" s="237" t="str">
        <f>name!E$5</f>
        <v>Professional occupations</v>
      </c>
      <c r="B1200" s="302">
        <v>0.40766950120808437</v>
      </c>
      <c r="C1200" s="302">
        <v>0.1144912772671299</v>
      </c>
      <c r="D1200" s="302">
        <v>0.80535148214474706</v>
      </c>
      <c r="E1200" s="302">
        <f t="shared" ref="E1200:E1207" si="511">SUM(B1200:D1200)</f>
        <v>1.3275122606199612</v>
      </c>
      <c r="F1200" s="303"/>
      <c r="G1200" s="302">
        <v>0.19135996103208389</v>
      </c>
      <c r="H1200" s="302">
        <v>0.18945067519638939</v>
      </c>
      <c r="I1200" s="302">
        <v>0.5205478669334288</v>
      </c>
      <c r="J1200" s="302">
        <f t="shared" ref="J1200:J1202" si="512">SUM(G1200:I1200)</f>
        <v>0.90135850316190202</v>
      </c>
      <c r="K1200" s="303"/>
      <c r="L1200" s="302">
        <v>0.22677054728888249</v>
      </c>
      <c r="M1200" s="302">
        <v>0.25466680237840555</v>
      </c>
      <c r="N1200" s="302">
        <v>0.47466427758118285</v>
      </c>
      <c r="O1200" s="302">
        <f t="shared" ref="O1200:O1207" si="513">SUM(L1200:N1200)</f>
        <v>0.95610162724847081</v>
      </c>
    </row>
    <row r="1201" spans="1:15" s="236" customFormat="1" x14ac:dyDescent="0.2">
      <c r="A1201" s="237" t="str">
        <f>name!E$6</f>
        <v>Associate professional occupations</v>
      </c>
      <c r="B1201" s="302">
        <v>0.44905553483839455</v>
      </c>
      <c r="C1201" s="302">
        <v>0.16890279677088085</v>
      </c>
      <c r="D1201" s="302">
        <v>2.3922999327818011</v>
      </c>
      <c r="E1201" s="302">
        <f t="shared" si="511"/>
        <v>3.0102582643910765</v>
      </c>
      <c r="F1201" s="303"/>
      <c r="G1201" s="302">
        <v>0.17302394242783226</v>
      </c>
      <c r="H1201" s="302">
        <v>0.2310116751123841</v>
      </c>
      <c r="I1201" s="302">
        <v>1.4709824726255245</v>
      </c>
      <c r="J1201" s="302">
        <f t="shared" si="512"/>
        <v>1.8750180901657409</v>
      </c>
      <c r="K1201" s="303"/>
      <c r="L1201" s="302">
        <v>0.17623901891805671</v>
      </c>
      <c r="M1201" s="302">
        <v>0.28970735572525663</v>
      </c>
      <c r="N1201" s="302">
        <v>1.4779518569042516</v>
      </c>
      <c r="O1201" s="302">
        <f t="shared" si="513"/>
        <v>1.943898231547565</v>
      </c>
    </row>
    <row r="1202" spans="1:15" s="236" customFormat="1" x14ac:dyDescent="0.2">
      <c r="A1202" s="237" t="str">
        <f>name!E$7</f>
        <v>Administrative and secretarial occupations</v>
      </c>
      <c r="B1202" s="302">
        <v>0.58456051324255698</v>
      </c>
      <c r="C1202" s="302">
        <v>0.52165596599190034</v>
      </c>
      <c r="D1202" s="302">
        <v>7.9195912870354282E-2</v>
      </c>
      <c r="E1202" s="302">
        <f t="shared" si="511"/>
        <v>1.1854123921048116</v>
      </c>
      <c r="F1202" s="303"/>
      <c r="G1202" s="302">
        <v>0.18879440497286354</v>
      </c>
      <c r="H1202" s="302">
        <v>0.61439321615770803</v>
      </c>
      <c r="I1202" s="302">
        <v>3.004624013790921E-2</v>
      </c>
      <c r="J1202" s="302">
        <f t="shared" si="512"/>
        <v>0.83323386126848076</v>
      </c>
      <c r="K1202" s="303"/>
      <c r="L1202" s="302">
        <v>0.17977874155494067</v>
      </c>
      <c r="M1202" s="302">
        <v>0.65736786893262544</v>
      </c>
      <c r="N1202" s="302">
        <v>2.7068955309952469E-2</v>
      </c>
      <c r="O1202" s="302">
        <f t="shared" si="513"/>
        <v>0.86421556579751857</v>
      </c>
    </row>
    <row r="1203" spans="1:15" s="236" customFormat="1" x14ac:dyDescent="0.2">
      <c r="A1203" s="237" t="str">
        <f>name!E$8</f>
        <v>Skilled trades occupations</v>
      </c>
      <c r="B1203" s="302">
        <v>0.4266619092990227</v>
      </c>
      <c r="C1203" s="302">
        <v>8.2964968062701677E-2</v>
      </c>
      <c r="D1203" s="302">
        <v>0.53505095940731584</v>
      </c>
      <c r="E1203" s="302">
        <f t="shared" si="511"/>
        <v>1.0446778367690404</v>
      </c>
      <c r="F1203" s="303"/>
      <c r="G1203" s="302">
        <v>0.10232350341489255</v>
      </c>
      <c r="H1203" s="302">
        <v>7.9217138445760185E-2</v>
      </c>
      <c r="I1203" s="302">
        <v>0.34061363056476296</v>
      </c>
      <c r="J1203" s="302">
        <f>SUM(G1203:I1203)</f>
        <v>0.52215427242541568</v>
      </c>
      <c r="K1203" s="303"/>
      <c r="L1203" s="302">
        <v>8.3432226809772275E-2</v>
      </c>
      <c r="M1203" s="302">
        <v>0.10378686092505224</v>
      </c>
      <c r="N1203" s="302">
        <v>0.32796496141639098</v>
      </c>
      <c r="O1203" s="302">
        <f t="shared" si="513"/>
        <v>0.51518404915121552</v>
      </c>
    </row>
    <row r="1204" spans="1:15" s="236" customFormat="1" x14ac:dyDescent="0.2">
      <c r="A1204" s="237" t="str">
        <f>name!E$9</f>
        <v>Caring, leisure and other service occupations</v>
      </c>
      <c r="B1204" s="302">
        <v>0.30028910641278661</v>
      </c>
      <c r="C1204" s="302">
        <v>0.24265615619710604</v>
      </c>
      <c r="D1204" s="302">
        <v>9.9150746276465446E-2</v>
      </c>
      <c r="E1204" s="302">
        <f t="shared" si="511"/>
        <v>0.64209600888635809</v>
      </c>
      <c r="F1204" s="303"/>
      <c r="G1204" s="302">
        <v>8.8157096410206193E-2</v>
      </c>
      <c r="H1204" s="302">
        <v>0.26703010655517007</v>
      </c>
      <c r="I1204" s="302">
        <v>5.7954340062256408E-2</v>
      </c>
      <c r="J1204" s="302">
        <f t="shared" ref="J1204:J1207" si="514">SUM(G1204:I1204)</f>
        <v>0.41314154302763267</v>
      </c>
      <c r="K1204" s="303"/>
      <c r="L1204" s="302">
        <v>8.8291071013104572E-2</v>
      </c>
      <c r="M1204" s="302">
        <v>0.30048790506980089</v>
      </c>
      <c r="N1204" s="302">
        <v>6.8251443371545553E-2</v>
      </c>
      <c r="O1204" s="302">
        <f t="shared" si="513"/>
        <v>0.457030419454451</v>
      </c>
    </row>
    <row r="1205" spans="1:15" s="236" customFormat="1" x14ac:dyDescent="0.2">
      <c r="A1205" s="237" t="str">
        <f>name!E$10</f>
        <v>Sales and customer service occupations</v>
      </c>
      <c r="B1205" s="302">
        <v>0.25801153961016465</v>
      </c>
      <c r="C1205" s="302">
        <v>0.25209154307030263</v>
      </c>
      <c r="D1205" s="302">
        <v>7.5546121241413813E-2</v>
      </c>
      <c r="E1205" s="302">
        <f t="shared" si="511"/>
        <v>0.58564920392188113</v>
      </c>
      <c r="F1205" s="303"/>
      <c r="G1205" s="302">
        <v>8.0614714251361533E-2</v>
      </c>
      <c r="H1205" s="302">
        <v>0.29146198112256505</v>
      </c>
      <c r="I1205" s="302">
        <v>3.2967261958779061E-2</v>
      </c>
      <c r="J1205" s="302">
        <f t="shared" si="514"/>
        <v>0.40504395733270565</v>
      </c>
      <c r="K1205" s="303"/>
      <c r="L1205" s="302">
        <v>8.850274746831889E-2</v>
      </c>
      <c r="M1205" s="302">
        <v>0.34716833138689179</v>
      </c>
      <c r="N1205" s="302">
        <v>2.499829794542989E-2</v>
      </c>
      <c r="O1205" s="302">
        <f t="shared" si="513"/>
        <v>0.46066937680064057</v>
      </c>
    </row>
    <row r="1206" spans="1:15" s="236" customFormat="1" x14ac:dyDescent="0.2">
      <c r="A1206" s="237" t="str">
        <f>name!E$11</f>
        <v>Process, plant and machine operatives</v>
      </c>
      <c r="B1206" s="302">
        <v>8.1777118001814517E-2</v>
      </c>
      <c r="C1206" s="302">
        <v>2.524064904009184E-2</v>
      </c>
      <c r="D1206" s="302">
        <v>2.22431937604902E-2</v>
      </c>
      <c r="E1206" s="302">
        <f t="shared" si="511"/>
        <v>0.12926096080239655</v>
      </c>
      <c r="F1206" s="303"/>
      <c r="G1206" s="302">
        <v>1.7559372278087976E-2</v>
      </c>
      <c r="H1206" s="302">
        <v>2.9120929887878816E-2</v>
      </c>
      <c r="I1206" s="302">
        <v>1.7323260519468253E-2</v>
      </c>
      <c r="J1206" s="302">
        <f t="shared" si="514"/>
        <v>6.4003562685435042E-2</v>
      </c>
      <c r="K1206" s="303"/>
      <c r="L1206" s="302">
        <v>1.9575608866310407E-2</v>
      </c>
      <c r="M1206" s="302">
        <v>4.6568143046884086E-2</v>
      </c>
      <c r="N1206" s="302">
        <v>1.9150151007597954E-2</v>
      </c>
      <c r="O1206" s="302">
        <f t="shared" si="513"/>
        <v>8.5293902920792447E-2</v>
      </c>
    </row>
    <row r="1207" spans="1:15" s="236" customFormat="1" x14ac:dyDescent="0.2">
      <c r="A1207" s="237" t="str">
        <f>name!E$12</f>
        <v>Elementary occupations</v>
      </c>
      <c r="B1207" s="302">
        <v>0.33047526947754469</v>
      </c>
      <c r="C1207" s="302">
        <v>0.56729438334736737</v>
      </c>
      <c r="D1207" s="302">
        <v>7.1938379265383379E-2</v>
      </c>
      <c r="E1207" s="302">
        <f t="shared" si="511"/>
        <v>0.96970803209029544</v>
      </c>
      <c r="F1207" s="303"/>
      <c r="G1207" s="302">
        <v>7.5664253723257843E-2</v>
      </c>
      <c r="H1207" s="302">
        <v>0.54805981753340693</v>
      </c>
      <c r="I1207" s="302">
        <v>2.882982929626594E-2</v>
      </c>
      <c r="J1207" s="302">
        <f t="shared" si="514"/>
        <v>0.65255390055293072</v>
      </c>
      <c r="K1207" s="303"/>
      <c r="L1207" s="302">
        <v>6.7804052163806819E-2</v>
      </c>
      <c r="M1207" s="302">
        <v>0.48696292185382473</v>
      </c>
      <c r="N1207" s="302">
        <v>3.1684562776905394E-2</v>
      </c>
      <c r="O1207" s="302">
        <f t="shared" si="513"/>
        <v>0.58645153679453688</v>
      </c>
    </row>
    <row r="1208" spans="1:15" s="236" customFormat="1" x14ac:dyDescent="0.2">
      <c r="A1208" s="237"/>
      <c r="B1208" s="302"/>
      <c r="C1208" s="302"/>
      <c r="D1208" s="302"/>
      <c r="E1208" s="302"/>
      <c r="F1208" s="303"/>
      <c r="G1208" s="302"/>
      <c r="H1208" s="302"/>
      <c r="I1208" s="302"/>
      <c r="J1208" s="302"/>
      <c r="K1208" s="303"/>
      <c r="L1208" s="302"/>
      <c r="M1208" s="302"/>
      <c r="N1208" s="302"/>
      <c r="O1208" s="302"/>
    </row>
    <row r="1209" spans="1:15" s="236" customFormat="1" x14ac:dyDescent="0.2">
      <c r="A1209" s="244" t="s">
        <v>32</v>
      </c>
      <c r="B1209" s="311">
        <f>SUM(B1199:B1207)</f>
        <v>3.0549999999844593</v>
      </c>
      <c r="C1209" s="311">
        <f t="shared" ref="C1209:E1209" si="515">SUM(C1199:C1207)</f>
        <v>2.0160000000182419</v>
      </c>
      <c r="D1209" s="311">
        <f t="shared" si="515"/>
        <v>4.3880000000679011</v>
      </c>
      <c r="E1209" s="311">
        <f t="shared" si="515"/>
        <v>9.4590000000706027</v>
      </c>
      <c r="F1209" s="311"/>
      <c r="G1209" s="311">
        <f t="shared" ref="G1209:J1209" si="516">SUM(G1199:G1207)</f>
        <v>0.9939999999992295</v>
      </c>
      <c r="H1209" s="311">
        <f t="shared" si="516"/>
        <v>2.3200000000033993</v>
      </c>
      <c r="I1209" s="311">
        <f t="shared" si="516"/>
        <v>2.6960000000484783</v>
      </c>
      <c r="J1209" s="311">
        <f t="shared" si="516"/>
        <v>6.0100000000511082</v>
      </c>
      <c r="K1209" s="311"/>
      <c r="L1209" s="311">
        <f t="shared" ref="L1209:O1209" si="517">SUM(L1199:L1207)</f>
        <v>1.0189999999996195</v>
      </c>
      <c r="M1209" s="311">
        <f t="shared" si="517"/>
        <v>2.5919999999894756</v>
      </c>
      <c r="N1209" s="311">
        <f t="shared" si="517"/>
        <v>2.640000000122189</v>
      </c>
      <c r="O1209" s="311">
        <f t="shared" si="517"/>
        <v>6.2510000001112846</v>
      </c>
    </row>
    <row r="1210" spans="1:15" s="236" customFormat="1" x14ac:dyDescent="0.2">
      <c r="A1210" s="237"/>
      <c r="B1210" s="237"/>
      <c r="C1210" s="237"/>
      <c r="D1210" s="237"/>
      <c r="E1210" s="237"/>
      <c r="F1210" s="237"/>
      <c r="G1210" s="237"/>
      <c r="H1210" s="237"/>
      <c r="I1210" s="237"/>
      <c r="J1210" s="237"/>
      <c r="K1210" s="237"/>
      <c r="L1210" s="237"/>
      <c r="M1210" s="237"/>
      <c r="N1210" s="240"/>
    </row>
    <row r="1211" spans="1:15" s="236" customFormat="1" x14ac:dyDescent="0.2">
      <c r="A1211" s="237"/>
      <c r="B1211" s="237"/>
      <c r="C1211" s="237"/>
      <c r="D1211" s="237"/>
      <c r="E1211" s="237"/>
      <c r="F1211" s="237"/>
      <c r="G1211" s="237"/>
      <c r="H1211" s="237"/>
      <c r="I1211" s="237"/>
      <c r="J1211" s="237"/>
      <c r="K1211" s="237"/>
      <c r="L1211" s="237"/>
      <c r="M1211" s="237"/>
      <c r="N1211" s="240"/>
      <c r="O1211" s="251" t="s">
        <v>35</v>
      </c>
    </row>
    <row r="1212" spans="1:15" s="236" customFormat="1" x14ac:dyDescent="0.2">
      <c r="A1212" s="242"/>
      <c r="B1212" s="242"/>
      <c r="C1212" s="242"/>
      <c r="D1212" s="242"/>
      <c r="E1212" s="242"/>
      <c r="F1212" s="242"/>
      <c r="G1212" s="242"/>
      <c r="H1212" s="242"/>
      <c r="I1212" s="242"/>
      <c r="J1212" s="242"/>
      <c r="K1212" s="242"/>
      <c r="L1212" s="242"/>
      <c r="M1212" s="242"/>
      <c r="N1212" s="242"/>
      <c r="O1212" s="242"/>
    </row>
    <row r="1213" spans="1:15" s="236" customFormat="1" x14ac:dyDescent="0.2">
      <c r="A1213" s="241" t="str">
        <f>name!A74</f>
        <v>Gambling and betting</v>
      </c>
      <c r="B1213" s="374">
        <f>$B$6</f>
        <v>2015</v>
      </c>
      <c r="C1213" s="374"/>
      <c r="D1213" s="374"/>
      <c r="E1213" s="374"/>
      <c r="F1213" s="263"/>
      <c r="G1213" s="374">
        <f>$G$6</f>
        <v>2020</v>
      </c>
      <c r="H1213" s="374"/>
      <c r="I1213" s="374"/>
      <c r="J1213" s="374"/>
      <c r="K1213" s="263"/>
      <c r="L1213" s="374">
        <f>$L$6</f>
        <v>2035</v>
      </c>
      <c r="M1213" s="374"/>
      <c r="N1213" s="374"/>
      <c r="O1213" s="374"/>
    </row>
    <row r="1214" spans="1:15" s="236" customFormat="1" x14ac:dyDescent="0.2">
      <c r="A1214" s="254"/>
      <c r="B1214" s="268" t="str">
        <f>$B$7</f>
        <v>FT</v>
      </c>
      <c r="C1214" s="268" t="str">
        <f>$C$7</f>
        <v>PT</v>
      </c>
      <c r="D1214" s="268" t="str">
        <f>$D$7</f>
        <v>SE</v>
      </c>
      <c r="E1214" s="268" t="str">
        <f>$E$7</f>
        <v>Total</v>
      </c>
      <c r="F1214" s="268"/>
      <c r="G1214" s="268" t="str">
        <f>$G$7</f>
        <v>FT</v>
      </c>
      <c r="H1214" s="268" t="str">
        <f>$H$7</f>
        <v>PT</v>
      </c>
      <c r="I1214" s="268" t="str">
        <f>$I$7</f>
        <v>SE</v>
      </c>
      <c r="J1214" s="268" t="str">
        <f>$J$7</f>
        <v>Total</v>
      </c>
      <c r="K1214" s="268"/>
      <c r="L1214" s="268" t="str">
        <f>$L$7</f>
        <v>FT</v>
      </c>
      <c r="M1214" s="268" t="str">
        <f>$M$7</f>
        <v>PT</v>
      </c>
      <c r="N1214" s="268" t="str">
        <f>$N$7</f>
        <v>SE</v>
      </c>
      <c r="O1214" s="268" t="str">
        <f>$O$7</f>
        <v>Total</v>
      </c>
    </row>
    <row r="1215" spans="1:15" s="236" customFormat="1" x14ac:dyDescent="0.2">
      <c r="A1215" s="258"/>
      <c r="B1215" s="239"/>
      <c r="C1215" s="239"/>
      <c r="D1215" s="239"/>
      <c r="E1215" s="239"/>
      <c r="F1215" s="239"/>
      <c r="G1215" s="239"/>
      <c r="H1215" s="239"/>
      <c r="I1215" s="239"/>
      <c r="J1215" s="239"/>
      <c r="K1215" s="239"/>
      <c r="L1215" s="239"/>
      <c r="M1215" s="239"/>
      <c r="N1215" s="239"/>
      <c r="O1215" s="239"/>
    </row>
    <row r="1216" spans="1:15" s="236" customFormat="1" x14ac:dyDescent="0.2">
      <c r="A1216" s="237" t="str">
        <f>name!E$4</f>
        <v>Managers, directors and senior officials</v>
      </c>
      <c r="B1216" s="302">
        <v>0.20621901946823754</v>
      </c>
      <c r="C1216" s="302">
        <v>6.6232189858268745E-2</v>
      </c>
      <c r="D1216" s="302">
        <v>5.3031043686691946E-2</v>
      </c>
      <c r="E1216" s="302">
        <f>SUM(B1216:D1216)</f>
        <v>0.32548225301319822</v>
      </c>
      <c r="F1216" s="303"/>
      <c r="G1216" s="302">
        <v>0.15340776366328931</v>
      </c>
      <c r="H1216" s="302">
        <v>7.1806460318783877E-2</v>
      </c>
      <c r="I1216" s="302">
        <v>2.213769659547726E-2</v>
      </c>
      <c r="J1216" s="302">
        <f>SUM(G1216:I1216)</f>
        <v>0.24735192057755045</v>
      </c>
      <c r="K1216" s="303"/>
      <c r="L1216" s="302">
        <v>0.18889887662981159</v>
      </c>
      <c r="M1216" s="302">
        <v>0.12250913773198477</v>
      </c>
      <c r="N1216" s="302">
        <v>2.7573665922334043E-2</v>
      </c>
      <c r="O1216" s="302">
        <f>SUM(L1216:N1216)</f>
        <v>0.33898168028413039</v>
      </c>
    </row>
    <row r="1217" spans="1:15" s="236" customFormat="1" x14ac:dyDescent="0.2">
      <c r="A1217" s="237" t="str">
        <f>name!E$5</f>
        <v>Professional occupations</v>
      </c>
      <c r="B1217" s="302">
        <v>0.37352142457094778</v>
      </c>
      <c r="C1217" s="302">
        <v>0.12788861183817263</v>
      </c>
      <c r="D1217" s="302">
        <v>0.12468698903930144</v>
      </c>
      <c r="E1217" s="302">
        <f t="shared" ref="E1217:E1224" si="518">SUM(B1217:D1217)</f>
        <v>0.62609702544842183</v>
      </c>
      <c r="F1217" s="303"/>
      <c r="G1217" s="302">
        <v>0.26902153596186945</v>
      </c>
      <c r="H1217" s="302">
        <v>0.15610360983820323</v>
      </c>
      <c r="I1217" s="302">
        <v>5.8425032444864439E-2</v>
      </c>
      <c r="J1217" s="302">
        <f t="shared" ref="J1217:J1219" si="519">SUM(G1217:I1217)</f>
        <v>0.48355017824493707</v>
      </c>
      <c r="K1217" s="303"/>
      <c r="L1217" s="302">
        <v>0.34337678462926124</v>
      </c>
      <c r="M1217" s="302">
        <v>0.20360030600118637</v>
      </c>
      <c r="N1217" s="302">
        <v>7.3652681777053683E-2</v>
      </c>
      <c r="O1217" s="302">
        <f t="shared" ref="O1217:O1224" si="520">SUM(L1217:N1217)</f>
        <v>0.62062977240750128</v>
      </c>
    </row>
    <row r="1218" spans="1:15" s="236" customFormat="1" x14ac:dyDescent="0.2">
      <c r="A1218" s="237" t="str">
        <f>name!E$6</f>
        <v>Associate professional occupations</v>
      </c>
      <c r="B1218" s="302">
        <v>0.42457121315602842</v>
      </c>
      <c r="C1218" s="302">
        <v>0.20377369885007701</v>
      </c>
      <c r="D1218" s="302">
        <v>0.42092416123907356</v>
      </c>
      <c r="E1218" s="302">
        <f t="shared" si="518"/>
        <v>1.049269073245179</v>
      </c>
      <c r="F1218" s="303"/>
      <c r="G1218" s="302">
        <v>0.31103476262597907</v>
      </c>
      <c r="H1218" s="302">
        <v>0.20047932519113038</v>
      </c>
      <c r="I1218" s="302">
        <v>0.1654137903851591</v>
      </c>
      <c r="J1218" s="302">
        <f t="shared" si="519"/>
        <v>0.67692787820226852</v>
      </c>
      <c r="K1218" s="303"/>
      <c r="L1218" s="302">
        <v>0.34907677140438492</v>
      </c>
      <c r="M1218" s="302">
        <v>0.24118975075806684</v>
      </c>
      <c r="N1218" s="302">
        <v>0.21999950005466137</v>
      </c>
      <c r="O1218" s="302">
        <f t="shared" si="520"/>
        <v>0.81026602221711319</v>
      </c>
    </row>
    <row r="1219" spans="1:15" s="236" customFormat="1" x14ac:dyDescent="0.2">
      <c r="A1219" s="237" t="str">
        <f>name!E$7</f>
        <v>Administrative and secretarial occupations</v>
      </c>
      <c r="B1219" s="302">
        <v>0.54349964568935671</v>
      </c>
      <c r="C1219" s="302">
        <v>0.60667977156521957</v>
      </c>
      <c r="D1219" s="302">
        <v>1.6811965969513964E-2</v>
      </c>
      <c r="E1219" s="302">
        <f t="shared" si="518"/>
        <v>1.1669913832240904</v>
      </c>
      <c r="F1219" s="303"/>
      <c r="G1219" s="302">
        <v>0.32083524557045828</v>
      </c>
      <c r="H1219" s="302">
        <v>0.51712576862863413</v>
      </c>
      <c r="I1219" s="302">
        <v>3.401522495947554E-3</v>
      </c>
      <c r="J1219" s="302">
        <f t="shared" si="519"/>
        <v>0.84136253669504002</v>
      </c>
      <c r="K1219" s="303"/>
      <c r="L1219" s="302">
        <v>0.3718882279062109</v>
      </c>
      <c r="M1219" s="302">
        <v>0.55642261139409199</v>
      </c>
      <c r="N1219" s="302">
        <v>3.9302441771776105E-3</v>
      </c>
      <c r="O1219" s="302">
        <f t="shared" si="520"/>
        <v>0.93224108347748047</v>
      </c>
    </row>
    <row r="1220" spans="1:15" s="236" customFormat="1" x14ac:dyDescent="0.2">
      <c r="A1220" s="237" t="str">
        <f>name!E$8</f>
        <v>Skilled trades occupations</v>
      </c>
      <c r="B1220" s="302">
        <v>0.4263259052114628</v>
      </c>
      <c r="C1220" s="302">
        <v>0.20636762655408714</v>
      </c>
      <c r="D1220" s="302">
        <v>7.2907716818462628E-2</v>
      </c>
      <c r="E1220" s="302">
        <f t="shared" si="518"/>
        <v>0.70560124858401263</v>
      </c>
      <c r="F1220" s="303"/>
      <c r="G1220" s="302">
        <v>0.29491451644152877</v>
      </c>
      <c r="H1220" s="302">
        <v>0.10993255967432142</v>
      </c>
      <c r="I1220" s="302">
        <v>3.8191720878433311E-2</v>
      </c>
      <c r="J1220" s="302">
        <f>SUM(G1220:I1220)</f>
        <v>0.4430387969942835</v>
      </c>
      <c r="K1220" s="303"/>
      <c r="L1220" s="302">
        <v>0.25299289657796914</v>
      </c>
      <c r="M1220" s="302">
        <v>0.16424302637698404</v>
      </c>
      <c r="N1220" s="302">
        <v>5.1489707221134294E-2</v>
      </c>
      <c r="O1220" s="302">
        <f t="shared" si="520"/>
        <v>0.46872563017608743</v>
      </c>
    </row>
    <row r="1221" spans="1:15" s="236" customFormat="1" x14ac:dyDescent="0.2">
      <c r="A1221" s="237" t="str">
        <f>name!E$9</f>
        <v>Caring, leisure and other service occupations</v>
      </c>
      <c r="B1221" s="302">
        <v>0.28378475061679692</v>
      </c>
      <c r="C1221" s="302">
        <v>0.42388691487474089</v>
      </c>
      <c r="D1221" s="302">
        <v>1.9462891089613084E-2</v>
      </c>
      <c r="E1221" s="302">
        <f t="shared" si="518"/>
        <v>0.72713455658115089</v>
      </c>
      <c r="F1221" s="303"/>
      <c r="G1221" s="302">
        <v>0.17278776387126829</v>
      </c>
      <c r="H1221" s="302">
        <v>0.29209862318659768</v>
      </c>
      <c r="I1221" s="302">
        <v>6.538078873626881E-3</v>
      </c>
      <c r="J1221" s="302">
        <f t="shared" ref="J1221:J1224" si="521">SUM(G1221:I1221)</f>
        <v>0.4714244659314929</v>
      </c>
      <c r="K1221" s="303"/>
      <c r="L1221" s="302">
        <v>0.19704126123157989</v>
      </c>
      <c r="M1221" s="302">
        <v>0.374824270138442</v>
      </c>
      <c r="N1221" s="302">
        <v>9.8821680819055607E-3</v>
      </c>
      <c r="O1221" s="302">
        <f t="shared" si="520"/>
        <v>0.58174769945192739</v>
      </c>
    </row>
    <row r="1222" spans="1:15" s="236" customFormat="1" x14ac:dyDescent="0.2">
      <c r="A1222" s="237" t="str">
        <f>name!E$10</f>
        <v>Sales and customer service occupations</v>
      </c>
      <c r="B1222" s="302">
        <v>0.24173166261549989</v>
      </c>
      <c r="C1222" s="302">
        <v>0.43494397030835302</v>
      </c>
      <c r="D1222" s="302">
        <v>1.4037249086022623E-2</v>
      </c>
      <c r="E1222" s="302">
        <f t="shared" si="518"/>
        <v>0.69071288200987557</v>
      </c>
      <c r="F1222" s="303"/>
      <c r="G1222" s="302">
        <v>0.14588550780266743</v>
      </c>
      <c r="H1222" s="302">
        <v>0.31543839453185729</v>
      </c>
      <c r="I1222" s="302">
        <v>3.7086089949340266E-3</v>
      </c>
      <c r="J1222" s="302">
        <f t="shared" si="521"/>
        <v>0.46503251132945872</v>
      </c>
      <c r="K1222" s="303"/>
      <c r="L1222" s="302">
        <v>0.20214774028581706</v>
      </c>
      <c r="M1222" s="302">
        <v>0.41930883789625023</v>
      </c>
      <c r="N1222" s="302">
        <v>3.6919376757227271E-3</v>
      </c>
      <c r="O1222" s="302">
        <f t="shared" si="520"/>
        <v>0.62514851585779008</v>
      </c>
    </row>
    <row r="1223" spans="1:15" s="236" customFormat="1" x14ac:dyDescent="0.2">
      <c r="A1223" s="237" t="str">
        <f>name!E$11</f>
        <v>Process, plant and machine operatives</v>
      </c>
      <c r="B1223" s="302">
        <v>8.1943680745309389E-2</v>
      </c>
      <c r="C1223" s="302">
        <v>6.2216843936202179E-2</v>
      </c>
      <c r="D1223" s="302">
        <v>2.7368295733555506E-3</v>
      </c>
      <c r="E1223" s="302">
        <f t="shared" si="518"/>
        <v>0.14689735425486714</v>
      </c>
      <c r="F1223" s="303"/>
      <c r="G1223" s="302">
        <v>5.1978264514898224E-2</v>
      </c>
      <c r="H1223" s="302">
        <v>4.1088619093930676E-2</v>
      </c>
      <c r="I1223" s="302">
        <v>1.9396477321009264E-3</v>
      </c>
      <c r="J1223" s="302">
        <f t="shared" si="521"/>
        <v>9.5006531340929817E-2</v>
      </c>
      <c r="K1223" s="303"/>
      <c r="L1223" s="302">
        <v>6.2019493793178442E-2</v>
      </c>
      <c r="M1223" s="302">
        <v>7.0482733466979516E-2</v>
      </c>
      <c r="N1223" s="302">
        <v>3.061933191188239E-3</v>
      </c>
      <c r="O1223" s="302">
        <f t="shared" si="520"/>
        <v>0.1355641604513462</v>
      </c>
    </row>
    <row r="1224" spans="1:15" s="236" customFormat="1" x14ac:dyDescent="0.2">
      <c r="A1224" s="237" t="str">
        <f>name!E$12</f>
        <v>Elementary occupations</v>
      </c>
      <c r="B1224" s="302">
        <v>0.32840269791271232</v>
      </c>
      <c r="C1224" s="302">
        <v>1.0470103722476747</v>
      </c>
      <c r="D1224" s="302">
        <v>1.3401153506482815E-2</v>
      </c>
      <c r="E1224" s="302">
        <f t="shared" si="518"/>
        <v>1.3888142236668699</v>
      </c>
      <c r="F1224" s="303"/>
      <c r="G1224" s="302">
        <v>0.21013463954629188</v>
      </c>
      <c r="H1224" s="302">
        <v>0.61692663953867199</v>
      </c>
      <c r="I1224" s="302">
        <v>3.2439016048593167E-3</v>
      </c>
      <c r="J1224" s="302">
        <f t="shared" si="521"/>
        <v>0.83030518068982317</v>
      </c>
      <c r="K1224" s="303"/>
      <c r="L1224" s="302">
        <v>0.20455794753713202</v>
      </c>
      <c r="M1224" s="302">
        <v>0.6184193262220955</v>
      </c>
      <c r="N1224" s="302">
        <v>4.7181619188812959E-3</v>
      </c>
      <c r="O1224" s="302">
        <f t="shared" si="520"/>
        <v>0.82769543567810888</v>
      </c>
    </row>
    <row r="1225" spans="1:15" s="236" customFormat="1" x14ac:dyDescent="0.2">
      <c r="A1225" s="237"/>
      <c r="B1225" s="302"/>
      <c r="C1225" s="302"/>
      <c r="D1225" s="302"/>
      <c r="E1225" s="302"/>
      <c r="F1225" s="303"/>
      <c r="G1225" s="302"/>
      <c r="H1225" s="302"/>
      <c r="I1225" s="302"/>
      <c r="J1225" s="302"/>
      <c r="K1225" s="303"/>
      <c r="L1225" s="302"/>
      <c r="M1225" s="302"/>
      <c r="N1225" s="302"/>
      <c r="O1225" s="302"/>
    </row>
    <row r="1226" spans="1:15" s="236" customFormat="1" x14ac:dyDescent="0.2">
      <c r="A1226" s="244" t="s">
        <v>32</v>
      </c>
      <c r="B1226" s="311">
        <f>SUM(B1216:B1224)</f>
        <v>2.9099999999863515</v>
      </c>
      <c r="C1226" s="311">
        <f t="shared" ref="C1226:E1226" si="522">SUM(C1216:C1224)</f>
        <v>3.1790000000327954</v>
      </c>
      <c r="D1226" s="311">
        <f t="shared" si="522"/>
        <v>0.73800000000851762</v>
      </c>
      <c r="E1226" s="311">
        <f t="shared" si="522"/>
        <v>6.8270000000276649</v>
      </c>
      <c r="F1226" s="311"/>
      <c r="G1226" s="311">
        <f t="shared" ref="G1226:J1226" si="523">SUM(G1216:G1224)</f>
        <v>1.9299999999982509</v>
      </c>
      <c r="H1226" s="311">
        <f t="shared" si="523"/>
        <v>2.3210000000021305</v>
      </c>
      <c r="I1226" s="311">
        <f t="shared" si="523"/>
        <v>0.30300000000540284</v>
      </c>
      <c r="J1226" s="311">
        <f t="shared" si="523"/>
        <v>4.5540000000057841</v>
      </c>
      <c r="K1226" s="311"/>
      <c r="L1226" s="311">
        <f t="shared" ref="L1226:O1226" si="524">SUM(L1216:L1224)</f>
        <v>2.1719999999953452</v>
      </c>
      <c r="M1226" s="311">
        <f t="shared" si="524"/>
        <v>2.7709999999860808</v>
      </c>
      <c r="N1226" s="311">
        <f t="shared" si="524"/>
        <v>0.39800000002005886</v>
      </c>
      <c r="O1226" s="311">
        <f t="shared" si="524"/>
        <v>5.3410000000014852</v>
      </c>
    </row>
    <row r="1227" spans="1:15" s="236" customFormat="1" x14ac:dyDescent="0.2">
      <c r="A1227" s="237"/>
      <c r="B1227" s="237"/>
      <c r="C1227" s="237"/>
      <c r="D1227" s="237"/>
      <c r="E1227" s="237"/>
      <c r="F1227" s="237"/>
      <c r="G1227" s="237"/>
      <c r="H1227" s="237"/>
      <c r="I1227" s="237"/>
      <c r="J1227" s="237"/>
      <c r="K1227" s="237"/>
      <c r="L1227" s="237"/>
      <c r="M1227" s="237"/>
      <c r="N1227" s="240"/>
    </row>
    <row r="1228" spans="1:15" s="236" customFormat="1" x14ac:dyDescent="0.2">
      <c r="A1228" s="237"/>
      <c r="B1228" s="237"/>
      <c r="C1228" s="237"/>
      <c r="D1228" s="237"/>
      <c r="E1228" s="237"/>
      <c r="F1228" s="237"/>
      <c r="G1228" s="237"/>
      <c r="H1228" s="237"/>
      <c r="I1228" s="237"/>
      <c r="J1228" s="237"/>
      <c r="K1228" s="237"/>
      <c r="L1228" s="237"/>
      <c r="M1228" s="237"/>
      <c r="N1228" s="240"/>
      <c r="O1228" s="251" t="s">
        <v>35</v>
      </c>
    </row>
    <row r="1229" spans="1:15" s="236" customFormat="1" x14ac:dyDescent="0.2">
      <c r="A1229" s="242"/>
      <c r="B1229" s="242"/>
      <c r="C1229" s="242"/>
      <c r="D1229" s="242"/>
      <c r="E1229" s="242"/>
      <c r="F1229" s="242"/>
      <c r="G1229" s="242"/>
      <c r="H1229" s="242"/>
      <c r="I1229" s="242"/>
      <c r="J1229" s="242"/>
      <c r="K1229" s="242"/>
      <c r="L1229" s="242"/>
      <c r="M1229" s="242"/>
      <c r="N1229" s="242"/>
      <c r="O1229" s="242"/>
    </row>
    <row r="1230" spans="1:15" s="236" customFormat="1" x14ac:dyDescent="0.2">
      <c r="A1230" s="241" t="str">
        <f>name!A75</f>
        <v>Sport and recreation</v>
      </c>
      <c r="B1230" s="374">
        <f>$B$6</f>
        <v>2015</v>
      </c>
      <c r="C1230" s="374"/>
      <c r="D1230" s="374"/>
      <c r="E1230" s="374"/>
      <c r="F1230" s="263"/>
      <c r="G1230" s="374">
        <f>$G$6</f>
        <v>2020</v>
      </c>
      <c r="H1230" s="374"/>
      <c r="I1230" s="374"/>
      <c r="J1230" s="374"/>
      <c r="K1230" s="263"/>
      <c r="L1230" s="374">
        <f>$L$6</f>
        <v>2035</v>
      </c>
      <c r="M1230" s="374"/>
      <c r="N1230" s="374"/>
      <c r="O1230" s="374"/>
    </row>
    <row r="1231" spans="1:15" s="236" customFormat="1" x14ac:dyDescent="0.2">
      <c r="A1231" s="254"/>
      <c r="B1231" s="268" t="str">
        <f>$B$7</f>
        <v>FT</v>
      </c>
      <c r="C1231" s="268" t="str">
        <f>$C$7</f>
        <v>PT</v>
      </c>
      <c r="D1231" s="268" t="str">
        <f>$D$7</f>
        <v>SE</v>
      </c>
      <c r="E1231" s="268" t="str">
        <f>$E$7</f>
        <v>Total</v>
      </c>
      <c r="F1231" s="268"/>
      <c r="G1231" s="268" t="str">
        <f>$G$7</f>
        <v>FT</v>
      </c>
      <c r="H1231" s="268" t="str">
        <f>$H$7</f>
        <v>PT</v>
      </c>
      <c r="I1231" s="268" t="str">
        <f>$I$7</f>
        <v>SE</v>
      </c>
      <c r="J1231" s="268" t="str">
        <f>$J$7</f>
        <v>Total</v>
      </c>
      <c r="K1231" s="268"/>
      <c r="L1231" s="268" t="str">
        <f>$L$7</f>
        <v>FT</v>
      </c>
      <c r="M1231" s="268" t="str">
        <f>$M$7</f>
        <v>PT</v>
      </c>
      <c r="N1231" s="268" t="str">
        <f>$N$7</f>
        <v>SE</v>
      </c>
      <c r="O1231" s="268" t="str">
        <f>$O$7</f>
        <v>Total</v>
      </c>
    </row>
    <row r="1232" spans="1:15" s="236" customFormat="1" x14ac:dyDescent="0.2">
      <c r="A1232" s="258"/>
      <c r="B1232" s="239"/>
      <c r="C1232" s="239"/>
      <c r="D1232" s="239"/>
      <c r="E1232" s="239"/>
      <c r="F1232" s="239"/>
      <c r="G1232" s="239"/>
      <c r="H1232" s="239"/>
      <c r="I1232" s="239"/>
      <c r="J1232" s="239"/>
      <c r="K1232" s="239"/>
      <c r="L1232" s="239"/>
      <c r="M1232" s="239"/>
      <c r="N1232" s="239"/>
      <c r="O1232" s="239"/>
    </row>
    <row r="1233" spans="1:15" s="236" customFormat="1" x14ac:dyDescent="0.2">
      <c r="A1233" s="237" t="str">
        <f>name!E$4</f>
        <v>Managers, directors and senior officials</v>
      </c>
      <c r="B1233" s="302">
        <v>0.27841542442827277</v>
      </c>
      <c r="C1233" s="302">
        <v>0.12169043172356234</v>
      </c>
      <c r="D1233" s="302">
        <v>9.0662955464709885E-2</v>
      </c>
      <c r="E1233" s="302">
        <f>SUM(B1233:D1233)</f>
        <v>0.49076881161654501</v>
      </c>
      <c r="F1233" s="303"/>
      <c r="G1233" s="302">
        <v>0.51014724659905031</v>
      </c>
      <c r="H1233" s="302">
        <v>0.28699927801409003</v>
      </c>
      <c r="I1233" s="302">
        <v>0.12655175186644116</v>
      </c>
      <c r="J1233" s="302">
        <f>SUM(G1233:I1233)</f>
        <v>0.92369827647958158</v>
      </c>
      <c r="K1233" s="303"/>
      <c r="L1233" s="302">
        <v>0.63727897977858128</v>
      </c>
      <c r="M1233" s="302">
        <v>0.47648038469232151</v>
      </c>
      <c r="N1233" s="302">
        <v>0.1591908184926013</v>
      </c>
      <c r="O1233" s="302">
        <f>SUM(L1233:N1233)</f>
        <v>1.2729501829635042</v>
      </c>
    </row>
    <row r="1234" spans="1:15" s="236" customFormat="1" x14ac:dyDescent="0.2">
      <c r="A1234" s="237" t="str">
        <f>name!E$5</f>
        <v>Professional occupations</v>
      </c>
      <c r="B1234" s="302">
        <v>0.61616696370901791</v>
      </c>
      <c r="C1234" s="302">
        <v>0.27092001471605853</v>
      </c>
      <c r="D1234" s="302">
        <v>0.22767921051423817</v>
      </c>
      <c r="E1234" s="302">
        <f t="shared" ref="E1234:E1241" si="525">SUM(B1234:D1234)</f>
        <v>1.1147661889393146</v>
      </c>
      <c r="F1234" s="303"/>
      <c r="G1234" s="302">
        <v>1.1416551730054947</v>
      </c>
      <c r="H1234" s="302">
        <v>0.69886154178812931</v>
      </c>
      <c r="I1234" s="302">
        <v>0.35640999538960494</v>
      </c>
      <c r="J1234" s="302">
        <f t="shared" ref="J1234:J1236" si="526">SUM(G1234:I1234)</f>
        <v>2.196926710183229</v>
      </c>
      <c r="K1234" s="303"/>
      <c r="L1234" s="302">
        <v>1.4618898617260638</v>
      </c>
      <c r="M1234" s="302">
        <v>0.92605645956733784</v>
      </c>
      <c r="N1234" s="302">
        <v>0.47234731151323761</v>
      </c>
      <c r="O1234" s="302">
        <f t="shared" ref="O1234:O1241" si="527">SUM(L1234:N1234)</f>
        <v>2.8602936328066391</v>
      </c>
    </row>
    <row r="1235" spans="1:15" s="236" customFormat="1" x14ac:dyDescent="0.2">
      <c r="A1235" s="237" t="str">
        <f>name!E$6</f>
        <v>Associate professional occupations</v>
      </c>
      <c r="B1235" s="302">
        <v>0.59218753924002532</v>
      </c>
      <c r="C1235" s="302">
        <v>0.41743556491700035</v>
      </c>
      <c r="D1235" s="302">
        <v>0.66707360630689871</v>
      </c>
      <c r="E1235" s="302">
        <f t="shared" si="525"/>
        <v>1.6766967104639243</v>
      </c>
      <c r="F1235" s="303"/>
      <c r="G1235" s="302">
        <v>1.1053328625502314</v>
      </c>
      <c r="H1235" s="302">
        <v>0.87186938618922694</v>
      </c>
      <c r="I1235" s="302">
        <v>0.94640593037619669</v>
      </c>
      <c r="J1235" s="302">
        <f t="shared" si="526"/>
        <v>2.9236081791156554</v>
      </c>
      <c r="K1235" s="303"/>
      <c r="L1235" s="302">
        <v>1.2357658506458797</v>
      </c>
      <c r="M1235" s="302">
        <v>1.0805958967955571</v>
      </c>
      <c r="N1235" s="302">
        <v>1.3187859594823932</v>
      </c>
      <c r="O1235" s="302">
        <f t="shared" si="527"/>
        <v>3.63514770692383</v>
      </c>
    </row>
    <row r="1236" spans="1:15" s="236" customFormat="1" x14ac:dyDescent="0.2">
      <c r="A1236" s="237" t="str">
        <f>name!E$7</f>
        <v>Administrative and secretarial occupations</v>
      </c>
      <c r="B1236" s="302">
        <v>0.83427004684790063</v>
      </c>
      <c r="C1236" s="302">
        <v>1.26234991156044</v>
      </c>
      <c r="D1236" s="302">
        <v>2.187336118963944E-2</v>
      </c>
      <c r="E1236" s="302">
        <f t="shared" si="525"/>
        <v>2.11849331959798</v>
      </c>
      <c r="F1236" s="303"/>
      <c r="G1236" s="302">
        <v>1.1927386413765182</v>
      </c>
      <c r="H1236" s="302">
        <v>2.286871570940467</v>
      </c>
      <c r="I1236" s="302">
        <v>1.5195129383573565E-2</v>
      </c>
      <c r="J1236" s="302">
        <f t="shared" si="526"/>
        <v>3.4948053417005589</v>
      </c>
      <c r="K1236" s="303"/>
      <c r="L1236" s="302">
        <v>1.2794249918990939</v>
      </c>
      <c r="M1236" s="302">
        <v>2.4982318867823698</v>
      </c>
      <c r="N1236" s="302">
        <v>2.2542026665802489E-2</v>
      </c>
      <c r="O1236" s="302">
        <f t="shared" si="527"/>
        <v>3.8001989053472665</v>
      </c>
    </row>
    <row r="1237" spans="1:15" s="236" customFormat="1" x14ac:dyDescent="0.2">
      <c r="A1237" s="237" t="str">
        <f>name!E$8</f>
        <v>Skilled trades occupations</v>
      </c>
      <c r="B1237" s="302">
        <v>0.42028479337621588</v>
      </c>
      <c r="C1237" s="302">
        <v>0.33540399627497014</v>
      </c>
      <c r="D1237" s="302">
        <v>0.15205532093604057</v>
      </c>
      <c r="E1237" s="302">
        <f t="shared" si="525"/>
        <v>0.90774411058722659</v>
      </c>
      <c r="F1237" s="303"/>
      <c r="G1237" s="302">
        <v>0.78072981817058251</v>
      </c>
      <c r="H1237" s="302">
        <v>0.38144113283487829</v>
      </c>
      <c r="I1237" s="302">
        <v>0.24062960694554736</v>
      </c>
      <c r="J1237" s="302">
        <f>SUM(G1237:I1237)</f>
        <v>1.4028005579510081</v>
      </c>
      <c r="K1237" s="303"/>
      <c r="L1237" s="302">
        <v>0.69021706274911809</v>
      </c>
      <c r="M1237" s="302">
        <v>0.57522826669672344</v>
      </c>
      <c r="N1237" s="302">
        <v>0.33754402717120963</v>
      </c>
      <c r="O1237" s="302">
        <f t="shared" si="527"/>
        <v>1.602989356617051</v>
      </c>
    </row>
    <row r="1238" spans="1:15" s="236" customFormat="1" x14ac:dyDescent="0.2">
      <c r="A1238" s="237" t="str">
        <f>name!E$9</f>
        <v>Caring, leisure and other service occupations</v>
      </c>
      <c r="B1238" s="302">
        <v>0.51946792859955448</v>
      </c>
      <c r="C1238" s="302">
        <v>0.79576307012322833</v>
      </c>
      <c r="D1238" s="302">
        <v>6.7264368424193532E-2</v>
      </c>
      <c r="E1238" s="302">
        <f t="shared" si="525"/>
        <v>1.3824953671469764</v>
      </c>
      <c r="F1238" s="303"/>
      <c r="G1238" s="302">
        <v>0.69569180707573941</v>
      </c>
      <c r="H1238" s="302">
        <v>1.155780577029879</v>
      </c>
      <c r="I1238" s="302">
        <v>4.6727235612167441E-2</v>
      </c>
      <c r="J1238" s="302">
        <f t="shared" ref="J1238:J1241" si="528">SUM(G1238:I1238)</f>
        <v>1.8981996197177859</v>
      </c>
      <c r="K1238" s="303"/>
      <c r="L1238" s="302">
        <v>0.70609557201449902</v>
      </c>
      <c r="M1238" s="302">
        <v>1.389216500615811</v>
      </c>
      <c r="N1238" s="302">
        <v>4.5271425351144347E-2</v>
      </c>
      <c r="O1238" s="302">
        <f t="shared" si="527"/>
        <v>2.1405834979814542</v>
      </c>
    </row>
    <row r="1239" spans="1:15" s="236" customFormat="1" x14ac:dyDescent="0.2">
      <c r="A1239" s="237" t="str">
        <f>name!E$10</f>
        <v>Sales and customer service occupations</v>
      </c>
      <c r="B1239" s="302">
        <v>0.35307917373839021</v>
      </c>
      <c r="C1239" s="302">
        <v>0.78844113283997419</v>
      </c>
      <c r="D1239" s="302">
        <v>2.2437594958608344E-2</v>
      </c>
      <c r="E1239" s="302">
        <f t="shared" si="525"/>
        <v>1.1639579015369728</v>
      </c>
      <c r="F1239" s="303"/>
      <c r="G1239" s="302">
        <v>0.51559892533423746</v>
      </c>
      <c r="H1239" s="302">
        <v>1.2301182024167288</v>
      </c>
      <c r="I1239" s="302">
        <v>2.1563068479342334E-2</v>
      </c>
      <c r="J1239" s="302">
        <f t="shared" si="528"/>
        <v>1.7672801962303086</v>
      </c>
      <c r="K1239" s="303"/>
      <c r="L1239" s="302">
        <v>0.64671200583574728</v>
      </c>
      <c r="M1239" s="302">
        <v>1.6107392452151317</v>
      </c>
      <c r="N1239" s="302">
        <v>2.1414508795654732E-2</v>
      </c>
      <c r="O1239" s="302">
        <f t="shared" si="527"/>
        <v>2.2788657598465334</v>
      </c>
    </row>
    <row r="1240" spans="1:15" s="236" customFormat="1" x14ac:dyDescent="0.2">
      <c r="A1240" s="237" t="str">
        <f>name!E$11</f>
        <v>Process, plant and machine operatives</v>
      </c>
      <c r="B1240" s="302">
        <v>8.470508197638392E-2</v>
      </c>
      <c r="C1240" s="302">
        <v>0.10563119761268581</v>
      </c>
      <c r="D1240" s="302">
        <v>6.5516969839766173E-3</v>
      </c>
      <c r="E1240" s="302">
        <f t="shared" si="525"/>
        <v>0.19688797657304635</v>
      </c>
      <c r="F1240" s="303"/>
      <c r="G1240" s="302">
        <v>0.14115068797872274</v>
      </c>
      <c r="H1240" s="302">
        <v>0.144125200831764</v>
      </c>
      <c r="I1240" s="302">
        <v>1.3006088354663945E-2</v>
      </c>
      <c r="J1240" s="302">
        <f t="shared" si="528"/>
        <v>0.29828197716515065</v>
      </c>
      <c r="K1240" s="303"/>
      <c r="L1240" s="302">
        <v>0.15987461177876958</v>
      </c>
      <c r="M1240" s="302">
        <v>0.23418110794016372</v>
      </c>
      <c r="N1240" s="302">
        <v>1.9801857551173172E-2</v>
      </c>
      <c r="O1240" s="302">
        <f t="shared" si="527"/>
        <v>0.41385757727010647</v>
      </c>
    </row>
    <row r="1241" spans="1:15" s="236" customFormat="1" x14ac:dyDescent="0.2">
      <c r="A1241" s="237" t="str">
        <f>name!E$12</f>
        <v>Elementary occupations</v>
      </c>
      <c r="B1241" s="302">
        <v>0.34642304805621604</v>
      </c>
      <c r="C1241" s="302">
        <v>1.8493646802912362</v>
      </c>
      <c r="D1241" s="302">
        <v>2.1401885242021152E-2</v>
      </c>
      <c r="E1241" s="302">
        <f t="shared" si="525"/>
        <v>2.2171896135894733</v>
      </c>
      <c r="F1241" s="303"/>
      <c r="G1241" s="302">
        <v>0.57795483790260782</v>
      </c>
      <c r="H1241" s="302">
        <v>2.3529331099665201</v>
      </c>
      <c r="I1241" s="302">
        <v>1.9511193632483628E-2</v>
      </c>
      <c r="J1241" s="302">
        <f t="shared" si="528"/>
        <v>2.9503991415016113</v>
      </c>
      <c r="K1241" s="303"/>
      <c r="L1241" s="302">
        <v>0.54974106356540509</v>
      </c>
      <c r="M1241" s="302">
        <v>2.3392702516427986</v>
      </c>
      <c r="N1241" s="302">
        <v>2.5102065116163821E-2</v>
      </c>
      <c r="O1241" s="302">
        <f t="shared" si="527"/>
        <v>2.9141133803243675</v>
      </c>
    </row>
    <row r="1242" spans="1:15" s="236" customFormat="1" x14ac:dyDescent="0.2">
      <c r="A1242" s="237"/>
      <c r="B1242" s="302"/>
      <c r="C1242" s="302"/>
      <c r="D1242" s="302"/>
      <c r="E1242" s="302"/>
      <c r="F1242" s="303"/>
      <c r="G1242" s="302"/>
      <c r="H1242" s="302"/>
      <c r="I1242" s="302"/>
      <c r="J1242" s="302"/>
      <c r="K1242" s="303"/>
      <c r="L1242" s="302"/>
      <c r="M1242" s="302"/>
      <c r="N1242" s="302"/>
      <c r="O1242" s="302"/>
    </row>
    <row r="1243" spans="1:15" s="236" customFormat="1" x14ac:dyDescent="0.2">
      <c r="A1243" s="244" t="s">
        <v>32</v>
      </c>
      <c r="B1243" s="311">
        <f>SUM(B1233:B1241)</f>
        <v>4.044999999971977</v>
      </c>
      <c r="C1243" s="311">
        <f t="shared" ref="C1243:E1243" si="529">SUM(C1233:C1241)</f>
        <v>5.9470000000591563</v>
      </c>
      <c r="D1243" s="311">
        <f t="shared" si="529"/>
        <v>1.2770000000203263</v>
      </c>
      <c r="E1243" s="311">
        <f t="shared" si="529"/>
        <v>11.269000000051459</v>
      </c>
      <c r="F1243" s="311"/>
      <c r="G1243" s="311">
        <f t="shared" ref="G1243:J1243" si="530">SUM(G1233:G1241)</f>
        <v>6.6609999999931846</v>
      </c>
      <c r="H1243" s="311">
        <f t="shared" si="530"/>
        <v>9.4090000000116838</v>
      </c>
      <c r="I1243" s="311">
        <f t="shared" si="530"/>
        <v>1.7860000000400211</v>
      </c>
      <c r="J1243" s="311">
        <f t="shared" si="530"/>
        <v>17.856000000044887</v>
      </c>
      <c r="K1243" s="311"/>
      <c r="L1243" s="311">
        <f t="shared" ref="L1243:O1243" si="531">SUM(L1233:L1241)</f>
        <v>7.3669999999931584</v>
      </c>
      <c r="M1243" s="311">
        <f t="shared" si="531"/>
        <v>11.129999999948215</v>
      </c>
      <c r="N1243" s="311">
        <f t="shared" si="531"/>
        <v>2.4220000001393802</v>
      </c>
      <c r="O1243" s="311">
        <f t="shared" si="531"/>
        <v>20.919000000080754</v>
      </c>
    </row>
    <row r="1244" spans="1:15" s="236" customFormat="1" x14ac:dyDescent="0.2">
      <c r="A1244" s="237"/>
      <c r="B1244" s="237"/>
      <c r="C1244" s="237"/>
      <c r="D1244" s="237"/>
      <c r="E1244" s="237"/>
      <c r="F1244" s="237"/>
      <c r="G1244" s="237"/>
      <c r="H1244" s="237"/>
      <c r="I1244" s="237"/>
      <c r="J1244" s="237"/>
      <c r="K1244" s="237"/>
      <c r="L1244" s="237"/>
      <c r="M1244" s="237"/>
      <c r="N1244" s="240"/>
    </row>
    <row r="1245" spans="1:15" s="236" customFormat="1" x14ac:dyDescent="0.2">
      <c r="A1245" s="237"/>
      <c r="B1245" s="237"/>
      <c r="C1245" s="237"/>
      <c r="D1245" s="237"/>
      <c r="E1245" s="237"/>
      <c r="F1245" s="237"/>
      <c r="G1245" s="237"/>
      <c r="H1245" s="237"/>
      <c r="I1245" s="237"/>
      <c r="J1245" s="237"/>
      <c r="K1245" s="237"/>
      <c r="L1245" s="237"/>
      <c r="M1245" s="237"/>
      <c r="N1245" s="240"/>
      <c r="O1245" s="251" t="s">
        <v>35</v>
      </c>
    </row>
    <row r="1246" spans="1:15" s="236" customFormat="1" x14ac:dyDescent="0.2">
      <c r="A1246" s="242"/>
      <c r="B1246" s="242"/>
      <c r="C1246" s="242"/>
      <c r="D1246" s="242"/>
      <c r="E1246" s="242"/>
      <c r="F1246" s="242"/>
      <c r="G1246" s="242"/>
      <c r="H1246" s="242"/>
      <c r="I1246" s="242"/>
      <c r="J1246" s="242"/>
      <c r="K1246" s="242"/>
      <c r="L1246" s="242"/>
      <c r="M1246" s="242"/>
      <c r="N1246" s="242"/>
      <c r="O1246" s="242"/>
    </row>
    <row r="1247" spans="1:15" s="236" customFormat="1" x14ac:dyDescent="0.2">
      <c r="A1247" s="241" t="str">
        <f>name!A76</f>
        <v>Membership organisations</v>
      </c>
      <c r="B1247" s="374">
        <f>$B$6</f>
        <v>2015</v>
      </c>
      <c r="C1247" s="374"/>
      <c r="D1247" s="374"/>
      <c r="E1247" s="374"/>
      <c r="F1247" s="263"/>
      <c r="G1247" s="374">
        <f>$G$6</f>
        <v>2020</v>
      </c>
      <c r="H1247" s="374"/>
      <c r="I1247" s="374"/>
      <c r="J1247" s="374"/>
      <c r="K1247" s="263"/>
      <c r="L1247" s="374">
        <f>$L$6</f>
        <v>2035</v>
      </c>
      <c r="M1247" s="374"/>
      <c r="N1247" s="374"/>
      <c r="O1247" s="374"/>
    </row>
    <row r="1248" spans="1:15" s="236" customFormat="1" x14ac:dyDescent="0.2">
      <c r="A1248" s="254"/>
      <c r="B1248" s="268" t="str">
        <f>$B$7</f>
        <v>FT</v>
      </c>
      <c r="C1248" s="268" t="str">
        <f>$C$7</f>
        <v>PT</v>
      </c>
      <c r="D1248" s="268" t="str">
        <f>$D$7</f>
        <v>SE</v>
      </c>
      <c r="E1248" s="268" t="str">
        <f>$E$7</f>
        <v>Total</v>
      </c>
      <c r="F1248" s="268"/>
      <c r="G1248" s="268" t="str">
        <f>$G$7</f>
        <v>FT</v>
      </c>
      <c r="H1248" s="268" t="str">
        <f>$H$7</f>
        <v>PT</v>
      </c>
      <c r="I1248" s="268" t="str">
        <f>$I$7</f>
        <v>SE</v>
      </c>
      <c r="J1248" s="268" t="str">
        <f>$J$7</f>
        <v>Total</v>
      </c>
      <c r="K1248" s="268"/>
      <c r="L1248" s="268" t="str">
        <f>$L$7</f>
        <v>FT</v>
      </c>
      <c r="M1248" s="268" t="str">
        <f>$M$7</f>
        <v>PT</v>
      </c>
      <c r="N1248" s="268" t="str">
        <f>$N$7</f>
        <v>SE</v>
      </c>
      <c r="O1248" s="268" t="str">
        <f>$O$7</f>
        <v>Total</v>
      </c>
    </row>
    <row r="1249" spans="1:15" s="236" customFormat="1" x14ac:dyDescent="0.2">
      <c r="A1249" s="258"/>
      <c r="B1249" s="239"/>
      <c r="C1249" s="239"/>
      <c r="D1249" s="239"/>
      <c r="E1249" s="239"/>
      <c r="F1249" s="239"/>
      <c r="G1249" s="239"/>
      <c r="H1249" s="239"/>
      <c r="I1249" s="239"/>
      <c r="J1249" s="239"/>
      <c r="K1249" s="239"/>
      <c r="L1249" s="239"/>
      <c r="M1249" s="239"/>
      <c r="N1249" s="239"/>
      <c r="O1249" s="239"/>
    </row>
    <row r="1250" spans="1:15" s="236" customFormat="1" x14ac:dyDescent="0.2">
      <c r="A1250" s="237" t="str">
        <f>name!E$4</f>
        <v>Managers, directors and senior officials</v>
      </c>
      <c r="B1250" s="302">
        <v>0.48774555675431647</v>
      </c>
      <c r="C1250" s="302">
        <v>0.11513276949058736</v>
      </c>
      <c r="D1250" s="302">
        <v>0.68492324053052034</v>
      </c>
      <c r="E1250" s="302">
        <f>SUM(B1250:D1250)</f>
        <v>1.2878015667754241</v>
      </c>
      <c r="F1250" s="303"/>
      <c r="G1250" s="302">
        <v>0.32601402129822221</v>
      </c>
      <c r="H1250" s="302">
        <v>0.11516590691372557</v>
      </c>
      <c r="I1250" s="302">
        <v>0.64713169512555468</v>
      </c>
      <c r="J1250" s="302">
        <f>SUM(G1250:I1250)</f>
        <v>1.0883116233375025</v>
      </c>
      <c r="K1250" s="303"/>
      <c r="L1250" s="302">
        <v>0.27676736830670989</v>
      </c>
      <c r="M1250" s="302">
        <v>0.12575539425588794</v>
      </c>
      <c r="N1250" s="302">
        <v>0.48691093349395792</v>
      </c>
      <c r="O1250" s="302">
        <f>SUM(L1250:N1250)</f>
        <v>0.88943369605655576</v>
      </c>
    </row>
    <row r="1251" spans="1:15" s="236" customFormat="1" x14ac:dyDescent="0.2">
      <c r="A1251" s="237" t="str">
        <f>name!E$5</f>
        <v>Professional occupations</v>
      </c>
      <c r="B1251" s="302">
        <v>3.1750330581455435</v>
      </c>
      <c r="C1251" s="302">
        <v>1.093064861379748</v>
      </c>
      <c r="D1251" s="302">
        <v>2.6374560493437316</v>
      </c>
      <c r="E1251" s="302">
        <f t="shared" ref="E1251:E1258" si="532">SUM(B1251:D1251)</f>
        <v>6.9055539688690235</v>
      </c>
      <c r="F1251" s="303"/>
      <c r="G1251" s="302">
        <v>2.184544433408445</v>
      </c>
      <c r="H1251" s="302">
        <v>0.95945859413241763</v>
      </c>
      <c r="I1251" s="302">
        <v>2.0911848885422284</v>
      </c>
      <c r="J1251" s="302">
        <f t="shared" ref="J1251:J1253" si="533">SUM(G1251:I1251)</f>
        <v>5.235187916083091</v>
      </c>
      <c r="K1251" s="303"/>
      <c r="L1251" s="302">
        <v>1.9743852019567454</v>
      </c>
      <c r="M1251" s="302">
        <v>0.87512081786100926</v>
      </c>
      <c r="N1251" s="302">
        <v>1.7449152737042375</v>
      </c>
      <c r="O1251" s="302">
        <f t="shared" ref="O1251:O1258" si="534">SUM(L1251:N1251)</f>
        <v>4.5944212935219921</v>
      </c>
    </row>
    <row r="1252" spans="1:15" s="236" customFormat="1" x14ac:dyDescent="0.2">
      <c r="A1252" s="237" t="str">
        <f>name!E$6</f>
        <v>Associate professional occupations</v>
      </c>
      <c r="B1252" s="302">
        <v>1.2235757381587591</v>
      </c>
      <c r="C1252" s="302">
        <v>0.64576689691131306</v>
      </c>
      <c r="D1252" s="302">
        <v>1.5321497285112129</v>
      </c>
      <c r="E1252" s="302">
        <f t="shared" si="532"/>
        <v>3.4014923635812853</v>
      </c>
      <c r="F1252" s="303"/>
      <c r="G1252" s="302">
        <v>0.77631074440795134</v>
      </c>
      <c r="H1252" s="302">
        <v>0.5268934288104975</v>
      </c>
      <c r="I1252" s="302">
        <v>1.420803381196279</v>
      </c>
      <c r="J1252" s="302">
        <f t="shared" si="533"/>
        <v>2.7240075544147277</v>
      </c>
      <c r="K1252" s="303"/>
      <c r="L1252" s="302">
        <v>0.58257745136359507</v>
      </c>
      <c r="M1252" s="302">
        <v>0.41956409969249564</v>
      </c>
      <c r="N1252" s="302">
        <v>1.3147816512549939</v>
      </c>
      <c r="O1252" s="302">
        <f t="shared" si="534"/>
        <v>2.3169232023110844</v>
      </c>
    </row>
    <row r="1253" spans="1:15" s="236" customFormat="1" x14ac:dyDescent="0.2">
      <c r="A1253" s="237" t="str">
        <f>name!E$7</f>
        <v>Administrative and secretarial occupations</v>
      </c>
      <c r="B1253" s="302">
        <v>2.0273094464250589</v>
      </c>
      <c r="C1253" s="302">
        <v>1.4191393355791844</v>
      </c>
      <c r="D1253" s="302">
        <v>0.71247999554271657</v>
      </c>
      <c r="E1253" s="302">
        <f t="shared" si="532"/>
        <v>4.1589287775469597</v>
      </c>
      <c r="F1253" s="303"/>
      <c r="G1253" s="302">
        <v>1.0914346559275487</v>
      </c>
      <c r="H1253" s="302">
        <v>0.89053060427797814</v>
      </c>
      <c r="I1253" s="302">
        <v>0.6868436444937287</v>
      </c>
      <c r="J1253" s="302">
        <f t="shared" si="533"/>
        <v>2.6688089046992554</v>
      </c>
      <c r="K1253" s="303"/>
      <c r="L1253" s="302">
        <v>0.77045978263646619</v>
      </c>
      <c r="M1253" s="302">
        <v>0.64090463280897125</v>
      </c>
      <c r="N1253" s="302">
        <v>0.29850531043700751</v>
      </c>
      <c r="O1253" s="302">
        <f t="shared" si="534"/>
        <v>1.7098697258824449</v>
      </c>
    </row>
    <row r="1254" spans="1:15" s="236" customFormat="1" x14ac:dyDescent="0.2">
      <c r="A1254" s="237" t="str">
        <f>name!E$8</f>
        <v>Skilled trades occupations</v>
      </c>
      <c r="B1254" s="302">
        <v>0.20788768031726976</v>
      </c>
      <c r="C1254" s="302">
        <v>0.19811675373463716</v>
      </c>
      <c r="D1254" s="302">
        <v>0.90246053396662096</v>
      </c>
      <c r="E1254" s="302">
        <f t="shared" si="532"/>
        <v>1.3084649680185279</v>
      </c>
      <c r="F1254" s="303"/>
      <c r="G1254" s="302">
        <v>0.11251406637275702</v>
      </c>
      <c r="H1254" s="302">
        <v>0.10492461924015047</v>
      </c>
      <c r="I1254" s="302">
        <v>0.12435799103075182</v>
      </c>
      <c r="J1254" s="302">
        <f>SUM(G1254:I1254)</f>
        <v>0.34179667664365931</v>
      </c>
      <c r="K1254" s="303"/>
      <c r="L1254" s="302">
        <v>8.1631317287327226E-2</v>
      </c>
      <c r="M1254" s="302">
        <v>8.8982012859794568E-2</v>
      </c>
      <c r="N1254" s="302">
        <v>0.17852283849401307</v>
      </c>
      <c r="O1254" s="302">
        <f t="shared" si="534"/>
        <v>0.34913616864113484</v>
      </c>
    </row>
    <row r="1255" spans="1:15" s="236" customFormat="1" x14ac:dyDescent="0.2">
      <c r="A1255" s="237" t="str">
        <f>name!E$9</f>
        <v>Caring, leisure and other service occupations</v>
      </c>
      <c r="B1255" s="302">
        <v>0.64549335130539698</v>
      </c>
      <c r="C1255" s="302">
        <v>0.42823199572002307</v>
      </c>
      <c r="D1255" s="302">
        <v>0.50629161332268269</v>
      </c>
      <c r="E1255" s="302">
        <f t="shared" si="532"/>
        <v>1.5800169603481027</v>
      </c>
      <c r="F1255" s="303"/>
      <c r="G1255" s="302">
        <v>0.2972870180464931</v>
      </c>
      <c r="H1255" s="302">
        <v>0.27262976497505287</v>
      </c>
      <c r="I1255" s="302">
        <v>0.47144003678288793</v>
      </c>
      <c r="J1255" s="302">
        <f t="shared" ref="J1255:J1258" si="535">SUM(G1255:I1255)</f>
        <v>1.0413568198044338</v>
      </c>
      <c r="K1255" s="303"/>
      <c r="L1255" s="302">
        <v>0.226974697953268</v>
      </c>
      <c r="M1255" s="302">
        <v>0.2171542514334415</v>
      </c>
      <c r="N1255" s="302">
        <v>0.42981279195734895</v>
      </c>
      <c r="O1255" s="302">
        <f t="shared" si="534"/>
        <v>0.87394174134405844</v>
      </c>
    </row>
    <row r="1256" spans="1:15" s="236" customFormat="1" x14ac:dyDescent="0.2">
      <c r="A1256" s="237" t="str">
        <f>name!E$10</f>
        <v>Sales and customer service occupations</v>
      </c>
      <c r="B1256" s="302">
        <v>0.19842347896985993</v>
      </c>
      <c r="C1256" s="302">
        <v>0.20043324722739683</v>
      </c>
      <c r="D1256" s="302">
        <v>0.22414644299334879</v>
      </c>
      <c r="E1256" s="302">
        <f t="shared" si="532"/>
        <v>0.6230031691906055</v>
      </c>
      <c r="F1256" s="303"/>
      <c r="G1256" s="302">
        <v>0.10645286749702819</v>
      </c>
      <c r="H1256" s="302">
        <v>0.1339987211504616</v>
      </c>
      <c r="I1256" s="302">
        <v>0.12956264758677064</v>
      </c>
      <c r="J1256" s="302">
        <f t="shared" si="535"/>
        <v>0.37001423623426044</v>
      </c>
      <c r="K1256" s="303"/>
      <c r="L1256" s="302">
        <v>9.9604642179653494E-2</v>
      </c>
      <c r="M1256" s="302">
        <v>0.1167683563938987</v>
      </c>
      <c r="N1256" s="302">
        <v>9.2111282405910599E-2</v>
      </c>
      <c r="O1256" s="302">
        <f t="shared" si="534"/>
        <v>0.30848428097946279</v>
      </c>
    </row>
    <row r="1257" spans="1:15" s="236" customFormat="1" x14ac:dyDescent="0.2">
      <c r="A1257" s="237" t="str">
        <f>name!E$11</f>
        <v>Process, plant and machine operatives</v>
      </c>
      <c r="B1257" s="302">
        <v>0.14269930067087636</v>
      </c>
      <c r="C1257" s="302">
        <v>0.14408259918566363</v>
      </c>
      <c r="D1257" s="302">
        <v>0.19993410289640867</v>
      </c>
      <c r="E1257" s="302">
        <f t="shared" si="532"/>
        <v>0.48671600275294868</v>
      </c>
      <c r="F1257" s="303"/>
      <c r="G1257" s="302">
        <v>8.2006942285006504E-2</v>
      </c>
      <c r="H1257" s="302">
        <v>9.7815742585973822E-2</v>
      </c>
      <c r="I1257" s="302">
        <v>9.3634558450485156E-2</v>
      </c>
      <c r="J1257" s="302">
        <f t="shared" si="535"/>
        <v>0.27345724332146548</v>
      </c>
      <c r="K1257" s="303"/>
      <c r="L1257" s="302">
        <v>6.2056810109137717E-2</v>
      </c>
      <c r="M1257" s="302">
        <v>0.12416348032896528</v>
      </c>
      <c r="N1257" s="302">
        <v>3.4446174475086792E-2</v>
      </c>
      <c r="O1257" s="302">
        <f t="shared" si="534"/>
        <v>0.22066646491318981</v>
      </c>
    </row>
    <row r="1258" spans="1:15" s="236" customFormat="1" x14ac:dyDescent="0.2">
      <c r="A1258" s="237" t="str">
        <f>name!E$12</f>
        <v>Elementary occupations</v>
      </c>
      <c r="B1258" s="302">
        <v>0.2798323891331197</v>
      </c>
      <c r="C1258" s="302">
        <v>1.1090315407621996</v>
      </c>
      <c r="D1258" s="302">
        <v>0.66215829294388606</v>
      </c>
      <c r="E1258" s="302">
        <f t="shared" si="532"/>
        <v>2.0510222228392054</v>
      </c>
      <c r="F1258" s="303"/>
      <c r="G1258" s="302">
        <v>0.17143525074337851</v>
      </c>
      <c r="H1258" s="302">
        <v>0.59358261791496203</v>
      </c>
      <c r="I1258" s="302">
        <v>0.46804115679578834</v>
      </c>
      <c r="J1258" s="302">
        <f t="shared" si="535"/>
        <v>1.2330590254541289</v>
      </c>
      <c r="K1258" s="303"/>
      <c r="L1258" s="302">
        <v>0.13554272823188496</v>
      </c>
      <c r="M1258" s="302">
        <v>0.29658695436471955</v>
      </c>
      <c r="N1258" s="302">
        <v>0.34799374382094095</v>
      </c>
      <c r="O1258" s="302">
        <f t="shared" si="534"/>
        <v>0.7801234264175454</v>
      </c>
    </row>
    <row r="1259" spans="1:15" s="236" customFormat="1" x14ac:dyDescent="0.2">
      <c r="A1259" s="237"/>
      <c r="B1259" s="302"/>
      <c r="C1259" s="302"/>
      <c r="D1259" s="302"/>
      <c r="E1259" s="302"/>
      <c r="F1259" s="303"/>
      <c r="G1259" s="302"/>
      <c r="H1259" s="302"/>
      <c r="I1259" s="302"/>
      <c r="J1259" s="302"/>
      <c r="K1259" s="303"/>
      <c r="L1259" s="302"/>
      <c r="M1259" s="302"/>
      <c r="N1259" s="302"/>
      <c r="O1259" s="302"/>
    </row>
    <row r="1260" spans="1:15" s="236" customFormat="1" x14ac:dyDescent="0.2">
      <c r="A1260" s="244" t="s">
        <v>32</v>
      </c>
      <c r="B1260" s="311">
        <f>SUM(B1250:B1258)</f>
        <v>8.3879999998802006</v>
      </c>
      <c r="C1260" s="311">
        <f t="shared" ref="C1260:E1260" si="536">SUM(C1250:C1258)</f>
        <v>5.3529999999907529</v>
      </c>
      <c r="D1260" s="311">
        <f t="shared" si="536"/>
        <v>8.0620000000511283</v>
      </c>
      <c r="E1260" s="311">
        <f t="shared" si="536"/>
        <v>21.802999999922086</v>
      </c>
      <c r="F1260" s="311"/>
      <c r="G1260" s="311">
        <f t="shared" ref="G1260:J1260" si="537">SUM(G1250:G1258)</f>
        <v>5.1479999999868307</v>
      </c>
      <c r="H1260" s="311">
        <f t="shared" si="537"/>
        <v>3.6950000000012193</v>
      </c>
      <c r="I1260" s="311">
        <f t="shared" si="537"/>
        <v>6.1330000000044738</v>
      </c>
      <c r="J1260" s="311">
        <f t="shared" si="537"/>
        <v>14.975999999992522</v>
      </c>
      <c r="K1260" s="311"/>
      <c r="L1260" s="311">
        <f t="shared" ref="L1260:O1260" si="538">SUM(L1250:L1258)</f>
        <v>4.2100000000247881</v>
      </c>
      <c r="M1260" s="311">
        <f t="shared" si="538"/>
        <v>2.904999999999184</v>
      </c>
      <c r="N1260" s="311">
        <f t="shared" si="538"/>
        <v>4.9280000000434967</v>
      </c>
      <c r="O1260" s="311">
        <f t="shared" si="538"/>
        <v>12.043000000067469</v>
      </c>
    </row>
    <row r="1261" spans="1:15" s="236" customFormat="1" x14ac:dyDescent="0.2">
      <c r="A1261" s="237"/>
      <c r="B1261" s="237"/>
      <c r="C1261" s="237"/>
      <c r="D1261" s="237"/>
      <c r="E1261" s="237"/>
      <c r="F1261" s="237"/>
      <c r="G1261" s="237"/>
      <c r="H1261" s="237"/>
      <c r="I1261" s="237"/>
      <c r="J1261" s="237"/>
      <c r="K1261" s="237"/>
      <c r="L1261" s="237"/>
      <c r="M1261" s="237"/>
      <c r="N1261" s="240"/>
    </row>
    <row r="1262" spans="1:15" s="236" customFormat="1" x14ac:dyDescent="0.2">
      <c r="A1262" s="237"/>
      <c r="B1262" s="237"/>
      <c r="C1262" s="237"/>
      <c r="D1262" s="237"/>
      <c r="E1262" s="237"/>
      <c r="F1262" s="237"/>
      <c r="G1262" s="237"/>
      <c r="H1262" s="237"/>
      <c r="I1262" s="237"/>
      <c r="J1262" s="237"/>
      <c r="K1262" s="237"/>
      <c r="L1262" s="237"/>
      <c r="M1262" s="237"/>
      <c r="N1262" s="240"/>
      <c r="O1262" s="251" t="s">
        <v>35</v>
      </c>
    </row>
    <row r="1263" spans="1:15" s="236" customFormat="1" x14ac:dyDescent="0.2">
      <c r="A1263" s="242"/>
      <c r="B1263" s="242"/>
      <c r="C1263" s="242"/>
      <c r="D1263" s="242"/>
      <c r="E1263" s="242"/>
      <c r="F1263" s="242"/>
      <c r="G1263" s="242"/>
      <c r="H1263" s="242"/>
      <c r="I1263" s="242"/>
      <c r="J1263" s="242"/>
      <c r="K1263" s="242"/>
      <c r="L1263" s="242"/>
      <c r="M1263" s="242"/>
      <c r="N1263" s="242"/>
      <c r="O1263" s="242"/>
    </row>
    <row r="1264" spans="1:15" s="236" customFormat="1" x14ac:dyDescent="0.2">
      <c r="A1264" s="241" t="str">
        <f>name!A77</f>
        <v>Repair of goods</v>
      </c>
      <c r="B1264" s="374">
        <f>$B$6</f>
        <v>2015</v>
      </c>
      <c r="C1264" s="374"/>
      <c r="D1264" s="374"/>
      <c r="E1264" s="374"/>
      <c r="F1264" s="263"/>
      <c r="G1264" s="374">
        <f>$G$6</f>
        <v>2020</v>
      </c>
      <c r="H1264" s="374"/>
      <c r="I1264" s="374"/>
      <c r="J1264" s="374"/>
      <c r="K1264" s="263"/>
      <c r="L1264" s="374">
        <f>$L$6</f>
        <v>2035</v>
      </c>
      <c r="M1264" s="374"/>
      <c r="N1264" s="374"/>
      <c r="O1264" s="374"/>
    </row>
    <row r="1265" spans="1:15" s="236" customFormat="1" x14ac:dyDescent="0.2">
      <c r="A1265" s="254"/>
      <c r="B1265" s="268" t="str">
        <f>$B$7</f>
        <v>FT</v>
      </c>
      <c r="C1265" s="268" t="str">
        <f>$C$7</f>
        <v>PT</v>
      </c>
      <c r="D1265" s="268" t="str">
        <f>$D$7</f>
        <v>SE</v>
      </c>
      <c r="E1265" s="268" t="str">
        <f>$E$7</f>
        <v>Total</v>
      </c>
      <c r="F1265" s="268"/>
      <c r="G1265" s="268" t="str">
        <f>$G$7</f>
        <v>FT</v>
      </c>
      <c r="H1265" s="268" t="str">
        <f>$H$7</f>
        <v>PT</v>
      </c>
      <c r="I1265" s="268" t="str">
        <f>$I$7</f>
        <v>SE</v>
      </c>
      <c r="J1265" s="268" t="str">
        <f>$J$7</f>
        <v>Total</v>
      </c>
      <c r="K1265" s="268"/>
      <c r="L1265" s="268" t="str">
        <f>$L$7</f>
        <v>FT</v>
      </c>
      <c r="M1265" s="268" t="str">
        <f>$M$7</f>
        <v>PT</v>
      </c>
      <c r="N1265" s="268" t="str">
        <f>$N$7</f>
        <v>SE</v>
      </c>
      <c r="O1265" s="268" t="str">
        <f>$O$7</f>
        <v>Total</v>
      </c>
    </row>
    <row r="1266" spans="1:15" s="236" customFormat="1" x14ac:dyDescent="0.2">
      <c r="A1266" s="258"/>
      <c r="B1266" s="239"/>
      <c r="C1266" s="239"/>
      <c r="D1266" s="239"/>
      <c r="E1266" s="239"/>
      <c r="F1266" s="239"/>
      <c r="G1266" s="239"/>
      <c r="H1266" s="239"/>
      <c r="I1266" s="239"/>
      <c r="J1266" s="239"/>
      <c r="K1266" s="239"/>
      <c r="L1266" s="239"/>
      <c r="M1266" s="239"/>
      <c r="N1266" s="239"/>
      <c r="O1266" s="239"/>
    </row>
    <row r="1267" spans="1:15" s="236" customFormat="1" x14ac:dyDescent="0.2">
      <c r="A1267" s="237" t="str">
        <f>name!E$4</f>
        <v>Managers, directors and senior officials</v>
      </c>
      <c r="B1267" s="302">
        <v>0.23379359569631478</v>
      </c>
      <c r="C1267" s="302">
        <v>6.9984980449503418E-4</v>
      </c>
      <c r="D1267" s="302">
        <v>0.2484276950023587</v>
      </c>
      <c r="E1267" s="302">
        <f>SUM(B1267:D1267)</f>
        <v>0.48292114050316848</v>
      </c>
      <c r="F1267" s="303"/>
      <c r="G1267" s="302">
        <v>0.29856719990747366</v>
      </c>
      <c r="H1267" s="302">
        <v>8.9896393896315516E-3</v>
      </c>
      <c r="I1267" s="302">
        <v>0.18546922897376411</v>
      </c>
      <c r="J1267" s="302">
        <f>SUM(G1267:I1267)</f>
        <v>0.49302606827086931</v>
      </c>
      <c r="K1267" s="303"/>
      <c r="L1267" s="302">
        <v>0.28449263247050494</v>
      </c>
      <c r="M1267" s="302">
        <v>8.3691236517317198E-3</v>
      </c>
      <c r="N1267" s="302">
        <v>4.6876308071402639E-2</v>
      </c>
      <c r="O1267" s="302">
        <f>SUM(L1267:N1267)</f>
        <v>0.33973806419363928</v>
      </c>
    </row>
    <row r="1268" spans="1:15" s="236" customFormat="1" x14ac:dyDescent="0.2">
      <c r="A1268" s="237" t="str">
        <f>name!E$5</f>
        <v>Professional occupations</v>
      </c>
      <c r="B1268" s="302">
        <v>0.28937122310222746</v>
      </c>
      <c r="C1268" s="302">
        <v>8.4747089046555081E-4</v>
      </c>
      <c r="D1268" s="302">
        <v>0.11086947241060827</v>
      </c>
      <c r="E1268" s="302">
        <f t="shared" ref="E1268:E1275" si="539">SUM(B1268:D1268)</f>
        <v>0.40108816640330125</v>
      </c>
      <c r="F1268" s="303"/>
      <c r="G1268" s="302">
        <v>0.41995263753843465</v>
      </c>
      <c r="H1268" s="302">
        <v>1.1111460870382969E-2</v>
      </c>
      <c r="I1268" s="302">
        <v>8.2258246590756506E-2</v>
      </c>
      <c r="J1268" s="302">
        <f t="shared" ref="J1268:J1270" si="540">SUM(G1268:I1268)</f>
        <v>0.51332234499957408</v>
      </c>
      <c r="K1268" s="303"/>
      <c r="L1268" s="302">
        <v>0.43119245138767009</v>
      </c>
      <c r="M1268" s="302">
        <v>1.416264545623418E-2</v>
      </c>
      <c r="N1268" s="302">
        <v>5.4884387304169106E-2</v>
      </c>
      <c r="O1268" s="302">
        <f t="shared" ref="O1268:O1275" si="541">SUM(L1268:N1268)</f>
        <v>0.5002394841480734</v>
      </c>
    </row>
    <row r="1269" spans="1:15" s="236" customFormat="1" x14ac:dyDescent="0.2">
      <c r="A1269" s="237" t="str">
        <f>name!E$6</f>
        <v>Associate professional occupations</v>
      </c>
      <c r="B1269" s="302">
        <v>0.16186948893428096</v>
      </c>
      <c r="C1269" s="302">
        <v>1.2166293174903622E-3</v>
      </c>
      <c r="D1269" s="302">
        <v>6.6660229141562763E-2</v>
      </c>
      <c r="E1269" s="302">
        <f t="shared" si="539"/>
        <v>0.2297463473933341</v>
      </c>
      <c r="F1269" s="303"/>
      <c r="G1269" s="302">
        <v>0.20440185745646375</v>
      </c>
      <c r="H1269" s="302">
        <v>1.2896755651331663E-2</v>
      </c>
      <c r="I1269" s="302">
        <v>0.10465723042069638</v>
      </c>
      <c r="J1269" s="302">
        <f t="shared" si="540"/>
        <v>0.32195584352849183</v>
      </c>
      <c r="K1269" s="303"/>
      <c r="L1269" s="302">
        <v>0.17752540064821867</v>
      </c>
      <c r="M1269" s="302">
        <v>1.0526939039158103E-2</v>
      </c>
      <c r="N1269" s="302">
        <v>6.6592826526220408E-2</v>
      </c>
      <c r="O1269" s="302">
        <f t="shared" si="541"/>
        <v>0.25464516621359717</v>
      </c>
    </row>
    <row r="1270" spans="1:15" s="236" customFormat="1" x14ac:dyDescent="0.2">
      <c r="A1270" s="237" t="str">
        <f>name!E$7</f>
        <v>Administrative and secretarial occupations</v>
      </c>
      <c r="B1270" s="302">
        <v>0.11709428282390118</v>
      </c>
      <c r="C1270" s="302">
        <v>1.6168406457582666E-3</v>
      </c>
      <c r="D1270" s="302">
        <v>1.7836765969768367E-2</v>
      </c>
      <c r="E1270" s="302">
        <f t="shared" si="539"/>
        <v>0.13654788943942781</v>
      </c>
      <c r="F1270" s="303"/>
      <c r="G1270" s="302">
        <v>0.11542202420711553</v>
      </c>
      <c r="H1270" s="302">
        <v>1.4942044957722757E-2</v>
      </c>
      <c r="I1270" s="302">
        <v>3.6911307813431153E-2</v>
      </c>
      <c r="J1270" s="302">
        <f t="shared" si="540"/>
        <v>0.16727537697826944</v>
      </c>
      <c r="K1270" s="303"/>
      <c r="L1270" s="302">
        <v>8.9344985849221792E-2</v>
      </c>
      <c r="M1270" s="302">
        <v>1.1188764031842904E-2</v>
      </c>
      <c r="N1270" s="302">
        <v>0.17043000887300594</v>
      </c>
      <c r="O1270" s="302">
        <f t="shared" si="541"/>
        <v>0.27096375875407064</v>
      </c>
    </row>
    <row r="1271" spans="1:15" s="236" customFormat="1" x14ac:dyDescent="0.2">
      <c r="A1271" s="237" t="str">
        <f>name!E$8</f>
        <v>Skilled trades occupations</v>
      </c>
      <c r="B1271" s="302">
        <v>7.2473578506256089E-2</v>
      </c>
      <c r="C1271" s="302">
        <v>8.0804276200516342E-4</v>
      </c>
      <c r="D1271" s="302">
        <v>0.11375112026439567</v>
      </c>
      <c r="E1271" s="302">
        <f t="shared" si="539"/>
        <v>0.18703274153265692</v>
      </c>
      <c r="F1271" s="303"/>
      <c r="G1271" s="302">
        <v>6.8559915384530365E-2</v>
      </c>
      <c r="H1271" s="302">
        <v>4.447736104792788E-3</v>
      </c>
      <c r="I1271" s="302">
        <v>5.7355004780996005E-2</v>
      </c>
      <c r="J1271" s="302">
        <f>SUM(G1271:I1271)</f>
        <v>0.13036265627031918</v>
      </c>
      <c r="K1271" s="303"/>
      <c r="L1271" s="302">
        <v>5.2014938915951998E-2</v>
      </c>
      <c r="M1271" s="302">
        <v>3.3504629512532799E-3</v>
      </c>
      <c r="N1271" s="302">
        <v>3.5164796697053864E-2</v>
      </c>
      <c r="O1271" s="302">
        <f t="shared" si="541"/>
        <v>9.0530198564259146E-2</v>
      </c>
    </row>
    <row r="1272" spans="1:15" s="236" customFormat="1" x14ac:dyDescent="0.2">
      <c r="A1272" s="237" t="str">
        <f>name!E$9</f>
        <v>Caring, leisure and other service occupations</v>
      </c>
      <c r="B1272" s="302">
        <v>1.2664905029243822E-2</v>
      </c>
      <c r="C1272" s="302">
        <v>2.1346616066131419E-4</v>
      </c>
      <c r="D1272" s="302">
        <v>1.9076095450743916E-2</v>
      </c>
      <c r="E1272" s="302">
        <f t="shared" si="539"/>
        <v>3.1954466640649049E-2</v>
      </c>
      <c r="F1272" s="303"/>
      <c r="G1272" s="302">
        <v>1.3202339147067312E-2</v>
      </c>
      <c r="H1272" s="302">
        <v>1.6544495024268765E-3</v>
      </c>
      <c r="I1272" s="302">
        <v>4.7216765437134621E-2</v>
      </c>
      <c r="J1272" s="302">
        <f t="shared" ref="J1272:J1275" si="542">SUM(G1272:I1272)</f>
        <v>6.2073554086628811E-2</v>
      </c>
      <c r="K1272" s="303"/>
      <c r="L1272" s="302">
        <v>1.2834648286039533E-2</v>
      </c>
      <c r="M1272" s="302">
        <v>1.217304445025333E-3</v>
      </c>
      <c r="N1272" s="302">
        <v>6.9802662005363419E-2</v>
      </c>
      <c r="O1272" s="302">
        <f t="shared" si="541"/>
        <v>8.3854614736428287E-2</v>
      </c>
    </row>
    <row r="1273" spans="1:15" s="236" customFormat="1" x14ac:dyDescent="0.2">
      <c r="A1273" s="237" t="str">
        <f>name!E$10</f>
        <v>Sales and customer service occupations</v>
      </c>
      <c r="B1273" s="302">
        <v>0.25984098276447548</v>
      </c>
      <c r="C1273" s="302">
        <v>2.2312260497162124E-2</v>
      </c>
      <c r="D1273" s="302">
        <v>0.12913534719278785</v>
      </c>
      <c r="E1273" s="302">
        <f t="shared" si="539"/>
        <v>0.41128859045442545</v>
      </c>
      <c r="F1273" s="303"/>
      <c r="G1273" s="302">
        <v>0.23448082455117436</v>
      </c>
      <c r="H1273" s="302">
        <v>0.1761506488249559</v>
      </c>
      <c r="I1273" s="302">
        <v>5.4697590037169147E-2</v>
      </c>
      <c r="J1273" s="302">
        <f t="shared" si="542"/>
        <v>0.46532906341329938</v>
      </c>
      <c r="K1273" s="303"/>
      <c r="L1273" s="302">
        <v>0.11487894721539192</v>
      </c>
      <c r="M1273" s="302">
        <v>0.13598869298248598</v>
      </c>
      <c r="N1273" s="302">
        <v>1.0796435707074172E-2</v>
      </c>
      <c r="O1273" s="302">
        <f t="shared" si="541"/>
        <v>0.26166407590495205</v>
      </c>
    </row>
    <row r="1274" spans="1:15" s="236" customFormat="1" x14ac:dyDescent="0.2">
      <c r="A1274" s="237" t="str">
        <f>name!E$11</f>
        <v>Process, plant and machine operatives</v>
      </c>
      <c r="B1274" s="302">
        <v>4.7373753527185883E-2</v>
      </c>
      <c r="C1274" s="302">
        <v>1.396467056394029E-3</v>
      </c>
      <c r="D1274" s="302">
        <v>1.0874541782342309E-2</v>
      </c>
      <c r="E1274" s="302">
        <f t="shared" si="539"/>
        <v>5.964476236592222E-2</v>
      </c>
      <c r="F1274" s="303"/>
      <c r="G1274" s="302">
        <v>4.9445820230843616E-2</v>
      </c>
      <c r="H1274" s="302">
        <v>1.1566519644919008E-2</v>
      </c>
      <c r="I1274" s="302">
        <v>9.4466835293323184E-3</v>
      </c>
      <c r="J1274" s="302">
        <f t="shared" si="542"/>
        <v>7.0459023405094939E-2</v>
      </c>
      <c r="K1274" s="303"/>
      <c r="L1274" s="302">
        <v>2.9758792457798718E-2</v>
      </c>
      <c r="M1274" s="302">
        <v>1.2631111334236127E-2</v>
      </c>
      <c r="N1274" s="302">
        <v>2.2975715137328661E-3</v>
      </c>
      <c r="O1274" s="302">
        <f t="shared" si="541"/>
        <v>4.4687475305767714E-2</v>
      </c>
    </row>
    <row r="1275" spans="1:15" s="236" customFormat="1" x14ac:dyDescent="0.2">
      <c r="A1275" s="237" t="str">
        <f>name!E$12</f>
        <v>Elementary occupations</v>
      </c>
      <c r="B1275" s="302">
        <v>0.11251818959748261</v>
      </c>
      <c r="C1275" s="302">
        <v>4.8889728664954328E-3</v>
      </c>
      <c r="D1275" s="302">
        <v>1.4368732793510463E-2</v>
      </c>
      <c r="E1275" s="302">
        <f t="shared" si="539"/>
        <v>0.13177589525748851</v>
      </c>
      <c r="F1275" s="303"/>
      <c r="G1275" s="302">
        <v>0.11596738156356906</v>
      </c>
      <c r="H1275" s="302">
        <v>3.2240745055936888E-2</v>
      </c>
      <c r="I1275" s="302">
        <v>1.5987942411744231E-2</v>
      </c>
      <c r="J1275" s="302">
        <f t="shared" si="542"/>
        <v>0.16419606903125017</v>
      </c>
      <c r="K1275" s="303"/>
      <c r="L1275" s="302">
        <v>8.9957202781343268E-2</v>
      </c>
      <c r="M1275" s="302">
        <v>2.2564956106741044E-2</v>
      </c>
      <c r="N1275" s="302">
        <v>2.0155003332243356E-2</v>
      </c>
      <c r="O1275" s="302">
        <f t="shared" si="541"/>
        <v>0.13267716222032766</v>
      </c>
    </row>
    <row r="1276" spans="1:15" s="236" customFormat="1" x14ac:dyDescent="0.2">
      <c r="A1276" s="237"/>
      <c r="B1276" s="302"/>
      <c r="C1276" s="302"/>
      <c r="D1276" s="302"/>
      <c r="E1276" s="302"/>
      <c r="F1276" s="303"/>
      <c r="G1276" s="302"/>
      <c r="H1276" s="302"/>
      <c r="I1276" s="302"/>
      <c r="J1276" s="302"/>
      <c r="K1276" s="303"/>
      <c r="L1276" s="302"/>
      <c r="M1276" s="302"/>
      <c r="N1276" s="302"/>
      <c r="O1276" s="302"/>
    </row>
    <row r="1277" spans="1:15" s="236" customFormat="1" x14ac:dyDescent="0.2">
      <c r="A1277" s="244" t="s">
        <v>32</v>
      </c>
      <c r="B1277" s="311">
        <f>SUM(B1267:B1275)</f>
        <v>1.3069999999813682</v>
      </c>
      <c r="C1277" s="311">
        <f t="shared" ref="C1277:E1277" si="543">SUM(C1267:C1275)</f>
        <v>3.4000000000927275E-2</v>
      </c>
      <c r="D1277" s="311">
        <f t="shared" si="543"/>
        <v>0.7310000000080783</v>
      </c>
      <c r="E1277" s="311">
        <f t="shared" si="543"/>
        <v>2.071999999990374</v>
      </c>
      <c r="F1277" s="311"/>
      <c r="G1277" s="311">
        <f t="shared" ref="G1277:J1277" si="544">SUM(G1267:G1275)</f>
        <v>1.5199999999866725</v>
      </c>
      <c r="H1277" s="311">
        <f t="shared" si="544"/>
        <v>0.2740000000021004</v>
      </c>
      <c r="I1277" s="311">
        <f t="shared" si="544"/>
        <v>0.59399999999502451</v>
      </c>
      <c r="J1277" s="311">
        <f t="shared" si="544"/>
        <v>2.3879999999837969</v>
      </c>
      <c r="K1277" s="311"/>
      <c r="L1277" s="311">
        <f t="shared" ref="L1277:O1277" si="545">SUM(L1267:L1275)</f>
        <v>1.282000000012141</v>
      </c>
      <c r="M1277" s="311">
        <f t="shared" si="545"/>
        <v>0.21999999999870867</v>
      </c>
      <c r="N1277" s="311">
        <f t="shared" si="545"/>
        <v>0.47700000003026577</v>
      </c>
      <c r="O1277" s="311">
        <f t="shared" si="545"/>
        <v>1.9790000000411152</v>
      </c>
    </row>
    <row r="1278" spans="1:15" s="236" customFormat="1" x14ac:dyDescent="0.2">
      <c r="A1278" s="237"/>
      <c r="B1278" s="237"/>
      <c r="C1278" s="237"/>
      <c r="D1278" s="237"/>
      <c r="E1278" s="237"/>
      <c r="F1278" s="237"/>
      <c r="G1278" s="237"/>
      <c r="H1278" s="237"/>
      <c r="I1278" s="237"/>
      <c r="J1278" s="237"/>
      <c r="K1278" s="237"/>
      <c r="L1278" s="237"/>
      <c r="M1278" s="237"/>
      <c r="N1278" s="240"/>
    </row>
    <row r="1279" spans="1:15" s="236" customFormat="1" x14ac:dyDescent="0.2">
      <c r="A1279" s="237"/>
      <c r="B1279" s="237"/>
      <c r="C1279" s="237"/>
      <c r="D1279" s="237"/>
      <c r="E1279" s="237"/>
      <c r="F1279" s="237"/>
      <c r="G1279" s="237"/>
      <c r="H1279" s="237"/>
      <c r="I1279" s="237"/>
      <c r="J1279" s="237"/>
      <c r="K1279" s="237"/>
      <c r="L1279" s="237"/>
      <c r="M1279" s="237"/>
      <c r="N1279" s="240"/>
      <c r="O1279" s="251" t="s">
        <v>35</v>
      </c>
    </row>
    <row r="1280" spans="1:15" s="236" customFormat="1" x14ac:dyDescent="0.2">
      <c r="A1280" s="242"/>
      <c r="B1280" s="242"/>
      <c r="C1280" s="242"/>
      <c r="D1280" s="242"/>
      <c r="E1280" s="242"/>
      <c r="F1280" s="242"/>
      <c r="G1280" s="242"/>
      <c r="H1280" s="242"/>
      <c r="I1280" s="242"/>
      <c r="J1280" s="242"/>
      <c r="K1280" s="242"/>
      <c r="L1280" s="242"/>
      <c r="M1280" s="242"/>
      <c r="N1280" s="242"/>
      <c r="O1280" s="242"/>
    </row>
    <row r="1281" spans="1:15" s="236" customFormat="1" x14ac:dyDescent="0.2">
      <c r="A1281" s="241" t="str">
        <f>name!A78</f>
        <v>Other personal service</v>
      </c>
      <c r="B1281" s="374">
        <f>$B$6</f>
        <v>2015</v>
      </c>
      <c r="C1281" s="374"/>
      <c r="D1281" s="374"/>
      <c r="E1281" s="374"/>
      <c r="F1281" s="263"/>
      <c r="G1281" s="374">
        <f>$G$6</f>
        <v>2020</v>
      </c>
      <c r="H1281" s="374"/>
      <c r="I1281" s="374"/>
      <c r="J1281" s="374"/>
      <c r="K1281" s="263"/>
      <c r="L1281" s="374">
        <f>$L$6</f>
        <v>2035</v>
      </c>
      <c r="M1281" s="374"/>
      <c r="N1281" s="374"/>
      <c r="O1281" s="374"/>
    </row>
    <row r="1282" spans="1:15" s="236" customFormat="1" x14ac:dyDescent="0.2">
      <c r="A1282" s="254"/>
      <c r="B1282" s="268" t="str">
        <f>$B$7</f>
        <v>FT</v>
      </c>
      <c r="C1282" s="268" t="str">
        <f>$C$7</f>
        <v>PT</v>
      </c>
      <c r="D1282" s="268" t="str">
        <f>$D$7</f>
        <v>SE</v>
      </c>
      <c r="E1282" s="268" t="str">
        <f>$E$7</f>
        <v>Total</v>
      </c>
      <c r="F1282" s="268"/>
      <c r="G1282" s="268" t="str">
        <f>$G$7</f>
        <v>FT</v>
      </c>
      <c r="H1282" s="268" t="str">
        <f>$H$7</f>
        <v>PT</v>
      </c>
      <c r="I1282" s="268" t="str">
        <f>$I$7</f>
        <v>SE</v>
      </c>
      <c r="J1282" s="268" t="str">
        <f>$J$7</f>
        <v>Total</v>
      </c>
      <c r="K1282" s="268"/>
      <c r="L1282" s="268" t="str">
        <f>$L$7</f>
        <v>FT</v>
      </c>
      <c r="M1282" s="268" t="str">
        <f>$M$7</f>
        <v>PT</v>
      </c>
      <c r="N1282" s="268" t="str">
        <f>$N$7</f>
        <v>SE</v>
      </c>
      <c r="O1282" s="268" t="str">
        <f>$O$7</f>
        <v>Total</v>
      </c>
    </row>
    <row r="1283" spans="1:15" s="236" customFormat="1" x14ac:dyDescent="0.2">
      <c r="A1283" s="258"/>
      <c r="B1283" s="239"/>
      <c r="C1283" s="239"/>
      <c r="D1283" s="239"/>
      <c r="E1283" s="239"/>
      <c r="F1283" s="239"/>
      <c r="G1283" s="239"/>
      <c r="H1283" s="239"/>
      <c r="I1283" s="239"/>
      <c r="J1283" s="239"/>
      <c r="K1283" s="239"/>
      <c r="L1283" s="239"/>
      <c r="M1283" s="239"/>
      <c r="N1283" s="239"/>
      <c r="O1283" s="239"/>
    </row>
    <row r="1284" spans="1:15" s="236" customFormat="1" x14ac:dyDescent="0.2">
      <c r="A1284" s="237" t="str">
        <f>name!E$4</f>
        <v>Managers, directors and senior officials</v>
      </c>
      <c r="B1284" s="302">
        <v>0.2191130524844645</v>
      </c>
      <c r="C1284" s="302">
        <v>5.4311355644396854E-2</v>
      </c>
      <c r="D1284" s="302">
        <v>0.67795758805594386</v>
      </c>
      <c r="E1284" s="302">
        <f>SUM(B1284:D1284)</f>
        <v>0.95138199618480523</v>
      </c>
      <c r="F1284" s="303"/>
      <c r="G1284" s="302">
        <v>0.32543895640289328</v>
      </c>
      <c r="H1284" s="302">
        <v>0.1074866867002215</v>
      </c>
      <c r="I1284" s="302">
        <v>0.45433787315868701</v>
      </c>
      <c r="J1284" s="302">
        <f>SUM(G1284:I1284)</f>
        <v>0.88726351626180178</v>
      </c>
      <c r="K1284" s="303"/>
      <c r="L1284" s="302">
        <v>0.35807514362487214</v>
      </c>
      <c r="M1284" s="302">
        <v>0.14694917688326384</v>
      </c>
      <c r="N1284" s="302">
        <v>0.35434777666017286</v>
      </c>
      <c r="O1284" s="302">
        <f>SUM(L1284:N1284)</f>
        <v>0.85937209716830876</v>
      </c>
    </row>
    <row r="1285" spans="1:15" s="236" customFormat="1" x14ac:dyDescent="0.2">
      <c r="A1285" s="237" t="str">
        <f>name!E$5</f>
        <v>Professional occupations</v>
      </c>
      <c r="B1285" s="302">
        <v>0.35353887711877119</v>
      </c>
      <c r="C1285" s="302">
        <v>0.12733854071288966</v>
      </c>
      <c r="D1285" s="302">
        <v>0.73735233035575942</v>
      </c>
      <c r="E1285" s="302">
        <f t="shared" ref="E1285:E1292" si="546">SUM(B1285:D1285)</f>
        <v>1.2182297481874202</v>
      </c>
      <c r="F1285" s="303"/>
      <c r="G1285" s="302">
        <v>0.49926311275119167</v>
      </c>
      <c r="H1285" s="302">
        <v>0.23301997940516492</v>
      </c>
      <c r="I1285" s="302">
        <v>0.40746144535356837</v>
      </c>
      <c r="J1285" s="302">
        <f t="shared" ref="J1285:J1287" si="547">SUM(G1285:I1285)</f>
        <v>1.1397445375099249</v>
      </c>
      <c r="K1285" s="303"/>
      <c r="L1285" s="302">
        <v>0.53620417771004347</v>
      </c>
      <c r="M1285" s="302">
        <v>0.22118553590338996</v>
      </c>
      <c r="N1285" s="302">
        <v>0.26390255027614357</v>
      </c>
      <c r="O1285" s="302">
        <f t="shared" ref="O1285:O1292" si="548">SUM(L1285:N1285)</f>
        <v>1.0212922638895769</v>
      </c>
    </row>
    <row r="1286" spans="1:15" s="236" customFormat="1" x14ac:dyDescent="0.2">
      <c r="A1286" s="237" t="str">
        <f>name!E$6</f>
        <v>Associate professional occupations</v>
      </c>
      <c r="B1286" s="302">
        <v>0.32865855860748056</v>
      </c>
      <c r="C1286" s="302">
        <v>0.17439956924140121</v>
      </c>
      <c r="D1286" s="302">
        <v>1.4490950159220832</v>
      </c>
      <c r="E1286" s="302">
        <f t="shared" si="546"/>
        <v>1.9521531437709649</v>
      </c>
      <c r="F1286" s="303"/>
      <c r="G1286" s="302">
        <v>0.51713916656698944</v>
      </c>
      <c r="H1286" s="302">
        <v>0.28626307015324248</v>
      </c>
      <c r="I1286" s="302">
        <v>0.93921452883960721</v>
      </c>
      <c r="J1286" s="302">
        <f t="shared" si="547"/>
        <v>1.742616765559839</v>
      </c>
      <c r="K1286" s="303"/>
      <c r="L1286" s="302">
        <v>0.59592298476271022</v>
      </c>
      <c r="M1286" s="302">
        <v>0.28604742182614107</v>
      </c>
      <c r="N1286" s="302">
        <v>0.91472299175656624</v>
      </c>
      <c r="O1286" s="302">
        <f t="shared" si="548"/>
        <v>1.7966933983454174</v>
      </c>
    </row>
    <row r="1287" spans="1:15" s="236" customFormat="1" x14ac:dyDescent="0.2">
      <c r="A1287" s="237" t="str">
        <f>name!E$7</f>
        <v>Administrative and secretarial occupations</v>
      </c>
      <c r="B1287" s="302">
        <v>0.51934918469890834</v>
      </c>
      <c r="C1287" s="302">
        <v>0.52912355075981554</v>
      </c>
      <c r="D1287" s="302">
        <v>5.0951183382362389E-2</v>
      </c>
      <c r="E1287" s="302">
        <f t="shared" si="546"/>
        <v>1.0994239188410864</v>
      </c>
      <c r="F1287" s="303"/>
      <c r="G1287" s="302">
        <v>0.66294440773081054</v>
      </c>
      <c r="H1287" s="302">
        <v>0.73331580597411061</v>
      </c>
      <c r="I1287" s="302">
        <v>4.7256865488815879E-2</v>
      </c>
      <c r="J1287" s="302">
        <f t="shared" si="547"/>
        <v>1.4435170791937371</v>
      </c>
      <c r="K1287" s="303"/>
      <c r="L1287" s="302">
        <v>0.7148060745117194</v>
      </c>
      <c r="M1287" s="302">
        <v>0.82914353235380212</v>
      </c>
      <c r="N1287" s="302">
        <v>2.5763242466279639E-2</v>
      </c>
      <c r="O1287" s="302">
        <f t="shared" si="548"/>
        <v>1.5697128493318011</v>
      </c>
    </row>
    <row r="1288" spans="1:15" s="236" customFormat="1" x14ac:dyDescent="0.2">
      <c r="A1288" s="237" t="str">
        <f>name!E$8</f>
        <v>Skilled trades occupations</v>
      </c>
      <c r="B1288" s="302">
        <v>0.4168427787041758</v>
      </c>
      <c r="C1288" s="302">
        <v>0.15010322574554208</v>
      </c>
      <c r="D1288" s="302">
        <v>0.75699525289376157</v>
      </c>
      <c r="E1288" s="302">
        <f t="shared" si="546"/>
        <v>1.3239412573434794</v>
      </c>
      <c r="F1288" s="303"/>
      <c r="G1288" s="302">
        <v>0.58337361859792014</v>
      </c>
      <c r="H1288" s="302">
        <v>0.16587117515329688</v>
      </c>
      <c r="I1288" s="302">
        <v>0.19061105569364289</v>
      </c>
      <c r="J1288" s="302">
        <f>SUM(G1288:I1288)</f>
        <v>0.93985584944485989</v>
      </c>
      <c r="K1288" s="303"/>
      <c r="L1288" s="302">
        <v>0.56622949510772658</v>
      </c>
      <c r="M1288" s="302">
        <v>0.16959025890789189</v>
      </c>
      <c r="N1288" s="302">
        <v>0.30170509516151095</v>
      </c>
      <c r="O1288" s="302">
        <f t="shared" si="548"/>
        <v>1.0375248491771294</v>
      </c>
    </row>
    <row r="1289" spans="1:15" s="236" customFormat="1" x14ac:dyDescent="0.2">
      <c r="A1289" s="237" t="str">
        <f>name!E$9</f>
        <v>Caring, leisure and other service occupations</v>
      </c>
      <c r="B1289" s="302">
        <v>2.5695931595079569</v>
      </c>
      <c r="C1289" s="302">
        <v>1.1600340510243894</v>
      </c>
      <c r="D1289" s="302">
        <v>2.4045902851301553</v>
      </c>
      <c r="E1289" s="302">
        <f t="shared" si="546"/>
        <v>6.1342174956625009</v>
      </c>
      <c r="F1289" s="303"/>
      <c r="G1289" s="302">
        <v>2.4025989723680556</v>
      </c>
      <c r="H1289" s="302">
        <v>0.95938258460128245</v>
      </c>
      <c r="I1289" s="302">
        <v>3.5475215939845417</v>
      </c>
      <c r="J1289" s="302">
        <f t="shared" ref="J1289:J1292" si="549">SUM(G1289:I1289)</f>
        <v>6.9095031509538796</v>
      </c>
      <c r="K1289" s="303"/>
      <c r="L1289" s="302">
        <v>1.4777613772700477</v>
      </c>
      <c r="M1289" s="302">
        <v>0.40053740099371199</v>
      </c>
      <c r="N1289" s="302">
        <v>2.6547345301351912</v>
      </c>
      <c r="O1289" s="302">
        <f t="shared" si="548"/>
        <v>4.5330333083989505</v>
      </c>
    </row>
    <row r="1290" spans="1:15" s="236" customFormat="1" x14ac:dyDescent="0.2">
      <c r="A1290" s="237" t="str">
        <f>name!E$10</f>
        <v>Sales and customer service occupations</v>
      </c>
      <c r="B1290" s="302">
        <v>0.21043284646935159</v>
      </c>
      <c r="C1290" s="302">
        <v>0.45292851678415852</v>
      </c>
      <c r="D1290" s="302">
        <v>0.1984261786413582</v>
      </c>
      <c r="E1290" s="302">
        <f t="shared" si="546"/>
        <v>0.86178754189486839</v>
      </c>
      <c r="F1290" s="303"/>
      <c r="G1290" s="302">
        <v>0.28066541174580822</v>
      </c>
      <c r="H1290" s="302">
        <v>0.5733790914555581</v>
      </c>
      <c r="I1290" s="302">
        <v>9.0542665619133766E-2</v>
      </c>
      <c r="J1290" s="302">
        <f t="shared" si="549"/>
        <v>0.94458716882050009</v>
      </c>
      <c r="K1290" s="303"/>
      <c r="L1290" s="302">
        <v>0.34044797949481698</v>
      </c>
      <c r="M1290" s="302">
        <v>0.56033818637216937</v>
      </c>
      <c r="N1290" s="302">
        <v>4.6837292189624118E-2</v>
      </c>
      <c r="O1290" s="302">
        <f t="shared" si="548"/>
        <v>0.94762345805661041</v>
      </c>
    </row>
    <row r="1291" spans="1:15" s="236" customFormat="1" x14ac:dyDescent="0.2">
      <c r="A1291" s="237" t="str">
        <f>name!E$11</f>
        <v>Process, plant and machine operatives</v>
      </c>
      <c r="B1291" s="302">
        <v>0.32439639764413619</v>
      </c>
      <c r="C1291" s="302">
        <v>0.14541747323909993</v>
      </c>
      <c r="D1291" s="302">
        <v>7.4198877784007453E-2</v>
      </c>
      <c r="E1291" s="302">
        <f t="shared" si="546"/>
        <v>0.54401274866724358</v>
      </c>
      <c r="F1291" s="303"/>
      <c r="G1291" s="302">
        <v>0.32912857727964978</v>
      </c>
      <c r="H1291" s="302">
        <v>0.12916383894255984</v>
      </c>
      <c r="I1291" s="302">
        <v>1.3334228585374976E-2</v>
      </c>
      <c r="J1291" s="302">
        <f t="shared" si="549"/>
        <v>0.47162664480758459</v>
      </c>
      <c r="K1291" s="303"/>
      <c r="L1291" s="302">
        <v>0.17923058880839074</v>
      </c>
      <c r="M1291" s="302">
        <v>3.6618526806612782E-2</v>
      </c>
      <c r="N1291" s="302">
        <v>1.2771085145654684E-2</v>
      </c>
      <c r="O1291" s="302">
        <f t="shared" si="548"/>
        <v>0.2286202007606582</v>
      </c>
    </row>
    <row r="1292" spans="1:15" s="236" customFormat="1" x14ac:dyDescent="0.2">
      <c r="A1292" s="237" t="str">
        <f>name!E$12</f>
        <v>Elementary occupations</v>
      </c>
      <c r="B1292" s="302">
        <v>0.76407514476317229</v>
      </c>
      <c r="C1292" s="302">
        <v>0.84834371689848631</v>
      </c>
      <c r="D1292" s="302">
        <v>0.36543328799679542</v>
      </c>
      <c r="E1292" s="302">
        <f t="shared" si="546"/>
        <v>1.977852149658454</v>
      </c>
      <c r="F1292" s="303"/>
      <c r="G1292" s="302">
        <v>0.91244777652480513</v>
      </c>
      <c r="H1292" s="302">
        <v>0.93711776762357024</v>
      </c>
      <c r="I1292" s="302">
        <v>4.5719743146673854E-2</v>
      </c>
      <c r="J1292" s="302">
        <f t="shared" si="549"/>
        <v>1.8952852872950492</v>
      </c>
      <c r="K1292" s="303"/>
      <c r="L1292" s="302">
        <v>0.69632217869926161</v>
      </c>
      <c r="M1292" s="302">
        <v>0.62558995993597921</v>
      </c>
      <c r="N1292" s="302">
        <v>3.4215436223983209E-2</v>
      </c>
      <c r="O1292" s="302">
        <f t="shared" si="548"/>
        <v>1.3561275748592241</v>
      </c>
    </row>
    <row r="1293" spans="1:15" s="236" customFormat="1" x14ac:dyDescent="0.2">
      <c r="A1293" s="237"/>
      <c r="B1293" s="302"/>
      <c r="C1293" s="302"/>
      <c r="D1293" s="302"/>
      <c r="E1293" s="302"/>
      <c r="F1293" s="303"/>
      <c r="G1293" s="302"/>
      <c r="H1293" s="302"/>
      <c r="I1293" s="302"/>
      <c r="J1293" s="302"/>
      <c r="K1293" s="303"/>
      <c r="L1293" s="302"/>
      <c r="M1293" s="302"/>
      <c r="N1293" s="302"/>
      <c r="O1293" s="302"/>
    </row>
    <row r="1294" spans="1:15" s="236" customFormat="1" x14ac:dyDescent="0.2">
      <c r="A1294" s="244" t="s">
        <v>32</v>
      </c>
      <c r="B1294" s="311">
        <f>SUM(B1284:B1292)</f>
        <v>5.7059999999984177</v>
      </c>
      <c r="C1294" s="311">
        <f t="shared" ref="C1294:E1294" si="550">SUM(C1284:C1292)</f>
        <v>3.6420000000501793</v>
      </c>
      <c r="D1294" s="311">
        <f t="shared" si="550"/>
        <v>6.7150000001622274</v>
      </c>
      <c r="E1294" s="311">
        <f t="shared" si="550"/>
        <v>16.063000000210824</v>
      </c>
      <c r="F1294" s="311"/>
      <c r="G1294" s="311">
        <f t="shared" ref="G1294:J1294" si="551">SUM(G1284:G1292)</f>
        <v>6.5129999999681232</v>
      </c>
      <c r="H1294" s="311">
        <f t="shared" si="551"/>
        <v>4.1250000000090061</v>
      </c>
      <c r="I1294" s="311">
        <f t="shared" si="551"/>
        <v>5.7359999998700468</v>
      </c>
      <c r="J1294" s="311">
        <f t="shared" si="551"/>
        <v>16.373999999847175</v>
      </c>
      <c r="K1294" s="311"/>
      <c r="L1294" s="311">
        <f t="shared" ref="L1294:O1294" si="552">SUM(L1284:L1292)</f>
        <v>5.4649999999895895</v>
      </c>
      <c r="M1294" s="311">
        <f t="shared" si="552"/>
        <v>3.2759999999829623</v>
      </c>
      <c r="N1294" s="311">
        <f t="shared" si="552"/>
        <v>4.6090000000151266</v>
      </c>
      <c r="O1294" s="311">
        <f t="shared" si="552"/>
        <v>13.349999999987677</v>
      </c>
    </row>
    <row r="1295" spans="1:15" s="236" customFormat="1" x14ac:dyDescent="0.2">
      <c r="A1295" s="237"/>
      <c r="B1295" s="237"/>
      <c r="C1295" s="237"/>
      <c r="D1295" s="237"/>
      <c r="E1295" s="237"/>
      <c r="F1295" s="237"/>
      <c r="G1295" s="237"/>
      <c r="H1295" s="237"/>
      <c r="I1295" s="237"/>
      <c r="J1295" s="237"/>
      <c r="K1295" s="237"/>
      <c r="L1295" s="237"/>
      <c r="M1295" s="237"/>
      <c r="N1295" s="240"/>
    </row>
  </sheetData>
  <mergeCells count="228">
    <mergeCell ref="B6:E6"/>
    <mergeCell ref="G6:J6"/>
    <mergeCell ref="L6:O6"/>
    <mergeCell ref="B23:E23"/>
    <mergeCell ref="G23:J23"/>
    <mergeCell ref="L23:O23"/>
    <mergeCell ref="B108:E108"/>
    <mergeCell ref="G108:J108"/>
    <mergeCell ref="L108:O108"/>
    <mergeCell ref="B74:E74"/>
    <mergeCell ref="G74:J74"/>
    <mergeCell ref="L74:O74"/>
    <mergeCell ref="B40:E40"/>
    <mergeCell ref="G40:J40"/>
    <mergeCell ref="L40:O40"/>
    <mergeCell ref="B57:E57"/>
    <mergeCell ref="G57:J57"/>
    <mergeCell ref="L57:O57"/>
    <mergeCell ref="B125:E125"/>
    <mergeCell ref="G125:J125"/>
    <mergeCell ref="L125:O125"/>
    <mergeCell ref="B91:E91"/>
    <mergeCell ref="G91:J91"/>
    <mergeCell ref="L91:O91"/>
    <mergeCell ref="B176:E176"/>
    <mergeCell ref="G176:J176"/>
    <mergeCell ref="L176:O176"/>
    <mergeCell ref="B193:E193"/>
    <mergeCell ref="G193:J193"/>
    <mergeCell ref="L193:O193"/>
    <mergeCell ref="B142:E142"/>
    <mergeCell ref="G142:J142"/>
    <mergeCell ref="L142:O142"/>
    <mergeCell ref="B159:E159"/>
    <mergeCell ref="G159:J159"/>
    <mergeCell ref="L159:O159"/>
    <mergeCell ref="B244:E244"/>
    <mergeCell ref="G244:J244"/>
    <mergeCell ref="L244:O244"/>
    <mergeCell ref="B261:E261"/>
    <mergeCell ref="G261:J261"/>
    <mergeCell ref="L261:O261"/>
    <mergeCell ref="B210:E210"/>
    <mergeCell ref="G210:J210"/>
    <mergeCell ref="L210:O210"/>
    <mergeCell ref="B227:E227"/>
    <mergeCell ref="G227:J227"/>
    <mergeCell ref="L227:O227"/>
    <mergeCell ref="B312:E312"/>
    <mergeCell ref="G312:J312"/>
    <mergeCell ref="L312:O312"/>
    <mergeCell ref="B329:E329"/>
    <mergeCell ref="G329:J329"/>
    <mergeCell ref="L329:O329"/>
    <mergeCell ref="B278:E278"/>
    <mergeCell ref="G278:J278"/>
    <mergeCell ref="L278:O278"/>
    <mergeCell ref="B295:E295"/>
    <mergeCell ref="G295:J295"/>
    <mergeCell ref="L295:O295"/>
    <mergeCell ref="B380:E380"/>
    <mergeCell ref="G380:J380"/>
    <mergeCell ref="L380:O380"/>
    <mergeCell ref="B397:E397"/>
    <mergeCell ref="G397:J397"/>
    <mergeCell ref="L397:O397"/>
    <mergeCell ref="B346:E346"/>
    <mergeCell ref="G346:J346"/>
    <mergeCell ref="L346:O346"/>
    <mergeCell ref="B363:E363"/>
    <mergeCell ref="G363:J363"/>
    <mergeCell ref="L363:O363"/>
    <mergeCell ref="B448:E448"/>
    <mergeCell ref="G448:J448"/>
    <mergeCell ref="L448:O448"/>
    <mergeCell ref="B465:E465"/>
    <mergeCell ref="G465:J465"/>
    <mergeCell ref="L465:O465"/>
    <mergeCell ref="B414:E414"/>
    <mergeCell ref="G414:J414"/>
    <mergeCell ref="L414:O414"/>
    <mergeCell ref="B431:E431"/>
    <mergeCell ref="G431:J431"/>
    <mergeCell ref="L431:O431"/>
    <mergeCell ref="B516:E516"/>
    <mergeCell ref="G516:J516"/>
    <mergeCell ref="L516:O516"/>
    <mergeCell ref="B533:E533"/>
    <mergeCell ref="G533:J533"/>
    <mergeCell ref="L533:O533"/>
    <mergeCell ref="B482:E482"/>
    <mergeCell ref="G482:J482"/>
    <mergeCell ref="L482:O482"/>
    <mergeCell ref="B499:E499"/>
    <mergeCell ref="G499:J499"/>
    <mergeCell ref="L499:O499"/>
    <mergeCell ref="B584:E584"/>
    <mergeCell ref="G584:J584"/>
    <mergeCell ref="L584:O584"/>
    <mergeCell ref="B601:E601"/>
    <mergeCell ref="G601:J601"/>
    <mergeCell ref="L601:O601"/>
    <mergeCell ref="B550:E550"/>
    <mergeCell ref="G550:J550"/>
    <mergeCell ref="L550:O550"/>
    <mergeCell ref="B567:E567"/>
    <mergeCell ref="G567:J567"/>
    <mergeCell ref="L567:O567"/>
    <mergeCell ref="B652:E652"/>
    <mergeCell ref="G652:J652"/>
    <mergeCell ref="L652:O652"/>
    <mergeCell ref="B669:E669"/>
    <mergeCell ref="G669:J669"/>
    <mergeCell ref="L669:O669"/>
    <mergeCell ref="B618:E618"/>
    <mergeCell ref="G618:J618"/>
    <mergeCell ref="L618:O618"/>
    <mergeCell ref="B635:E635"/>
    <mergeCell ref="G635:J635"/>
    <mergeCell ref="L635:O635"/>
    <mergeCell ref="B720:E720"/>
    <mergeCell ref="G720:J720"/>
    <mergeCell ref="L720:O720"/>
    <mergeCell ref="B737:E737"/>
    <mergeCell ref="G737:J737"/>
    <mergeCell ref="L737:O737"/>
    <mergeCell ref="B686:E686"/>
    <mergeCell ref="G686:J686"/>
    <mergeCell ref="L686:O686"/>
    <mergeCell ref="B703:E703"/>
    <mergeCell ref="G703:J703"/>
    <mergeCell ref="L703:O703"/>
    <mergeCell ref="B788:E788"/>
    <mergeCell ref="G788:J788"/>
    <mergeCell ref="L788:O788"/>
    <mergeCell ref="B805:E805"/>
    <mergeCell ref="G805:J805"/>
    <mergeCell ref="L805:O805"/>
    <mergeCell ref="B754:E754"/>
    <mergeCell ref="G754:J754"/>
    <mergeCell ref="L754:O754"/>
    <mergeCell ref="B771:E771"/>
    <mergeCell ref="G771:J771"/>
    <mergeCell ref="L771:O771"/>
    <mergeCell ref="B856:E856"/>
    <mergeCell ref="G856:J856"/>
    <mergeCell ref="L856:O856"/>
    <mergeCell ref="B873:E873"/>
    <mergeCell ref="G873:J873"/>
    <mergeCell ref="L873:O873"/>
    <mergeCell ref="B822:E822"/>
    <mergeCell ref="G822:J822"/>
    <mergeCell ref="L822:O822"/>
    <mergeCell ref="B839:E839"/>
    <mergeCell ref="G839:J839"/>
    <mergeCell ref="L839:O839"/>
    <mergeCell ref="B924:E924"/>
    <mergeCell ref="G924:J924"/>
    <mergeCell ref="L924:O924"/>
    <mergeCell ref="B941:E941"/>
    <mergeCell ref="G941:J941"/>
    <mergeCell ref="L941:O941"/>
    <mergeCell ref="B890:E890"/>
    <mergeCell ref="G890:J890"/>
    <mergeCell ref="L890:O890"/>
    <mergeCell ref="B907:E907"/>
    <mergeCell ref="G907:J907"/>
    <mergeCell ref="L907:O907"/>
    <mergeCell ref="B992:E992"/>
    <mergeCell ref="G992:J992"/>
    <mergeCell ref="L992:O992"/>
    <mergeCell ref="B1009:E1009"/>
    <mergeCell ref="G1009:J1009"/>
    <mergeCell ref="L1009:O1009"/>
    <mergeCell ref="B958:E958"/>
    <mergeCell ref="G958:J958"/>
    <mergeCell ref="L958:O958"/>
    <mergeCell ref="B975:E975"/>
    <mergeCell ref="G975:J975"/>
    <mergeCell ref="L975:O975"/>
    <mergeCell ref="B1060:E1060"/>
    <mergeCell ref="G1060:J1060"/>
    <mergeCell ref="L1060:O1060"/>
    <mergeCell ref="B1077:E1077"/>
    <mergeCell ref="G1077:J1077"/>
    <mergeCell ref="L1077:O1077"/>
    <mergeCell ref="B1026:E1026"/>
    <mergeCell ref="G1026:J1026"/>
    <mergeCell ref="L1026:O1026"/>
    <mergeCell ref="B1043:E1043"/>
    <mergeCell ref="G1043:J1043"/>
    <mergeCell ref="L1043:O1043"/>
    <mergeCell ref="B1128:E1128"/>
    <mergeCell ref="G1128:J1128"/>
    <mergeCell ref="L1128:O1128"/>
    <mergeCell ref="B1145:E1145"/>
    <mergeCell ref="G1145:J1145"/>
    <mergeCell ref="L1145:O1145"/>
    <mergeCell ref="B1094:E1094"/>
    <mergeCell ref="G1094:J1094"/>
    <mergeCell ref="L1094:O1094"/>
    <mergeCell ref="B1111:E1111"/>
    <mergeCell ref="G1111:J1111"/>
    <mergeCell ref="L1111:O1111"/>
    <mergeCell ref="B1196:E1196"/>
    <mergeCell ref="G1196:J1196"/>
    <mergeCell ref="L1196:O1196"/>
    <mergeCell ref="B1213:E1213"/>
    <mergeCell ref="G1213:J1213"/>
    <mergeCell ref="L1213:O1213"/>
    <mergeCell ref="B1162:E1162"/>
    <mergeCell ref="G1162:J1162"/>
    <mergeCell ref="L1162:O1162"/>
    <mergeCell ref="B1179:E1179"/>
    <mergeCell ref="G1179:J1179"/>
    <mergeCell ref="L1179:O1179"/>
    <mergeCell ref="B1264:E1264"/>
    <mergeCell ref="G1264:J1264"/>
    <mergeCell ref="L1264:O1264"/>
    <mergeCell ref="B1281:E1281"/>
    <mergeCell ref="G1281:J1281"/>
    <mergeCell ref="L1281:O1281"/>
    <mergeCell ref="B1230:E1230"/>
    <mergeCell ref="G1230:J1230"/>
    <mergeCell ref="L1230:O1230"/>
    <mergeCell ref="B1247:E1247"/>
    <mergeCell ref="G1247:J1247"/>
    <mergeCell ref="L1247:O1247"/>
  </mergeCells>
  <pageMargins left="0.7" right="0.7" top="0.75" bottom="0.75" header="0.3" footer="0.3"/>
  <pageSetup paperSize="9" scale="72" fitToHeight="0" orientation="portrait" r:id="rId1"/>
  <rowBreaks count="18" manualBreakCount="18">
    <brk id="71" max="14" man="1"/>
    <brk id="139" max="14" man="1"/>
    <brk id="207" max="14" man="1"/>
    <brk id="275" max="14" man="1"/>
    <brk id="343" max="14" man="1"/>
    <brk id="411" max="14" man="1"/>
    <brk id="479" max="14" man="1"/>
    <brk id="547" max="14" man="1"/>
    <brk id="615" max="14" man="1"/>
    <brk id="683" max="14" man="1"/>
    <brk id="751" max="14" man="1"/>
    <brk id="819" max="14" man="1"/>
    <brk id="887" max="14" man="1"/>
    <brk id="955" max="14" man="1"/>
    <brk id="1023" max="14" man="1"/>
    <brk id="1091" max="14" man="1"/>
    <brk id="1159" max="14" man="1"/>
    <brk id="1227" max="14" man="1"/>
  </rowBreaks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0"/>
  <dimension ref="A1:AF90"/>
  <sheetViews>
    <sheetView showGridLines="0" zoomScale="85" zoomScaleNormal="85" workbookViewId="0"/>
  </sheetViews>
  <sheetFormatPr defaultRowHeight="12.75" x14ac:dyDescent="0.2"/>
  <cols>
    <col min="1" max="1" width="44.7109375" customWidth="1"/>
    <col min="2" max="6" width="10" customWidth="1"/>
    <col min="7" max="7" width="6.7109375" customWidth="1"/>
    <col min="8" max="10" width="13" customWidth="1"/>
    <col min="11" max="11" width="17" customWidth="1"/>
    <col min="12" max="12" width="44.7109375" customWidth="1"/>
    <col min="13" max="17" width="10" customWidth="1"/>
    <col min="18" max="18" width="6.7109375" customWidth="1"/>
    <col min="19" max="21" width="13" customWidth="1"/>
    <col min="22" max="22" width="16.140625" customWidth="1"/>
    <col min="23" max="23" width="44.7109375" customWidth="1"/>
    <col min="24" max="28" width="10" customWidth="1"/>
    <col min="29" max="29" width="6.7109375" customWidth="1"/>
    <col min="30" max="32" width="13" customWidth="1"/>
  </cols>
  <sheetData>
    <row r="1" spans="1:32" ht="15.75" x14ac:dyDescent="0.25">
      <c r="A1" s="18" t="str">
        <f>CONCATENATE("Occupation Table 1  Employment Change by Occupation Group (SOC 2020) and Replacement Demand, ",B$6,"-",F$6,", ",Info!B5)</f>
        <v>Occupation Table 1  Employment Change by Occupation Group (SOC 2020) and Replacement Demand, 2015-2035, North East</v>
      </c>
      <c r="L1" s="18" t="str">
        <f>CONCATENATE("Occupation Table 1.1  Males: Employment Change by Occupation Group (SOC 2020) and Replacement Demand, ",B$6,"-",F$6,", ",Info!B5)</f>
        <v>Occupation Table 1.1  Males: Employment Change by Occupation Group (SOC 2020) and Replacement Demand, 2015-2035, North East</v>
      </c>
      <c r="W1" s="18" t="str">
        <f>CONCATENATE("Occupation Table 1.2  Females: Employment Change by Occupation Group (SOC 2020) and Replacement Demand, ",M$6,"-",Q$6,", ",Info!B5)</f>
        <v>Occupation Table 1.2  Females: Employment Change by Occupation Group (SOC 2020) and Replacement Demand, 2015-2035, North East</v>
      </c>
    </row>
    <row r="2" spans="1:32" x14ac:dyDescent="0.2">
      <c r="A2" s="1" t="s">
        <v>536</v>
      </c>
    </row>
    <row r="3" spans="1:32" x14ac:dyDescent="0.2">
      <c r="F3" s="15" t="s">
        <v>35</v>
      </c>
      <c r="J3" s="15" t="s">
        <v>35</v>
      </c>
      <c r="Q3" s="15" t="s">
        <v>35</v>
      </c>
      <c r="U3" s="15" t="s">
        <v>35</v>
      </c>
      <c r="AB3" s="15" t="s">
        <v>35</v>
      </c>
      <c r="AF3" s="15" t="s">
        <v>35</v>
      </c>
    </row>
    <row r="4" spans="1:32" x14ac:dyDescent="0.2">
      <c r="A4" s="35"/>
      <c r="B4" s="35"/>
      <c r="C4" s="35"/>
      <c r="D4" s="35"/>
      <c r="E4" s="35"/>
      <c r="F4" s="35"/>
      <c r="H4" s="27" t="str">
        <f>CONCATENATE(D6,"-",F6)</f>
        <v>2020-2035</v>
      </c>
      <c r="I4" s="35"/>
      <c r="J4" s="35"/>
      <c r="L4" s="27" t="s">
        <v>98</v>
      </c>
      <c r="M4" s="35"/>
      <c r="N4" s="35"/>
      <c r="O4" s="35"/>
      <c r="P4" s="35"/>
      <c r="Q4" s="35"/>
      <c r="S4" s="27" t="str">
        <f>CONCATENATE(O6,"-",Q6)</f>
        <v>2020-2035</v>
      </c>
      <c r="T4" s="35"/>
      <c r="U4" s="35"/>
      <c r="W4" s="27" t="s">
        <v>99</v>
      </c>
      <c r="X4" s="35"/>
      <c r="Y4" s="35"/>
      <c r="Z4" s="35"/>
      <c r="AA4" s="35"/>
      <c r="AB4" s="35"/>
      <c r="AD4" s="27" t="str">
        <f>CONCATENATE(Z6,"-",AB6)</f>
        <v>2020-2035</v>
      </c>
      <c r="AE4" s="35"/>
      <c r="AF4" s="35"/>
    </row>
    <row r="5" spans="1:32" x14ac:dyDescent="0.2">
      <c r="H5" s="15" t="s">
        <v>29</v>
      </c>
      <c r="I5" s="15" t="s">
        <v>30</v>
      </c>
      <c r="J5" s="15" t="s">
        <v>32</v>
      </c>
      <c r="S5" s="15" t="s">
        <v>29</v>
      </c>
      <c r="T5" s="15" t="s">
        <v>30</v>
      </c>
      <c r="U5" s="15" t="s">
        <v>32</v>
      </c>
      <c r="AD5" s="15" t="s">
        <v>29</v>
      </c>
      <c r="AE5" s="15" t="s">
        <v>30</v>
      </c>
      <c r="AF5" s="15" t="s">
        <v>32</v>
      </c>
    </row>
    <row r="6" spans="1:32" x14ac:dyDescent="0.2">
      <c r="A6" s="40" t="s">
        <v>13</v>
      </c>
      <c r="B6" s="34">
        <f>'Occ T2'!B6</f>
        <v>2015</v>
      </c>
      <c r="C6" s="34">
        <f>'Occ T2'!C6</f>
        <v>2019</v>
      </c>
      <c r="D6" s="34">
        <f>'Occ T2'!D6</f>
        <v>2020</v>
      </c>
      <c r="E6" s="34">
        <f>'Occ T2'!E6</f>
        <v>2025</v>
      </c>
      <c r="F6" s="34">
        <f>'Occ T2'!F6</f>
        <v>2035</v>
      </c>
      <c r="G6" s="10"/>
      <c r="H6" s="62" t="s">
        <v>18</v>
      </c>
      <c r="I6" s="62" t="s">
        <v>31</v>
      </c>
      <c r="J6" s="62" t="s">
        <v>33</v>
      </c>
      <c r="L6" s="40" t="s">
        <v>13</v>
      </c>
      <c r="M6" s="34">
        <f>'Occ T2'!B6</f>
        <v>2015</v>
      </c>
      <c r="N6" s="34">
        <f>'Occ T2'!C6</f>
        <v>2019</v>
      </c>
      <c r="O6" s="34">
        <f>'Occ T2'!D6</f>
        <v>2020</v>
      </c>
      <c r="P6" s="34">
        <f>'Occ T2'!E6</f>
        <v>2025</v>
      </c>
      <c r="Q6" s="34">
        <f>'Occ T2'!F6</f>
        <v>2035</v>
      </c>
      <c r="R6" s="10"/>
      <c r="S6" s="62" t="s">
        <v>18</v>
      </c>
      <c r="T6" s="62" t="s">
        <v>31</v>
      </c>
      <c r="U6" s="62" t="s">
        <v>33</v>
      </c>
      <c r="W6" s="40" t="s">
        <v>13</v>
      </c>
      <c r="X6" s="34">
        <f>'Occ T2'!B6</f>
        <v>2015</v>
      </c>
      <c r="Y6" s="34">
        <f>'Occ T2'!C6</f>
        <v>2019</v>
      </c>
      <c r="Z6" s="34">
        <f>'Occ T2'!D6</f>
        <v>2020</v>
      </c>
      <c r="AA6" s="34">
        <f>'Occ T2'!E6</f>
        <v>2025</v>
      </c>
      <c r="AB6" s="34">
        <f>'Occ T2'!F6</f>
        <v>2035</v>
      </c>
      <c r="AC6" s="10"/>
      <c r="AD6" s="62" t="s">
        <v>18</v>
      </c>
      <c r="AE6" s="62" t="s">
        <v>31</v>
      </c>
      <c r="AF6" s="62" t="s">
        <v>33</v>
      </c>
    </row>
    <row r="7" spans="1:32" x14ac:dyDescent="0.2">
      <c r="C7" s="10"/>
      <c r="D7" s="10"/>
      <c r="E7" s="10"/>
      <c r="F7" s="10"/>
      <c r="N7" s="10"/>
      <c r="O7" s="10"/>
      <c r="P7" s="10"/>
      <c r="Q7" s="10"/>
      <c r="Y7" s="10"/>
      <c r="Z7" s="10"/>
      <c r="AA7" s="10"/>
      <c r="AB7" s="10"/>
    </row>
    <row r="8" spans="1:32" x14ac:dyDescent="0.2">
      <c r="A8" t="str">
        <f>name!E4</f>
        <v>Managers, directors and senior officials</v>
      </c>
      <c r="B8" s="11">
        <f t="array" ref="B8:B16">MMULT(aggregation!$B$38:$AA$46,'Occ T2'!B8:B33)</f>
        <v>88.576593074398374</v>
      </c>
      <c r="C8" s="11">
        <f t="array" ref="C8:C16">MMULT(aggregation!$B$38:$AA$46,'Occ T2'!C8:C33)</f>
        <v>99.700552647162596</v>
      </c>
      <c r="D8" s="11">
        <f t="array" ref="D8:D16">MMULT(aggregation!$B$38:$AA$46,'Occ T2'!D8:D33)</f>
        <v>99.727748084257215</v>
      </c>
      <c r="E8" s="11">
        <f t="array" ref="E8:E16">MMULT(aggregation!$B$38:$AA$46,'Occ T2'!E8:E33)</f>
        <v>102.19943541724987</v>
      </c>
      <c r="F8" s="11">
        <f t="array" ref="F8:F16">MMULT(aggregation!$B$38:$AA$46,'Occ T2'!F8:F33)</f>
        <v>116.10988402493876</v>
      </c>
      <c r="G8" s="11"/>
      <c r="H8" s="11">
        <f>F8-D8</f>
        <v>16.38213594068155</v>
      </c>
      <c r="I8" s="11">
        <f t="array" ref="I8:I16">MMULT(aggregation!$B$38:$AA$46,'Occ T2'!I8:I33)</f>
        <v>57.57606672954406</v>
      </c>
      <c r="J8" s="11">
        <f>SUM(H8:I8)</f>
        <v>73.958202670225603</v>
      </c>
      <c r="L8" s="10" t="str">
        <f>name!E4</f>
        <v>Managers, directors and senior officials</v>
      </c>
      <c r="M8" s="11">
        <f t="array" ref="M8:M16">MMULT(aggregation!$B$38:$AA$46,'Occ T2'!M8:M33)</f>
        <v>57.47461164207958</v>
      </c>
      <c r="N8" s="11">
        <f t="array" ref="N8:N16">MMULT(aggregation!$B$38:$AA$46,'Occ T2'!N8:N33)</f>
        <v>63.939189716753148</v>
      </c>
      <c r="O8" s="11">
        <f t="array" ref="O8:O16">MMULT(aggregation!$B$38:$AA$46,'Occ T2'!O8:O33)</f>
        <v>61.342426939730586</v>
      </c>
      <c r="P8" s="11">
        <f t="array" ref="P8:P16">MMULT(aggregation!$B$38:$AA$46,'Occ T2'!P8:P33)</f>
        <v>61.69861188707641</v>
      </c>
      <c r="Q8" s="11">
        <f t="array" ref="Q8:Q16">MMULT(aggregation!$B$38:$AA$46,'Occ T2'!Q8:Q33)</f>
        <v>68.58614910554725</v>
      </c>
      <c r="R8" s="11"/>
      <c r="S8" s="11">
        <f>Q8-O8</f>
        <v>7.2437221658166635</v>
      </c>
      <c r="T8" s="11">
        <f t="array" ref="T8:T16">MMULT(aggregation!$B$38:$AA$46,'Occ T2'!T8:T33)</f>
        <v>30.985953872579614</v>
      </c>
      <c r="U8" s="11">
        <f>SUM(S8:T8)</f>
        <v>38.229676038396278</v>
      </c>
      <c r="W8" s="10" t="str">
        <f>name!E4</f>
        <v>Managers, directors and senior officials</v>
      </c>
      <c r="X8" s="11">
        <f t="array" ref="X8:X16">MMULT(aggregation!$B$38:$AA$46,'Occ T2'!X8:X33)</f>
        <v>31.101981432318802</v>
      </c>
      <c r="Y8" s="11">
        <f t="array" ref="Y8:Y16">MMULT(aggregation!$B$38:$AA$46,'Occ T2'!Y8:Y33)</f>
        <v>35.761362930409398</v>
      </c>
      <c r="Z8" s="11">
        <f t="array" ref="Z8:Z16">MMULT(aggregation!$B$38:$AA$46,'Occ T2'!Z8:Z33)</f>
        <v>38.385321144526714</v>
      </c>
      <c r="AA8" s="11">
        <f t="array" ref="AA8:AA16">MMULT(aggregation!$B$38:$AA$46,'Occ T2'!AA8:AA33)</f>
        <v>40.500823530173506</v>
      </c>
      <c r="AB8" s="11">
        <f t="array" ref="AB8:AB16">MMULT(aggregation!$B$38:$AA$46,'Occ T2'!AB8:AB33)</f>
        <v>47.523734919391416</v>
      </c>
      <c r="AC8" s="11"/>
      <c r="AD8" s="11">
        <f>AB8-Z8</f>
        <v>9.1384137748647021</v>
      </c>
      <c r="AE8" s="11">
        <f t="array" ref="AE8:AE16">MMULT(aggregation!$B$38:$AA$46,'Occ T2'!AE8:AE33)</f>
        <v>26.590112856964456</v>
      </c>
      <c r="AF8" s="11">
        <f>SUM(AD8:AE8)</f>
        <v>35.728526631829155</v>
      </c>
    </row>
    <row r="9" spans="1:32" x14ac:dyDescent="0.2">
      <c r="A9" t="str">
        <f>name!E5</f>
        <v>Professional occupations</v>
      </c>
      <c r="B9" s="11">
        <v>231.4907251877527</v>
      </c>
      <c r="C9" s="11">
        <v>237.67286276931418</v>
      </c>
      <c r="D9" s="11">
        <v>254.75423708172923</v>
      </c>
      <c r="E9" s="11">
        <v>276.33858685808264</v>
      </c>
      <c r="F9" s="11">
        <v>306.78710289335356</v>
      </c>
      <c r="G9" s="11"/>
      <c r="H9" s="11">
        <f t="shared" ref="H9:H16" si="0">F9-D9</f>
        <v>52.032865811624333</v>
      </c>
      <c r="I9" s="11">
        <v>137.75663114734991</v>
      </c>
      <c r="J9" s="11">
        <f t="shared" ref="J9:J15" si="1">SUM(H9:I9)</f>
        <v>189.78949695897424</v>
      </c>
      <c r="L9" s="10" t="str">
        <f>name!E5</f>
        <v>Professional occupations</v>
      </c>
      <c r="M9" s="11">
        <v>112.38503143689647</v>
      </c>
      <c r="N9" s="11">
        <v>111.10672591535221</v>
      </c>
      <c r="O9" s="11">
        <v>116.13729913312621</v>
      </c>
      <c r="P9" s="11">
        <v>123.3962787843336</v>
      </c>
      <c r="Q9" s="11">
        <v>133.35550056359736</v>
      </c>
      <c r="R9" s="11"/>
      <c r="S9" s="11">
        <f t="shared" ref="S9:S16" si="2">Q9-O9</f>
        <v>17.218201430471154</v>
      </c>
      <c r="T9" s="11">
        <v>48.042190791510059</v>
      </c>
      <c r="U9" s="11">
        <f t="shared" ref="U9:U12" si="3">SUM(S9:T9)</f>
        <v>65.26039222198122</v>
      </c>
      <c r="W9" s="10" t="str">
        <f>name!E5</f>
        <v>Professional occupations</v>
      </c>
      <c r="X9" s="11">
        <v>119.10569375085635</v>
      </c>
      <c r="Y9" s="11">
        <v>126.56613685396236</v>
      </c>
      <c r="Z9" s="11">
        <v>138.61693794860312</v>
      </c>
      <c r="AA9" s="11">
        <v>152.94230807374916</v>
      </c>
      <c r="AB9" s="11">
        <v>173.43160232975649</v>
      </c>
      <c r="AC9" s="11"/>
      <c r="AD9" s="11">
        <f t="shared" ref="AD9:AD16" si="4">AB9-Z9</f>
        <v>34.814664381153364</v>
      </c>
      <c r="AE9" s="11">
        <v>89.714440355839855</v>
      </c>
      <c r="AF9" s="11">
        <f t="shared" ref="AF9:AF12" si="5">SUM(AD9:AE9)</f>
        <v>124.52910473699322</v>
      </c>
    </row>
    <row r="10" spans="1:32" x14ac:dyDescent="0.2">
      <c r="A10" t="str">
        <f>name!E6</f>
        <v>Associate professional occupations</v>
      </c>
      <c r="B10" s="11">
        <v>129.06715358822112</v>
      </c>
      <c r="C10" s="11">
        <v>133.36836119208834</v>
      </c>
      <c r="D10" s="11">
        <v>140.27215233660229</v>
      </c>
      <c r="E10" s="11">
        <v>135.96055204687522</v>
      </c>
      <c r="F10" s="11">
        <v>146.85818967848303</v>
      </c>
      <c r="G10" s="11"/>
      <c r="H10" s="11">
        <f t="shared" si="0"/>
        <v>6.5860373418807399</v>
      </c>
      <c r="I10" s="11">
        <v>65.621908003179584</v>
      </c>
      <c r="J10" s="11">
        <f t="shared" si="1"/>
        <v>72.207945345060324</v>
      </c>
      <c r="L10" s="10" t="str">
        <f>name!E6</f>
        <v>Associate professional occupations</v>
      </c>
      <c r="M10" s="11">
        <v>66.722708117321162</v>
      </c>
      <c r="N10" s="11">
        <v>69.884133336569704</v>
      </c>
      <c r="O10" s="11">
        <v>71.84218886336096</v>
      </c>
      <c r="P10" s="11">
        <v>65.933781386364643</v>
      </c>
      <c r="Q10" s="11">
        <v>67.661589308615305</v>
      </c>
      <c r="R10" s="11"/>
      <c r="S10" s="11">
        <f t="shared" si="2"/>
        <v>-4.1805995547456547</v>
      </c>
      <c r="T10" s="11">
        <v>24.527146204185339</v>
      </c>
      <c r="U10" s="11">
        <f t="shared" si="3"/>
        <v>20.346546649439684</v>
      </c>
      <c r="W10" s="10" t="str">
        <f>name!E6</f>
        <v>Associate professional occupations</v>
      </c>
      <c r="X10" s="11">
        <v>62.344445470900041</v>
      </c>
      <c r="Y10" s="11">
        <v>63.484227855518753</v>
      </c>
      <c r="Z10" s="11">
        <v>68.429963473241401</v>
      </c>
      <c r="AA10" s="11">
        <v>70.026770660510692</v>
      </c>
      <c r="AB10" s="11">
        <v>79.196600369867681</v>
      </c>
      <c r="AC10" s="11"/>
      <c r="AD10" s="11">
        <f t="shared" si="4"/>
        <v>10.766636896626281</v>
      </c>
      <c r="AE10" s="11">
        <v>41.094761798994227</v>
      </c>
      <c r="AF10" s="11">
        <f t="shared" si="5"/>
        <v>51.861398695620508</v>
      </c>
    </row>
    <row r="11" spans="1:32" x14ac:dyDescent="0.2">
      <c r="A11" t="str">
        <f>name!E7</f>
        <v>Administrative and secretarial occupations</v>
      </c>
      <c r="B11" s="11">
        <v>139.7507853057721</v>
      </c>
      <c r="C11" s="11">
        <v>127.01400722188826</v>
      </c>
      <c r="D11" s="11">
        <v>132.69109413528571</v>
      </c>
      <c r="E11" s="11">
        <v>125.40307184476946</v>
      </c>
      <c r="F11" s="11">
        <v>117.22320077750355</v>
      </c>
      <c r="G11" s="11"/>
      <c r="H11" s="11">
        <f t="shared" si="0"/>
        <v>-15.46789335778216</v>
      </c>
      <c r="I11" s="11">
        <v>62.973815245923007</v>
      </c>
      <c r="J11" s="11">
        <f t="shared" si="1"/>
        <v>47.505921888140847</v>
      </c>
      <c r="L11" s="10" t="str">
        <f>name!E7</f>
        <v>Administrative and secretarial occupations</v>
      </c>
      <c r="M11" s="11">
        <v>36.444972640524384</v>
      </c>
      <c r="N11" s="11">
        <v>32.342924552048366</v>
      </c>
      <c r="O11" s="11">
        <v>38.400054573253101</v>
      </c>
      <c r="P11" s="11">
        <v>37.129921821250868</v>
      </c>
      <c r="Q11" s="11">
        <v>41.001487347227652</v>
      </c>
      <c r="R11" s="11"/>
      <c r="S11" s="11">
        <f t="shared" si="2"/>
        <v>2.6014327739745511</v>
      </c>
      <c r="T11" s="11">
        <v>14.380791727848461</v>
      </c>
      <c r="U11" s="11">
        <f t="shared" si="3"/>
        <v>16.982224501823012</v>
      </c>
      <c r="W11" s="10" t="str">
        <f>name!E7</f>
        <v>Administrative and secretarial occupations</v>
      </c>
      <c r="X11" s="11">
        <v>103.30581266524783</v>
      </c>
      <c r="Y11" s="11">
        <v>94.671082669839819</v>
      </c>
      <c r="Z11" s="11">
        <v>94.291039562032609</v>
      </c>
      <c r="AA11" s="11">
        <v>88.273150023518667</v>
      </c>
      <c r="AB11" s="11">
        <v>76.221713430276026</v>
      </c>
      <c r="AC11" s="11"/>
      <c r="AD11" s="11">
        <f t="shared" si="4"/>
        <v>-18.069326131756583</v>
      </c>
      <c r="AE11" s="11">
        <v>48.593023518074531</v>
      </c>
      <c r="AF11" s="11">
        <f t="shared" si="5"/>
        <v>30.523697386317949</v>
      </c>
    </row>
    <row r="12" spans="1:32" x14ac:dyDescent="0.2">
      <c r="A12" t="str">
        <f>name!E8</f>
        <v>Skilled trades occupations</v>
      </c>
      <c r="B12" s="11">
        <v>131.09623299099439</v>
      </c>
      <c r="C12" s="11">
        <v>127.42869301830061</v>
      </c>
      <c r="D12" s="11">
        <v>110.0423243300321</v>
      </c>
      <c r="E12" s="11">
        <v>107.00085229603154</v>
      </c>
      <c r="F12" s="11">
        <v>100.02736420050142</v>
      </c>
      <c r="G12" s="11"/>
      <c r="H12" s="11">
        <f t="shared" si="0"/>
        <v>-10.014960129530678</v>
      </c>
      <c r="I12" s="11">
        <v>44.270582282107227</v>
      </c>
      <c r="J12" s="11">
        <f t="shared" si="1"/>
        <v>34.255622152576549</v>
      </c>
      <c r="L12" s="10" t="str">
        <f>name!E8</f>
        <v>Skilled trades occupations</v>
      </c>
      <c r="M12" s="11">
        <v>117.43193177099337</v>
      </c>
      <c r="N12" s="11">
        <v>115.42689655513024</v>
      </c>
      <c r="O12" s="11">
        <v>96.101797696663851</v>
      </c>
      <c r="P12" s="11">
        <v>92.06350295116988</v>
      </c>
      <c r="Q12" s="11">
        <v>84.320563562809511</v>
      </c>
      <c r="R12" s="11"/>
      <c r="S12" s="11">
        <f t="shared" si="2"/>
        <v>-11.78123413385434</v>
      </c>
      <c r="T12" s="11">
        <v>35.065526851143602</v>
      </c>
      <c r="U12" s="11">
        <f t="shared" si="3"/>
        <v>23.284292717289262</v>
      </c>
      <c r="W12" s="10" t="str">
        <f>name!E8</f>
        <v>Skilled trades occupations</v>
      </c>
      <c r="X12" s="11">
        <v>13.664301220000905</v>
      </c>
      <c r="Y12" s="11">
        <v>12.001796463170319</v>
      </c>
      <c r="Z12" s="11">
        <v>13.940526633368259</v>
      </c>
      <c r="AA12" s="11">
        <v>14.937349344861577</v>
      </c>
      <c r="AB12" s="11">
        <v>15.7068006376919</v>
      </c>
      <c r="AC12" s="11"/>
      <c r="AD12" s="11">
        <f t="shared" si="4"/>
        <v>1.7662740043236411</v>
      </c>
      <c r="AE12" s="11">
        <v>9.2050554309636237</v>
      </c>
      <c r="AF12" s="11">
        <f t="shared" si="5"/>
        <v>10.971329435287265</v>
      </c>
    </row>
    <row r="13" spans="1:32" x14ac:dyDescent="0.2">
      <c r="A13" t="str">
        <f>name!E9</f>
        <v>Caring, leisure and other service occupations</v>
      </c>
      <c r="B13" s="11">
        <v>117.47035830653246</v>
      </c>
      <c r="C13" s="11">
        <v>112.76379624437124</v>
      </c>
      <c r="D13" s="11">
        <v>113.43549604886647</v>
      </c>
      <c r="E13" s="11">
        <v>119.33219216526747</v>
      </c>
      <c r="F13" s="11">
        <v>124.77661745115446</v>
      </c>
      <c r="G13" s="11"/>
      <c r="H13" s="11">
        <f t="shared" si="0"/>
        <v>11.341121402287996</v>
      </c>
      <c r="I13" s="11">
        <v>66.707633771614908</v>
      </c>
      <c r="J13" s="11">
        <f>SUM(H13:I13)</f>
        <v>78.048755173902904</v>
      </c>
      <c r="L13" s="10" t="str">
        <f>name!E9</f>
        <v>Caring, leisure and other service occupations</v>
      </c>
      <c r="M13" s="11">
        <v>20.128899282217986</v>
      </c>
      <c r="N13" s="11">
        <v>20.462121449951422</v>
      </c>
      <c r="O13" s="11">
        <v>20.5471408876354</v>
      </c>
      <c r="P13" s="11">
        <v>22.407944776155876</v>
      </c>
      <c r="Q13" s="11">
        <v>24.965504658205433</v>
      </c>
      <c r="R13" s="11"/>
      <c r="S13" s="11">
        <f t="shared" si="2"/>
        <v>4.418363770570032</v>
      </c>
      <c r="T13" s="11">
        <v>9.8782350703433526</v>
      </c>
      <c r="U13" s="11">
        <f>SUM(S13:T13)</f>
        <v>14.296598840913385</v>
      </c>
      <c r="W13" s="10" t="str">
        <f>name!E9</f>
        <v>Caring, leisure and other service occupations</v>
      </c>
      <c r="X13" s="11">
        <v>97.341459024314531</v>
      </c>
      <c r="Y13" s="11">
        <v>92.301674794419824</v>
      </c>
      <c r="Z13" s="11">
        <v>92.888355161231033</v>
      </c>
      <c r="AA13" s="11">
        <v>96.924247389111585</v>
      </c>
      <c r="AB13" s="11">
        <v>99.81111279294899</v>
      </c>
      <c r="AC13" s="11"/>
      <c r="AD13" s="11">
        <f t="shared" si="4"/>
        <v>6.9227576317179569</v>
      </c>
      <c r="AE13" s="11">
        <v>56.829398701271565</v>
      </c>
      <c r="AF13" s="11">
        <f>SUM(AD13:AE13)</f>
        <v>63.752156332989522</v>
      </c>
    </row>
    <row r="14" spans="1:32" x14ac:dyDescent="0.2">
      <c r="A14" t="str">
        <f>name!E10</f>
        <v>Sales and customer service occupations</v>
      </c>
      <c r="B14" s="11">
        <v>135.78940443127954</v>
      </c>
      <c r="C14" s="11">
        <v>124.79456462617762</v>
      </c>
      <c r="D14" s="11">
        <v>125.9627236836462</v>
      </c>
      <c r="E14" s="11">
        <v>126.52753004348526</v>
      </c>
      <c r="F14" s="11">
        <v>128.69100271062041</v>
      </c>
      <c r="G14" s="11"/>
      <c r="H14" s="11">
        <f t="shared" si="0"/>
        <v>2.7282790269742065</v>
      </c>
      <c r="I14" s="11">
        <v>62.956606297236519</v>
      </c>
      <c r="J14" s="11">
        <f t="shared" si="1"/>
        <v>65.684885324210725</v>
      </c>
      <c r="L14" s="10" t="str">
        <f>name!E10</f>
        <v>Sales and customer service occupations</v>
      </c>
      <c r="M14" s="11">
        <v>43.486605499382257</v>
      </c>
      <c r="N14" s="11">
        <v>41.557852038296119</v>
      </c>
      <c r="O14" s="11">
        <v>42.257698776925729</v>
      </c>
      <c r="P14" s="11">
        <v>43.64839069787287</v>
      </c>
      <c r="Q14" s="11">
        <v>46.578647489847938</v>
      </c>
      <c r="R14" s="11"/>
      <c r="S14" s="11">
        <f t="shared" si="2"/>
        <v>4.3209487129222097</v>
      </c>
      <c r="T14" s="11">
        <v>15.11894255475954</v>
      </c>
      <c r="U14" s="11">
        <f t="shared" ref="U14:U15" si="6">SUM(S14:T14)</f>
        <v>19.439891267681752</v>
      </c>
      <c r="W14" s="10" t="str">
        <f>name!E10</f>
        <v>Sales and customer service occupations</v>
      </c>
      <c r="X14" s="11">
        <v>92.302798931897271</v>
      </c>
      <c r="Y14" s="11">
        <v>83.236712587881513</v>
      </c>
      <c r="Z14" s="11">
        <v>83.705024906720368</v>
      </c>
      <c r="AA14" s="11">
        <v>82.879139345612359</v>
      </c>
      <c r="AB14" s="11">
        <v>82.112355220772457</v>
      </c>
      <c r="AC14" s="11"/>
      <c r="AD14" s="11">
        <f t="shared" si="4"/>
        <v>-1.5926696859479108</v>
      </c>
      <c r="AE14" s="11">
        <v>47.837663742476963</v>
      </c>
      <c r="AF14" s="11">
        <f t="shared" ref="AF14:AF15" si="7">SUM(AD14:AE14)</f>
        <v>46.244994056529052</v>
      </c>
    </row>
    <row r="15" spans="1:32" x14ac:dyDescent="0.2">
      <c r="A15" t="str">
        <f>name!E11</f>
        <v>Process, plant and machine operatives</v>
      </c>
      <c r="B15" s="11">
        <v>84.817279410842787</v>
      </c>
      <c r="C15" s="11">
        <v>88.949306042931028</v>
      </c>
      <c r="D15" s="11">
        <v>78.634537803995443</v>
      </c>
      <c r="E15" s="11">
        <v>84.78395961297386</v>
      </c>
      <c r="F15" s="11">
        <v>80.469926760747029</v>
      </c>
      <c r="G15" s="11"/>
      <c r="H15" s="11">
        <f t="shared" si="0"/>
        <v>1.8353889567515864</v>
      </c>
      <c r="I15" s="11">
        <v>37.249894060342832</v>
      </c>
      <c r="J15" s="11">
        <f t="shared" si="1"/>
        <v>39.085283017094419</v>
      </c>
      <c r="L15" s="10" t="str">
        <f>name!E11</f>
        <v>Process, plant and machine operatives</v>
      </c>
      <c r="M15" s="11">
        <v>75.664931011088555</v>
      </c>
      <c r="N15" s="11">
        <v>79.787778724060786</v>
      </c>
      <c r="O15" s="11">
        <v>71.108814727436055</v>
      </c>
      <c r="P15" s="11">
        <v>75.717958455958126</v>
      </c>
      <c r="Q15" s="11">
        <v>71.738958865873116</v>
      </c>
      <c r="R15" s="11"/>
      <c r="S15" s="11">
        <f t="shared" si="2"/>
        <v>0.63014413843706052</v>
      </c>
      <c r="T15" s="11">
        <v>32.71792404704788</v>
      </c>
      <c r="U15" s="11">
        <f t="shared" si="6"/>
        <v>33.348068185484941</v>
      </c>
      <c r="W15" s="10" t="str">
        <f>name!E11</f>
        <v>Process, plant and machine operatives</v>
      </c>
      <c r="X15" s="11">
        <v>9.1523483997543398</v>
      </c>
      <c r="Y15" s="11">
        <v>9.1615273188702719</v>
      </c>
      <c r="Z15" s="11">
        <v>7.5257230765593208</v>
      </c>
      <c r="AA15" s="11">
        <v>9.0660011570158332</v>
      </c>
      <c r="AB15" s="11">
        <v>8.7309678948739471</v>
      </c>
      <c r="AC15" s="11"/>
      <c r="AD15" s="11">
        <f t="shared" si="4"/>
        <v>1.2052448183146263</v>
      </c>
      <c r="AE15" s="11">
        <v>4.531970013294953</v>
      </c>
      <c r="AF15" s="11">
        <f t="shared" si="7"/>
        <v>5.7372148316095792</v>
      </c>
    </row>
    <row r="16" spans="1:32" x14ac:dyDescent="0.2">
      <c r="A16" t="str">
        <f>name!E12</f>
        <v>Elementary occupations</v>
      </c>
      <c r="B16" s="11">
        <v>149.64446770585877</v>
      </c>
      <c r="C16" s="11">
        <v>143.17585623854376</v>
      </c>
      <c r="D16" s="11">
        <v>133.81868649587605</v>
      </c>
      <c r="E16" s="11">
        <v>131.22981971569683</v>
      </c>
      <c r="F16" s="11">
        <v>130.05371150291043</v>
      </c>
      <c r="G16" s="11"/>
      <c r="H16" s="11">
        <f t="shared" si="0"/>
        <v>-3.7649749929656195</v>
      </c>
      <c r="I16" s="11">
        <v>61.946889764523362</v>
      </c>
      <c r="J16" s="11">
        <f>SUM(H16:I16)</f>
        <v>58.181914771557743</v>
      </c>
      <c r="L16" s="10" t="str">
        <f>name!E12</f>
        <v>Elementary occupations</v>
      </c>
      <c r="M16" s="11">
        <v>77.411308600203995</v>
      </c>
      <c r="N16" s="11">
        <v>79.017377711833333</v>
      </c>
      <c r="O16" s="11">
        <v>73.688578401335946</v>
      </c>
      <c r="P16" s="11">
        <v>74.054609239464355</v>
      </c>
      <c r="Q16" s="11">
        <v>70.894599098125724</v>
      </c>
      <c r="R16" s="11"/>
      <c r="S16" s="11">
        <f t="shared" si="2"/>
        <v>-2.7939793032102216</v>
      </c>
      <c r="T16" s="11">
        <v>27.906627488162023</v>
      </c>
      <c r="U16" s="11">
        <f>SUM(S16:T16)</f>
        <v>25.112648184951802</v>
      </c>
      <c r="W16" s="10" t="str">
        <f>name!E12</f>
        <v>Elementary occupations</v>
      </c>
      <c r="X16" s="11">
        <v>72.233159105654778</v>
      </c>
      <c r="Y16" s="11">
        <v>64.158478526710383</v>
      </c>
      <c r="Z16" s="11">
        <v>60.130108094540212</v>
      </c>
      <c r="AA16" s="11">
        <v>57.175210476232714</v>
      </c>
      <c r="AB16" s="11">
        <v>59.159112404784679</v>
      </c>
      <c r="AC16" s="11"/>
      <c r="AD16" s="11">
        <f t="shared" si="4"/>
        <v>-0.97099568975553296</v>
      </c>
      <c r="AE16" s="11">
        <v>34.040262276361354</v>
      </c>
      <c r="AF16" s="11">
        <f>SUM(AD16:AE16)</f>
        <v>33.069266586605821</v>
      </c>
    </row>
    <row r="17" spans="1:32" x14ac:dyDescent="0.2">
      <c r="B17" s="11"/>
      <c r="C17" s="11"/>
      <c r="D17" s="11"/>
      <c r="E17" s="11"/>
      <c r="F17" s="11"/>
      <c r="G17" s="11"/>
      <c r="H17" s="11"/>
      <c r="I17" s="11"/>
      <c r="J17" s="11"/>
      <c r="M17" s="11"/>
      <c r="N17" s="11"/>
      <c r="O17" s="11"/>
      <c r="P17" s="11"/>
      <c r="Q17" s="11"/>
      <c r="R17" s="11"/>
      <c r="S17" s="11"/>
      <c r="T17" s="11"/>
      <c r="U17" s="11"/>
      <c r="X17" s="11"/>
      <c r="Y17" s="11"/>
      <c r="Z17" s="11"/>
      <c r="AA17" s="11"/>
      <c r="AB17" s="11"/>
      <c r="AC17" s="11"/>
      <c r="AD17" s="11"/>
      <c r="AE17" s="11"/>
      <c r="AF17" s="11"/>
    </row>
    <row r="18" spans="1:32" x14ac:dyDescent="0.2">
      <c r="A18" s="23" t="str">
        <f>name!E3</f>
        <v>All occupations</v>
      </c>
      <c r="B18" s="33">
        <f>SUM(B8:B16)</f>
        <v>1207.7030000016521</v>
      </c>
      <c r="C18" s="33">
        <f>SUM(C8:C16)</f>
        <v>1194.8680000007776</v>
      </c>
      <c r="D18" s="33">
        <f>SUM(D8:D16)</f>
        <v>1189.3390000002908</v>
      </c>
      <c r="E18" s="33">
        <f>SUM(E8:E16)</f>
        <v>1208.7760000004321</v>
      </c>
      <c r="F18" s="33">
        <f>SUM(F8:F16)</f>
        <v>1250.9970000002124</v>
      </c>
      <c r="G18" s="11"/>
      <c r="H18" s="33">
        <f>SUM(H8:H16)</f>
        <v>61.657999999921955</v>
      </c>
      <c r="I18" s="33">
        <f>SUM(I8:I16)</f>
        <v>597.06002730182138</v>
      </c>
      <c r="J18" s="33">
        <f>SUM(H18:I18)</f>
        <v>658.71802730174329</v>
      </c>
      <c r="L18" s="231" t="str">
        <f>name!E3</f>
        <v>All occupations</v>
      </c>
      <c r="M18" s="33">
        <f>SUM(M8:M16)</f>
        <v>607.15100000070765</v>
      </c>
      <c r="N18" s="33">
        <f>SUM(N8:N16)</f>
        <v>613.52499999999543</v>
      </c>
      <c r="O18" s="33">
        <f>SUM(O8:O16)</f>
        <v>591.42599999946776</v>
      </c>
      <c r="P18" s="33">
        <f>SUM(P8:P16)</f>
        <v>596.05099999964659</v>
      </c>
      <c r="Q18" s="33">
        <f>SUM(Q8:Q16)</f>
        <v>609.10299999984932</v>
      </c>
      <c r="R18" s="11"/>
      <c r="S18" s="33">
        <f>SUM(S8:S16)</f>
        <v>17.677000000381454</v>
      </c>
      <c r="T18" s="33">
        <f>SUM(T8:T16)</f>
        <v>238.62333860757988</v>
      </c>
      <c r="U18" s="33">
        <f>SUM(S18:T18)</f>
        <v>256.30033860796135</v>
      </c>
      <c r="W18" s="231" t="str">
        <f>name!E3</f>
        <v>All occupations</v>
      </c>
      <c r="X18" s="33">
        <f>SUM(X8:X16)</f>
        <v>600.55200000094487</v>
      </c>
      <c r="Y18" s="33">
        <f>SUM(Y8:Y16)</f>
        <v>581.34300000078258</v>
      </c>
      <c r="Z18" s="33">
        <f>SUM(Z8:Z16)</f>
        <v>597.9130000008231</v>
      </c>
      <c r="AA18" s="33">
        <f>SUM(AA8:AA16)</f>
        <v>612.72500000078605</v>
      </c>
      <c r="AB18" s="33">
        <f>SUM(AB8:AB16)</f>
        <v>641.89400000036358</v>
      </c>
      <c r="AC18" s="11"/>
      <c r="AD18" s="33">
        <f>SUM(AD8:AD16)</f>
        <v>43.980999999540543</v>
      </c>
      <c r="AE18" s="33">
        <f>SUM(AE8:AE16)</f>
        <v>358.43668869424152</v>
      </c>
      <c r="AF18" s="33">
        <f>SUM(AD18:AE18)</f>
        <v>402.41768869378205</v>
      </c>
    </row>
    <row r="19" spans="1:32" x14ac:dyDescent="0.2">
      <c r="B19" s="11"/>
      <c r="C19" s="11"/>
      <c r="D19" s="11"/>
      <c r="E19" s="11"/>
      <c r="F19" s="11"/>
      <c r="G19" s="11"/>
      <c r="M19" s="11"/>
      <c r="N19" s="11"/>
      <c r="O19" s="11"/>
      <c r="P19" s="11"/>
      <c r="Q19" s="11"/>
      <c r="R19" s="11"/>
      <c r="X19" s="11"/>
      <c r="Y19" s="11"/>
      <c r="Z19" s="11"/>
      <c r="AA19" s="11"/>
      <c r="AB19" s="11"/>
      <c r="AC19" s="11"/>
    </row>
    <row r="20" spans="1:32" x14ac:dyDescent="0.2">
      <c r="B20" s="11"/>
      <c r="C20" s="11"/>
      <c r="D20" s="11"/>
      <c r="E20" s="11"/>
      <c r="F20" s="11"/>
      <c r="G20" s="11"/>
      <c r="M20" s="11"/>
      <c r="N20" s="11"/>
      <c r="O20" s="11"/>
      <c r="P20" s="11"/>
      <c r="Q20" s="11"/>
      <c r="R20" s="11"/>
      <c r="X20" s="11"/>
      <c r="Y20" s="11"/>
      <c r="Z20" s="11"/>
      <c r="AA20" s="11"/>
      <c r="AB20" s="11"/>
      <c r="AC20" s="11"/>
    </row>
    <row r="21" spans="1:32" x14ac:dyDescent="0.2">
      <c r="B21" s="11"/>
      <c r="C21" s="11"/>
      <c r="D21" s="11"/>
      <c r="E21" s="11"/>
      <c r="F21" s="15" t="s">
        <v>34</v>
      </c>
      <c r="G21" s="11"/>
      <c r="J21" s="15" t="s">
        <v>34</v>
      </c>
      <c r="M21" s="11"/>
      <c r="N21" s="11"/>
      <c r="O21" s="11"/>
      <c r="P21" s="11"/>
      <c r="Q21" s="15" t="s">
        <v>34</v>
      </c>
      <c r="R21" s="11"/>
      <c r="U21" s="15" t="s">
        <v>34</v>
      </c>
      <c r="X21" s="11"/>
      <c r="Y21" s="11"/>
      <c r="Z21" s="11"/>
      <c r="AA21" s="11"/>
      <c r="AB21" s="15" t="s">
        <v>34</v>
      </c>
      <c r="AC21" s="11"/>
      <c r="AF21" s="15" t="s">
        <v>34</v>
      </c>
    </row>
    <row r="22" spans="1:32" x14ac:dyDescent="0.2">
      <c r="A22" s="35"/>
      <c r="B22" s="64"/>
      <c r="C22" s="64"/>
      <c r="D22" s="64"/>
      <c r="E22" s="64"/>
      <c r="F22" s="64"/>
      <c r="G22" s="11"/>
      <c r="H22" s="27" t="str">
        <f>H4</f>
        <v>2020-2035</v>
      </c>
      <c r="I22" s="35"/>
      <c r="J22" s="35"/>
      <c r="L22" s="35"/>
      <c r="M22" s="64"/>
      <c r="N22" s="64"/>
      <c r="O22" s="64"/>
      <c r="P22" s="64"/>
      <c r="Q22" s="64"/>
      <c r="R22" s="11"/>
      <c r="S22" s="27" t="str">
        <f>S4</f>
        <v>2020-2035</v>
      </c>
      <c r="T22" s="35"/>
      <c r="U22" s="35"/>
      <c r="W22" s="35"/>
      <c r="X22" s="64"/>
      <c r="Y22" s="64"/>
      <c r="Z22" s="64"/>
      <c r="AA22" s="64"/>
      <c r="AB22" s="64"/>
      <c r="AC22" s="11"/>
      <c r="AD22" s="27" t="str">
        <f>AD4</f>
        <v>2020-2035</v>
      </c>
      <c r="AE22" s="35"/>
      <c r="AF22" s="35"/>
    </row>
    <row r="23" spans="1:32" x14ac:dyDescent="0.2">
      <c r="B23" s="11"/>
      <c r="C23" s="11"/>
      <c r="D23" s="11"/>
      <c r="E23" s="11"/>
      <c r="F23" s="11"/>
      <c r="G23" s="11"/>
      <c r="H23" t="str">
        <f>H5</f>
        <v>Net</v>
      </c>
      <c r="I23" t="str">
        <f>I5</f>
        <v>Replacement</v>
      </c>
      <c r="J23" t="str">
        <f>J5</f>
        <v>Total</v>
      </c>
      <c r="M23" s="11"/>
      <c r="N23" s="11"/>
      <c r="O23" s="11"/>
      <c r="P23" s="11"/>
      <c r="Q23" s="11"/>
      <c r="R23" s="11"/>
      <c r="S23" t="str">
        <f>S5</f>
        <v>Net</v>
      </c>
      <c r="T23" t="str">
        <f>T5</f>
        <v>Replacement</v>
      </c>
      <c r="U23" t="str">
        <f>U5</f>
        <v>Total</v>
      </c>
      <c r="X23" s="11"/>
      <c r="Y23" s="11"/>
      <c r="Z23" s="11"/>
      <c r="AA23" s="11"/>
      <c r="AB23" s="11"/>
      <c r="AC23" s="11"/>
      <c r="AD23" t="str">
        <f>AD5</f>
        <v>Net</v>
      </c>
      <c r="AE23" t="str">
        <f>AE5</f>
        <v>Replacement</v>
      </c>
      <c r="AF23" t="str">
        <f>AF5</f>
        <v>Total</v>
      </c>
    </row>
    <row r="24" spans="1:32" x14ac:dyDescent="0.2">
      <c r="A24" s="40" t="s">
        <v>463</v>
      </c>
      <c r="B24" s="34">
        <f>B$6</f>
        <v>2015</v>
      </c>
      <c r="C24" s="34">
        <f>C$6</f>
        <v>2019</v>
      </c>
      <c r="D24" s="34">
        <f>D$6</f>
        <v>2020</v>
      </c>
      <c r="E24" s="34">
        <f>E$6</f>
        <v>2025</v>
      </c>
      <c r="F24" s="34">
        <f>F$6</f>
        <v>2035</v>
      </c>
      <c r="G24" s="11"/>
      <c r="H24" s="23" t="str">
        <f>H6</f>
        <v>Change</v>
      </c>
      <c r="I24" s="23" t="str">
        <f>I6</f>
        <v>Demand</v>
      </c>
      <c r="J24" s="23" t="str">
        <f>J6</f>
        <v>Requirement</v>
      </c>
      <c r="L24" s="40" t="s">
        <v>463</v>
      </c>
      <c r="M24" s="34">
        <f>M$6</f>
        <v>2015</v>
      </c>
      <c r="N24" s="34">
        <f>N$6</f>
        <v>2019</v>
      </c>
      <c r="O24" s="34">
        <f>O$6</f>
        <v>2020</v>
      </c>
      <c r="P24" s="34">
        <f>P$6</f>
        <v>2025</v>
      </c>
      <c r="Q24" s="34">
        <f>Q$6</f>
        <v>2035</v>
      </c>
      <c r="R24" s="11"/>
      <c r="S24" s="23" t="str">
        <f>S6</f>
        <v>Change</v>
      </c>
      <c r="T24" s="23" t="str">
        <f>T6</f>
        <v>Demand</v>
      </c>
      <c r="U24" s="23" t="str">
        <f>U6</f>
        <v>Requirement</v>
      </c>
      <c r="W24" s="40" t="s">
        <v>463</v>
      </c>
      <c r="X24" s="34">
        <f>X$6</f>
        <v>2015</v>
      </c>
      <c r="Y24" s="34">
        <f>Y$6</f>
        <v>2019</v>
      </c>
      <c r="Z24" s="34">
        <f>Z$6</f>
        <v>2020</v>
      </c>
      <c r="AA24" s="34">
        <f>AA$6</f>
        <v>2025</v>
      </c>
      <c r="AB24" s="34">
        <f>AB$6</f>
        <v>2035</v>
      </c>
      <c r="AC24" s="11"/>
      <c r="AD24" s="23" t="str">
        <f>AD6</f>
        <v>Change</v>
      </c>
      <c r="AE24" s="23" t="str">
        <f>AE6</f>
        <v>Demand</v>
      </c>
      <c r="AF24" s="23" t="str">
        <f>AF6</f>
        <v>Requirement</v>
      </c>
    </row>
    <row r="25" spans="1:32" x14ac:dyDescent="0.2">
      <c r="A25" s="1"/>
      <c r="B25" s="16"/>
      <c r="C25" s="16"/>
      <c r="D25" s="16"/>
      <c r="E25" s="16"/>
      <c r="F25" s="16"/>
      <c r="G25" s="11"/>
      <c r="L25" s="1"/>
      <c r="M25" s="16"/>
      <c r="N25" s="16"/>
      <c r="O25" s="16"/>
      <c r="P25" s="16"/>
      <c r="Q25" s="16"/>
      <c r="R25" s="11"/>
      <c r="W25" s="1"/>
      <c r="X25" s="16"/>
      <c r="Y25" s="16"/>
      <c r="Z25" s="16"/>
      <c r="AA25" s="16"/>
      <c r="AB25" s="16"/>
      <c r="AC25" s="11"/>
    </row>
    <row r="26" spans="1:32" x14ac:dyDescent="0.2">
      <c r="A26" t="str">
        <f>$A$8</f>
        <v>Managers, directors and senior officials</v>
      </c>
      <c r="B26" s="17">
        <f t="shared" ref="B26:F34" si="8">B8/B$18*100</f>
        <v>7.3343026451269235</v>
      </c>
      <c r="C26" s="17">
        <f t="shared" si="8"/>
        <v>8.3440641683514585</v>
      </c>
      <c r="D26" s="17">
        <f t="shared" si="8"/>
        <v>8.3851406608404186</v>
      </c>
      <c r="E26" s="17">
        <f t="shared" si="8"/>
        <v>8.4547869429251854</v>
      </c>
      <c r="F26" s="17">
        <f t="shared" si="8"/>
        <v>9.2813878870148407</v>
      </c>
      <c r="G26" s="11"/>
      <c r="H26" s="39">
        <f>IF(D8&gt;0,(H8/D8)*100,0)</f>
        <v>16.426858377310129</v>
      </c>
      <c r="I26" s="39">
        <f>IF(D8&gt;0,(I8/D8)*100,0)</f>
        <v>57.733246599431517</v>
      </c>
      <c r="J26" s="39">
        <f>IF(D8&gt;0,(J8/D8)*100,0)</f>
        <v>74.16010497674165</v>
      </c>
      <c r="L26" t="str">
        <f>$A$8</f>
        <v>Managers, directors and senior officials</v>
      </c>
      <c r="M26" s="17">
        <f t="shared" ref="M26:Q26" si="9">M8/M$18*100</f>
        <v>9.4662796638748166</v>
      </c>
      <c r="N26" s="17">
        <f t="shared" si="9"/>
        <v>10.421611135121408</v>
      </c>
      <c r="O26" s="17">
        <f t="shared" si="9"/>
        <v>10.371953032126722</v>
      </c>
      <c r="P26" s="17">
        <f t="shared" si="9"/>
        <v>10.351230328799547</v>
      </c>
      <c r="Q26" s="17">
        <f t="shared" si="9"/>
        <v>11.260189016564395</v>
      </c>
      <c r="R26" s="11"/>
      <c r="S26" s="39">
        <f>IF(O8&gt;0,(S8/O8)*100,0)</f>
        <v>11.808665759073532</v>
      </c>
      <c r="T26" s="39">
        <f>IF(O8&gt;0,(T8/O8)*100,0)</f>
        <v>50.513087626975626</v>
      </c>
      <c r="U26" s="39">
        <f>IF(O8&gt;0,(U8/O8)*100,0)</f>
        <v>62.32175338604916</v>
      </c>
      <c r="W26" t="str">
        <f>$A$8</f>
        <v>Managers, directors and senior officials</v>
      </c>
      <c r="X26" s="17">
        <f t="shared" ref="X26:AB26" si="10">X8/X$18*100</f>
        <v>5.1788989849787974</v>
      </c>
      <c r="Y26" s="17">
        <f t="shared" si="10"/>
        <v>6.1515083058299931</v>
      </c>
      <c r="Z26" s="17">
        <f t="shared" si="10"/>
        <v>6.4198840206641892</v>
      </c>
      <c r="AA26" s="17">
        <f t="shared" si="10"/>
        <v>6.6099512065154107</v>
      </c>
      <c r="AB26" s="17">
        <f t="shared" si="10"/>
        <v>7.4036733353738313</v>
      </c>
      <c r="AC26" s="11"/>
      <c r="AD26" s="39">
        <f>IF(Z8&gt;0,(AD8/Z8)*100,0)</f>
        <v>23.807053067127278</v>
      </c>
      <c r="AE26" s="39">
        <f>IF(Z8&gt;0,(AE8/Z8)*100,0)</f>
        <v>69.27156544255169</v>
      </c>
      <c r="AF26" s="39">
        <f>IF(Z8&gt;0,(AF8/Z8)*100,0)</f>
        <v>93.078618509678961</v>
      </c>
    </row>
    <row r="27" spans="1:32" x14ac:dyDescent="0.2">
      <c r="A27" t="str">
        <f>$A$9</f>
        <v>Professional occupations</v>
      </c>
      <c r="B27" s="17">
        <f t="shared" si="8"/>
        <v>19.167852128166945</v>
      </c>
      <c r="C27" s="17">
        <f t="shared" si="8"/>
        <v>19.891139671424753</v>
      </c>
      <c r="D27" s="17">
        <f t="shared" si="8"/>
        <v>21.419816980832795</v>
      </c>
      <c r="E27" s="17">
        <f t="shared" si="8"/>
        <v>22.861025273333013</v>
      </c>
      <c r="F27" s="17">
        <f t="shared" si="8"/>
        <v>24.523408360955422</v>
      </c>
      <c r="G27" s="11"/>
      <c r="H27" s="39">
        <f>IF(D9&gt;0,(H9/D9)*100,0)</f>
        <v>20.424730284243068</v>
      </c>
      <c r="I27" s="39">
        <f t="shared" ref="I27:I36" si="11">IF(D9&gt;0,(I9/D9)*100,0)</f>
        <v>54.074323836724012</v>
      </c>
      <c r="J27" s="39">
        <f t="shared" ref="J27:J36" si="12">IF(D9&gt;0,(J9/D9)*100,0)</f>
        <v>74.499054120967074</v>
      </c>
      <c r="L27" t="str">
        <f>$A$9</f>
        <v>Professional occupations</v>
      </c>
      <c r="M27" s="17">
        <f t="shared" ref="M27:Q27" si="13">M9/M$18*100</f>
        <v>18.510227511239457</v>
      </c>
      <c r="N27" s="17">
        <f t="shared" si="13"/>
        <v>18.109567811475173</v>
      </c>
      <c r="O27" s="17">
        <f t="shared" si="13"/>
        <v>19.636826776846252</v>
      </c>
      <c r="P27" s="17">
        <f t="shared" si="13"/>
        <v>20.702302115826797</v>
      </c>
      <c r="Q27" s="17">
        <f t="shared" si="13"/>
        <v>21.893752052383643</v>
      </c>
      <c r="R27" s="11"/>
      <c r="S27" s="39">
        <f t="shared" ref="S27:S34" si="14">IF(O9&gt;0,(S9/O9)*100,0)</f>
        <v>14.825729166246774</v>
      </c>
      <c r="T27" s="39">
        <f t="shared" ref="T27:T34" si="15">IF(O9&gt;0,(T9/O9)*100,0)</f>
        <v>41.366719520866518</v>
      </c>
      <c r="U27" s="39">
        <f t="shared" ref="U27:U34" si="16">IF(O9&gt;0,(U9/O9)*100,0)</f>
        <v>56.192448687113291</v>
      </c>
      <c r="W27" t="str">
        <f>$A$9</f>
        <v>Professional occupations</v>
      </c>
      <c r="X27" s="17">
        <f t="shared" ref="X27:AB27" si="17">X9/X$18*100</f>
        <v>19.83270287180277</v>
      </c>
      <c r="Y27" s="17">
        <f t="shared" si="17"/>
        <v>21.771335829930351</v>
      </c>
      <c r="Z27" s="17">
        <f t="shared" si="17"/>
        <v>23.183462802851302</v>
      </c>
      <c r="AA27" s="17">
        <f t="shared" si="17"/>
        <v>24.961003398515313</v>
      </c>
      <c r="AB27" s="17">
        <f t="shared" si="17"/>
        <v>27.018729311951546</v>
      </c>
      <c r="AC27" s="11"/>
      <c r="AD27" s="39">
        <f t="shared" ref="AD27:AD34" si="18">IF(Z9&gt;0,(AD9/Z9)*100,0)</f>
        <v>25.115736140457862</v>
      </c>
      <c r="AE27" s="39">
        <f t="shared" ref="AE27:AE34" si="19">IF(Z9&gt;0,(AE9/Z9)*100,0)</f>
        <v>64.721124044093727</v>
      </c>
      <c r="AF27" s="39">
        <f t="shared" ref="AF27:AF34" si="20">IF(Z9&gt;0,(AF9/Z9)*100,0)</f>
        <v>89.836860184551597</v>
      </c>
    </row>
    <row r="28" spans="1:32" x14ac:dyDescent="0.2">
      <c r="A28" t="str">
        <f>$A$10</f>
        <v>Associate professional occupations</v>
      </c>
      <c r="B28" s="17">
        <f t="shared" si="8"/>
        <v>10.686994533262281</v>
      </c>
      <c r="C28" s="17">
        <f t="shared" si="8"/>
        <v>11.161765248713795</v>
      </c>
      <c r="D28" s="17">
        <f t="shared" si="8"/>
        <v>11.794127018164543</v>
      </c>
      <c r="E28" s="17">
        <f t="shared" si="8"/>
        <v>11.247787186941718</v>
      </c>
      <c r="F28" s="17">
        <f t="shared" si="8"/>
        <v>11.739291915045207</v>
      </c>
      <c r="G28" s="11"/>
      <c r="H28" s="39">
        <f t="shared" ref="H28:H34" si="21">IF(D10&gt;0,(H10/D10)*100,0)</f>
        <v>4.6951852040286939</v>
      </c>
      <c r="I28" s="39">
        <f t="shared" si="11"/>
        <v>46.781850075067503</v>
      </c>
      <c r="J28" s="39">
        <f t="shared" si="12"/>
        <v>51.477035279096192</v>
      </c>
      <c r="L28" t="str">
        <f>$A$10</f>
        <v>Associate professional occupations</v>
      </c>
      <c r="M28" s="17">
        <f t="shared" ref="M28:Q28" si="22">M10/M$18*100</f>
        <v>10.989475125173703</v>
      </c>
      <c r="N28" s="17">
        <f t="shared" si="22"/>
        <v>11.390592614248844</v>
      </c>
      <c r="O28" s="17">
        <f t="shared" si="22"/>
        <v>12.14728281533541</v>
      </c>
      <c r="P28" s="17">
        <f t="shared" si="22"/>
        <v>11.06176843699679</v>
      </c>
      <c r="Q28" s="17">
        <f t="shared" si="22"/>
        <v>11.108398630220512</v>
      </c>
      <c r="R28" s="11"/>
      <c r="S28" s="39">
        <f t="shared" si="14"/>
        <v>-5.8191427918446017</v>
      </c>
      <c r="T28" s="39">
        <f t="shared" si="15"/>
        <v>34.14031029989124</v>
      </c>
      <c r="U28" s="39">
        <f t="shared" si="16"/>
        <v>28.321167508046635</v>
      </c>
      <c r="W28" t="str">
        <f>$A$10</f>
        <v>Associate professional occupations</v>
      </c>
      <c r="X28" s="17">
        <f t="shared" ref="X28:AB28" si="23">X10/X$18*100</f>
        <v>10.381190216800869</v>
      </c>
      <c r="Y28" s="17">
        <f t="shared" si="23"/>
        <v>10.920270452286051</v>
      </c>
      <c r="Z28" s="17">
        <f t="shared" si="23"/>
        <v>11.444802751093754</v>
      </c>
      <c r="AA28" s="17">
        <f t="shared" si="23"/>
        <v>11.428743834578457</v>
      </c>
      <c r="AB28" s="17">
        <f t="shared" si="23"/>
        <v>12.337956168747928</v>
      </c>
      <c r="AC28" s="11"/>
      <c r="AD28" s="39">
        <f t="shared" si="18"/>
        <v>15.733804827817021</v>
      </c>
      <c r="AE28" s="39">
        <f t="shared" si="19"/>
        <v>60.053753813654694</v>
      </c>
      <c r="AF28" s="39">
        <f t="shared" si="20"/>
        <v>75.787558641471733</v>
      </c>
    </row>
    <row r="29" spans="1:32" x14ac:dyDescent="0.2">
      <c r="A29" t="str">
        <f>$A$11</f>
        <v>Administrative and secretarial occupations</v>
      </c>
      <c r="B29" s="17">
        <f t="shared" si="8"/>
        <v>11.571618626895928</v>
      </c>
      <c r="C29" s="17">
        <f t="shared" si="8"/>
        <v>10.62996140341909</v>
      </c>
      <c r="D29" s="17">
        <f t="shared" si="8"/>
        <v>11.156709242297888</v>
      </c>
      <c r="E29" s="17">
        <f t="shared" si="8"/>
        <v>10.374384653957774</v>
      </c>
      <c r="F29" s="17">
        <f t="shared" si="8"/>
        <v>9.3703822453198242</v>
      </c>
      <c r="G29" s="11"/>
      <c r="H29" s="39">
        <f t="shared" si="21"/>
        <v>-11.657069721658795</v>
      </c>
      <c r="I29" s="39">
        <f t="shared" si="11"/>
        <v>47.458961474624523</v>
      </c>
      <c r="J29" s="39">
        <f t="shared" si="12"/>
        <v>35.80189175296573</v>
      </c>
      <c r="L29" t="str">
        <f>$A$11</f>
        <v>Administrative and secretarial occupations</v>
      </c>
      <c r="M29" s="17">
        <f t="shared" ref="M29:Q29" si="24">M11/M$18*100</f>
        <v>6.0026208703406416</v>
      </c>
      <c r="N29" s="17">
        <f t="shared" si="24"/>
        <v>5.2716555237437115</v>
      </c>
      <c r="O29" s="17">
        <f t="shared" si="24"/>
        <v>6.492791080082319</v>
      </c>
      <c r="P29" s="17">
        <f t="shared" si="24"/>
        <v>6.2293196087705383</v>
      </c>
      <c r="Q29" s="17">
        <f t="shared" si="24"/>
        <v>6.7314538505372319</v>
      </c>
      <c r="R29" s="11"/>
      <c r="S29" s="39">
        <f t="shared" si="14"/>
        <v>6.774554887707203</v>
      </c>
      <c r="T29" s="39">
        <f t="shared" si="15"/>
        <v>37.449925234911397</v>
      </c>
      <c r="U29" s="39">
        <f t="shared" si="16"/>
        <v>44.224480122618601</v>
      </c>
      <c r="W29" t="str">
        <f>$A$11</f>
        <v>Administrative and secretarial occupations</v>
      </c>
      <c r="X29" s="17">
        <f t="shared" ref="X29:AB29" si="25">X11/X$18*100</f>
        <v>17.201809779184032</v>
      </c>
      <c r="Y29" s="17">
        <f t="shared" si="25"/>
        <v>16.284892510912211</v>
      </c>
      <c r="Z29" s="17">
        <f t="shared" si="25"/>
        <v>15.770026669750081</v>
      </c>
      <c r="AA29" s="17">
        <f t="shared" si="25"/>
        <v>14.406650621960166</v>
      </c>
      <c r="AB29" s="17">
        <f t="shared" si="25"/>
        <v>11.874501620241482</v>
      </c>
      <c r="AC29" s="11"/>
      <c r="AD29" s="39">
        <f t="shared" si="18"/>
        <v>-19.16335445625144</v>
      </c>
      <c r="AE29" s="39">
        <f t="shared" si="19"/>
        <v>51.535144530998558</v>
      </c>
      <c r="AF29" s="39">
        <f t="shared" si="20"/>
        <v>32.371790074747118</v>
      </c>
    </row>
    <row r="30" spans="1:32" x14ac:dyDescent="0.2">
      <c r="A30" t="str">
        <f>$A$12</f>
        <v>Skilled trades occupations</v>
      </c>
      <c r="B30" s="17">
        <f t="shared" si="8"/>
        <v>10.855005989950763</v>
      </c>
      <c r="C30" s="17">
        <f t="shared" si="8"/>
        <v>10.664666977291022</v>
      </c>
      <c r="D30" s="17">
        <f t="shared" si="8"/>
        <v>9.2523935000874609</v>
      </c>
      <c r="E30" s="17">
        <f t="shared" si="8"/>
        <v>8.8520000641966163</v>
      </c>
      <c r="F30" s="17">
        <f t="shared" si="8"/>
        <v>7.995811676645463</v>
      </c>
      <c r="G30" s="11"/>
      <c r="H30" s="39">
        <f t="shared" si="21"/>
        <v>-9.1010074446396025</v>
      </c>
      <c r="I30" s="39">
        <f t="shared" si="11"/>
        <v>40.230504536903133</v>
      </c>
      <c r="J30" s="39">
        <f t="shared" si="12"/>
        <v>31.129497092263531</v>
      </c>
      <c r="L30" t="str">
        <f>$A$12</f>
        <v>Skilled trades occupations</v>
      </c>
      <c r="M30" s="17">
        <f t="shared" ref="M30:Q30" si="26">M12/M$18*100</f>
        <v>19.341470535477416</v>
      </c>
      <c r="N30" s="17">
        <f t="shared" si="26"/>
        <v>18.813723410640332</v>
      </c>
      <c r="O30" s="17">
        <f t="shared" si="26"/>
        <v>16.249166877470781</v>
      </c>
      <c r="P30" s="17">
        <f t="shared" si="26"/>
        <v>15.445574783235742</v>
      </c>
      <c r="Q30" s="17">
        <f t="shared" si="26"/>
        <v>13.843399812975862</v>
      </c>
      <c r="R30" s="11"/>
      <c r="S30" s="39">
        <f t="shared" si="14"/>
        <v>-12.259119409025709</v>
      </c>
      <c r="T30" s="39">
        <f t="shared" si="15"/>
        <v>36.487898969199925</v>
      </c>
      <c r="U30" s="39">
        <f t="shared" si="16"/>
        <v>24.22877956017421</v>
      </c>
      <c r="W30" t="str">
        <f>$A$12</f>
        <v>Skilled trades occupations</v>
      </c>
      <c r="X30" s="17">
        <f t="shared" ref="X30:AB30" si="27">X12/X$18*100</f>
        <v>2.2752902696151884</v>
      </c>
      <c r="Y30" s="17">
        <f t="shared" si="27"/>
        <v>2.0644948787814017</v>
      </c>
      <c r="Z30" s="17">
        <f t="shared" si="27"/>
        <v>2.3315309473701138</v>
      </c>
      <c r="AA30" s="17">
        <f t="shared" si="27"/>
        <v>2.437855374734573</v>
      </c>
      <c r="AB30" s="17">
        <f t="shared" si="27"/>
        <v>2.446946168321094</v>
      </c>
      <c r="AC30" s="11"/>
      <c r="AD30" s="39">
        <f t="shared" si="18"/>
        <v>12.670066567613453</v>
      </c>
      <c r="AE30" s="39">
        <f t="shared" si="19"/>
        <v>66.030901651378514</v>
      </c>
      <c r="AF30" s="39">
        <f t="shared" si="20"/>
        <v>78.700968218991974</v>
      </c>
    </row>
    <row r="31" spans="1:32" x14ac:dyDescent="0.2">
      <c r="A31" t="str">
        <f>$A$13</f>
        <v>Caring, leisure and other service occupations</v>
      </c>
      <c r="B31" s="17">
        <f t="shared" si="8"/>
        <v>9.7267588394143072</v>
      </c>
      <c r="C31" s="17">
        <f t="shared" si="8"/>
        <v>9.4373433922657437</v>
      </c>
      <c r="D31" s="17">
        <f t="shared" si="8"/>
        <v>9.5376924534416787</v>
      </c>
      <c r="E31" s="17">
        <f t="shared" si="8"/>
        <v>9.8721510160050183</v>
      </c>
      <c r="F31" s="17">
        <f t="shared" si="8"/>
        <v>9.97417399491232</v>
      </c>
      <c r="G31" s="11"/>
      <c r="H31" s="39">
        <f t="shared" si="21"/>
        <v>9.9978593979105046</v>
      </c>
      <c r="I31" s="39">
        <f t="shared" si="11"/>
        <v>58.806666427304343</v>
      </c>
      <c r="J31" s="39">
        <f t="shared" si="12"/>
        <v>68.804525825214853</v>
      </c>
      <c r="L31" t="str">
        <f>$A$13</f>
        <v>Caring, leisure and other service occupations</v>
      </c>
      <c r="M31" s="17">
        <f t="shared" ref="M31:Q31" si="28">M13/M$18*100</f>
        <v>3.3153036529948112</v>
      </c>
      <c r="N31" s="17">
        <f t="shared" si="28"/>
        <v>3.3351732121676498</v>
      </c>
      <c r="O31" s="17">
        <f t="shared" si="28"/>
        <v>3.4741693614507803</v>
      </c>
      <c r="P31" s="17">
        <f t="shared" si="28"/>
        <v>3.7594005842065799</v>
      </c>
      <c r="Q31" s="17">
        <f t="shared" si="28"/>
        <v>4.0987328347113063</v>
      </c>
      <c r="R31" s="11"/>
      <c r="S31" s="39">
        <f t="shared" si="14"/>
        <v>21.503545406791165</v>
      </c>
      <c r="T31" s="39">
        <f t="shared" si="15"/>
        <v>48.075959202127983</v>
      </c>
      <c r="U31" s="39">
        <f t="shared" si="16"/>
        <v>69.579504608919152</v>
      </c>
      <c r="W31" t="str">
        <f>$A$13</f>
        <v>Caring, leisure and other service occupations</v>
      </c>
      <c r="X31" s="17">
        <f t="shared" ref="X31:AB31" si="29">X13/X$18*100</f>
        <v>16.208664532656851</v>
      </c>
      <c r="Y31" s="17">
        <f t="shared" si="29"/>
        <v>15.877317658300791</v>
      </c>
      <c r="Z31" s="17">
        <f t="shared" si="29"/>
        <v>15.535429930625888</v>
      </c>
      <c r="AA31" s="17">
        <f t="shared" si="29"/>
        <v>15.818556022520255</v>
      </c>
      <c r="AB31" s="17">
        <f t="shared" si="29"/>
        <v>15.549469662108145</v>
      </c>
      <c r="AC31" s="11"/>
      <c r="AD31" s="39">
        <f t="shared" si="18"/>
        <v>7.4527723305055567</v>
      </c>
      <c r="AE31" s="39">
        <f t="shared" si="19"/>
        <v>61.180326212720523</v>
      </c>
      <c r="AF31" s="39">
        <f t="shared" si="20"/>
        <v>68.633098543226083</v>
      </c>
    </row>
    <row r="32" spans="1:32" x14ac:dyDescent="0.2">
      <c r="A32" t="str">
        <f>$A$14</f>
        <v>Sales and customer service occupations</v>
      </c>
      <c r="B32" s="17">
        <f t="shared" si="8"/>
        <v>11.243609101831641</v>
      </c>
      <c r="C32" s="17">
        <f t="shared" si="8"/>
        <v>10.444213471789052</v>
      </c>
      <c r="D32" s="17">
        <f t="shared" si="8"/>
        <v>10.590985722625375</v>
      </c>
      <c r="E32" s="17">
        <f t="shared" si="8"/>
        <v>10.46740918445105</v>
      </c>
      <c r="F32" s="17">
        <f t="shared" si="8"/>
        <v>10.287075245631968</v>
      </c>
      <c r="H32" s="39">
        <f t="shared" si="21"/>
        <v>2.1659415954090075</v>
      </c>
      <c r="I32" s="39">
        <f t="shared" si="11"/>
        <v>49.980346928152528</v>
      </c>
      <c r="J32" s="39">
        <f t="shared" si="12"/>
        <v>52.146288523561537</v>
      </c>
      <c r="L32" t="str">
        <f>$A$14</f>
        <v>Sales and customer service occupations</v>
      </c>
      <c r="M32" s="17">
        <f t="shared" ref="M32:Q32" si="30">M14/M$18*100</f>
        <v>7.1624036688289356</v>
      </c>
      <c r="N32" s="17">
        <f t="shared" si="30"/>
        <v>6.7736199891278144</v>
      </c>
      <c r="O32" s="17">
        <f t="shared" si="30"/>
        <v>7.1450525977829447</v>
      </c>
      <c r="P32" s="17">
        <f t="shared" si="30"/>
        <v>7.3229288597617899</v>
      </c>
      <c r="Q32" s="17">
        <f t="shared" si="30"/>
        <v>7.6470888322433916</v>
      </c>
      <c r="S32" s="39">
        <f t="shared" si="14"/>
        <v>10.225234307556775</v>
      </c>
      <c r="T32" s="39">
        <f t="shared" si="15"/>
        <v>35.777959974988136</v>
      </c>
      <c r="U32" s="39">
        <f t="shared" si="16"/>
        <v>46.003194282544918</v>
      </c>
      <c r="W32" t="str">
        <f>$A$14</f>
        <v>Sales and customer service occupations</v>
      </c>
      <c r="X32" s="17">
        <f t="shared" ref="X32:AB32" si="31">X14/X$18*100</f>
        <v>15.369659735002472</v>
      </c>
      <c r="Y32" s="17">
        <f t="shared" si="31"/>
        <v>14.318003758154733</v>
      </c>
      <c r="Z32" s="17">
        <f t="shared" si="31"/>
        <v>13.999532525067215</v>
      </c>
      <c r="AA32" s="17">
        <f t="shared" si="31"/>
        <v>13.526319204456492</v>
      </c>
      <c r="AB32" s="17">
        <f t="shared" si="31"/>
        <v>12.792198590534564</v>
      </c>
      <c r="AD32" s="39">
        <f t="shared" si="18"/>
        <v>-1.9027169369135941</v>
      </c>
      <c r="AE32" s="39">
        <f t="shared" si="19"/>
        <v>57.150289120380215</v>
      </c>
      <c r="AF32" s="39">
        <f t="shared" si="20"/>
        <v>55.247572183466623</v>
      </c>
    </row>
    <row r="33" spans="1:32" x14ac:dyDescent="0.2">
      <c r="A33" t="str">
        <f>$A$15</f>
        <v>Process, plant and machine operatives</v>
      </c>
      <c r="B33" s="17">
        <f t="shared" si="8"/>
        <v>7.0230246518164456</v>
      </c>
      <c r="C33" s="17">
        <f t="shared" si="8"/>
        <v>7.4442788695381541</v>
      </c>
      <c r="D33" s="17">
        <f t="shared" si="8"/>
        <v>6.6116168564199285</v>
      </c>
      <c r="E33" s="17">
        <f t="shared" si="8"/>
        <v>7.0140339990985554</v>
      </c>
      <c r="F33" s="17">
        <f t="shared" si="8"/>
        <v>6.432463607885019</v>
      </c>
      <c r="G33" s="11"/>
      <c r="H33" s="39">
        <f t="shared" si="21"/>
        <v>2.3340748327744731</v>
      </c>
      <c r="I33" s="39">
        <f t="shared" si="11"/>
        <v>47.370907365402168</v>
      </c>
      <c r="J33" s="39">
        <f t="shared" si="12"/>
        <v>49.704982198176644</v>
      </c>
      <c r="L33" t="str">
        <f>$A$15</f>
        <v>Process, plant and machine operatives</v>
      </c>
      <c r="M33" s="17">
        <f t="shared" ref="M33:Q33" si="32">M15/M$18*100</f>
        <v>12.462292084012109</v>
      </c>
      <c r="N33" s="17">
        <f t="shared" si="32"/>
        <v>13.004812961829002</v>
      </c>
      <c r="O33" s="17">
        <f t="shared" si="32"/>
        <v>12.023281818435452</v>
      </c>
      <c r="P33" s="17">
        <f t="shared" si="32"/>
        <v>12.703268420991328</v>
      </c>
      <c r="Q33" s="17">
        <f t="shared" si="32"/>
        <v>11.777804224554938</v>
      </c>
      <c r="R33" s="11"/>
      <c r="S33" s="39">
        <f t="shared" si="14"/>
        <v>0.88616881163388428</v>
      </c>
      <c r="T33" s="39">
        <f t="shared" si="15"/>
        <v>46.011066521720913</v>
      </c>
      <c r="U33" s="39">
        <f t="shared" si="16"/>
        <v>46.8972353333548</v>
      </c>
      <c r="W33" t="str">
        <f>$A$15</f>
        <v>Process, plant and machine operatives</v>
      </c>
      <c r="X33" s="17">
        <f t="shared" ref="X33:AB33" si="33">X15/X$18*100</f>
        <v>1.5239893297732652</v>
      </c>
      <c r="Y33" s="17">
        <f t="shared" si="33"/>
        <v>1.5759245950941076</v>
      </c>
      <c r="Z33" s="17">
        <f t="shared" si="33"/>
        <v>1.2586652366730546</v>
      </c>
      <c r="AA33" s="17">
        <f t="shared" si="33"/>
        <v>1.4796199203564735</v>
      </c>
      <c r="AB33" s="17">
        <f t="shared" si="33"/>
        <v>1.360188425950235</v>
      </c>
      <c r="AC33" s="11"/>
      <c r="AD33" s="39">
        <f t="shared" si="18"/>
        <v>16.015003555853017</v>
      </c>
      <c r="AE33" s="39">
        <f t="shared" si="19"/>
        <v>60.219728618647508</v>
      </c>
      <c r="AF33" s="39">
        <f t="shared" si="20"/>
        <v>76.234732174500522</v>
      </c>
    </row>
    <row r="34" spans="1:32" x14ac:dyDescent="0.2">
      <c r="A34" t="str">
        <f>$A$16</f>
        <v>Elementary occupations</v>
      </c>
      <c r="B34" s="17">
        <f t="shared" si="8"/>
        <v>12.390833483534781</v>
      </c>
      <c r="C34" s="17">
        <f t="shared" si="8"/>
        <v>11.982566797206937</v>
      </c>
      <c r="D34" s="17">
        <f t="shared" si="8"/>
        <v>11.251517565289907</v>
      </c>
      <c r="E34" s="17">
        <f t="shared" si="8"/>
        <v>10.856421679091074</v>
      </c>
      <c r="F34" s="17">
        <f t="shared" si="8"/>
        <v>10.396005066589955</v>
      </c>
      <c r="G34" s="11"/>
      <c r="H34" s="39">
        <f t="shared" si="21"/>
        <v>-2.8134897237103331</v>
      </c>
      <c r="I34" s="39">
        <f t="shared" si="11"/>
        <v>46.29165880090477</v>
      </c>
      <c r="J34" s="39">
        <f t="shared" si="12"/>
        <v>43.478169077194437</v>
      </c>
      <c r="L34" t="str">
        <f>$A$16</f>
        <v>Elementary occupations</v>
      </c>
      <c r="M34" s="17">
        <f t="shared" ref="M34:Q34" si="34">M16/M$18*100</f>
        <v>12.749926888058122</v>
      </c>
      <c r="N34" s="17">
        <f t="shared" si="34"/>
        <v>12.879243341646049</v>
      </c>
      <c r="O34" s="17">
        <f t="shared" si="34"/>
        <v>12.45947564046935</v>
      </c>
      <c r="P34" s="17">
        <f t="shared" si="34"/>
        <v>12.424206861410896</v>
      </c>
      <c r="Q34" s="17">
        <f t="shared" si="34"/>
        <v>11.639180745808716</v>
      </c>
      <c r="R34" s="11"/>
      <c r="S34" s="39">
        <f t="shared" si="14"/>
        <v>-3.7916042944853015</v>
      </c>
      <c r="T34" s="39">
        <f t="shared" si="15"/>
        <v>37.871035231772211</v>
      </c>
      <c r="U34" s="39">
        <f t="shared" si="16"/>
        <v>34.079430937286908</v>
      </c>
      <c r="W34" t="str">
        <f>$A$16</f>
        <v>Elementary occupations</v>
      </c>
      <c r="X34" s="17">
        <f t="shared" ref="X34:AB34" si="35">X16/X$18*100</f>
        <v>12.02779428018575</v>
      </c>
      <c r="Y34" s="17">
        <f t="shared" si="35"/>
        <v>11.036252010710374</v>
      </c>
      <c r="Z34" s="17">
        <f t="shared" si="35"/>
        <v>10.056665115904394</v>
      </c>
      <c r="AA34" s="17">
        <f t="shared" si="35"/>
        <v>9.3313004163628648</v>
      </c>
      <c r="AB34" s="17">
        <f t="shared" si="35"/>
        <v>9.2163367167711758</v>
      </c>
      <c r="AC34" s="11"/>
      <c r="AD34" s="39">
        <f t="shared" si="18"/>
        <v>-1.6148244540470049</v>
      </c>
      <c r="AE34" s="39">
        <f t="shared" si="19"/>
        <v>56.611011280473974</v>
      </c>
      <c r="AF34" s="39">
        <f t="shared" si="20"/>
        <v>54.996186826426971</v>
      </c>
    </row>
    <row r="35" spans="1:32" x14ac:dyDescent="0.2">
      <c r="B35" s="17"/>
      <c r="C35" s="17"/>
      <c r="D35" s="17"/>
      <c r="E35" s="17"/>
      <c r="F35" s="17"/>
      <c r="G35" s="11"/>
      <c r="H35" s="39"/>
      <c r="I35" s="39"/>
      <c r="J35" s="39"/>
      <c r="M35" s="17"/>
      <c r="N35" s="17"/>
      <c r="O35" s="17"/>
      <c r="P35" s="17"/>
      <c r="Q35" s="17"/>
      <c r="R35" s="11"/>
      <c r="S35" s="39"/>
      <c r="T35" s="39"/>
      <c r="U35" s="39"/>
      <c r="X35" s="17"/>
      <c r="Y35" s="17"/>
      <c r="Z35" s="17"/>
      <c r="AA35" s="17"/>
      <c r="AB35" s="17"/>
      <c r="AC35" s="11"/>
      <c r="AD35" s="39"/>
      <c r="AE35" s="39"/>
      <c r="AF35" s="39"/>
    </row>
    <row r="36" spans="1:32" x14ac:dyDescent="0.2">
      <c r="A36" s="23" t="str">
        <f>$A$18</f>
        <v>All occupations</v>
      </c>
      <c r="B36" s="25">
        <f>B18/B$18*100</f>
        <v>100</v>
      </c>
      <c r="C36" s="25">
        <f>C18/C$18*100</f>
        <v>100</v>
      </c>
      <c r="D36" s="25">
        <f>D18/D$18*100</f>
        <v>100</v>
      </c>
      <c r="E36" s="25">
        <f>E18/E$18*100</f>
        <v>100</v>
      </c>
      <c r="F36" s="25">
        <f>F18/F$18*100</f>
        <v>100</v>
      </c>
      <c r="G36" s="11"/>
      <c r="H36" s="42">
        <f>IF(D18&gt;0,(H18/D18)*100,0)</f>
        <v>5.1842241782962537</v>
      </c>
      <c r="I36" s="42">
        <f t="shared" si="11"/>
        <v>50.200996293039701</v>
      </c>
      <c r="J36" s="42">
        <f t="shared" si="12"/>
        <v>55.385220471335948</v>
      </c>
      <c r="L36" s="23" t="str">
        <f>$A$18</f>
        <v>All occupations</v>
      </c>
      <c r="M36" s="25">
        <f>M18/M$18*100</f>
        <v>100</v>
      </c>
      <c r="N36" s="25">
        <f>N18/N$18*100</f>
        <v>100</v>
      </c>
      <c r="O36" s="25">
        <f>O18/O$18*100</f>
        <v>100</v>
      </c>
      <c r="P36" s="25">
        <f>P18/P$18*100</f>
        <v>100</v>
      </c>
      <c r="Q36" s="25">
        <f>Q18/Q$18*100</f>
        <v>100</v>
      </c>
      <c r="R36" s="11"/>
      <c r="S36" s="42">
        <f t="shared" ref="S36" si="36">IF(O18&gt;0,(S18/O18)*100,0)</f>
        <v>2.9888777294872666</v>
      </c>
      <c r="T36" s="42">
        <f t="shared" ref="T36" si="37">IF(O18&gt;0,(T18/O18)*100,0)</f>
        <v>40.347116732743338</v>
      </c>
      <c r="U36" s="42">
        <f t="shared" ref="U36" si="38">IF(O18&gt;0,(U18/O18)*100,0)</f>
        <v>43.335994462230609</v>
      </c>
      <c r="W36" s="23" t="str">
        <f>$A$18</f>
        <v>All occupations</v>
      </c>
      <c r="X36" s="25">
        <f>X18/X$18*100</f>
        <v>100</v>
      </c>
      <c r="Y36" s="25">
        <f>Y18/Y$18*100</f>
        <v>100</v>
      </c>
      <c r="Z36" s="25">
        <f>Z18/Z$18*100</f>
        <v>100</v>
      </c>
      <c r="AA36" s="25">
        <f>AA18/AA$18*100</f>
        <v>100</v>
      </c>
      <c r="AB36" s="25">
        <f>AB18/AB$18*100</f>
        <v>100</v>
      </c>
      <c r="AC36" s="11"/>
      <c r="AD36" s="42">
        <f t="shared" ref="AD36" si="39">IF(Z18&gt;0,(AD18/Z18)*100,0)</f>
        <v>7.3557524254331321</v>
      </c>
      <c r="AE36" s="42">
        <f t="shared" ref="AE36" si="40">IF(Z18&gt;0,(AE18/Z18)*100,0)</f>
        <v>59.947967127951408</v>
      </c>
      <c r="AF36" s="42">
        <f t="shared" ref="AF36" si="41">IF(Z18&gt;0,(AF18/Z18)*100,0)</f>
        <v>67.303719553384539</v>
      </c>
    </row>
    <row r="37" spans="1:32" x14ac:dyDescent="0.2">
      <c r="B37" s="17"/>
      <c r="C37" s="17"/>
      <c r="D37" s="17"/>
      <c r="E37" s="17"/>
      <c r="F37" s="17"/>
      <c r="G37" s="11"/>
      <c r="M37" s="17"/>
      <c r="N37" s="17"/>
      <c r="O37" s="17"/>
      <c r="P37" s="17"/>
      <c r="Q37" s="17"/>
      <c r="R37" s="11"/>
      <c r="X37" s="17"/>
      <c r="Y37" s="17"/>
      <c r="Z37" s="17"/>
      <c r="AA37" s="17"/>
      <c r="AB37" s="17"/>
      <c r="AC37" s="11"/>
    </row>
    <row r="38" spans="1:32" x14ac:dyDescent="0.2">
      <c r="B38" s="17"/>
      <c r="C38" s="17"/>
      <c r="D38" s="17"/>
      <c r="E38" s="17"/>
      <c r="F38" s="17"/>
      <c r="G38" s="11"/>
      <c r="M38" s="17"/>
      <c r="N38" s="17"/>
      <c r="O38" s="17"/>
      <c r="P38" s="17"/>
      <c r="Q38" s="17"/>
      <c r="R38" s="11"/>
      <c r="X38" s="17"/>
      <c r="Y38" s="17"/>
      <c r="Z38" s="17"/>
      <c r="AA38" s="17"/>
      <c r="AB38" s="17"/>
      <c r="AC38" s="11"/>
    </row>
    <row r="39" spans="1:32" ht="15.75" x14ac:dyDescent="0.25">
      <c r="A39" s="18" t="str">
        <f>CONCATENATE(A$1," (Continued)")</f>
        <v>Occupation Table 1  Employment Change by Occupation Group (SOC 2020) and Replacement Demand, 2015-2035, North East (Continued)</v>
      </c>
      <c r="B39" s="17"/>
      <c r="C39" s="17"/>
      <c r="D39" s="17"/>
      <c r="E39" s="17"/>
      <c r="F39" s="17"/>
      <c r="G39" s="11"/>
      <c r="L39" s="18" t="str">
        <f>CONCATENATE(L$1," (Continued)")</f>
        <v>Occupation Table 1.1  Males: Employment Change by Occupation Group (SOC 2020) and Replacement Demand, 2015-2035, North East (Continued)</v>
      </c>
      <c r="M39" s="17"/>
      <c r="N39" s="17"/>
      <c r="O39" s="17"/>
      <c r="P39" s="17"/>
      <c r="Q39" s="17"/>
      <c r="R39" s="11"/>
      <c r="W39" s="18" t="str">
        <f>CONCATENATE(W$1," (Continued)")</f>
        <v>Occupation Table 1.2  Females: Employment Change by Occupation Group (SOC 2020) and Replacement Demand, 2015-2035, North East (Continued)</v>
      </c>
      <c r="X39" s="17"/>
      <c r="Y39" s="17"/>
      <c r="Z39" s="17"/>
      <c r="AA39" s="17"/>
      <c r="AB39" s="17"/>
      <c r="AC39" s="11"/>
    </row>
    <row r="40" spans="1:32" x14ac:dyDescent="0.2">
      <c r="B40" s="17"/>
      <c r="C40" s="17"/>
      <c r="D40" s="17"/>
      <c r="E40" s="17"/>
      <c r="F40" s="17"/>
      <c r="G40" s="11"/>
      <c r="M40" s="17"/>
      <c r="N40" s="17"/>
      <c r="O40" s="17"/>
      <c r="P40" s="17"/>
      <c r="Q40" s="17"/>
      <c r="R40" s="11"/>
      <c r="X40" s="17"/>
      <c r="Y40" s="17"/>
      <c r="Z40" s="17"/>
      <c r="AA40" s="17"/>
      <c r="AB40" s="17"/>
      <c r="AC40" s="11"/>
    </row>
    <row r="41" spans="1:32" x14ac:dyDescent="0.2">
      <c r="B41" s="17"/>
      <c r="C41" s="17"/>
      <c r="D41" s="17"/>
      <c r="E41" s="17"/>
      <c r="F41" s="15" t="s">
        <v>36</v>
      </c>
      <c r="G41" s="11"/>
      <c r="J41" s="15" t="s">
        <v>36</v>
      </c>
      <c r="M41" s="17"/>
      <c r="N41" s="17"/>
      <c r="O41" s="17"/>
      <c r="P41" s="17"/>
      <c r="Q41" s="15" t="s">
        <v>36</v>
      </c>
      <c r="R41" s="11"/>
      <c r="U41" s="15" t="s">
        <v>36</v>
      </c>
      <c r="X41" s="17"/>
      <c r="Y41" s="17"/>
      <c r="Z41" s="17"/>
      <c r="AA41" s="17"/>
      <c r="AB41" s="15" t="s">
        <v>36</v>
      </c>
      <c r="AC41" s="11"/>
      <c r="AF41" s="15" t="s">
        <v>36</v>
      </c>
    </row>
    <row r="42" spans="1:32" x14ac:dyDescent="0.2">
      <c r="A42" s="35"/>
      <c r="B42" s="65"/>
      <c r="C42" s="65"/>
      <c r="D42" s="65"/>
      <c r="E42" s="65"/>
      <c r="F42" s="65"/>
      <c r="G42" s="11"/>
      <c r="H42" s="27" t="str">
        <f>H4</f>
        <v>2020-2035</v>
      </c>
      <c r="I42" s="35"/>
      <c r="J42" s="35"/>
      <c r="L42" s="35"/>
      <c r="M42" s="65"/>
      <c r="N42" s="65"/>
      <c r="O42" s="65"/>
      <c r="P42" s="65"/>
      <c r="Q42" s="65"/>
      <c r="R42" s="11"/>
      <c r="S42" s="27" t="str">
        <f>S4</f>
        <v>2020-2035</v>
      </c>
      <c r="T42" s="35"/>
      <c r="U42" s="35"/>
      <c r="W42" s="35"/>
      <c r="X42" s="65"/>
      <c r="Y42" s="65"/>
      <c r="Z42" s="65"/>
      <c r="AA42" s="65"/>
      <c r="AB42" s="65"/>
      <c r="AC42" s="11"/>
      <c r="AD42" s="27" t="str">
        <f>AD4</f>
        <v>2020-2035</v>
      </c>
      <c r="AE42" s="35"/>
      <c r="AF42" s="35"/>
    </row>
    <row r="43" spans="1:32" x14ac:dyDescent="0.2">
      <c r="H43" t="str">
        <f>H5</f>
        <v>Net</v>
      </c>
      <c r="I43" t="str">
        <f>I5</f>
        <v>Replacement</v>
      </c>
      <c r="J43" t="str">
        <f>J5</f>
        <v>Total</v>
      </c>
      <c r="S43" t="str">
        <f>S5</f>
        <v>Net</v>
      </c>
      <c r="T43" t="str">
        <f>T5</f>
        <v>Replacement</v>
      </c>
      <c r="U43" t="str">
        <f>U5</f>
        <v>Total</v>
      </c>
      <c r="AD43" t="str">
        <f>AD5</f>
        <v>Net</v>
      </c>
      <c r="AE43" t="str">
        <f>AE5</f>
        <v>Replacement</v>
      </c>
      <c r="AF43" t="str">
        <f>AF5</f>
        <v>Total</v>
      </c>
    </row>
    <row r="44" spans="1:32" x14ac:dyDescent="0.2">
      <c r="A44" s="40" t="s">
        <v>14</v>
      </c>
      <c r="B44" s="63" t="str">
        <f>CONCATENATE(B$6,"-",C$6)</f>
        <v>2015-2019</v>
      </c>
      <c r="C44" s="63" t="str">
        <f>CONCATENATE(C$6,"-",D$6)</f>
        <v>2019-2020</v>
      </c>
      <c r="D44" s="63" t="str">
        <f>CONCATENATE(D$6,"-",E$6)</f>
        <v>2020-2025</v>
      </c>
      <c r="E44" s="63" t="str">
        <f>CONCATENATE(E$6,"-",F$6)</f>
        <v>2025-2035</v>
      </c>
      <c r="F44" s="63" t="str">
        <f>CONCATENATE(D$6,"-",F$6)</f>
        <v>2020-2035</v>
      </c>
      <c r="H44" s="23" t="str">
        <f>H6</f>
        <v>Change</v>
      </c>
      <c r="I44" s="23" t="str">
        <f>I6</f>
        <v>Demand</v>
      </c>
      <c r="J44" s="23" t="str">
        <f>J6</f>
        <v>Requirement</v>
      </c>
      <c r="L44" s="40" t="s">
        <v>14</v>
      </c>
      <c r="M44" s="63" t="str">
        <f>CONCATENATE(M$6,"-",N$6)</f>
        <v>2015-2019</v>
      </c>
      <c r="N44" s="63" t="str">
        <f>CONCATENATE(N$6,"-",O$6)</f>
        <v>2019-2020</v>
      </c>
      <c r="O44" s="63" t="str">
        <f>CONCATENATE(O$6,"-",P$6)</f>
        <v>2020-2025</v>
      </c>
      <c r="P44" s="63" t="str">
        <f>CONCATENATE(P$6,"-",Q$6)</f>
        <v>2025-2035</v>
      </c>
      <c r="Q44" s="63" t="str">
        <f>CONCATENATE(O$6,"-",Q$6)</f>
        <v>2020-2035</v>
      </c>
      <c r="S44" s="23" t="str">
        <f>S6</f>
        <v>Change</v>
      </c>
      <c r="T44" s="23" t="str">
        <f>T6</f>
        <v>Demand</v>
      </c>
      <c r="U44" s="23" t="str">
        <f>U6</f>
        <v>Requirement</v>
      </c>
      <c r="W44" s="40" t="s">
        <v>14</v>
      </c>
      <c r="X44" s="63" t="str">
        <f>CONCATENATE(X$6,"-",Y$6)</f>
        <v>2015-2019</v>
      </c>
      <c r="Y44" s="63" t="str">
        <f>CONCATENATE(Y$6,"-",Z$6)</f>
        <v>2019-2020</v>
      </c>
      <c r="Z44" s="63" t="str">
        <f>CONCATENATE(Z$6,"-",AA$6)</f>
        <v>2020-2025</v>
      </c>
      <c r="AA44" s="63" t="str">
        <f>CONCATENATE(AA$6,"-",AB$6)</f>
        <v>2025-2035</v>
      </c>
      <c r="AB44" s="63" t="str">
        <f>CONCATENATE(Z$6,"-",AB$6)</f>
        <v>2020-2035</v>
      </c>
      <c r="AD44" s="23" t="str">
        <f>AD6</f>
        <v>Change</v>
      </c>
      <c r="AE44" s="23" t="str">
        <f>AE6</f>
        <v>Demand</v>
      </c>
      <c r="AF44" s="23" t="str">
        <f>AF6</f>
        <v>Requirement</v>
      </c>
    </row>
    <row r="45" spans="1:32" x14ac:dyDescent="0.2">
      <c r="A45" s="1"/>
      <c r="B45" s="19"/>
      <c r="C45" s="19"/>
      <c r="D45" s="19"/>
      <c r="E45" s="19"/>
      <c r="F45" s="19"/>
      <c r="L45" s="1"/>
      <c r="M45" s="19"/>
      <c r="N45" s="19"/>
      <c r="O45" s="19"/>
      <c r="P45" s="19"/>
      <c r="Q45" s="19"/>
      <c r="W45" s="1"/>
      <c r="X45" s="19"/>
      <c r="Y45" s="19"/>
      <c r="Z45" s="19"/>
      <c r="AA45" s="19"/>
      <c r="AB45" s="19"/>
    </row>
    <row r="46" spans="1:32" x14ac:dyDescent="0.2">
      <c r="A46" t="str">
        <f>$A$8</f>
        <v>Managers, directors and senior officials</v>
      </c>
      <c r="B46" s="17">
        <f>IF(C$6-B$6 &lt;&gt; 0,(EXP(LN(C8/B8)/(C$6-B$6))-1)*100,0)</f>
        <v>3.0017606686911558</v>
      </c>
      <c r="C46" s="17">
        <f t="shared" ref="B46:E54" si="42">IF(D$6-C$6 &lt;&gt; 0,(EXP(LN(D8/C8)/(D$6-C$6))-1)*100,0)</f>
        <v>2.7277117701496323E-2</v>
      </c>
      <c r="D46" s="17">
        <f t="shared" si="42"/>
        <v>0.4908447036449326</v>
      </c>
      <c r="E46" s="17">
        <f t="shared" si="42"/>
        <v>1.2842856653683343</v>
      </c>
      <c r="F46" s="17">
        <f>IF(F$6-D$6 &lt;&gt; 0,(EXP(LN(F8/D8)/(F$6-D$6))-1)*100,0)</f>
        <v>1.0191116945586387</v>
      </c>
      <c r="H46" s="17">
        <f>IF($F$6-$D$6 &lt;&gt; 0,(EXP(LN(1+(H26/100))/($F$6-$D$6))-1)*100,0)</f>
        <v>1.0191116945586387</v>
      </c>
      <c r="I46" s="17">
        <f>IF($F$6-$D$6 &lt;&gt; 0,(EXP(LN(1+(I26/100))/($F$6-$D$6))-1)*100,0)</f>
        <v>3.084859378785576</v>
      </c>
      <c r="J46" s="17">
        <f>IF($F$6-$D$6 &lt;&gt; 0,(EXP(LN(1+(J26/100))/($F$6-$D$6))-1)*100,0)</f>
        <v>3.7679519412050722</v>
      </c>
      <c r="L46" t="str">
        <f>$A$8</f>
        <v>Managers, directors and senior officials</v>
      </c>
      <c r="M46" s="17">
        <f t="shared" ref="M46:M54" si="43">IF(N$6-M$6 &lt;&gt; 0,(EXP(LN(N8/M8)/(N$6-M$6))-1)*100,0)</f>
        <v>2.7005503084265969</v>
      </c>
      <c r="N46" s="17">
        <f t="shared" ref="N46:N54" si="44">IF(O$6-N$6 &lt;&gt; 0,(EXP(LN(O8/N8)/(O$6-N$6))-1)*100,0)</f>
        <v>-4.0613007273411998</v>
      </c>
      <c r="O46" s="17">
        <f t="shared" ref="O46:O54" si="45">IF(P$6-O$6 &lt;&gt; 0,(EXP(LN(P8/O8)/(P$6-O$6))-1)*100,0)</f>
        <v>0.11586125951026371</v>
      </c>
      <c r="P46" s="17">
        <f t="shared" ref="P46:P54" si="46">IF(Q$6-P$6 &lt;&gt; 0,(EXP(LN(Q8/P8)/(Q$6-P$6))-1)*100,0)</f>
        <v>1.0639114476294287</v>
      </c>
      <c r="Q46" s="17">
        <f>IF(Q$6-O$6 &lt;&gt; 0,(EXP(LN(Q8/O8)/(Q$6-O$6))-1)*100,0)</f>
        <v>0.74690138340716139</v>
      </c>
      <c r="S46" s="17">
        <f>IF($F$6-$D$6 &lt;&gt; 0,(EXP(LN(1+(S26/100))/($F$6-$D$6))-1)*100,0)</f>
        <v>0.74690138340716139</v>
      </c>
      <c r="T46" s="17">
        <f>IF($F$6-$D$6 &lt;&gt; 0,(EXP(LN(1+(T26/100))/($F$6-$D$6))-1)*100,0)</f>
        <v>2.7633573034600234</v>
      </c>
      <c r="U46" s="17">
        <f>IF($F$6-$D$6 &lt;&gt; 0,(EXP(LN(1+(U26/100))/($F$6-$D$6))-1)*100,0)</f>
        <v>3.2821131527951408</v>
      </c>
      <c r="W46" t="str">
        <f>$A$8</f>
        <v>Managers, directors and senior officials</v>
      </c>
      <c r="X46" s="17">
        <f t="shared" ref="X46:X54" si="47">IF(Y$6-X$6 &lt;&gt; 0,(EXP(LN(Y8/X8)/(Y$6-X$6))-1)*100,0)</f>
        <v>3.5515254742588098</v>
      </c>
      <c r="Y46" s="17">
        <f t="shared" ref="Y46:Y54" si="48">IF(Z$6-Y$6 &lt;&gt; 0,(EXP(LN(Z8/Y8)/(Z$6-Y$6))-1)*100,0)</f>
        <v>7.3374111026569766</v>
      </c>
      <c r="Z46" s="17">
        <f t="shared" ref="Z46:Z54" si="49">IF(AA$6-Z$6 &lt;&gt; 0,(EXP(LN(AA8/Z8)/(AA$6-Z$6))-1)*100,0)</f>
        <v>1.0787203489034392</v>
      </c>
      <c r="AA46" s="17">
        <f t="shared" ref="AA46:AA54" si="50">IF(AB$6-AA$6 &lt;&gt; 0,(EXP(LN(AB8/AA8)/(AB$6-AA$6))-1)*100,0)</f>
        <v>1.6119231467052186</v>
      </c>
      <c r="AB46" s="17">
        <f>IF(AB$6-Z$6 &lt;&gt; 0,(EXP(LN(AB8/Z8)/(AB$6-Z$6))-1)*100,0)</f>
        <v>1.4338770877966756</v>
      </c>
      <c r="AD46" s="17">
        <f>IF($F$6-$D$6 &lt;&gt; 0,(EXP(LN(1+(AD26/100))/($F$6-$D$6))-1)*100,0)</f>
        <v>1.4338770877966756</v>
      </c>
      <c r="AE46" s="17">
        <f>IF($F$6-$D$6 &lt;&gt; 0,(EXP(LN(1+(AE26/100))/($F$6-$D$6))-1)*100,0)</f>
        <v>3.5711823354800609</v>
      </c>
      <c r="AF46" s="17">
        <f>IF($F$6-$D$6 &lt;&gt; 0,(EXP(LN(1+(AF26/100))/($F$6-$D$6))-1)*100,0)</f>
        <v>4.4837967096330811</v>
      </c>
    </row>
    <row r="47" spans="1:32" x14ac:dyDescent="0.2">
      <c r="A47" t="str">
        <f>$A$9</f>
        <v>Professional occupations</v>
      </c>
      <c r="B47" s="17">
        <f t="shared" si="42"/>
        <v>0.66106025192997908</v>
      </c>
      <c r="C47" s="17">
        <f t="shared" si="42"/>
        <v>7.1869266492549766</v>
      </c>
      <c r="D47" s="17">
        <f t="shared" si="42"/>
        <v>1.6398518341697477</v>
      </c>
      <c r="E47" s="17">
        <f t="shared" si="42"/>
        <v>1.0507535796797418</v>
      </c>
      <c r="F47" s="17">
        <f>IF(F$6-D$6 &lt;&gt; 0,(EXP(LN(F9/D9)/(F$6-D$6))-1)*100,0)</f>
        <v>1.2467393087312928</v>
      </c>
      <c r="H47" s="17">
        <f t="shared" ref="H47:J56" si="51">IF($F$6-$D$6 &lt;&gt; 0,(EXP(LN(1+(H27/100))/($F$6-$D$6))-1)*100,0)</f>
        <v>1.2467393087312928</v>
      </c>
      <c r="I47" s="17">
        <f t="shared" si="51"/>
        <v>2.9236907837939308</v>
      </c>
      <c r="J47" s="17">
        <f t="shared" si="51"/>
        <v>3.7814032247954543</v>
      </c>
      <c r="L47" t="str">
        <f>$A$9</f>
        <v>Professional occupations</v>
      </c>
      <c r="M47" s="17">
        <f t="shared" si="43"/>
        <v>-0.28557949914059799</v>
      </c>
      <c r="N47" s="17">
        <f t="shared" si="44"/>
        <v>4.5276945894406007</v>
      </c>
      <c r="O47" s="17">
        <f t="shared" si="45"/>
        <v>1.219938294359002</v>
      </c>
      <c r="P47" s="17">
        <f t="shared" si="46"/>
        <v>0.77919548560665408</v>
      </c>
      <c r="Q47" s="17">
        <f>IF(Q$6-O$6 &lt;&gt; 0,(EXP(LN(Q9/O9)/(Q$6-O$6))-1)*100,0)</f>
        <v>0.92589610480340312</v>
      </c>
      <c r="S47" s="17">
        <f t="shared" ref="S47:U47" si="52">IF($F$6-$D$6 &lt;&gt; 0,(EXP(LN(1+(S27/100))/($F$6-$D$6))-1)*100,0)</f>
        <v>0.92589610480340312</v>
      </c>
      <c r="T47" s="17">
        <f t="shared" si="52"/>
        <v>2.3347529230472563</v>
      </c>
      <c r="U47" s="17">
        <f t="shared" si="52"/>
        <v>3.0174199591550543</v>
      </c>
      <c r="W47" t="str">
        <f>$A$9</f>
        <v>Professional occupations</v>
      </c>
      <c r="X47" s="17">
        <f t="shared" si="47"/>
        <v>1.5304358066111856</v>
      </c>
      <c r="Y47" s="17">
        <f t="shared" si="48"/>
        <v>9.5213470160233413</v>
      </c>
      <c r="Z47" s="17">
        <f t="shared" si="49"/>
        <v>1.9864013624043109</v>
      </c>
      <c r="AA47" s="17">
        <f t="shared" si="50"/>
        <v>1.265161499263634</v>
      </c>
      <c r="AB47" s="17">
        <f>IF(AB$6-Z$6 &lt;&gt; 0,(EXP(LN(AB9/Z9)/(AB$6-Z$6))-1)*100,0)</f>
        <v>1.5050062703282796</v>
      </c>
      <c r="AD47" s="17">
        <f t="shared" ref="AD47:AF47" si="53">IF($F$6-$D$6 &lt;&gt; 0,(EXP(LN(1+(AD27/100))/($F$6-$D$6))-1)*100,0)</f>
        <v>1.5050062703282796</v>
      </c>
      <c r="AE47" s="17">
        <f t="shared" si="53"/>
        <v>3.3831958283036867</v>
      </c>
      <c r="AF47" s="17">
        <f t="shared" si="53"/>
        <v>4.3659192759027299</v>
      </c>
    </row>
    <row r="48" spans="1:32" x14ac:dyDescent="0.2">
      <c r="A48" t="str">
        <f>$A$10</f>
        <v>Associate professional occupations</v>
      </c>
      <c r="B48" s="17">
        <f t="shared" si="42"/>
        <v>0.82291986130971218</v>
      </c>
      <c r="C48" s="17">
        <f t="shared" si="42"/>
        <v>5.1764834499019807</v>
      </c>
      <c r="D48" s="17">
        <f t="shared" si="42"/>
        <v>-0.62244862550667746</v>
      </c>
      <c r="E48" s="17">
        <f t="shared" si="42"/>
        <v>0.7740064617721254</v>
      </c>
      <c r="F48" s="17">
        <f t="shared" ref="F48:F56" si="54">IF(F$6-D$6 &lt;&gt; 0,(EXP(LN(F10/D10)/(F$6-D$6))-1)*100,0)</f>
        <v>0.30635460444361495</v>
      </c>
      <c r="H48" s="17">
        <f t="shared" si="51"/>
        <v>0.30635460444361495</v>
      </c>
      <c r="I48" s="17">
        <f t="shared" si="51"/>
        <v>2.5915261660776956</v>
      </c>
      <c r="J48" s="17">
        <f t="shared" si="51"/>
        <v>2.8071026264967935</v>
      </c>
      <c r="L48" t="str">
        <f>$A$10</f>
        <v>Associate professional occupations</v>
      </c>
      <c r="M48" s="17">
        <f t="shared" si="43"/>
        <v>1.164055150952481</v>
      </c>
      <c r="N48" s="17">
        <f t="shared" si="44"/>
        <v>2.8018599262883415</v>
      </c>
      <c r="O48" s="17">
        <f t="shared" si="45"/>
        <v>-1.7017727635494806</v>
      </c>
      <c r="P48" s="17">
        <f t="shared" si="46"/>
        <v>0.25901212497809745</v>
      </c>
      <c r="Q48" s="17">
        <f t="shared" ref="Q48:Q54" si="55">IF(Q$6-O$6 &lt;&gt; 0,(EXP(LN(Q10/O10)/(Q$6-O$6))-1)*100,0)</f>
        <v>-0.39889057229145486</v>
      </c>
      <c r="S48" s="17">
        <f t="shared" ref="S48:U48" si="56">IF($F$6-$D$6 &lt;&gt; 0,(EXP(LN(1+(S28/100))/($F$6-$D$6))-1)*100,0)</f>
        <v>-0.39889057229145486</v>
      </c>
      <c r="T48" s="17">
        <f t="shared" si="56"/>
        <v>1.9774043928683982</v>
      </c>
      <c r="U48" s="17">
        <f t="shared" si="56"/>
        <v>1.6763358110026605</v>
      </c>
      <c r="W48" t="str">
        <f>$A$10</f>
        <v>Associate professional occupations</v>
      </c>
      <c r="X48" s="17">
        <f t="shared" si="47"/>
        <v>0.4539500690643683</v>
      </c>
      <c r="Y48" s="17">
        <f t="shared" si="48"/>
        <v>7.7904950328425704</v>
      </c>
      <c r="Z48" s="17">
        <f t="shared" si="49"/>
        <v>0.46240210960291073</v>
      </c>
      <c r="AA48" s="17">
        <f t="shared" si="50"/>
        <v>1.2381601765485639</v>
      </c>
      <c r="AB48" s="17">
        <f t="shared" ref="AB48:AB54" si="57">IF(AB$6-Z$6 &lt;&gt; 0,(EXP(LN(AB10/Z10)/(AB$6-Z$6))-1)*100,0)</f>
        <v>0.97891083865417894</v>
      </c>
      <c r="AD48" s="17">
        <f t="shared" ref="AD48:AF48" si="58">IF($F$6-$D$6 &lt;&gt; 0,(EXP(LN(1+(AD28/100))/($F$6-$D$6))-1)*100,0)</f>
        <v>0.97891083865417894</v>
      </c>
      <c r="AE48" s="17">
        <f t="shared" si="58"/>
        <v>3.1852746051528325</v>
      </c>
      <c r="AF48" s="17">
        <f t="shared" si="58"/>
        <v>3.8323162785729892</v>
      </c>
    </row>
    <row r="49" spans="1:32" x14ac:dyDescent="0.2">
      <c r="A49" t="str">
        <f>$A$11</f>
        <v>Administrative and secretarial occupations</v>
      </c>
      <c r="B49" s="17">
        <f t="shared" si="42"/>
        <v>-2.3607712569034711</v>
      </c>
      <c r="C49" s="17">
        <f t="shared" si="42"/>
        <v>4.4696542039491804</v>
      </c>
      <c r="D49" s="17">
        <f t="shared" si="42"/>
        <v>-1.1234556107671212</v>
      </c>
      <c r="E49" s="17">
        <f t="shared" si="42"/>
        <v>-0.67226321081138574</v>
      </c>
      <c r="F49" s="17">
        <f t="shared" si="54"/>
        <v>-0.8228889787840088</v>
      </c>
      <c r="H49" s="17">
        <f t="shared" si="51"/>
        <v>-0.8228889787840088</v>
      </c>
      <c r="I49" s="17">
        <f t="shared" si="51"/>
        <v>2.6230090739322476</v>
      </c>
      <c r="J49" s="17">
        <f t="shared" si="51"/>
        <v>2.0611336531073388</v>
      </c>
      <c r="L49" t="str">
        <f>$A$11</f>
        <v>Administrative and secretarial occupations</v>
      </c>
      <c r="M49" s="17">
        <f t="shared" si="43"/>
        <v>-2.9410888762054888</v>
      </c>
      <c r="N49" s="17">
        <f t="shared" si="44"/>
        <v>18.727836474581029</v>
      </c>
      <c r="O49" s="17">
        <f t="shared" si="45"/>
        <v>-0.6704567048119725</v>
      </c>
      <c r="P49" s="17">
        <f t="shared" si="46"/>
        <v>0.99678695457976474</v>
      </c>
      <c r="Q49" s="17">
        <f t="shared" si="55"/>
        <v>0.43795263528376704</v>
      </c>
      <c r="S49" s="17">
        <f t="shared" ref="S49:U49" si="59">IF($F$6-$D$6 &lt;&gt; 0,(EXP(LN(1+(S29/100))/($F$6-$D$6))-1)*100,0)</f>
        <v>0.43795263528376704</v>
      </c>
      <c r="T49" s="17">
        <f t="shared" si="59"/>
        <v>2.1432409958912935</v>
      </c>
      <c r="U49" s="17">
        <f t="shared" si="59"/>
        <v>2.4713832666765967</v>
      </c>
      <c r="W49" t="str">
        <f>$A$11</f>
        <v>Administrative and secretarial occupations</v>
      </c>
      <c r="X49" s="17">
        <f t="shared" si="47"/>
        <v>-2.1584900610663205</v>
      </c>
      <c r="Y49" s="17">
        <f t="shared" si="48"/>
        <v>-0.40143526100001603</v>
      </c>
      <c r="Z49" s="17">
        <f t="shared" si="49"/>
        <v>-1.3103428667683548</v>
      </c>
      <c r="AA49" s="17">
        <f t="shared" si="50"/>
        <v>-1.4571750211747059</v>
      </c>
      <c r="AB49" s="17">
        <f t="shared" si="57"/>
        <v>-1.4082552590353403</v>
      </c>
      <c r="AD49" s="17">
        <f t="shared" ref="AD49:AF49" si="60">IF($F$6-$D$6 &lt;&gt; 0,(EXP(LN(1+(AD29/100))/($F$6-$D$6))-1)*100,0)</f>
        <v>-1.4082552590353403</v>
      </c>
      <c r="AE49" s="17">
        <f t="shared" si="60"/>
        <v>2.8097313966355619</v>
      </c>
      <c r="AF49" s="17">
        <f t="shared" si="60"/>
        <v>1.8872161243303598</v>
      </c>
    </row>
    <row r="50" spans="1:32" x14ac:dyDescent="0.2">
      <c r="A50" t="str">
        <f>$A$12</f>
        <v>Skilled trades occupations</v>
      </c>
      <c r="B50" s="17">
        <f t="shared" si="42"/>
        <v>-0.70685789398362564</v>
      </c>
      <c r="C50" s="17">
        <f t="shared" si="42"/>
        <v>-13.643998283629555</v>
      </c>
      <c r="D50" s="17">
        <f t="shared" si="42"/>
        <v>-0.55899693736722877</v>
      </c>
      <c r="E50" s="17">
        <f t="shared" si="42"/>
        <v>-0.67166427655136474</v>
      </c>
      <c r="F50" s="17">
        <f t="shared" si="54"/>
        <v>-0.6341226876224404</v>
      </c>
      <c r="H50" s="17">
        <f t="shared" si="51"/>
        <v>-0.6341226876224404</v>
      </c>
      <c r="I50" s="17">
        <f t="shared" si="51"/>
        <v>2.2797127786941207</v>
      </c>
      <c r="J50" s="17">
        <f t="shared" si="51"/>
        <v>1.8231886387478191</v>
      </c>
      <c r="L50" t="str">
        <f>$A$12</f>
        <v>Skilled trades occupations</v>
      </c>
      <c r="M50" s="17">
        <f t="shared" si="43"/>
        <v>-0.4296110782082696</v>
      </c>
      <c r="N50" s="17">
        <f t="shared" si="44"/>
        <v>-16.742284021503018</v>
      </c>
      <c r="O50" s="17">
        <f t="shared" si="45"/>
        <v>-0.85491333196272556</v>
      </c>
      <c r="P50" s="17">
        <f t="shared" si="46"/>
        <v>-0.87468041735754287</v>
      </c>
      <c r="Q50" s="17">
        <f t="shared" si="55"/>
        <v>-0.86809182682801023</v>
      </c>
      <c r="S50" s="17">
        <f t="shared" ref="S50:U50" si="61">IF($F$6-$D$6 &lt;&gt; 0,(EXP(LN(1+(S30/100))/($F$6-$D$6))-1)*100,0)</f>
        <v>-0.86809182682801023</v>
      </c>
      <c r="T50" s="17">
        <f t="shared" si="61"/>
        <v>2.0954238766084599</v>
      </c>
      <c r="U50" s="17">
        <f t="shared" si="61"/>
        <v>1.4568749712120077</v>
      </c>
      <c r="W50" t="str">
        <f>$A$12</f>
        <v>Skilled trades occupations</v>
      </c>
      <c r="X50" s="17">
        <f t="shared" si="47"/>
        <v>-3.1912288189715143</v>
      </c>
      <c r="Y50" s="17">
        <f t="shared" si="48"/>
        <v>16.15366646274401</v>
      </c>
      <c r="Z50" s="17">
        <f t="shared" si="49"/>
        <v>1.390875118368684</v>
      </c>
      <c r="AA50" s="17">
        <f t="shared" si="50"/>
        <v>0.50355395541143988</v>
      </c>
      <c r="AB50" s="17">
        <f t="shared" si="57"/>
        <v>0.79846148299227426</v>
      </c>
      <c r="AD50" s="17">
        <f t="shared" ref="AD50:AF50" si="62">IF($F$6-$D$6 &lt;&gt; 0,(EXP(LN(1+(AD30/100))/($F$6-$D$6))-1)*100,0)</f>
        <v>0.79846148299227426</v>
      </c>
      <c r="AE50" s="17">
        <f t="shared" si="62"/>
        <v>3.4377968372323098</v>
      </c>
      <c r="AF50" s="17">
        <f t="shared" si="62"/>
        <v>3.9461624416122776</v>
      </c>
    </row>
    <row r="51" spans="1:32" x14ac:dyDescent="0.2">
      <c r="A51" t="str">
        <f>$A$13</f>
        <v>Caring, leisure and other service occupations</v>
      </c>
      <c r="B51" s="17">
        <f t="shared" si="42"/>
        <v>-1.0170600994804824</v>
      </c>
      <c r="C51" s="17">
        <f t="shared" si="42"/>
        <v>0.59566973343074814</v>
      </c>
      <c r="D51" s="17">
        <f t="shared" si="42"/>
        <v>1.0186891921518892</v>
      </c>
      <c r="E51" s="17">
        <f t="shared" si="42"/>
        <v>0.4471361175027333</v>
      </c>
      <c r="F51" s="17">
        <f t="shared" si="54"/>
        <v>0.63729359287270082</v>
      </c>
      <c r="H51" s="17">
        <f t="shared" si="51"/>
        <v>0.63729359287270082</v>
      </c>
      <c r="I51" s="17">
        <f t="shared" si="51"/>
        <v>3.1314796295557779</v>
      </c>
      <c r="J51" s="17">
        <f t="shared" si="51"/>
        <v>3.5521067791280503</v>
      </c>
      <c r="L51" t="str">
        <f>$A$13</f>
        <v>Caring, leisure and other service occupations</v>
      </c>
      <c r="M51" s="17">
        <f t="shared" si="43"/>
        <v>0.41131571914609921</v>
      </c>
      <c r="N51" s="17">
        <f t="shared" si="44"/>
        <v>0.41549669173808201</v>
      </c>
      <c r="O51" s="17">
        <f t="shared" si="45"/>
        <v>1.7489943100929217</v>
      </c>
      <c r="P51" s="17">
        <f t="shared" si="46"/>
        <v>1.0866565350162505</v>
      </c>
      <c r="Q51" s="17">
        <f t="shared" si="55"/>
        <v>1.306955345976557</v>
      </c>
      <c r="S51" s="17">
        <f t="shared" ref="S51:U51" si="63">IF($F$6-$D$6 &lt;&gt; 0,(EXP(LN(1+(S31/100))/($F$6-$D$6))-1)*100,0)</f>
        <v>1.306955345976557</v>
      </c>
      <c r="T51" s="17">
        <f t="shared" si="63"/>
        <v>2.6515796712015316</v>
      </c>
      <c r="U51" s="17">
        <f t="shared" si="63"/>
        <v>3.5837328106986588</v>
      </c>
      <c r="W51" t="str">
        <f>$A$13</f>
        <v>Caring, leisure and other service occupations</v>
      </c>
      <c r="X51" s="17">
        <f t="shared" si="47"/>
        <v>-1.3202745636906266</v>
      </c>
      <c r="Y51" s="17">
        <f t="shared" si="48"/>
        <v>0.63561183274074562</v>
      </c>
      <c r="Z51" s="17">
        <f t="shared" si="49"/>
        <v>0.85425670061958225</v>
      </c>
      <c r="AA51" s="17">
        <f t="shared" si="50"/>
        <v>0.29392921833957253</v>
      </c>
      <c r="AB51" s="17">
        <f t="shared" si="57"/>
        <v>0.48035829163419752</v>
      </c>
      <c r="AD51" s="17">
        <f t="shared" ref="AD51:AF51" si="64">IF($F$6-$D$6 &lt;&gt; 0,(EXP(LN(1+(AD31/100))/($F$6-$D$6))-1)*100,0)</f>
        <v>0.48035829163419752</v>
      </c>
      <c r="AE51" s="17">
        <f t="shared" si="64"/>
        <v>3.2335357119182007</v>
      </c>
      <c r="AF51" s="17">
        <f t="shared" si="64"/>
        <v>3.5450927197395954</v>
      </c>
    </row>
    <row r="52" spans="1:32" x14ac:dyDescent="0.2">
      <c r="A52" t="str">
        <f>$A$14</f>
        <v>Sales and customer service occupations</v>
      </c>
      <c r="B52" s="17">
        <f t="shared" si="42"/>
        <v>-2.0887834593807164</v>
      </c>
      <c r="C52" s="17">
        <f t="shared" si="42"/>
        <v>0.93606565395520924</v>
      </c>
      <c r="D52" s="17">
        <f t="shared" si="42"/>
        <v>8.9517921228132735E-2</v>
      </c>
      <c r="E52" s="17">
        <f t="shared" si="42"/>
        <v>0.16968670380959061</v>
      </c>
      <c r="F52" s="17">
        <f t="shared" si="54"/>
        <v>0.14295664405947761</v>
      </c>
      <c r="H52" s="17">
        <f t="shared" si="51"/>
        <v>0.14295664405947761</v>
      </c>
      <c r="I52" s="17">
        <f t="shared" si="51"/>
        <v>2.7390684488609596</v>
      </c>
      <c r="J52" s="17">
        <f t="shared" si="51"/>
        <v>2.8373217410658569</v>
      </c>
      <c r="L52" t="str">
        <f>$A$14</f>
        <v>Sales and customer service occupations</v>
      </c>
      <c r="M52" s="17">
        <f t="shared" si="43"/>
        <v>-1.1277548667320669</v>
      </c>
      <c r="N52" s="17">
        <f t="shared" si="44"/>
        <v>1.6840301033477223</v>
      </c>
      <c r="O52" s="17">
        <f t="shared" si="45"/>
        <v>0.64969857429291178</v>
      </c>
      <c r="P52" s="17">
        <f t="shared" si="46"/>
        <v>0.6518736522730384</v>
      </c>
      <c r="Q52" s="17">
        <f t="shared" si="55"/>
        <v>0.65114862105701832</v>
      </c>
      <c r="S52" s="17">
        <f t="shared" ref="S52:U52" si="65">IF($F$6-$D$6 &lt;&gt; 0,(EXP(LN(1+(S32/100))/($F$6-$D$6))-1)*100,0)</f>
        <v>0.65114862105701832</v>
      </c>
      <c r="T52" s="17">
        <f t="shared" si="65"/>
        <v>2.0599345017797255</v>
      </c>
      <c r="U52" s="17">
        <f t="shared" si="65"/>
        <v>2.5551538561473075</v>
      </c>
      <c r="W52" t="str">
        <f>$A$14</f>
        <v>Sales and customer service occupations</v>
      </c>
      <c r="X52" s="17">
        <f t="shared" si="47"/>
        <v>-2.5515328187645459</v>
      </c>
      <c r="Y52" s="17">
        <f t="shared" si="48"/>
        <v>0.5626271200276145</v>
      </c>
      <c r="Z52" s="17">
        <f t="shared" si="49"/>
        <v>-0.19811581717814608</v>
      </c>
      <c r="AA52" s="17">
        <f t="shared" si="50"/>
        <v>-9.2905806587106898E-2</v>
      </c>
      <c r="AB52" s="17">
        <f t="shared" si="57"/>
        <v>-0.12798812781331659</v>
      </c>
      <c r="AD52" s="17">
        <f t="shared" ref="AD52:AF52" si="66">IF($F$6-$D$6 &lt;&gt; 0,(EXP(LN(1+(AD32/100))/($F$6-$D$6))-1)*100,0)</f>
        <v>-0.12798812781331659</v>
      </c>
      <c r="AE52" s="17">
        <f t="shared" si="66"/>
        <v>3.0594164302239379</v>
      </c>
      <c r="AF52" s="17">
        <f t="shared" si="66"/>
        <v>2.9757557128383016</v>
      </c>
    </row>
    <row r="53" spans="1:32" x14ac:dyDescent="0.2">
      <c r="A53" t="str">
        <f>$A$15</f>
        <v>Process, plant and machine operatives</v>
      </c>
      <c r="B53" s="17">
        <f t="shared" si="42"/>
        <v>1.1962819876213171</v>
      </c>
      <c r="C53" s="17">
        <f t="shared" si="42"/>
        <v>-11.596232391017425</v>
      </c>
      <c r="D53" s="17">
        <f t="shared" si="42"/>
        <v>1.5173029970636742</v>
      </c>
      <c r="E53" s="17">
        <f t="shared" si="42"/>
        <v>-0.52086711220223902</v>
      </c>
      <c r="F53" s="17">
        <f t="shared" si="54"/>
        <v>0.1539351508893505</v>
      </c>
      <c r="H53" s="17">
        <f t="shared" si="51"/>
        <v>0.1539351508893505</v>
      </c>
      <c r="I53" s="17">
        <f t="shared" si="51"/>
        <v>2.6189225598868937</v>
      </c>
      <c r="J53" s="17">
        <f t="shared" si="51"/>
        <v>2.7264823624404411</v>
      </c>
      <c r="L53" t="str">
        <f>$A$15</f>
        <v>Process, plant and machine operatives</v>
      </c>
      <c r="M53" s="17">
        <f t="shared" si="43"/>
        <v>1.3352243965354837</v>
      </c>
      <c r="N53" s="17">
        <f t="shared" si="44"/>
        <v>-10.877560618199666</v>
      </c>
      <c r="O53" s="17">
        <f t="shared" si="45"/>
        <v>1.2640030054817952</v>
      </c>
      <c r="P53" s="17">
        <f t="shared" si="46"/>
        <v>-0.53835967039459476</v>
      </c>
      <c r="Q53" s="17">
        <f t="shared" si="55"/>
        <v>5.8834992965350885E-2</v>
      </c>
      <c r="S53" s="17">
        <f t="shared" ref="S53:U53" si="67">IF($F$6-$D$6 &lt;&gt; 0,(EXP(LN(1+(S33/100))/($F$6-$D$6))-1)*100,0)</f>
        <v>5.8834992965350885E-2</v>
      </c>
      <c r="T53" s="17">
        <f t="shared" si="67"/>
        <v>2.5555224866147919</v>
      </c>
      <c r="U53" s="17">
        <f t="shared" si="67"/>
        <v>2.5969006767863734</v>
      </c>
      <c r="W53" t="str">
        <f>$A$15</f>
        <v>Process, plant and machine operatives</v>
      </c>
      <c r="X53" s="17">
        <f t="shared" si="47"/>
        <v>2.5063154956872502E-2</v>
      </c>
      <c r="Y53" s="17">
        <f t="shared" si="48"/>
        <v>-17.855147786784809</v>
      </c>
      <c r="Z53" s="17">
        <f t="shared" si="49"/>
        <v>3.7943007163407927</v>
      </c>
      <c r="AA53" s="17">
        <f t="shared" si="50"/>
        <v>-0.37584240235486455</v>
      </c>
      <c r="AB53" s="17">
        <f t="shared" si="57"/>
        <v>0.99524890311875058</v>
      </c>
      <c r="AD53" s="17">
        <f t="shared" ref="AD53:AF53" si="68">IF($F$6-$D$6 &lt;&gt; 0,(EXP(LN(1+(AD33/100))/($F$6-$D$6))-1)*100,0)</f>
        <v>0.99524890311875058</v>
      </c>
      <c r="AE53" s="17">
        <f t="shared" si="68"/>
        <v>3.1924046570203979</v>
      </c>
      <c r="AF53" s="17">
        <f t="shared" si="68"/>
        <v>3.8499041879048068</v>
      </c>
    </row>
    <row r="54" spans="1:32" x14ac:dyDescent="0.2">
      <c r="A54" t="str">
        <f>$A$16</f>
        <v>Elementary occupations</v>
      </c>
      <c r="B54" s="17">
        <f t="shared" si="42"/>
        <v>-1.098636093629346</v>
      </c>
      <c r="C54" s="17">
        <f t="shared" si="42"/>
        <v>-6.5354382983942694</v>
      </c>
      <c r="D54" s="17">
        <f t="shared" si="42"/>
        <v>-0.3899509638511045</v>
      </c>
      <c r="E54" s="17">
        <f t="shared" si="42"/>
        <v>-8.9985534412873047E-2</v>
      </c>
      <c r="F54" s="17">
        <f t="shared" si="54"/>
        <v>-0.19007424513651783</v>
      </c>
      <c r="H54" s="17">
        <f t="shared" si="51"/>
        <v>-0.19007424513651783</v>
      </c>
      <c r="I54" s="17">
        <f t="shared" si="51"/>
        <v>2.5686495797663023</v>
      </c>
      <c r="J54" s="17">
        <f t="shared" si="51"/>
        <v>2.4359473872900717</v>
      </c>
      <c r="L54" t="str">
        <f>$A$16</f>
        <v>Elementary occupations</v>
      </c>
      <c r="M54" s="17">
        <f t="shared" si="43"/>
        <v>0.51469310362677323</v>
      </c>
      <c r="N54" s="17">
        <f t="shared" si="44"/>
        <v>-6.7438321351676151</v>
      </c>
      <c r="O54" s="17">
        <f t="shared" si="45"/>
        <v>9.9148534798554344E-2</v>
      </c>
      <c r="P54" s="17">
        <f t="shared" si="46"/>
        <v>-0.43513582308614129</v>
      </c>
      <c r="Q54" s="17">
        <f t="shared" si="55"/>
        <v>-0.25735865451338436</v>
      </c>
      <c r="S54" s="17">
        <f t="shared" ref="S54:U54" si="69">IF($F$6-$D$6 &lt;&gt; 0,(EXP(LN(1+(S34/100))/($F$6-$D$6))-1)*100,0)</f>
        <v>-0.25735865451338436</v>
      </c>
      <c r="T54" s="17">
        <f t="shared" si="69"/>
        <v>2.1640738738461618</v>
      </c>
      <c r="U54" s="17">
        <f t="shared" si="69"/>
        <v>1.9743182538611848</v>
      </c>
      <c r="W54" t="str">
        <f>$A$16</f>
        <v>Elementary occupations</v>
      </c>
      <c r="X54" s="17">
        <f t="shared" si="47"/>
        <v>-2.9200907163416723</v>
      </c>
      <c r="Y54" s="17">
        <f t="shared" si="48"/>
        <v>-6.2787811130731281</v>
      </c>
      <c r="Z54" s="17">
        <f t="shared" si="49"/>
        <v>-1.0027438914671949</v>
      </c>
      <c r="AA54" s="17">
        <f t="shared" si="50"/>
        <v>0.34168454799492487</v>
      </c>
      <c r="AB54" s="17">
        <f t="shared" si="57"/>
        <v>-0.10847477886577472</v>
      </c>
      <c r="AD54" s="17">
        <f t="shared" ref="AD54:AF54" si="70">IF($F$6-$D$6 &lt;&gt; 0,(EXP(LN(1+(AD34/100))/($F$6-$D$6))-1)*100,0)</f>
        <v>-0.10847477886577472</v>
      </c>
      <c r="AE54" s="17">
        <f t="shared" si="70"/>
        <v>3.0358013035552078</v>
      </c>
      <c r="AF54" s="17">
        <f t="shared" si="70"/>
        <v>2.9646310391091557</v>
      </c>
    </row>
    <row r="55" spans="1:32" x14ac:dyDescent="0.2">
      <c r="B55" s="17"/>
      <c r="C55" s="17"/>
      <c r="D55" s="17"/>
      <c r="E55" s="17"/>
      <c r="F55" s="17"/>
      <c r="H55" s="17"/>
      <c r="I55" s="17"/>
      <c r="J55" s="17"/>
      <c r="M55" s="17"/>
      <c r="N55" s="17"/>
      <c r="O55" s="17"/>
      <c r="P55" s="17"/>
      <c r="Q55" s="17"/>
      <c r="S55" s="17"/>
      <c r="T55" s="17"/>
      <c r="U55" s="17"/>
      <c r="X55" s="17"/>
      <c r="Y55" s="17"/>
      <c r="Z55" s="17"/>
      <c r="AA55" s="17"/>
      <c r="AB55" s="17"/>
      <c r="AD55" s="17"/>
      <c r="AE55" s="17"/>
      <c r="AF55" s="17"/>
    </row>
    <row r="56" spans="1:32" x14ac:dyDescent="0.2">
      <c r="A56" s="23" t="str">
        <f>$A$18</f>
        <v>All occupations</v>
      </c>
      <c r="B56" s="25">
        <f>IF(C$6-B$6 &lt;&gt; 0,(EXP(LN(C18/B18)/(C$6-B$6))-1)*100,0)</f>
        <v>-0.26675580585352465</v>
      </c>
      <c r="C56" s="25">
        <f>IF(D$6-C$6 &lt;&gt; 0,(EXP(LN(D18/C18)/(D$6-C$6))-1)*100,0)</f>
        <v>-0.46272893746281962</v>
      </c>
      <c r="D56" s="25">
        <f>IF(E$6-D$6 &lt;&gt; 0,(EXP(LN(E18/D18)/(E$6-D$6))-1)*100,0)</f>
        <v>0.32473787001079391</v>
      </c>
      <c r="E56" s="25">
        <f>IF(F$6-E$6 &lt;&gt; 0,(EXP(LN(F18/E18)/(F$6-E$6))-1)*100,0)</f>
        <v>0.34391559747728451</v>
      </c>
      <c r="F56" s="25">
        <f t="shared" si="54"/>
        <v>0.33752261436219566</v>
      </c>
      <c r="H56" s="25">
        <f t="shared" si="51"/>
        <v>0.33752261436219566</v>
      </c>
      <c r="I56" s="25">
        <f t="shared" ref="I56" si="71">IF($F$6-$D$6 &lt;&gt; 0,(EXP(LN(1+(I36/100))/($F$6-$D$6))-1)*100,0)</f>
        <v>2.7491381065133158</v>
      </c>
      <c r="J56" s="25">
        <f t="shared" ref="J56" si="72">IF($F$6-$D$6 &lt;&gt; 0,(EXP(LN(1+(J36/100))/($F$6-$D$6))-1)*100,0)</f>
        <v>2.9818400054912209</v>
      </c>
      <c r="L56" s="23" t="str">
        <f>$A$18</f>
        <v>All occupations</v>
      </c>
      <c r="M56" s="25">
        <f>IF(N$6-M$6 &lt;&gt; 0,(EXP(LN(N18/M18)/(N$6-M$6))-1)*100,0)</f>
        <v>0.26142834393183545</v>
      </c>
      <c r="N56" s="25">
        <f>IF(O$6-N$6 &lt;&gt; 0,(EXP(LN(O18/N18)/(O$6-N$6))-1)*100,0)</f>
        <v>-3.6019722098574403</v>
      </c>
      <c r="O56" s="25">
        <f>IF(P$6-O$6 &lt;&gt; 0,(EXP(LN(P18/O18)/(P$6-O$6))-1)*100,0)</f>
        <v>0.15591469969580274</v>
      </c>
      <c r="P56" s="25">
        <f>IF(Q$6-P$6 &lt;&gt; 0,(EXP(LN(Q18/P18)/(Q$6-P$6))-1)*100,0)</f>
        <v>0.21684626473816859</v>
      </c>
      <c r="Q56" s="25">
        <f t="shared" ref="Q56" si="73">IF(Q$6-O$6 &lt;&gt; 0,(EXP(LN(Q18/O18)/(Q$6-O$6))-1)*100,0)</f>
        <v>0.19653162541948266</v>
      </c>
      <c r="S56" s="25">
        <f t="shared" ref="S56:U56" si="74">IF($F$6-$D$6 &lt;&gt; 0,(EXP(LN(1+(S36/100))/($F$6-$D$6))-1)*100,0)</f>
        <v>0.19653162541946045</v>
      </c>
      <c r="T56" s="25">
        <f t="shared" si="74"/>
        <v>2.2853807969329676</v>
      </c>
      <c r="U56" s="25">
        <f t="shared" si="74"/>
        <v>2.4291772375344189</v>
      </c>
      <c r="W56" s="23" t="str">
        <f>$A$18</f>
        <v>All occupations</v>
      </c>
      <c r="X56" s="25">
        <f>IF(Y$6-X$6 &lt;&gt; 0,(EXP(LN(Y18/X18)/(Y$6-X$6))-1)*100,0)</f>
        <v>-0.80941366763024325</v>
      </c>
      <c r="Y56" s="25">
        <f>IF(Z$6-Y$6 &lt;&gt; 0,(EXP(LN(Z18/Y18)/(Z$6-Y$6))-1)*100,0)</f>
        <v>2.8502966407126573</v>
      </c>
      <c r="Z56" s="25">
        <f>IF(AA$6-Z$6 &lt;&gt; 0,(EXP(LN(AA18/Z18)/(AA$6-Z$6))-1)*100,0)</f>
        <v>0.49061888206123339</v>
      </c>
      <c r="AA56" s="25">
        <f>IF(AB$6-AA$6 &lt;&gt; 0,(EXP(LN(AB18/AA18)/(AB$6-AA$6))-1)*100,0)</f>
        <v>0.46615271827747939</v>
      </c>
      <c r="AB56" s="25">
        <f t="shared" ref="AB56" si="75">IF(AB$6-Z$6 &lt;&gt; 0,(EXP(LN(AB18/Z18)/(AB$6-Z$6))-1)*100,0)</f>
        <v>0.4743074442774331</v>
      </c>
      <c r="AD56" s="25">
        <f t="shared" ref="AD56:AF56" si="76">IF($F$6-$D$6 &lt;&gt; 0,(EXP(LN(1+(AD36/100))/($F$6-$D$6))-1)*100,0)</f>
        <v>0.4743074442774331</v>
      </c>
      <c r="AE56" s="25">
        <f t="shared" si="76"/>
        <v>3.1807265512586946</v>
      </c>
      <c r="AF56" s="25">
        <f t="shared" si="76"/>
        <v>3.4904732899206481</v>
      </c>
    </row>
    <row r="57" spans="1:32" x14ac:dyDescent="0.2">
      <c r="B57" s="17"/>
      <c r="C57" s="17"/>
      <c r="D57" s="17"/>
      <c r="E57" s="17"/>
      <c r="F57" s="17"/>
      <c r="M57" s="17"/>
      <c r="N57" s="17"/>
      <c r="O57" s="17"/>
      <c r="P57" s="17"/>
      <c r="Q57" s="17"/>
      <c r="X57" s="17"/>
      <c r="Y57" s="17"/>
      <c r="Z57" s="17"/>
      <c r="AA57" s="17"/>
      <c r="AB57" s="17"/>
    </row>
    <row r="58" spans="1:32" x14ac:dyDescent="0.2">
      <c r="B58" s="17"/>
      <c r="C58" s="17"/>
      <c r="D58" s="17"/>
      <c r="E58" s="17"/>
      <c r="F58" s="17"/>
      <c r="M58" s="17"/>
      <c r="N58" s="17"/>
      <c r="O58" s="17"/>
      <c r="P58" s="17"/>
      <c r="Q58" s="17"/>
      <c r="X58" s="17"/>
      <c r="Y58" s="17"/>
      <c r="Z58" s="17"/>
      <c r="AA58" s="17"/>
      <c r="AB58" s="17"/>
    </row>
    <row r="59" spans="1:32" x14ac:dyDescent="0.2">
      <c r="B59" s="17"/>
      <c r="C59" s="17"/>
      <c r="D59" s="17"/>
      <c r="E59" s="17"/>
      <c r="F59" s="15" t="s">
        <v>35</v>
      </c>
      <c r="M59" s="17"/>
      <c r="N59" s="17"/>
      <c r="O59" s="17"/>
      <c r="P59" s="17"/>
      <c r="Q59" s="15" t="s">
        <v>35</v>
      </c>
      <c r="X59" s="17"/>
      <c r="Y59" s="17"/>
      <c r="Z59" s="17"/>
      <c r="AA59" s="17"/>
      <c r="AB59" s="15" t="s">
        <v>35</v>
      </c>
    </row>
    <row r="60" spans="1:32" x14ac:dyDescent="0.2">
      <c r="A60" s="35"/>
      <c r="B60" s="65"/>
      <c r="C60" s="65"/>
      <c r="D60" s="65"/>
      <c r="E60" s="65"/>
      <c r="F60" s="65"/>
      <c r="L60" s="35"/>
      <c r="M60" s="65"/>
      <c r="N60" s="65"/>
      <c r="O60" s="65"/>
      <c r="P60" s="65"/>
      <c r="Q60" s="65"/>
      <c r="W60" s="35"/>
      <c r="X60" s="65"/>
      <c r="Y60" s="65"/>
      <c r="Z60" s="65"/>
      <c r="AA60" s="65"/>
      <c r="AB60" s="65"/>
    </row>
    <row r="62" spans="1:32" x14ac:dyDescent="0.2">
      <c r="A62" s="40" t="s">
        <v>15</v>
      </c>
      <c r="B62" s="63" t="str">
        <f>CONCATENATE(B$6,"-",C$6)</f>
        <v>2015-2019</v>
      </c>
      <c r="C62" s="63" t="str">
        <f>CONCATENATE(C$6,"-",D$6)</f>
        <v>2019-2020</v>
      </c>
      <c r="D62" s="63" t="str">
        <f>CONCATENATE(D$6,"-",E$6)</f>
        <v>2020-2025</v>
      </c>
      <c r="E62" s="63" t="str">
        <f>CONCATENATE(E$6,"-",F$6)</f>
        <v>2025-2035</v>
      </c>
      <c r="F62" s="63" t="str">
        <f>CONCATENATE(D$6,"-",F$6)</f>
        <v>2020-2035</v>
      </c>
      <c r="L62" s="40" t="s">
        <v>15</v>
      </c>
      <c r="M62" s="63" t="str">
        <f>CONCATENATE(M$6,"-",N$6)</f>
        <v>2015-2019</v>
      </c>
      <c r="N62" s="63" t="str">
        <f>CONCATENATE(N$6,"-",O$6)</f>
        <v>2019-2020</v>
      </c>
      <c r="O62" s="63" t="str">
        <f>CONCATENATE(O$6,"-",P$6)</f>
        <v>2020-2025</v>
      </c>
      <c r="P62" s="63" t="str">
        <f>CONCATENATE(P$6,"-",Q$6)</f>
        <v>2025-2035</v>
      </c>
      <c r="Q62" s="63" t="str">
        <f>CONCATENATE(O$6,"-",Q$6)</f>
        <v>2020-2035</v>
      </c>
      <c r="W62" s="40" t="s">
        <v>15</v>
      </c>
      <c r="X62" s="63" t="str">
        <f>CONCATENATE(X$6,"-",Y$6)</f>
        <v>2015-2019</v>
      </c>
      <c r="Y62" s="63" t="str">
        <f>CONCATENATE(Y$6,"-",Z$6)</f>
        <v>2019-2020</v>
      </c>
      <c r="Z62" s="63" t="str">
        <f>CONCATENATE(Z$6,"-",AA$6)</f>
        <v>2020-2025</v>
      </c>
      <c r="AA62" s="63" t="str">
        <f>CONCATENATE(AA$6,"-",AB$6)</f>
        <v>2025-2035</v>
      </c>
      <c r="AB62" s="63" t="str">
        <f>CONCATENATE(Z$6,"-",AB$6)</f>
        <v>2020-2035</v>
      </c>
    </row>
    <row r="63" spans="1:32" x14ac:dyDescent="0.2">
      <c r="A63" s="1"/>
      <c r="B63" s="19"/>
      <c r="C63" s="19"/>
      <c r="D63" s="19"/>
      <c r="E63" s="19"/>
      <c r="F63" s="19"/>
      <c r="L63" s="1"/>
      <c r="M63" s="19"/>
      <c r="N63" s="19"/>
      <c r="O63" s="19"/>
      <c r="P63" s="19"/>
      <c r="Q63" s="19"/>
      <c r="W63" s="1"/>
      <c r="X63" s="19"/>
      <c r="Y63" s="19"/>
      <c r="Z63" s="19"/>
      <c r="AA63" s="19"/>
      <c r="AB63" s="19"/>
    </row>
    <row r="64" spans="1:32" x14ac:dyDescent="0.2">
      <c r="A64" t="str">
        <f>$A$8</f>
        <v>Managers, directors and senior officials</v>
      </c>
      <c r="B64" s="26">
        <f t="shared" ref="B64:E72" si="77">C8-B8</f>
        <v>11.123959572764221</v>
      </c>
      <c r="C64" s="26">
        <f t="shared" si="77"/>
        <v>2.7195437094619024E-2</v>
      </c>
      <c r="D64" s="26">
        <f t="shared" si="77"/>
        <v>2.4716873329926585</v>
      </c>
      <c r="E64" s="26">
        <f t="shared" si="77"/>
        <v>13.910448607688892</v>
      </c>
      <c r="F64" s="26">
        <f>F8-D8</f>
        <v>16.38213594068155</v>
      </c>
      <c r="L64" t="str">
        <f>$A$8</f>
        <v>Managers, directors and senior officials</v>
      </c>
      <c r="M64" s="26">
        <f t="shared" ref="M64:M72" si="78">N8-M8</f>
        <v>6.4645780746735682</v>
      </c>
      <c r="N64" s="26">
        <f t="shared" ref="N64:N72" si="79">O8-N8</f>
        <v>-2.5967627770225619</v>
      </c>
      <c r="O64" s="26">
        <f t="shared" ref="O64:O72" si="80">P8-O8</f>
        <v>0.35618494734582384</v>
      </c>
      <c r="P64" s="26">
        <f t="shared" ref="P64:P72" si="81">Q8-P8</f>
        <v>6.8875372184708397</v>
      </c>
      <c r="Q64" s="26">
        <f>Q8-O8</f>
        <v>7.2437221658166635</v>
      </c>
      <c r="W64" t="str">
        <f>$A$8</f>
        <v>Managers, directors and senior officials</v>
      </c>
      <c r="X64" s="26">
        <f t="shared" ref="X64:X72" si="82">Y8-X8</f>
        <v>4.6593814980905961</v>
      </c>
      <c r="Y64" s="26">
        <f t="shared" ref="Y64:Y72" si="83">Z8-Y8</f>
        <v>2.6239582141173159</v>
      </c>
      <c r="Z64" s="26">
        <f t="shared" ref="Z64:Z72" si="84">AA8-Z8</f>
        <v>2.115502385646792</v>
      </c>
      <c r="AA64" s="26">
        <f t="shared" ref="AA64:AA72" si="85">AB8-AA8</f>
        <v>7.02291138921791</v>
      </c>
      <c r="AB64" s="26">
        <f>AB8-Z8</f>
        <v>9.1384137748647021</v>
      </c>
    </row>
    <row r="65" spans="1:31" x14ac:dyDescent="0.2">
      <c r="A65" t="str">
        <f>$A$9</f>
        <v>Professional occupations</v>
      </c>
      <c r="B65" s="26">
        <f t="shared" si="77"/>
        <v>6.1821375815614772</v>
      </c>
      <c r="C65" s="26">
        <f t="shared" si="77"/>
        <v>17.081374312415051</v>
      </c>
      <c r="D65" s="26">
        <f t="shared" si="77"/>
        <v>21.584349776353406</v>
      </c>
      <c r="E65" s="26">
        <f t="shared" si="77"/>
        <v>30.448516035270927</v>
      </c>
      <c r="F65" s="26">
        <f t="shared" ref="F65:F72" si="86">F9-D9</f>
        <v>52.032865811624333</v>
      </c>
      <c r="L65" t="str">
        <f>$A$9</f>
        <v>Professional occupations</v>
      </c>
      <c r="M65" s="26">
        <f t="shared" si="78"/>
        <v>-1.2783055215442545</v>
      </c>
      <c r="N65" s="26">
        <f t="shared" si="79"/>
        <v>5.0305732177739912</v>
      </c>
      <c r="O65" s="26">
        <f t="shared" si="80"/>
        <v>7.2589796512073974</v>
      </c>
      <c r="P65" s="26">
        <f t="shared" si="81"/>
        <v>9.959221779263757</v>
      </c>
      <c r="Q65" s="26">
        <f t="shared" ref="Q65:Q72" si="87">Q9-O9</f>
        <v>17.218201430471154</v>
      </c>
      <c r="W65" t="str">
        <f>$A$9</f>
        <v>Professional occupations</v>
      </c>
      <c r="X65" s="26">
        <f t="shared" si="82"/>
        <v>7.4604431031060159</v>
      </c>
      <c r="Y65" s="26">
        <f t="shared" si="83"/>
        <v>12.050801094640761</v>
      </c>
      <c r="Z65" s="26">
        <f t="shared" si="84"/>
        <v>14.325370125146037</v>
      </c>
      <c r="AA65" s="26">
        <f t="shared" si="85"/>
        <v>20.489294256007327</v>
      </c>
      <c r="AB65" s="26">
        <f t="shared" ref="AB65:AB72" si="88">AB9-Z9</f>
        <v>34.814664381153364</v>
      </c>
    </row>
    <row r="66" spans="1:31" x14ac:dyDescent="0.2">
      <c r="A66" t="str">
        <f>$A$10</f>
        <v>Associate professional occupations</v>
      </c>
      <c r="B66" s="26">
        <f t="shared" si="77"/>
        <v>4.3012076038672262</v>
      </c>
      <c r="C66" s="26">
        <f t="shared" si="77"/>
        <v>6.9037911445139457</v>
      </c>
      <c r="D66" s="26">
        <f t="shared" si="77"/>
        <v>-4.3116002897270675</v>
      </c>
      <c r="E66" s="26">
        <f t="shared" si="77"/>
        <v>10.897637631607807</v>
      </c>
      <c r="F66" s="26">
        <f t="shared" si="86"/>
        <v>6.5860373418807399</v>
      </c>
      <c r="L66" t="str">
        <f>$A$10</f>
        <v>Associate professional occupations</v>
      </c>
      <c r="M66" s="26">
        <f t="shared" si="78"/>
        <v>3.1614252192485424</v>
      </c>
      <c r="N66" s="26">
        <f t="shared" si="79"/>
        <v>1.9580555267912558</v>
      </c>
      <c r="O66" s="26">
        <f t="shared" si="80"/>
        <v>-5.9084074769963166</v>
      </c>
      <c r="P66" s="26">
        <f t="shared" si="81"/>
        <v>1.7278079222506619</v>
      </c>
      <c r="Q66" s="26">
        <f t="shared" si="87"/>
        <v>-4.1805995547456547</v>
      </c>
      <c r="W66" t="str">
        <f>$A$10</f>
        <v>Associate professional occupations</v>
      </c>
      <c r="X66" s="26">
        <f t="shared" si="82"/>
        <v>1.1397823846187123</v>
      </c>
      <c r="Y66" s="26">
        <f t="shared" si="83"/>
        <v>4.9457356177226472</v>
      </c>
      <c r="Z66" s="26">
        <f t="shared" si="84"/>
        <v>1.5968071872692917</v>
      </c>
      <c r="AA66" s="26">
        <f t="shared" si="85"/>
        <v>9.1698297093569892</v>
      </c>
      <c r="AB66" s="26">
        <f t="shared" si="88"/>
        <v>10.766636896626281</v>
      </c>
    </row>
    <row r="67" spans="1:31" x14ac:dyDescent="0.2">
      <c r="A67" t="str">
        <f>$A$11</f>
        <v>Administrative and secretarial occupations</v>
      </c>
      <c r="B67" s="26">
        <f t="shared" si="77"/>
        <v>-12.736778083883834</v>
      </c>
      <c r="C67" s="26">
        <f t="shared" si="77"/>
        <v>5.6770869133974458</v>
      </c>
      <c r="D67" s="26">
        <f t="shared" si="77"/>
        <v>-7.2880222905162526</v>
      </c>
      <c r="E67" s="26">
        <f t="shared" si="77"/>
        <v>-8.179871067265907</v>
      </c>
      <c r="F67" s="26">
        <f t="shared" si="86"/>
        <v>-15.46789335778216</v>
      </c>
      <c r="L67" t="str">
        <f>$A$11</f>
        <v>Administrative and secretarial occupations</v>
      </c>
      <c r="M67" s="26">
        <f t="shared" si="78"/>
        <v>-4.1020480884760175</v>
      </c>
      <c r="N67" s="26">
        <f t="shared" si="79"/>
        <v>6.0571300212047348</v>
      </c>
      <c r="O67" s="26">
        <f t="shared" si="80"/>
        <v>-1.2701327520022332</v>
      </c>
      <c r="P67" s="26">
        <f t="shared" si="81"/>
        <v>3.8715655259767843</v>
      </c>
      <c r="Q67" s="26">
        <f t="shared" si="87"/>
        <v>2.6014327739745511</v>
      </c>
      <c r="W67" t="str">
        <f>$A$11</f>
        <v>Administrative and secretarial occupations</v>
      </c>
      <c r="X67" s="26">
        <f t="shared" si="82"/>
        <v>-8.6347299954080086</v>
      </c>
      <c r="Y67" s="26">
        <f t="shared" si="83"/>
        <v>-0.38004310780721084</v>
      </c>
      <c r="Z67" s="26">
        <f t="shared" si="84"/>
        <v>-6.0178895385139413</v>
      </c>
      <c r="AA67" s="26">
        <f t="shared" si="85"/>
        <v>-12.051436593242641</v>
      </c>
      <c r="AB67" s="26">
        <f t="shared" si="88"/>
        <v>-18.069326131756583</v>
      </c>
    </row>
    <row r="68" spans="1:31" x14ac:dyDescent="0.2">
      <c r="A68" t="str">
        <f>$A$12</f>
        <v>Skilled trades occupations</v>
      </c>
      <c r="B68" s="26">
        <f t="shared" si="77"/>
        <v>-3.6675399726937883</v>
      </c>
      <c r="C68" s="26">
        <f t="shared" si="77"/>
        <v>-17.386368688268504</v>
      </c>
      <c r="D68" s="26">
        <f t="shared" si="77"/>
        <v>-3.041472034000563</v>
      </c>
      <c r="E68" s="26">
        <f t="shared" si="77"/>
        <v>-6.9734880955301151</v>
      </c>
      <c r="F68" s="26">
        <f t="shared" si="86"/>
        <v>-10.014960129530678</v>
      </c>
      <c r="L68" t="str">
        <f>$A$12</f>
        <v>Skilled trades occupations</v>
      </c>
      <c r="M68" s="26">
        <f t="shared" si="78"/>
        <v>-2.0050352158631313</v>
      </c>
      <c r="N68" s="26">
        <f t="shared" si="79"/>
        <v>-19.32509885846639</v>
      </c>
      <c r="O68" s="26">
        <f t="shared" si="80"/>
        <v>-4.038294745493971</v>
      </c>
      <c r="P68" s="26">
        <f t="shared" si="81"/>
        <v>-7.7429393883603694</v>
      </c>
      <c r="Q68" s="26">
        <f t="shared" si="87"/>
        <v>-11.78123413385434</v>
      </c>
      <c r="W68" t="str">
        <f>$A$12</f>
        <v>Skilled trades occupations</v>
      </c>
      <c r="X68" s="26">
        <f t="shared" si="82"/>
        <v>-1.662504756830586</v>
      </c>
      <c r="Y68" s="26">
        <f t="shared" si="83"/>
        <v>1.9387301701979407</v>
      </c>
      <c r="Z68" s="26">
        <f t="shared" si="84"/>
        <v>0.99682271149331747</v>
      </c>
      <c r="AA68" s="26">
        <f t="shared" si="85"/>
        <v>0.76945129283032365</v>
      </c>
      <c r="AB68" s="26">
        <f t="shared" si="88"/>
        <v>1.7662740043236411</v>
      </c>
    </row>
    <row r="69" spans="1:31" x14ac:dyDescent="0.2">
      <c r="A69" t="str">
        <f>$A$13</f>
        <v>Caring, leisure and other service occupations</v>
      </c>
      <c r="B69" s="26">
        <f t="shared" si="77"/>
        <v>-4.7065620621612254</v>
      </c>
      <c r="C69" s="26">
        <f t="shared" si="77"/>
        <v>0.67169980449523337</v>
      </c>
      <c r="D69" s="26">
        <f t="shared" si="77"/>
        <v>5.896696116401003</v>
      </c>
      <c r="E69" s="26">
        <f t="shared" si="77"/>
        <v>5.444425285886993</v>
      </c>
      <c r="F69" s="26">
        <f t="shared" si="86"/>
        <v>11.341121402287996</v>
      </c>
      <c r="L69" t="str">
        <f>$A$13</f>
        <v>Caring, leisure and other service occupations</v>
      </c>
      <c r="M69" s="26">
        <f t="shared" si="78"/>
        <v>0.33322216773343527</v>
      </c>
      <c r="N69" s="26">
        <f t="shared" si="79"/>
        <v>8.5019437683978794E-2</v>
      </c>
      <c r="O69" s="26">
        <f t="shared" si="80"/>
        <v>1.8608038885204756</v>
      </c>
      <c r="P69" s="26">
        <f t="shared" si="81"/>
        <v>2.5575598820495564</v>
      </c>
      <c r="Q69" s="26">
        <f t="shared" si="87"/>
        <v>4.418363770570032</v>
      </c>
      <c r="W69" t="str">
        <f>$A$13</f>
        <v>Caring, leisure and other service occupations</v>
      </c>
      <c r="X69" s="26">
        <f t="shared" si="82"/>
        <v>-5.0397842298947069</v>
      </c>
      <c r="Y69" s="26">
        <f t="shared" si="83"/>
        <v>0.58668036681120839</v>
      </c>
      <c r="Z69" s="26">
        <f t="shared" si="84"/>
        <v>4.0358922278805522</v>
      </c>
      <c r="AA69" s="26">
        <f t="shared" si="85"/>
        <v>2.8868654038374046</v>
      </c>
      <c r="AB69" s="26">
        <f t="shared" si="88"/>
        <v>6.9227576317179569</v>
      </c>
    </row>
    <row r="70" spans="1:31" x14ac:dyDescent="0.2">
      <c r="A70" t="str">
        <f>$A$14</f>
        <v>Sales and customer service occupations</v>
      </c>
      <c r="B70" s="26">
        <f t="shared" si="77"/>
        <v>-10.994839805101918</v>
      </c>
      <c r="C70" s="26">
        <f t="shared" si="77"/>
        <v>1.1681590574685856</v>
      </c>
      <c r="D70" s="26">
        <f t="shared" si="77"/>
        <v>0.56480635983905358</v>
      </c>
      <c r="E70" s="26">
        <f t="shared" si="77"/>
        <v>2.163472667135153</v>
      </c>
      <c r="F70" s="26">
        <f t="shared" si="86"/>
        <v>2.7282790269742065</v>
      </c>
      <c r="L70" t="str">
        <f>$A$14</f>
        <v>Sales and customer service occupations</v>
      </c>
      <c r="M70" s="26">
        <f t="shared" si="78"/>
        <v>-1.9287534610861385</v>
      </c>
      <c r="N70" s="26">
        <f t="shared" si="79"/>
        <v>0.69984673862960989</v>
      </c>
      <c r="O70" s="26">
        <f t="shared" si="80"/>
        <v>1.3906919209471411</v>
      </c>
      <c r="P70" s="26">
        <f t="shared" si="81"/>
        <v>2.9302567919750686</v>
      </c>
      <c r="Q70" s="26">
        <f t="shared" si="87"/>
        <v>4.3209487129222097</v>
      </c>
      <c r="W70" t="str">
        <f>$A$14</f>
        <v>Sales and customer service occupations</v>
      </c>
      <c r="X70" s="26">
        <f t="shared" si="82"/>
        <v>-9.0660863440157584</v>
      </c>
      <c r="Y70" s="26">
        <f t="shared" si="83"/>
        <v>0.46831231883885494</v>
      </c>
      <c r="Z70" s="26">
        <f t="shared" si="84"/>
        <v>-0.82588556110800937</v>
      </c>
      <c r="AA70" s="26">
        <f t="shared" si="85"/>
        <v>-0.76678412483990144</v>
      </c>
      <c r="AB70" s="26">
        <f t="shared" si="88"/>
        <v>-1.5926696859479108</v>
      </c>
    </row>
    <row r="71" spans="1:31" x14ac:dyDescent="0.2">
      <c r="A71" t="str">
        <f>$A$15</f>
        <v>Process, plant and machine operatives</v>
      </c>
      <c r="B71" s="26">
        <f t="shared" si="77"/>
        <v>4.1320266320882411</v>
      </c>
      <c r="C71" s="26">
        <f t="shared" si="77"/>
        <v>-10.314768238935585</v>
      </c>
      <c r="D71" s="26">
        <f t="shared" si="77"/>
        <v>6.1494218089784169</v>
      </c>
      <c r="E71" s="26">
        <f t="shared" si="77"/>
        <v>-4.3140328522268305</v>
      </c>
      <c r="F71" s="26">
        <f t="shared" si="86"/>
        <v>1.8353889567515864</v>
      </c>
      <c r="L71" t="str">
        <f>$A$15</f>
        <v>Process, plant and machine operatives</v>
      </c>
      <c r="M71" s="26">
        <f t="shared" si="78"/>
        <v>4.1228477129722307</v>
      </c>
      <c r="N71" s="26">
        <f t="shared" si="79"/>
        <v>-8.6789639966247307</v>
      </c>
      <c r="O71" s="26">
        <f t="shared" si="80"/>
        <v>4.6091437285220707</v>
      </c>
      <c r="P71" s="26">
        <f t="shared" si="81"/>
        <v>-3.9789995900850101</v>
      </c>
      <c r="Q71" s="26">
        <f t="shared" si="87"/>
        <v>0.63014413843706052</v>
      </c>
      <c r="W71" t="str">
        <f>$A$15</f>
        <v>Process, plant and machine operatives</v>
      </c>
      <c r="X71" s="26">
        <f t="shared" si="82"/>
        <v>9.1789191159321604E-3</v>
      </c>
      <c r="Y71" s="26">
        <f t="shared" si="83"/>
        <v>-1.6358042423109511</v>
      </c>
      <c r="Z71" s="26">
        <f t="shared" si="84"/>
        <v>1.5402780804565124</v>
      </c>
      <c r="AA71" s="26">
        <f t="shared" si="85"/>
        <v>-0.33503326214188611</v>
      </c>
      <c r="AB71" s="26">
        <f t="shared" si="88"/>
        <v>1.2052448183146263</v>
      </c>
    </row>
    <row r="72" spans="1:31" x14ac:dyDescent="0.2">
      <c r="A72" t="str">
        <f>$A$16</f>
        <v>Elementary occupations</v>
      </c>
      <c r="B72" s="26">
        <f t="shared" si="77"/>
        <v>-6.4686114673150144</v>
      </c>
      <c r="C72" s="26">
        <f t="shared" si="77"/>
        <v>-9.3571697426677076</v>
      </c>
      <c r="D72" s="26">
        <f t="shared" si="77"/>
        <v>-2.5888667801792167</v>
      </c>
      <c r="E72" s="26">
        <f t="shared" si="77"/>
        <v>-1.1761082127864029</v>
      </c>
      <c r="F72" s="26">
        <f t="shared" si="86"/>
        <v>-3.7649749929656195</v>
      </c>
      <c r="L72" t="str">
        <f>$A$16</f>
        <v>Elementary occupations</v>
      </c>
      <c r="M72" s="26">
        <f t="shared" si="78"/>
        <v>1.6060691116293384</v>
      </c>
      <c r="N72" s="26">
        <f t="shared" si="79"/>
        <v>-5.3287993104973879</v>
      </c>
      <c r="O72" s="26">
        <f t="shared" si="80"/>
        <v>0.36603083812840964</v>
      </c>
      <c r="P72" s="26">
        <f t="shared" si="81"/>
        <v>-3.1600101413386312</v>
      </c>
      <c r="Q72" s="26">
        <f t="shared" si="87"/>
        <v>-2.7939793032102216</v>
      </c>
      <c r="W72" t="str">
        <f>$A$16</f>
        <v>Elementary occupations</v>
      </c>
      <c r="X72" s="26">
        <f t="shared" si="82"/>
        <v>-8.0746805789443954</v>
      </c>
      <c r="Y72" s="26">
        <f t="shared" si="83"/>
        <v>-4.0283704321701705</v>
      </c>
      <c r="Z72" s="26">
        <f t="shared" si="84"/>
        <v>-2.9548976183074984</v>
      </c>
      <c r="AA72" s="26">
        <f t="shared" si="85"/>
        <v>1.9839019285519655</v>
      </c>
      <c r="AB72" s="26">
        <f t="shared" si="88"/>
        <v>-0.97099568975553296</v>
      </c>
    </row>
    <row r="73" spans="1:31" x14ac:dyDescent="0.2">
      <c r="B73" s="26"/>
      <c r="C73" s="26"/>
      <c r="D73" s="26"/>
      <c r="E73" s="26"/>
      <c r="F73" s="26"/>
      <c r="M73" s="26"/>
      <c r="N73" s="26"/>
      <c r="O73" s="26"/>
      <c r="P73" s="26"/>
      <c r="Q73" s="26"/>
      <c r="X73" s="26"/>
      <c r="Y73" s="26"/>
      <c r="Z73" s="26"/>
      <c r="AA73" s="26"/>
      <c r="AB73" s="26"/>
    </row>
    <row r="74" spans="1:31" x14ac:dyDescent="0.2">
      <c r="A74" s="23" t="str">
        <f>$A$18</f>
        <v>All occupations</v>
      </c>
      <c r="B74" s="28">
        <f>C18-B18</f>
        <v>-12.835000000874516</v>
      </c>
      <c r="C74" s="28">
        <f t="shared" ref="C74" si="89">D18-C18</f>
        <v>-5.5290000004868034</v>
      </c>
      <c r="D74" s="28">
        <f>E18-D18</f>
        <v>19.437000000141325</v>
      </c>
      <c r="E74" s="28">
        <f>F18-E18</f>
        <v>42.220999999780361</v>
      </c>
      <c r="F74" s="28">
        <f>F18-D18</f>
        <v>61.657999999921685</v>
      </c>
      <c r="L74" s="23" t="str">
        <f>$A$18</f>
        <v>All occupations</v>
      </c>
      <c r="M74" s="28">
        <f>N18-M18</f>
        <v>6.3739999992877756</v>
      </c>
      <c r="N74" s="28">
        <f t="shared" ref="N74" si="90">O18-N18</f>
        <v>-22.099000000527667</v>
      </c>
      <c r="O74" s="28">
        <f>P18-O18</f>
        <v>4.6250000001788294</v>
      </c>
      <c r="P74" s="28">
        <f>Q18-P18</f>
        <v>13.052000000202725</v>
      </c>
      <c r="Q74" s="28">
        <f>Q18-O18</f>
        <v>17.677000000381554</v>
      </c>
      <c r="W74" s="23" t="str">
        <f>$A$18</f>
        <v>All occupations</v>
      </c>
      <c r="X74" s="28">
        <f>Y18-X18</f>
        <v>-19.209000000162291</v>
      </c>
      <c r="Y74" s="28">
        <f t="shared" ref="Y74" si="91">Z18-Y18</f>
        <v>16.570000000040523</v>
      </c>
      <c r="Z74" s="28">
        <f>AA18-Z18</f>
        <v>14.81199999996295</v>
      </c>
      <c r="AA74" s="28">
        <f>AB18-AA18</f>
        <v>29.168999999577522</v>
      </c>
      <c r="AB74" s="28">
        <f>AB18-Z18</f>
        <v>43.980999999540472</v>
      </c>
    </row>
    <row r="78" spans="1:31" x14ac:dyDescent="0.2">
      <c r="D78" s="1" t="s">
        <v>13</v>
      </c>
      <c r="H78" s="40" t="s">
        <v>41</v>
      </c>
      <c r="O78" s="1" t="s">
        <v>13</v>
      </c>
      <c r="S78" s="40" t="s">
        <v>41</v>
      </c>
      <c r="Z78" s="1" t="s">
        <v>13</v>
      </c>
      <c r="AD78" s="40" t="s">
        <v>41</v>
      </c>
    </row>
    <row r="79" spans="1:31" x14ac:dyDescent="0.2">
      <c r="A79" s="21"/>
      <c r="B79" s="22">
        <f>B6</f>
        <v>2015</v>
      </c>
      <c r="C79" s="22">
        <f>C6</f>
        <v>2019</v>
      </c>
      <c r="D79" s="22">
        <f>D6</f>
        <v>2020</v>
      </c>
      <c r="E79" s="22">
        <f>E6</f>
        <v>2025</v>
      </c>
      <c r="F79" s="22">
        <f>F6</f>
        <v>2035</v>
      </c>
      <c r="H79" s="74" t="str">
        <f>CONCATENATE(B$6,"-",D$6)</f>
        <v>2015-2020</v>
      </c>
      <c r="I79" s="74" t="str">
        <f>F44</f>
        <v>2020-2035</v>
      </c>
      <c r="L79" s="21"/>
      <c r="M79" s="22">
        <f>M6</f>
        <v>2015</v>
      </c>
      <c r="N79" s="22">
        <f>N6</f>
        <v>2019</v>
      </c>
      <c r="O79" s="22">
        <f>O6</f>
        <v>2020</v>
      </c>
      <c r="P79" s="22">
        <f>P6</f>
        <v>2025</v>
      </c>
      <c r="Q79" s="22">
        <f>Q6</f>
        <v>2035</v>
      </c>
      <c r="S79" s="74" t="str">
        <f>CONCATENATE(M$6,"-",O$6)</f>
        <v>2015-2020</v>
      </c>
      <c r="T79" s="74" t="str">
        <f>Q44</f>
        <v>2020-2035</v>
      </c>
      <c r="W79" s="21"/>
      <c r="X79" s="22">
        <f>X6</f>
        <v>2015</v>
      </c>
      <c r="Y79" s="22">
        <f>Y6</f>
        <v>2019</v>
      </c>
      <c r="Z79" s="22">
        <f>Z6</f>
        <v>2020</v>
      </c>
      <c r="AA79" s="22">
        <f>AA6</f>
        <v>2025</v>
      </c>
      <c r="AB79" s="22">
        <f>AB6</f>
        <v>2035</v>
      </c>
      <c r="AD79" s="74" t="str">
        <f>CONCATENATE(X$6,"-",Z$6)</f>
        <v>2015-2020</v>
      </c>
      <c r="AE79" s="74" t="str">
        <f>AB44</f>
        <v>2020-2035</v>
      </c>
    </row>
    <row r="80" spans="1:31" x14ac:dyDescent="0.2">
      <c r="A80" t="str">
        <f t="shared" ref="A80:F88" si="92">A8</f>
        <v>Managers, directors and senior officials</v>
      </c>
      <c r="B80" s="11">
        <f t="shared" si="92"/>
        <v>88.576593074398374</v>
      </c>
      <c r="C80" s="11">
        <f t="shared" si="92"/>
        <v>99.700552647162596</v>
      </c>
      <c r="D80" s="11">
        <f t="shared" si="92"/>
        <v>99.727748084257215</v>
      </c>
      <c r="E80" s="11">
        <f t="shared" si="92"/>
        <v>102.19943541724987</v>
      </c>
      <c r="F80" s="11">
        <f t="shared" si="92"/>
        <v>116.10988402493876</v>
      </c>
      <c r="H80" s="39">
        <f>IF(D$6-B$6 &lt;&gt; 0,(EXP(LN(D8/B8)/(D$6-B$6))-1)*100,0)</f>
        <v>2.3998706639680289</v>
      </c>
      <c r="I80" s="39">
        <f t="shared" ref="I80:I88" si="93">F46</f>
        <v>1.0191116945586387</v>
      </c>
      <c r="L80" t="str">
        <f t="shared" ref="L80:Q88" si="94">L8</f>
        <v>Managers, directors and senior officials</v>
      </c>
      <c r="M80" s="11">
        <f t="shared" si="94"/>
        <v>57.47461164207958</v>
      </c>
      <c r="N80" s="11">
        <f t="shared" si="94"/>
        <v>63.939189716753148</v>
      </c>
      <c r="O80" s="11">
        <f t="shared" si="94"/>
        <v>61.342426939730586</v>
      </c>
      <c r="P80" s="11">
        <f t="shared" si="94"/>
        <v>61.69861188707641</v>
      </c>
      <c r="Q80" s="11">
        <f t="shared" si="94"/>
        <v>68.58614910554725</v>
      </c>
      <c r="S80" s="39">
        <f t="shared" ref="S80:S88" si="95">IF(O$6-M$6 &lt;&gt; 0,(EXP(LN(O8/M8)/(O$6-M$6))-1)*100,0)</f>
        <v>1.311088566542451</v>
      </c>
      <c r="T80" s="39">
        <f t="shared" ref="T80:T88" si="96">Q46</f>
        <v>0.74690138340716139</v>
      </c>
      <c r="W80" t="str">
        <f t="shared" ref="W80:AB88" si="97">W8</f>
        <v>Managers, directors and senior officials</v>
      </c>
      <c r="X80" s="11">
        <f t="shared" si="97"/>
        <v>31.101981432318802</v>
      </c>
      <c r="Y80" s="11">
        <f t="shared" si="97"/>
        <v>35.761362930409398</v>
      </c>
      <c r="Z80" s="11">
        <f t="shared" si="97"/>
        <v>38.385321144526714</v>
      </c>
      <c r="AA80" s="11">
        <f t="shared" si="97"/>
        <v>40.500823530173506</v>
      </c>
      <c r="AB80" s="11">
        <f t="shared" si="97"/>
        <v>47.523734919391416</v>
      </c>
      <c r="AD80" s="39">
        <f t="shared" ref="AD80:AD88" si="98">IF(Z$6-X$6 &lt;&gt; 0,(EXP(LN(Z8/X8)/(Z$6-X$6))-1)*100,0)</f>
        <v>4.2978663724254851</v>
      </c>
      <c r="AE80" s="39">
        <f t="shared" ref="AE80:AE88" si="99">AB46</f>
        <v>1.4338770877966756</v>
      </c>
    </row>
    <row r="81" spans="1:31" x14ac:dyDescent="0.2">
      <c r="A81" t="str">
        <f t="shared" si="92"/>
        <v>Professional occupations</v>
      </c>
      <c r="B81" s="11">
        <f t="shared" si="92"/>
        <v>231.4907251877527</v>
      </c>
      <c r="C81" s="11">
        <f t="shared" si="92"/>
        <v>237.67286276931418</v>
      </c>
      <c r="D81" s="11">
        <f t="shared" si="92"/>
        <v>254.75423708172923</v>
      </c>
      <c r="E81" s="11">
        <f t="shared" si="92"/>
        <v>276.33858685808264</v>
      </c>
      <c r="F81" s="11">
        <f t="shared" si="92"/>
        <v>306.78710289335356</v>
      </c>
      <c r="H81" s="39">
        <f t="shared" ref="H81:H88" si="100">IF(D$6-B$6 &lt;&gt; 0,(EXP(LN(D9/B9)/(D$6-B$6))-1)*100,0)</f>
        <v>1.9336473158785283</v>
      </c>
      <c r="I81" s="39">
        <f t="shared" si="93"/>
        <v>1.2467393087312928</v>
      </c>
      <c r="L81" t="str">
        <f t="shared" si="94"/>
        <v>Professional occupations</v>
      </c>
      <c r="M81" s="11">
        <f t="shared" si="94"/>
        <v>112.38503143689647</v>
      </c>
      <c r="N81" s="11">
        <f t="shared" si="94"/>
        <v>111.10672591535221</v>
      </c>
      <c r="O81" s="11">
        <f t="shared" si="94"/>
        <v>116.13729913312621</v>
      </c>
      <c r="P81" s="11">
        <f t="shared" si="94"/>
        <v>123.3962787843336</v>
      </c>
      <c r="Q81" s="11">
        <f t="shared" si="94"/>
        <v>133.35550056359736</v>
      </c>
      <c r="S81" s="39">
        <f t="shared" si="95"/>
        <v>0.65900893234211999</v>
      </c>
      <c r="T81" s="39">
        <f t="shared" si="96"/>
        <v>0.92589610480340312</v>
      </c>
      <c r="W81" t="str">
        <f t="shared" si="97"/>
        <v>Professional occupations</v>
      </c>
      <c r="X81" s="11">
        <f t="shared" si="97"/>
        <v>119.10569375085635</v>
      </c>
      <c r="Y81" s="11">
        <f t="shared" si="97"/>
        <v>126.56613685396236</v>
      </c>
      <c r="Z81" s="11">
        <f t="shared" si="97"/>
        <v>138.61693794860312</v>
      </c>
      <c r="AA81" s="11">
        <f t="shared" si="97"/>
        <v>152.94230807374916</v>
      </c>
      <c r="AB81" s="11">
        <f t="shared" si="97"/>
        <v>173.43160232975649</v>
      </c>
      <c r="AD81" s="39">
        <f t="shared" si="98"/>
        <v>3.0805567580075577</v>
      </c>
      <c r="AE81" s="39">
        <f t="shared" si="99"/>
        <v>1.5050062703282796</v>
      </c>
    </row>
    <row r="82" spans="1:31" x14ac:dyDescent="0.2">
      <c r="A82" t="str">
        <f t="shared" si="92"/>
        <v>Associate professional occupations</v>
      </c>
      <c r="B82" s="11">
        <f t="shared" si="92"/>
        <v>129.06715358822112</v>
      </c>
      <c r="C82" s="11">
        <f t="shared" si="92"/>
        <v>133.36836119208834</v>
      </c>
      <c r="D82" s="11">
        <f t="shared" si="92"/>
        <v>140.27215233660229</v>
      </c>
      <c r="E82" s="11">
        <f t="shared" si="92"/>
        <v>135.96055204687522</v>
      </c>
      <c r="F82" s="11">
        <f t="shared" si="92"/>
        <v>146.85818967848303</v>
      </c>
      <c r="H82" s="39">
        <f t="shared" si="100"/>
        <v>1.6789717565502071</v>
      </c>
      <c r="I82" s="39">
        <f t="shared" si="93"/>
        <v>0.30635460444361495</v>
      </c>
      <c r="L82" t="str">
        <f t="shared" si="94"/>
        <v>Associate professional occupations</v>
      </c>
      <c r="M82" s="11">
        <f t="shared" si="94"/>
        <v>66.722708117321162</v>
      </c>
      <c r="N82" s="11">
        <f t="shared" si="94"/>
        <v>69.884133336569704</v>
      </c>
      <c r="O82" s="11">
        <f t="shared" si="94"/>
        <v>71.84218886336096</v>
      </c>
      <c r="P82" s="11">
        <f t="shared" si="94"/>
        <v>65.933781386364643</v>
      </c>
      <c r="Q82" s="11">
        <f t="shared" si="94"/>
        <v>67.661589308615305</v>
      </c>
      <c r="S82" s="39">
        <f t="shared" si="95"/>
        <v>1.4895152491818386</v>
      </c>
      <c r="T82" s="39">
        <f t="shared" si="96"/>
        <v>-0.39889057229145486</v>
      </c>
      <c r="W82" t="str">
        <f t="shared" si="97"/>
        <v>Associate professional occupations</v>
      </c>
      <c r="X82" s="11">
        <f t="shared" si="97"/>
        <v>62.344445470900041</v>
      </c>
      <c r="Y82" s="11">
        <f t="shared" si="97"/>
        <v>63.484227855518753</v>
      </c>
      <c r="Z82" s="11">
        <f t="shared" si="97"/>
        <v>68.429963473241401</v>
      </c>
      <c r="AA82" s="11">
        <f t="shared" si="97"/>
        <v>70.026770660510692</v>
      </c>
      <c r="AB82" s="11">
        <f t="shared" si="97"/>
        <v>79.196600369867681</v>
      </c>
      <c r="AD82" s="39">
        <f t="shared" si="98"/>
        <v>1.8801811159177451</v>
      </c>
      <c r="AE82" s="39">
        <f t="shared" si="99"/>
        <v>0.97891083865417894</v>
      </c>
    </row>
    <row r="83" spans="1:31" x14ac:dyDescent="0.2">
      <c r="A83" t="str">
        <f t="shared" si="92"/>
        <v>Administrative and secretarial occupations</v>
      </c>
      <c r="B83" s="11">
        <f t="shared" si="92"/>
        <v>139.7507853057721</v>
      </c>
      <c r="C83" s="11">
        <f t="shared" si="92"/>
        <v>127.01400722188826</v>
      </c>
      <c r="D83" s="11">
        <f t="shared" si="92"/>
        <v>132.69109413528571</v>
      </c>
      <c r="E83" s="11">
        <f t="shared" si="92"/>
        <v>125.40307184476946</v>
      </c>
      <c r="F83" s="11">
        <f t="shared" si="92"/>
        <v>117.22320077750355</v>
      </c>
      <c r="H83" s="39">
        <f t="shared" si="100"/>
        <v>-1.0313824957122741</v>
      </c>
      <c r="I83" s="39">
        <f t="shared" si="93"/>
        <v>-0.8228889787840088</v>
      </c>
      <c r="L83" t="str">
        <f t="shared" si="94"/>
        <v>Administrative and secretarial occupations</v>
      </c>
      <c r="M83" s="11">
        <f t="shared" si="94"/>
        <v>36.444972640524384</v>
      </c>
      <c r="N83" s="11">
        <f t="shared" si="94"/>
        <v>32.342924552048366</v>
      </c>
      <c r="O83" s="11">
        <f t="shared" si="94"/>
        <v>38.400054573253101</v>
      </c>
      <c r="P83" s="11">
        <f t="shared" si="94"/>
        <v>37.129921821250868</v>
      </c>
      <c r="Q83" s="11">
        <f t="shared" si="94"/>
        <v>41.001487347227652</v>
      </c>
      <c r="S83" s="39">
        <f t="shared" si="95"/>
        <v>1.0505874525565062</v>
      </c>
      <c r="T83" s="39">
        <f t="shared" si="96"/>
        <v>0.43795263528376704</v>
      </c>
      <c r="W83" t="str">
        <f t="shared" si="97"/>
        <v>Administrative and secretarial occupations</v>
      </c>
      <c r="X83" s="11">
        <f t="shared" si="97"/>
        <v>103.30581266524783</v>
      </c>
      <c r="Y83" s="11">
        <f t="shared" si="97"/>
        <v>94.671082669839819</v>
      </c>
      <c r="Z83" s="11">
        <f t="shared" si="97"/>
        <v>94.291039562032609</v>
      </c>
      <c r="AA83" s="11">
        <f t="shared" si="97"/>
        <v>88.273150023518667</v>
      </c>
      <c r="AB83" s="11">
        <f t="shared" si="97"/>
        <v>76.221713430276026</v>
      </c>
      <c r="AD83" s="39">
        <f t="shared" si="98"/>
        <v>-1.8095765190720536</v>
      </c>
      <c r="AE83" s="39">
        <f t="shared" si="99"/>
        <v>-1.4082552590353403</v>
      </c>
    </row>
    <row r="84" spans="1:31" x14ac:dyDescent="0.2">
      <c r="A84" t="str">
        <f t="shared" si="92"/>
        <v>Skilled trades occupations</v>
      </c>
      <c r="B84" s="11">
        <f t="shared" si="92"/>
        <v>131.09623299099439</v>
      </c>
      <c r="C84" s="11">
        <f t="shared" si="92"/>
        <v>127.42869301830061</v>
      </c>
      <c r="D84" s="11">
        <f t="shared" si="92"/>
        <v>110.0423243300321</v>
      </c>
      <c r="E84" s="11">
        <f t="shared" si="92"/>
        <v>107.00085229603154</v>
      </c>
      <c r="F84" s="11">
        <f t="shared" si="92"/>
        <v>100.02736420050142</v>
      </c>
      <c r="H84" s="39">
        <f t="shared" si="100"/>
        <v>-3.4407445148540661</v>
      </c>
      <c r="I84" s="39">
        <f t="shared" si="93"/>
        <v>-0.6341226876224404</v>
      </c>
      <c r="L84" t="str">
        <f t="shared" si="94"/>
        <v>Skilled trades occupations</v>
      </c>
      <c r="M84" s="11">
        <f t="shared" si="94"/>
        <v>117.43193177099337</v>
      </c>
      <c r="N84" s="11">
        <f t="shared" si="94"/>
        <v>115.42689655513024</v>
      </c>
      <c r="O84" s="11">
        <f t="shared" si="94"/>
        <v>96.101797696663851</v>
      </c>
      <c r="P84" s="11">
        <f t="shared" si="94"/>
        <v>92.06350295116988</v>
      </c>
      <c r="Q84" s="11">
        <f t="shared" si="94"/>
        <v>84.320563562809511</v>
      </c>
      <c r="S84" s="39">
        <f t="shared" si="95"/>
        <v>-3.9297189274296707</v>
      </c>
      <c r="T84" s="39">
        <f t="shared" si="96"/>
        <v>-0.86809182682801023</v>
      </c>
      <c r="W84" t="str">
        <f t="shared" si="97"/>
        <v>Skilled trades occupations</v>
      </c>
      <c r="X84" s="11">
        <f t="shared" si="97"/>
        <v>13.664301220000905</v>
      </c>
      <c r="Y84" s="11">
        <f t="shared" si="97"/>
        <v>12.001796463170319</v>
      </c>
      <c r="Z84" s="11">
        <f t="shared" si="97"/>
        <v>13.940526633368259</v>
      </c>
      <c r="AA84" s="11">
        <f t="shared" si="97"/>
        <v>14.937349344861577</v>
      </c>
      <c r="AB84" s="11">
        <f t="shared" si="97"/>
        <v>15.7068006376919</v>
      </c>
      <c r="AD84" s="39">
        <f t="shared" si="98"/>
        <v>0.40107218246387966</v>
      </c>
      <c r="AE84" s="39">
        <f t="shared" si="99"/>
        <v>0.79846148299227426</v>
      </c>
    </row>
    <row r="85" spans="1:31" x14ac:dyDescent="0.2">
      <c r="A85" t="str">
        <f t="shared" si="92"/>
        <v>Caring, leisure and other service occupations</v>
      </c>
      <c r="B85" s="11">
        <f t="shared" si="92"/>
        <v>117.47035830653246</v>
      </c>
      <c r="C85" s="11">
        <f t="shared" si="92"/>
        <v>112.76379624437124</v>
      </c>
      <c r="D85" s="11">
        <f t="shared" si="92"/>
        <v>113.43549604886647</v>
      </c>
      <c r="E85" s="11">
        <f t="shared" si="92"/>
        <v>119.33219216526747</v>
      </c>
      <c r="F85" s="11">
        <f t="shared" si="92"/>
        <v>124.77661745115446</v>
      </c>
      <c r="H85" s="39">
        <f t="shared" si="100"/>
        <v>-0.69659591231615581</v>
      </c>
      <c r="I85" s="39">
        <f t="shared" si="93"/>
        <v>0.63729359287270082</v>
      </c>
      <c r="L85" t="str">
        <f t="shared" si="94"/>
        <v>Caring, leisure and other service occupations</v>
      </c>
      <c r="M85" s="11">
        <f t="shared" si="94"/>
        <v>20.128899282217986</v>
      </c>
      <c r="N85" s="11">
        <f t="shared" si="94"/>
        <v>20.462121449951422</v>
      </c>
      <c r="O85" s="11">
        <f t="shared" si="94"/>
        <v>20.5471408876354</v>
      </c>
      <c r="P85" s="11">
        <f t="shared" si="94"/>
        <v>22.407944776155876</v>
      </c>
      <c r="Q85" s="11">
        <f t="shared" si="94"/>
        <v>24.965504658205433</v>
      </c>
      <c r="S85" s="39">
        <f t="shared" si="95"/>
        <v>0.4121518997377116</v>
      </c>
      <c r="T85" s="39">
        <f t="shared" si="96"/>
        <v>1.306955345976557</v>
      </c>
      <c r="W85" t="str">
        <f t="shared" si="97"/>
        <v>Caring, leisure and other service occupations</v>
      </c>
      <c r="X85" s="11">
        <f t="shared" si="97"/>
        <v>97.341459024314531</v>
      </c>
      <c r="Y85" s="11">
        <f t="shared" si="97"/>
        <v>92.301674794419824</v>
      </c>
      <c r="Z85" s="11">
        <f t="shared" si="97"/>
        <v>92.888355161231033</v>
      </c>
      <c r="AA85" s="11">
        <f t="shared" si="97"/>
        <v>96.924247389111585</v>
      </c>
      <c r="AB85" s="11">
        <f t="shared" si="97"/>
        <v>99.81111279294899</v>
      </c>
      <c r="AD85" s="39">
        <f t="shared" si="98"/>
        <v>-0.93216224585447316</v>
      </c>
      <c r="AE85" s="39">
        <f t="shared" si="99"/>
        <v>0.48035829163419752</v>
      </c>
    </row>
    <row r="86" spans="1:31" x14ac:dyDescent="0.2">
      <c r="A86" t="str">
        <f t="shared" si="92"/>
        <v>Sales and customer service occupations</v>
      </c>
      <c r="B86" s="11">
        <f t="shared" si="92"/>
        <v>135.78940443127954</v>
      </c>
      <c r="C86" s="11">
        <f t="shared" si="92"/>
        <v>124.79456462617762</v>
      </c>
      <c r="D86" s="11">
        <f t="shared" si="92"/>
        <v>125.9627236836462</v>
      </c>
      <c r="E86" s="11">
        <f t="shared" si="92"/>
        <v>126.52753004348526</v>
      </c>
      <c r="F86" s="11">
        <f t="shared" si="92"/>
        <v>128.69100271062041</v>
      </c>
      <c r="H86" s="39">
        <f t="shared" si="100"/>
        <v>-1.4911539146336139</v>
      </c>
      <c r="I86" s="39">
        <f t="shared" si="93"/>
        <v>0.14295664405947761</v>
      </c>
      <c r="L86" t="str">
        <f t="shared" si="94"/>
        <v>Sales and customer service occupations</v>
      </c>
      <c r="M86" s="11">
        <f t="shared" si="94"/>
        <v>43.486605499382257</v>
      </c>
      <c r="N86" s="11">
        <f t="shared" si="94"/>
        <v>41.557852038296119</v>
      </c>
      <c r="O86" s="11">
        <f t="shared" si="94"/>
        <v>42.257698776925729</v>
      </c>
      <c r="P86" s="11">
        <f t="shared" si="94"/>
        <v>43.64839069787287</v>
      </c>
      <c r="Q86" s="11">
        <f t="shared" si="94"/>
        <v>46.578647489847938</v>
      </c>
      <c r="S86" s="39">
        <f t="shared" si="95"/>
        <v>-0.5716878967709671</v>
      </c>
      <c r="T86" s="39">
        <f t="shared" si="96"/>
        <v>0.65114862105701832</v>
      </c>
      <c r="W86" t="str">
        <f t="shared" si="97"/>
        <v>Sales and customer service occupations</v>
      </c>
      <c r="X86" s="11">
        <f t="shared" si="97"/>
        <v>92.302798931897271</v>
      </c>
      <c r="Y86" s="11">
        <f t="shared" si="97"/>
        <v>83.236712587881513</v>
      </c>
      <c r="Z86" s="11">
        <f t="shared" si="97"/>
        <v>83.705024906720368</v>
      </c>
      <c r="AA86" s="11">
        <f t="shared" si="97"/>
        <v>82.879139345612359</v>
      </c>
      <c r="AB86" s="11">
        <f t="shared" si="97"/>
        <v>82.112355220772457</v>
      </c>
      <c r="AD86" s="39">
        <f t="shared" si="98"/>
        <v>-1.9365130438806943</v>
      </c>
      <c r="AE86" s="39">
        <f t="shared" si="99"/>
        <v>-0.12798812781331659</v>
      </c>
    </row>
    <row r="87" spans="1:31" x14ac:dyDescent="0.2">
      <c r="A87" t="str">
        <f t="shared" si="92"/>
        <v>Process, plant and machine operatives</v>
      </c>
      <c r="B87" s="11">
        <f t="shared" si="92"/>
        <v>84.817279410842787</v>
      </c>
      <c r="C87" s="11">
        <f t="shared" si="92"/>
        <v>88.949306042931028</v>
      </c>
      <c r="D87" s="11">
        <f t="shared" si="92"/>
        <v>78.634537803995443</v>
      </c>
      <c r="E87" s="11">
        <f t="shared" si="92"/>
        <v>84.78395961297386</v>
      </c>
      <c r="F87" s="11">
        <f t="shared" si="92"/>
        <v>80.469926760747029</v>
      </c>
      <c r="H87" s="39">
        <f t="shared" si="100"/>
        <v>-1.5023656350775405</v>
      </c>
      <c r="I87" s="39">
        <f t="shared" si="93"/>
        <v>0.1539351508893505</v>
      </c>
      <c r="L87" t="str">
        <f t="shared" si="94"/>
        <v>Process, plant and machine operatives</v>
      </c>
      <c r="M87" s="11">
        <f t="shared" si="94"/>
        <v>75.664931011088555</v>
      </c>
      <c r="N87" s="11">
        <f t="shared" si="94"/>
        <v>79.787778724060786</v>
      </c>
      <c r="O87" s="11">
        <f t="shared" si="94"/>
        <v>71.108814727436055</v>
      </c>
      <c r="P87" s="11">
        <f t="shared" si="94"/>
        <v>75.717958455958126</v>
      </c>
      <c r="Q87" s="11">
        <f t="shared" si="94"/>
        <v>71.738958865873116</v>
      </c>
      <c r="S87" s="39">
        <f t="shared" si="95"/>
        <v>-1.2343878472894199</v>
      </c>
      <c r="T87" s="39">
        <f t="shared" si="96"/>
        <v>5.8834992965350885E-2</v>
      </c>
      <c r="W87" t="str">
        <f t="shared" si="97"/>
        <v>Process, plant and machine operatives</v>
      </c>
      <c r="X87" s="11">
        <f t="shared" si="97"/>
        <v>9.1523483997543398</v>
      </c>
      <c r="Y87" s="11">
        <f t="shared" si="97"/>
        <v>9.1615273188702719</v>
      </c>
      <c r="Z87" s="11">
        <f t="shared" si="97"/>
        <v>7.5257230765593208</v>
      </c>
      <c r="AA87" s="11">
        <f t="shared" si="97"/>
        <v>9.0660011570158332</v>
      </c>
      <c r="AB87" s="11">
        <f t="shared" si="97"/>
        <v>8.7309678948739471</v>
      </c>
      <c r="AD87" s="39">
        <f t="shared" si="98"/>
        <v>-3.8380773603369223</v>
      </c>
      <c r="AE87" s="39">
        <f t="shared" si="99"/>
        <v>0.99524890311875058</v>
      </c>
    </row>
    <row r="88" spans="1:31" x14ac:dyDescent="0.2">
      <c r="A88" t="str">
        <f t="shared" si="92"/>
        <v>Elementary occupations</v>
      </c>
      <c r="B88" s="11">
        <f t="shared" si="92"/>
        <v>149.64446770585877</v>
      </c>
      <c r="C88" s="11">
        <f t="shared" si="92"/>
        <v>143.17585623854376</v>
      </c>
      <c r="D88" s="11">
        <f t="shared" si="92"/>
        <v>133.81868649587605</v>
      </c>
      <c r="E88" s="11">
        <f t="shared" si="92"/>
        <v>131.22981971569683</v>
      </c>
      <c r="F88" s="11">
        <f t="shared" si="92"/>
        <v>130.05371150291043</v>
      </c>
      <c r="H88" s="39">
        <f t="shared" si="100"/>
        <v>-2.2107265618185545</v>
      </c>
      <c r="I88" s="39">
        <f t="shared" si="93"/>
        <v>-0.19007424513651783</v>
      </c>
      <c r="L88" t="str">
        <f t="shared" si="94"/>
        <v>Elementary occupations</v>
      </c>
      <c r="M88" s="11">
        <f t="shared" si="94"/>
        <v>77.411308600203995</v>
      </c>
      <c r="N88" s="11">
        <f t="shared" si="94"/>
        <v>79.017377711833333</v>
      </c>
      <c r="O88" s="11">
        <f t="shared" si="94"/>
        <v>73.688578401335946</v>
      </c>
      <c r="P88" s="11">
        <f t="shared" si="94"/>
        <v>74.054609239464355</v>
      </c>
      <c r="Q88" s="11">
        <f t="shared" si="94"/>
        <v>70.894599098125724</v>
      </c>
      <c r="S88" s="39">
        <f t="shared" si="95"/>
        <v>-0.98085914550298803</v>
      </c>
      <c r="T88" s="39">
        <f t="shared" si="96"/>
        <v>-0.25735865451338436</v>
      </c>
      <c r="W88" t="str">
        <f t="shared" si="97"/>
        <v>Elementary occupations</v>
      </c>
      <c r="X88" s="11">
        <f t="shared" si="97"/>
        <v>72.233159105654778</v>
      </c>
      <c r="Y88" s="11">
        <f t="shared" si="97"/>
        <v>64.158478526710383</v>
      </c>
      <c r="Z88" s="11">
        <f t="shared" si="97"/>
        <v>60.130108094540212</v>
      </c>
      <c r="AA88" s="11">
        <f t="shared" si="97"/>
        <v>57.175210476232714</v>
      </c>
      <c r="AB88" s="11">
        <f t="shared" si="97"/>
        <v>59.159112404784679</v>
      </c>
      <c r="AD88" s="39">
        <f t="shared" si="98"/>
        <v>-3.601322661983597</v>
      </c>
      <c r="AE88" s="39">
        <f t="shared" si="99"/>
        <v>-0.10847477886577472</v>
      </c>
    </row>
    <row r="89" spans="1:31" x14ac:dyDescent="0.2">
      <c r="B89" s="11"/>
      <c r="C89" s="11"/>
      <c r="D89" s="11"/>
      <c r="E89" s="11"/>
      <c r="F89" s="11"/>
      <c r="H89" s="39"/>
      <c r="I89" s="39"/>
      <c r="M89" s="11"/>
      <c r="N89" s="11"/>
      <c r="O89" s="11"/>
      <c r="P89" s="11"/>
      <c r="Q89" s="11"/>
      <c r="S89" s="39"/>
      <c r="T89" s="39"/>
      <c r="X89" s="11"/>
      <c r="Y89" s="11"/>
      <c r="Z89" s="11"/>
      <c r="AA89" s="11"/>
      <c r="AB89" s="11"/>
      <c r="AD89" s="39"/>
      <c r="AE89" s="39"/>
    </row>
    <row r="90" spans="1:31" x14ac:dyDescent="0.2">
      <c r="A90" s="23" t="str">
        <f t="shared" ref="A90:F90" si="101">A18</f>
        <v>All occupations</v>
      </c>
      <c r="B90" s="33">
        <f t="shared" si="101"/>
        <v>1207.7030000016521</v>
      </c>
      <c r="C90" s="33">
        <f t="shared" si="101"/>
        <v>1194.8680000007776</v>
      </c>
      <c r="D90" s="33">
        <f t="shared" si="101"/>
        <v>1189.3390000002908</v>
      </c>
      <c r="E90" s="33">
        <f t="shared" si="101"/>
        <v>1208.7760000004321</v>
      </c>
      <c r="F90" s="33">
        <f t="shared" si="101"/>
        <v>1250.9970000002124</v>
      </c>
      <c r="H90" s="42">
        <f>IF(D$6-B$6 &lt;&gt; 0,(EXP(LN(D18/B18)/(D$6-B$6))-1)*100,0)</f>
        <v>-0.3059812750987656</v>
      </c>
      <c r="I90" s="42">
        <f>F56</f>
        <v>0.33752261436219566</v>
      </c>
      <c r="L90" s="23" t="str">
        <f t="shared" ref="L90:Q90" si="102">L18</f>
        <v>All occupations</v>
      </c>
      <c r="M90" s="33">
        <f t="shared" si="102"/>
        <v>607.15100000070765</v>
      </c>
      <c r="N90" s="33">
        <f t="shared" si="102"/>
        <v>613.52499999999543</v>
      </c>
      <c r="O90" s="33">
        <f t="shared" si="102"/>
        <v>591.42599999946776</v>
      </c>
      <c r="P90" s="33">
        <f t="shared" si="102"/>
        <v>596.05099999964659</v>
      </c>
      <c r="Q90" s="33">
        <f t="shared" si="102"/>
        <v>609.10299999984932</v>
      </c>
      <c r="S90" s="42">
        <f>IF(O$6-M$6 &lt;&gt; 0,(EXP(LN(O18/M18)/(O$6-M$6))-1)*100,0)</f>
        <v>-0.52344432290043486</v>
      </c>
      <c r="T90" s="42">
        <f>Q56</f>
        <v>0.19653162541948266</v>
      </c>
      <c r="W90" s="23" t="str">
        <f t="shared" ref="W90:AB90" si="103">W18</f>
        <v>All occupations</v>
      </c>
      <c r="X90" s="33">
        <f t="shared" si="103"/>
        <v>600.55200000094487</v>
      </c>
      <c r="Y90" s="33">
        <f t="shared" si="103"/>
        <v>581.34300000078258</v>
      </c>
      <c r="Z90" s="33">
        <f t="shared" si="103"/>
        <v>597.9130000008231</v>
      </c>
      <c r="AA90" s="33">
        <f t="shared" si="103"/>
        <v>612.72500000078605</v>
      </c>
      <c r="AB90" s="33">
        <f t="shared" si="103"/>
        <v>641.89400000036358</v>
      </c>
      <c r="AD90" s="42">
        <f>IF(Z$6-X$6 &lt;&gt; 0,(EXP(LN(Z18/X18)/(Z$6-X$6))-1)*100,0)</f>
        <v>-8.8040698592450894E-2</v>
      </c>
      <c r="AE90" s="42">
        <f>AB56</f>
        <v>0.4743074442774331</v>
      </c>
    </row>
  </sheetData>
  <phoneticPr fontId="4" type="noConversion"/>
  <pageMargins left="0.39370078740157483" right="0.39370078740157483" top="0.78740157480314965" bottom="0.78740157480314965" header="0.51181102362204722" footer="0.51181102362204722"/>
  <pageSetup paperSize="9" scale="73" orientation="landscape" r:id="rId1"/>
  <headerFooter alignWithMargins="0"/>
  <rowBreaks count="1" manualBreakCount="1">
    <brk id="38" max="31" man="1"/>
  </rowBreaks>
  <colBreaks count="2" manualBreakCount="2">
    <brk id="11" max="89" man="1"/>
    <brk id="22" max="89" man="1"/>
  </colBreaks>
  <ignoredErrors>
    <ignoredError sqref="C45 C57:C61 C63" formula="1"/>
  </ignoredErrors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42"/>
  <dimension ref="A1:AF182"/>
  <sheetViews>
    <sheetView showGridLines="0" zoomScale="85" zoomScaleNormal="85" workbookViewId="0"/>
  </sheetViews>
  <sheetFormatPr defaultColWidth="9.140625" defaultRowHeight="12.75" x14ac:dyDescent="0.2"/>
  <cols>
    <col min="1" max="1" width="55.7109375" customWidth="1"/>
    <col min="2" max="6" width="10" customWidth="1"/>
    <col min="7" max="7" width="6.7109375" customWidth="1"/>
    <col min="8" max="10" width="13" customWidth="1"/>
    <col min="11" max="11" width="9.85546875" customWidth="1"/>
    <col min="12" max="12" width="55.7109375" customWidth="1"/>
    <col min="13" max="17" width="10" customWidth="1"/>
    <col min="18" max="18" width="6.7109375" customWidth="1"/>
    <col min="19" max="21" width="13" customWidth="1"/>
    <col min="23" max="23" width="55.7109375" customWidth="1"/>
    <col min="24" max="28" width="10" customWidth="1"/>
    <col min="29" max="29" width="6.7109375" customWidth="1"/>
    <col min="30" max="32" width="13" customWidth="1"/>
  </cols>
  <sheetData>
    <row r="1" spans="1:32" ht="15.75" x14ac:dyDescent="0.25">
      <c r="A1" s="18" t="str">
        <f>CONCATENATE("Occupation Table 2  Employment Change by Occupation (SOC 2020) and Replacement Demand, ",B$6,"-",F$6,", ",Info!B5)</f>
        <v>Occupation Table 2  Employment Change by Occupation (SOC 2020) and Replacement Demand, 2015-2035, North East</v>
      </c>
      <c r="L1" s="18" t="str">
        <f>CONCATENATE("Occupation Table 2.1  Males: Employment Change by Occupation (SOC 2020) and Replacement Demand, ",M$6,"-",Q$6,", ",Info!B5)</f>
        <v>Occupation Table 2.1  Males: Employment Change by Occupation (SOC 2020) and Replacement Demand, 2015-2035, North East</v>
      </c>
      <c r="W1" s="18" t="str">
        <f>CONCATENATE("Occupation Table 2.2  Females: Employment Change by Occupation (SOC 2020) and Replacement Demand, ",X$6,"-",AB$6,", ",Info!B5)</f>
        <v>Occupation Table 2.2  Females: Employment Change by Occupation (SOC 2020) and Replacement Demand, 2015-2035, North East</v>
      </c>
    </row>
    <row r="2" spans="1:32" ht="12.75" customHeight="1" x14ac:dyDescent="0.2">
      <c r="A2" s="181" t="s">
        <v>537</v>
      </c>
      <c r="D2" s="339"/>
      <c r="G2" s="85"/>
      <c r="J2" s="85"/>
      <c r="M2" s="85"/>
      <c r="P2" s="85"/>
      <c r="S2" s="85"/>
      <c r="V2" s="85"/>
    </row>
    <row r="3" spans="1:32" x14ac:dyDescent="0.2">
      <c r="F3" s="15" t="s">
        <v>35</v>
      </c>
      <c r="J3" s="15" t="s">
        <v>35</v>
      </c>
      <c r="Q3" s="15" t="s">
        <v>35</v>
      </c>
      <c r="U3" s="15" t="s">
        <v>35</v>
      </c>
      <c r="AB3" s="15" t="s">
        <v>35</v>
      </c>
      <c r="AF3" s="15" t="s">
        <v>35</v>
      </c>
    </row>
    <row r="4" spans="1:32" x14ac:dyDescent="0.2">
      <c r="A4" s="35"/>
      <c r="B4" s="35"/>
      <c r="C4" s="35"/>
      <c r="D4" s="35"/>
      <c r="E4" s="35"/>
      <c r="F4" s="35"/>
      <c r="H4" s="98" t="str">
        <f>CONCATENATE(D6,"-",F6)</f>
        <v>2020-2035</v>
      </c>
      <c r="I4" s="35"/>
      <c r="J4" s="35"/>
      <c r="L4" s="27" t="s">
        <v>98</v>
      </c>
      <c r="M4" s="35"/>
      <c r="N4" s="35"/>
      <c r="O4" s="35"/>
      <c r="P4" s="35"/>
      <c r="Q4" s="35"/>
      <c r="S4" s="98" t="str">
        <f>CONCATENATE(O6,"-",Q6)</f>
        <v>2020-2035</v>
      </c>
      <c r="T4" s="35"/>
      <c r="U4" s="35"/>
      <c r="W4" s="27" t="s">
        <v>99</v>
      </c>
      <c r="X4" s="35"/>
      <c r="Y4" s="35"/>
      <c r="Z4" s="35"/>
      <c r="AA4" s="35"/>
      <c r="AB4" s="35"/>
      <c r="AD4" s="98" t="str">
        <f>CONCATENATE(Z6,"-",AB6)</f>
        <v>2020-2035</v>
      </c>
      <c r="AE4" s="35"/>
      <c r="AF4" s="35"/>
    </row>
    <row r="5" spans="1:32" x14ac:dyDescent="0.2">
      <c r="H5" s="15" t="s">
        <v>29</v>
      </c>
      <c r="I5" s="15" t="s">
        <v>30</v>
      </c>
      <c r="J5" s="15" t="s">
        <v>32</v>
      </c>
      <c r="S5" s="15" t="s">
        <v>29</v>
      </c>
      <c r="T5" s="15" t="s">
        <v>30</v>
      </c>
      <c r="U5" s="15" t="s">
        <v>32</v>
      </c>
      <c r="AD5" s="15" t="s">
        <v>29</v>
      </c>
      <c r="AE5" s="15" t="s">
        <v>30</v>
      </c>
      <c r="AF5" s="15" t="s">
        <v>32</v>
      </c>
    </row>
    <row r="6" spans="1:32" x14ac:dyDescent="0.2">
      <c r="A6" s="40" t="s">
        <v>13</v>
      </c>
      <c r="B6" s="41">
        <v>2015</v>
      </c>
      <c r="C6" s="41">
        <v>2019</v>
      </c>
      <c r="D6" s="41">
        <v>2020</v>
      </c>
      <c r="E6" s="41">
        <v>2025</v>
      </c>
      <c r="F6" s="41">
        <v>2035</v>
      </c>
      <c r="H6" s="62" t="s">
        <v>18</v>
      </c>
      <c r="I6" s="62" t="s">
        <v>31</v>
      </c>
      <c r="J6" s="62" t="s">
        <v>33</v>
      </c>
      <c r="L6" s="40" t="s">
        <v>13</v>
      </c>
      <c r="M6" s="41">
        <f>B6</f>
        <v>2015</v>
      </c>
      <c r="N6" s="41">
        <f t="shared" ref="N6:Q6" si="0">C6</f>
        <v>2019</v>
      </c>
      <c r="O6" s="41">
        <f t="shared" si="0"/>
        <v>2020</v>
      </c>
      <c r="P6" s="41">
        <f t="shared" si="0"/>
        <v>2025</v>
      </c>
      <c r="Q6" s="41">
        <f t="shared" si="0"/>
        <v>2035</v>
      </c>
      <c r="S6" s="62" t="s">
        <v>18</v>
      </c>
      <c r="T6" s="62" t="s">
        <v>31</v>
      </c>
      <c r="U6" s="62" t="s">
        <v>33</v>
      </c>
      <c r="W6" s="40" t="s">
        <v>13</v>
      </c>
      <c r="X6" s="41">
        <f>B6</f>
        <v>2015</v>
      </c>
      <c r="Y6" s="41">
        <f t="shared" ref="Y6:AB6" si="1">C6</f>
        <v>2019</v>
      </c>
      <c r="Z6" s="41">
        <f t="shared" si="1"/>
        <v>2020</v>
      </c>
      <c r="AA6" s="41">
        <f t="shared" si="1"/>
        <v>2025</v>
      </c>
      <c r="AB6" s="41">
        <f t="shared" si="1"/>
        <v>2035</v>
      </c>
      <c r="AD6" s="62" t="s">
        <v>18</v>
      </c>
      <c r="AE6" s="62" t="s">
        <v>31</v>
      </c>
      <c r="AF6" s="62" t="s">
        <v>33</v>
      </c>
    </row>
    <row r="8" spans="1:32" x14ac:dyDescent="0.2">
      <c r="A8" s="10" t="str">
        <f>name!D4</f>
        <v>11 Corporate managers and directors</v>
      </c>
      <c r="B8" s="11">
        <v>52.789581565562479</v>
      </c>
      <c r="C8" s="11">
        <v>60.307239042803182</v>
      </c>
      <c r="D8" s="11">
        <v>61.768389193758232</v>
      </c>
      <c r="E8" s="11">
        <v>56.802971897231664</v>
      </c>
      <c r="F8" s="11">
        <v>62.544495989530091</v>
      </c>
      <c r="G8" s="10"/>
      <c r="H8" s="11">
        <f>F8-D8</f>
        <v>0.77610679577185948</v>
      </c>
      <c r="I8" s="11">
        <f>'RD T1'!E7</f>
        <v>30.543483151153445</v>
      </c>
      <c r="J8" s="11">
        <f>SUM(H8:I8)</f>
        <v>31.319589946925305</v>
      </c>
      <c r="L8" s="10" t="str">
        <f>name!D4</f>
        <v>11 Corporate managers and directors</v>
      </c>
      <c r="M8" s="11">
        <v>35.369156541249737</v>
      </c>
      <c r="N8" s="11">
        <v>39.760461190813608</v>
      </c>
      <c r="O8" s="11">
        <v>39.735415904179817</v>
      </c>
      <c r="P8" s="11">
        <v>35.121878237871428</v>
      </c>
      <c r="Q8" s="11">
        <v>36.746803874452283</v>
      </c>
      <c r="R8" s="10"/>
      <c r="S8" s="11">
        <f>Q8-O8</f>
        <v>-2.988612029727534</v>
      </c>
      <c r="T8" s="11">
        <f>'RD T1'!T7</f>
        <v>16.681409694544289</v>
      </c>
      <c r="U8" s="11">
        <f>SUM(S8:T8)</f>
        <v>13.692797664816755</v>
      </c>
      <c r="W8" s="10" t="str">
        <f>name!D4</f>
        <v>11 Corporate managers and directors</v>
      </c>
      <c r="X8" s="11">
        <v>17.420425024312813</v>
      </c>
      <c r="Y8" s="11">
        <v>20.546777851989521</v>
      </c>
      <c r="Z8" s="11">
        <v>22.032973289578493</v>
      </c>
      <c r="AA8" s="11">
        <v>21.681093659360197</v>
      </c>
      <c r="AB8" s="11">
        <v>25.797692115077673</v>
      </c>
      <c r="AC8" s="10"/>
      <c r="AD8" s="11">
        <f>AB8-Z8</f>
        <v>3.7647188254991804</v>
      </c>
      <c r="AE8" s="11">
        <f>'RD T1'!T36</f>
        <v>13.862073456609156</v>
      </c>
      <c r="AF8" s="11">
        <f>SUM(AD8:AE8)</f>
        <v>17.626792282108337</v>
      </c>
    </row>
    <row r="9" spans="1:32" x14ac:dyDescent="0.2">
      <c r="A9" s="10" t="str">
        <f>name!D5</f>
        <v>12 Other managers and proprietors</v>
      </c>
      <c r="B9" s="11">
        <v>35.787011508835903</v>
      </c>
      <c r="C9" s="11">
        <v>39.39331360435942</v>
      </c>
      <c r="D9" s="11">
        <v>37.959358890498983</v>
      </c>
      <c r="E9" s="11">
        <v>45.396463520018202</v>
      </c>
      <c r="F9" s="11">
        <v>53.565388035408674</v>
      </c>
      <c r="H9" s="11">
        <f t="shared" ref="H9:H32" si="2">F9-D9</f>
        <v>15.606029144909691</v>
      </c>
      <c r="I9" s="11">
        <f>'RD T1'!E8</f>
        <v>27.032583578390614</v>
      </c>
      <c r="J9" s="11">
        <f>SUM(H9:I9)</f>
        <v>42.638612723300305</v>
      </c>
      <c r="L9" s="10" t="str">
        <f>name!D5</f>
        <v>12 Other managers and proprietors</v>
      </c>
      <c r="M9" s="11">
        <v>22.105455100829843</v>
      </c>
      <c r="N9" s="11">
        <v>24.178728525939544</v>
      </c>
      <c r="O9" s="11">
        <v>21.607011035550773</v>
      </c>
      <c r="P9" s="11">
        <v>26.576733649204986</v>
      </c>
      <c r="Q9" s="11">
        <v>31.839345231094963</v>
      </c>
      <c r="S9" s="11">
        <f t="shared" ref="S9:S32" si="3">Q9-O9</f>
        <v>10.23233419554419</v>
      </c>
      <c r="T9" s="11">
        <f>'RD T1'!T8</f>
        <v>14.304544178035325</v>
      </c>
      <c r="U9" s="11">
        <f>SUM(S9:T9)</f>
        <v>24.536878373579516</v>
      </c>
      <c r="W9" s="10" t="str">
        <f>name!D5</f>
        <v>12 Other managers and proprietors</v>
      </c>
      <c r="X9" s="11">
        <v>13.681556408005987</v>
      </c>
      <c r="Y9" s="11">
        <v>15.214585078419875</v>
      </c>
      <c r="Z9" s="11">
        <v>16.352347854948217</v>
      </c>
      <c r="AA9" s="11">
        <v>18.819729870813308</v>
      </c>
      <c r="AB9" s="11">
        <v>21.726042804313742</v>
      </c>
      <c r="AD9" s="11">
        <f t="shared" ref="AD9:AD32" si="4">AB9-Z9</f>
        <v>5.3736949493655253</v>
      </c>
      <c r="AE9" s="11">
        <f>'RD T1'!T37</f>
        <v>12.7280394003553</v>
      </c>
      <c r="AF9" s="11">
        <f>SUM(AD9:AE9)</f>
        <v>18.101734349720825</v>
      </c>
    </row>
    <row r="10" spans="1:32" x14ac:dyDescent="0.2">
      <c r="A10" s="10" t="str">
        <f>name!D6</f>
        <v>21 Science, research, engineering and technology professionals</v>
      </c>
      <c r="B10" s="11">
        <v>53.08494534255329</v>
      </c>
      <c r="C10" s="11">
        <v>55.687059516730201</v>
      </c>
      <c r="D10" s="11">
        <v>57.693711549572342</v>
      </c>
      <c r="E10" s="11">
        <v>60.108225983479294</v>
      </c>
      <c r="F10" s="11">
        <v>66.33260773023207</v>
      </c>
      <c r="G10" s="11"/>
      <c r="H10" s="11">
        <f t="shared" si="2"/>
        <v>8.638896180659728</v>
      </c>
      <c r="I10" s="11">
        <f>'RD T1'!E9</f>
        <v>22.811965431608169</v>
      </c>
      <c r="J10" s="11">
        <f t="shared" ref="J10:J32" si="5">SUM(H10:I10)</f>
        <v>31.450861612267897</v>
      </c>
      <c r="L10" s="10" t="str">
        <f>name!D6</f>
        <v>21 Science, research, engineering and technology professionals</v>
      </c>
      <c r="M10" s="11">
        <v>44.020344903198726</v>
      </c>
      <c r="N10" s="11">
        <v>46.725428973441559</v>
      </c>
      <c r="O10" s="11">
        <v>46.485415600666066</v>
      </c>
      <c r="P10" s="11">
        <v>46.848680728507411</v>
      </c>
      <c r="Q10" s="11">
        <v>50.029337898578653</v>
      </c>
      <c r="R10" s="11"/>
      <c r="S10" s="11">
        <f t="shared" si="3"/>
        <v>3.5439222979125873</v>
      </c>
      <c r="T10" s="11">
        <f>'RD T1'!T9</f>
        <v>15.573367297349993</v>
      </c>
      <c r="U10" s="11">
        <f t="shared" ref="U10:U32" si="6">SUM(S10:T10)</f>
        <v>19.11728959526258</v>
      </c>
      <c r="W10" s="10" t="str">
        <f>name!D6</f>
        <v>21 Science, research, engineering and technology professionals</v>
      </c>
      <c r="X10" s="11">
        <v>9.0646004393546598</v>
      </c>
      <c r="Y10" s="11">
        <v>8.9616305432886509</v>
      </c>
      <c r="Z10" s="11">
        <v>11.208295948906075</v>
      </c>
      <c r="AA10" s="11">
        <v>13.259545254971941</v>
      </c>
      <c r="AB10" s="11">
        <v>16.303269831653395</v>
      </c>
      <c r="AC10" s="11"/>
      <c r="AD10" s="11">
        <f t="shared" si="4"/>
        <v>5.0949738827473201</v>
      </c>
      <c r="AE10" s="11">
        <f>'RD T1'!T38</f>
        <v>7.2385981342581767</v>
      </c>
      <c r="AF10" s="11">
        <f t="shared" ref="AF10:AF32" si="7">SUM(AD10:AE10)</f>
        <v>12.333572017005498</v>
      </c>
    </row>
    <row r="11" spans="1:32" x14ac:dyDescent="0.2">
      <c r="A11" s="10" t="str">
        <f>name!D7</f>
        <v>22 Health professionals</v>
      </c>
      <c r="B11" s="11">
        <v>74.445418040172925</v>
      </c>
      <c r="C11" s="11">
        <v>75.385023455696555</v>
      </c>
      <c r="D11" s="11">
        <v>80.600575984282628</v>
      </c>
      <c r="E11" s="11">
        <v>88.781813698391318</v>
      </c>
      <c r="F11" s="11">
        <v>98.888062303322812</v>
      </c>
      <c r="G11" s="11"/>
      <c r="H11" s="11">
        <f t="shared" si="2"/>
        <v>18.287486319040184</v>
      </c>
      <c r="I11" s="11">
        <f>'RD T1'!E10</f>
        <v>50.082335398849601</v>
      </c>
      <c r="J11" s="11">
        <f t="shared" si="5"/>
        <v>68.369821717889778</v>
      </c>
      <c r="L11" s="10" t="str">
        <f>name!D7</f>
        <v>22 Health professionals</v>
      </c>
      <c r="M11" s="11">
        <v>18.134536067187859</v>
      </c>
      <c r="N11" s="11">
        <v>18.201808740120857</v>
      </c>
      <c r="O11" s="11">
        <v>21.095818552794629</v>
      </c>
      <c r="P11" s="11">
        <v>23.031200466469244</v>
      </c>
      <c r="Q11" s="11">
        <v>25.843409901291938</v>
      </c>
      <c r="R11" s="11"/>
      <c r="S11" s="11">
        <f t="shared" si="3"/>
        <v>4.7475913484973091</v>
      </c>
      <c r="T11" s="11">
        <f>'RD T1'!T10</f>
        <v>9.2803454823822165</v>
      </c>
      <c r="U11" s="11">
        <f t="shared" si="6"/>
        <v>14.027936830879526</v>
      </c>
      <c r="W11" s="10" t="str">
        <f>name!D7</f>
        <v>22 Health professionals</v>
      </c>
      <c r="X11" s="11">
        <v>56.310881972985008</v>
      </c>
      <c r="Y11" s="11">
        <v>57.183214715575829</v>
      </c>
      <c r="Z11" s="11">
        <v>59.504757431488315</v>
      </c>
      <c r="AA11" s="11">
        <v>65.750613231922017</v>
      </c>
      <c r="AB11" s="11">
        <v>73.044652402030962</v>
      </c>
      <c r="AC11" s="11"/>
      <c r="AD11" s="11">
        <f t="shared" si="4"/>
        <v>13.539894970542647</v>
      </c>
      <c r="AE11" s="11">
        <f>'RD T1'!T39</f>
        <v>40.80198991646737</v>
      </c>
      <c r="AF11" s="11">
        <f t="shared" si="7"/>
        <v>54.341884887010018</v>
      </c>
    </row>
    <row r="12" spans="1:32" x14ac:dyDescent="0.2">
      <c r="A12" s="10" t="str">
        <f>name!D8</f>
        <v>23 Teaching and other educational professionals</v>
      </c>
      <c r="B12" s="11">
        <v>51.740039318389456</v>
      </c>
      <c r="C12" s="11">
        <v>51.254551275781473</v>
      </c>
      <c r="D12" s="11">
        <v>53.708575195788306</v>
      </c>
      <c r="E12" s="11">
        <v>58.715715140042562</v>
      </c>
      <c r="F12" s="11">
        <v>63.137330106243262</v>
      </c>
      <c r="G12" s="11"/>
      <c r="H12" s="11">
        <f t="shared" si="2"/>
        <v>9.4287549104549555</v>
      </c>
      <c r="I12" s="11">
        <f>'RD T1'!E11</f>
        <v>29.793537255553954</v>
      </c>
      <c r="J12" s="11">
        <f t="shared" si="5"/>
        <v>39.222292166008913</v>
      </c>
      <c r="L12" s="10" t="str">
        <f>name!D8</f>
        <v>23 Teaching and other educational professionals</v>
      </c>
      <c r="M12" s="11">
        <v>21.954919330672428</v>
      </c>
      <c r="N12" s="11">
        <v>18.096946345867021</v>
      </c>
      <c r="O12" s="11">
        <v>17.693644709941591</v>
      </c>
      <c r="P12" s="11">
        <v>19.738412491431049</v>
      </c>
      <c r="Q12" s="11">
        <v>20.678324469522309</v>
      </c>
      <c r="R12" s="11"/>
      <c r="S12" s="11">
        <f t="shared" si="3"/>
        <v>2.9846797595807182</v>
      </c>
      <c r="T12" s="11">
        <f>'RD T1'!T11</f>
        <v>8.5754262032341373</v>
      </c>
      <c r="U12" s="11">
        <f t="shared" si="6"/>
        <v>11.560105962814855</v>
      </c>
      <c r="W12" s="10" t="str">
        <f>name!D8</f>
        <v>23 Teaching and other educational professionals</v>
      </c>
      <c r="X12" s="11">
        <v>29.785119987716982</v>
      </c>
      <c r="Y12" s="11">
        <v>33.157604929914569</v>
      </c>
      <c r="Z12" s="11">
        <v>36.014930485846712</v>
      </c>
      <c r="AA12" s="11">
        <v>38.977302648611627</v>
      </c>
      <c r="AB12" s="11">
        <v>42.459005636721024</v>
      </c>
      <c r="AC12" s="11"/>
      <c r="AD12" s="11">
        <f t="shared" si="4"/>
        <v>6.4440751508743119</v>
      </c>
      <c r="AE12" s="11">
        <f>'RD T1'!T40</f>
        <v>21.218111052319827</v>
      </c>
      <c r="AF12" s="11">
        <f t="shared" si="7"/>
        <v>27.662186203194139</v>
      </c>
    </row>
    <row r="13" spans="1:32" x14ac:dyDescent="0.2">
      <c r="A13" s="10" t="str">
        <f>name!D9</f>
        <v>24 Business, media and public service professionals</v>
      </c>
      <c r="B13" s="11">
        <v>52.220322486637031</v>
      </c>
      <c r="C13" s="11">
        <v>55.346228521105971</v>
      </c>
      <c r="D13" s="11">
        <v>62.751374352085939</v>
      </c>
      <c r="E13" s="11">
        <v>68.732832036169498</v>
      </c>
      <c r="F13" s="11">
        <v>78.429102753555412</v>
      </c>
      <c r="G13" s="11"/>
      <c r="H13" s="11">
        <f t="shared" si="2"/>
        <v>15.677728401469473</v>
      </c>
      <c r="I13" s="11">
        <f>'RD T1'!E12</f>
        <v>35.068793061338191</v>
      </c>
      <c r="J13" s="11">
        <f t="shared" si="5"/>
        <v>50.746521462807664</v>
      </c>
      <c r="L13" s="10" t="str">
        <f>name!D9</f>
        <v>24 Business, media and public service professionals</v>
      </c>
      <c r="M13" s="11">
        <v>28.275231135837455</v>
      </c>
      <c r="N13" s="11">
        <v>28.082541855922774</v>
      </c>
      <c r="O13" s="11">
        <v>30.862420269723909</v>
      </c>
      <c r="P13" s="11">
        <v>33.777985097925892</v>
      </c>
      <c r="Q13" s="11">
        <v>36.804428294204449</v>
      </c>
      <c r="R13" s="11"/>
      <c r="S13" s="11">
        <f t="shared" si="3"/>
        <v>5.9420080244805398</v>
      </c>
      <c r="T13" s="11">
        <f>'RD T1'!T12</f>
        <v>14.613051808543707</v>
      </c>
      <c r="U13" s="11">
        <f t="shared" si="6"/>
        <v>20.555059833024245</v>
      </c>
      <c r="W13" s="10" t="str">
        <f>name!D9</f>
        <v>24 Business, media and public service professionals</v>
      </c>
      <c r="X13" s="11">
        <v>23.945091350799704</v>
      </c>
      <c r="Y13" s="11">
        <v>27.263686665183315</v>
      </c>
      <c r="Z13" s="11">
        <v>31.888954082362034</v>
      </c>
      <c r="AA13" s="11">
        <v>34.954846938243584</v>
      </c>
      <c r="AB13" s="11">
        <v>41.624674459351105</v>
      </c>
      <c r="AC13" s="11"/>
      <c r="AD13" s="11">
        <f t="shared" si="4"/>
        <v>9.7357203769890717</v>
      </c>
      <c r="AE13" s="11">
        <f>'RD T1'!T41</f>
        <v>20.455741252794478</v>
      </c>
      <c r="AF13" s="11">
        <f t="shared" si="7"/>
        <v>30.19146162978355</v>
      </c>
    </row>
    <row r="14" spans="1:32" x14ac:dyDescent="0.2">
      <c r="A14" s="10" t="str">
        <f>name!D10</f>
        <v>31 Science, engineering and technology associate professionals</v>
      </c>
      <c r="B14" s="11">
        <v>22.173700353829513</v>
      </c>
      <c r="C14" s="11">
        <v>23.792244132513261</v>
      </c>
      <c r="D14" s="11">
        <v>25.674611673300856</v>
      </c>
      <c r="E14" s="11">
        <v>22.156159876445123</v>
      </c>
      <c r="F14" s="11">
        <v>23.163165143553364</v>
      </c>
      <c r="G14" s="11"/>
      <c r="H14" s="11">
        <f t="shared" si="2"/>
        <v>-2.5114465297474915</v>
      </c>
      <c r="I14" s="11">
        <f>'RD T1'!E13</f>
        <v>9.0666081496631907</v>
      </c>
      <c r="J14" s="11">
        <f t="shared" si="5"/>
        <v>6.5551616199156992</v>
      </c>
      <c r="L14" s="10" t="str">
        <f>name!D10</f>
        <v>31 Science, engineering and technology associate professionals</v>
      </c>
      <c r="M14" s="11">
        <v>17.787496212294091</v>
      </c>
      <c r="N14" s="11">
        <v>19.534061192279957</v>
      </c>
      <c r="O14" s="11">
        <v>20.428744491910066</v>
      </c>
      <c r="P14" s="11">
        <v>16.690863179015739</v>
      </c>
      <c r="Q14" s="11">
        <v>16.631563600966476</v>
      </c>
      <c r="R14" s="11"/>
      <c r="S14" s="11">
        <f t="shared" si="3"/>
        <v>-3.79718089094359</v>
      </c>
      <c r="T14" s="11">
        <f>'RD T1'!T13</f>
        <v>6.1101285939770751</v>
      </c>
      <c r="U14" s="11">
        <f t="shared" si="6"/>
        <v>2.3129477030334851</v>
      </c>
      <c r="W14" s="10" t="str">
        <f>name!D10</f>
        <v>31 Science, engineering and technology associate professionals</v>
      </c>
      <c r="X14" s="11">
        <v>4.3862041415354707</v>
      </c>
      <c r="Y14" s="11">
        <v>4.2581829402333211</v>
      </c>
      <c r="Z14" s="11">
        <v>5.2458671813908486</v>
      </c>
      <c r="AA14" s="11">
        <v>5.4652966974294168</v>
      </c>
      <c r="AB14" s="11">
        <v>6.5316015425868352</v>
      </c>
      <c r="AC14" s="11"/>
      <c r="AD14" s="11">
        <f t="shared" si="4"/>
        <v>1.2857343611959866</v>
      </c>
      <c r="AE14" s="11">
        <f>'RD T1'!T42</f>
        <v>2.9564795556861183</v>
      </c>
      <c r="AF14" s="11">
        <f t="shared" si="7"/>
        <v>4.2422139168821049</v>
      </c>
    </row>
    <row r="15" spans="1:32" x14ac:dyDescent="0.2">
      <c r="A15" s="10" t="str">
        <f>name!D11</f>
        <v>32 Health and social care associate professionals</v>
      </c>
      <c r="B15" s="11">
        <v>25.961609747557699</v>
      </c>
      <c r="C15" s="11">
        <v>26.234270158773597</v>
      </c>
      <c r="D15" s="11">
        <v>28.696516826584283</v>
      </c>
      <c r="E15" s="11">
        <v>29.170206138223762</v>
      </c>
      <c r="F15" s="11">
        <v>31.883140108811844</v>
      </c>
      <c r="G15" s="11"/>
      <c r="H15" s="11">
        <f t="shared" si="2"/>
        <v>3.1866232822275613</v>
      </c>
      <c r="I15" s="11">
        <f>'RD T1'!E14</f>
        <v>17.592389879613759</v>
      </c>
      <c r="J15" s="11">
        <f t="shared" si="5"/>
        <v>20.77901316184132</v>
      </c>
      <c r="L15" s="10" t="str">
        <f>name!D11</f>
        <v>32 Health and social care associate professionals</v>
      </c>
      <c r="M15" s="11">
        <v>5.9989883891014966</v>
      </c>
      <c r="N15" s="11">
        <v>5.7541164170374053</v>
      </c>
      <c r="O15" s="11">
        <v>6.5622472118968682</v>
      </c>
      <c r="P15" s="11">
        <v>6.006008646859808</v>
      </c>
      <c r="Q15" s="11">
        <v>6.4497924322423712</v>
      </c>
      <c r="R15" s="11"/>
      <c r="S15" s="11">
        <f t="shared" si="3"/>
        <v>-0.11245477965449702</v>
      </c>
      <c r="T15" s="11">
        <f>'RD T1'!T14</f>
        <v>3.0040690304368995</v>
      </c>
      <c r="U15" s="11">
        <f t="shared" si="6"/>
        <v>2.8916142507824025</v>
      </c>
      <c r="W15" s="10" t="str">
        <f>name!D11</f>
        <v>32 Health and social care associate professionals</v>
      </c>
      <c r="X15" s="11">
        <v>19.962621358456222</v>
      </c>
      <c r="Y15" s="11">
        <v>20.480153741736185</v>
      </c>
      <c r="Z15" s="11">
        <v>22.134269614687419</v>
      </c>
      <c r="AA15" s="11">
        <v>23.164197491363925</v>
      </c>
      <c r="AB15" s="11">
        <v>25.433347676569465</v>
      </c>
      <c r="AC15" s="11"/>
      <c r="AD15" s="11">
        <f t="shared" si="4"/>
        <v>3.2990780618820459</v>
      </c>
      <c r="AE15" s="11">
        <f>'RD T1'!T43</f>
        <v>14.588320849176855</v>
      </c>
      <c r="AF15" s="11">
        <f t="shared" si="7"/>
        <v>17.887398911058902</v>
      </c>
    </row>
    <row r="16" spans="1:32" x14ac:dyDescent="0.2">
      <c r="A16" s="10" t="str">
        <f>name!D12</f>
        <v>33 Protective service occupations</v>
      </c>
      <c r="B16" s="11">
        <v>14.68743195603696</v>
      </c>
      <c r="C16" s="11">
        <v>15.637461080435006</v>
      </c>
      <c r="D16" s="11">
        <v>16.490904766190859</v>
      </c>
      <c r="E16" s="11">
        <v>18.925385851473798</v>
      </c>
      <c r="F16" s="11">
        <v>21.562302765848596</v>
      </c>
      <c r="G16" s="11"/>
      <c r="H16" s="11">
        <f t="shared" si="2"/>
        <v>5.0713979996577372</v>
      </c>
      <c r="I16" s="11">
        <f>'RD T1'!E15</f>
        <v>6.9469219583139283</v>
      </c>
      <c r="J16" s="11">
        <f t="shared" si="5"/>
        <v>12.018319957971666</v>
      </c>
      <c r="L16" s="10" t="str">
        <f>name!D12</f>
        <v>33 Protective service occupations</v>
      </c>
      <c r="M16" s="11">
        <v>11.111441624063808</v>
      </c>
      <c r="N16" s="11">
        <v>11.591925917359603</v>
      </c>
      <c r="O16" s="11">
        <v>11.988773796171809</v>
      </c>
      <c r="P16" s="11">
        <v>13.127975215448016</v>
      </c>
      <c r="Q16" s="11">
        <v>13.961513754404317</v>
      </c>
      <c r="R16" s="11"/>
      <c r="S16" s="11">
        <f t="shared" si="3"/>
        <v>1.9727399582325074</v>
      </c>
      <c r="T16" s="11">
        <f>'RD T1'!T15</f>
        <v>3.6939139417768105</v>
      </c>
      <c r="U16" s="11">
        <f t="shared" si="6"/>
        <v>5.6666539000093179</v>
      </c>
      <c r="W16" s="10" t="str">
        <f>name!D12</f>
        <v>33 Protective service occupations</v>
      </c>
      <c r="X16" s="11">
        <v>3.5759903319731263</v>
      </c>
      <c r="Y16" s="11">
        <v>4.0455351630754022</v>
      </c>
      <c r="Z16" s="11">
        <v>4.5021309700189773</v>
      </c>
      <c r="AA16" s="11">
        <v>5.7974106360257514</v>
      </c>
      <c r="AB16" s="11">
        <v>7.60078901144432</v>
      </c>
      <c r="AC16" s="11"/>
      <c r="AD16" s="11">
        <f t="shared" si="4"/>
        <v>3.0986580414253426</v>
      </c>
      <c r="AE16" s="11">
        <f>'RD T1'!T44</f>
        <v>3.2530080165371182</v>
      </c>
      <c r="AF16" s="11">
        <f t="shared" si="7"/>
        <v>6.3516660579624613</v>
      </c>
    </row>
    <row r="17" spans="1:32" x14ac:dyDescent="0.2">
      <c r="A17" s="10" t="str">
        <f>name!D13</f>
        <v>34 Culture, media and sports occupations</v>
      </c>
      <c r="B17" s="11">
        <v>15.58428987447075</v>
      </c>
      <c r="C17" s="11">
        <v>15.773641586757474</v>
      </c>
      <c r="D17" s="11">
        <v>14.871594679764716</v>
      </c>
      <c r="E17" s="11">
        <v>14.006985384223782</v>
      </c>
      <c r="F17" s="11">
        <v>15.744184153452183</v>
      </c>
      <c r="G17" s="11"/>
      <c r="H17" s="11">
        <f t="shared" si="2"/>
        <v>0.87258947368746753</v>
      </c>
      <c r="I17" s="11">
        <f>'RD T1'!E16</f>
        <v>7.2362884699627692</v>
      </c>
      <c r="J17" s="11">
        <f t="shared" si="5"/>
        <v>8.1088779436502367</v>
      </c>
      <c r="L17" s="10" t="str">
        <f>name!D13</f>
        <v>34 Culture, media and sports occupations</v>
      </c>
      <c r="M17" s="11">
        <v>6.7426093420687456</v>
      </c>
      <c r="N17" s="11">
        <v>7.5650955732103462</v>
      </c>
      <c r="O17" s="11">
        <v>6.2979093288572043</v>
      </c>
      <c r="P17" s="11">
        <v>5.9451958107448561</v>
      </c>
      <c r="Q17" s="11">
        <v>6.4829890439361764</v>
      </c>
      <c r="R17" s="11"/>
      <c r="S17" s="11">
        <f t="shared" si="3"/>
        <v>0.18507971507897203</v>
      </c>
      <c r="T17" s="11">
        <f>'RD T1'!T16</f>
        <v>2.4831638216358223</v>
      </c>
      <c r="U17" s="11">
        <f t="shared" si="6"/>
        <v>2.6682435367147943</v>
      </c>
      <c r="W17" s="10" t="str">
        <f>name!D13</f>
        <v>34 Culture, media and sports occupations</v>
      </c>
      <c r="X17" s="11">
        <v>8.8416805324020267</v>
      </c>
      <c r="Y17" s="11">
        <v>8.2085460135471084</v>
      </c>
      <c r="Z17" s="11">
        <v>8.5736853509075157</v>
      </c>
      <c r="AA17" s="11">
        <v>8.0617895734789293</v>
      </c>
      <c r="AB17" s="11">
        <v>9.261195109516013</v>
      </c>
      <c r="AC17" s="11"/>
      <c r="AD17" s="11">
        <f t="shared" si="4"/>
        <v>0.68750975860849728</v>
      </c>
      <c r="AE17" s="11">
        <f>'RD T1'!T45</f>
        <v>4.7531246483269474</v>
      </c>
      <c r="AF17" s="11">
        <f t="shared" si="7"/>
        <v>5.4406344069354446</v>
      </c>
    </row>
    <row r="18" spans="1:32" x14ac:dyDescent="0.2">
      <c r="A18" s="10" t="str">
        <f>name!D14</f>
        <v>35 Business and public service associate professionals</v>
      </c>
      <c r="B18" s="11">
        <v>50.660121656326183</v>
      </c>
      <c r="C18" s="11">
        <v>51.930744233608991</v>
      </c>
      <c r="D18" s="11">
        <v>54.538524390761594</v>
      </c>
      <c r="E18" s="11">
        <v>51.701814796508764</v>
      </c>
      <c r="F18" s="11">
        <v>54.505397506817054</v>
      </c>
      <c r="G18" s="11"/>
      <c r="H18" s="11">
        <f t="shared" si="2"/>
        <v>-3.3126883944539998E-2</v>
      </c>
      <c r="I18" s="11">
        <f>'RD T1'!E17</f>
        <v>24.779699545625931</v>
      </c>
      <c r="J18" s="11">
        <f t="shared" si="5"/>
        <v>24.746572661681391</v>
      </c>
      <c r="L18" s="10" t="str">
        <f>name!D14</f>
        <v>35 Business and public service associate professionals</v>
      </c>
      <c r="M18" s="11">
        <v>25.082172549793022</v>
      </c>
      <c r="N18" s="11">
        <v>25.438934236682407</v>
      </c>
      <c r="O18" s="11">
        <v>26.564514034525022</v>
      </c>
      <c r="P18" s="11">
        <v>24.163738534296222</v>
      </c>
      <c r="Q18" s="11">
        <v>24.135730477065955</v>
      </c>
      <c r="R18" s="11"/>
      <c r="S18" s="11">
        <f t="shared" si="3"/>
        <v>-2.4287835574590666</v>
      </c>
      <c r="T18" s="11">
        <f>'RD T1'!T17</f>
        <v>9.235870816358732</v>
      </c>
      <c r="U18" s="11">
        <f t="shared" si="6"/>
        <v>6.8070872588996654</v>
      </c>
      <c r="W18" s="10" t="str">
        <f>name!D14</f>
        <v>35 Business and public service associate professionals</v>
      </c>
      <c r="X18" s="11">
        <v>25.5779491065332</v>
      </c>
      <c r="Y18" s="11">
        <v>26.491809996926737</v>
      </c>
      <c r="Z18" s="11">
        <v>27.974010356236636</v>
      </c>
      <c r="AA18" s="11">
        <v>27.538076262212677</v>
      </c>
      <c r="AB18" s="11">
        <v>30.36966702975106</v>
      </c>
      <c r="AC18" s="11"/>
      <c r="AD18" s="11">
        <f t="shared" si="4"/>
        <v>2.3956566735144236</v>
      </c>
      <c r="AE18" s="11">
        <f>'RD T1'!T46</f>
        <v>15.54382872926719</v>
      </c>
      <c r="AF18" s="11">
        <f t="shared" si="7"/>
        <v>17.939485402781614</v>
      </c>
    </row>
    <row r="19" spans="1:32" x14ac:dyDescent="0.2">
      <c r="A19" s="10" t="str">
        <f>name!D15</f>
        <v>41 Administrative occupations</v>
      </c>
      <c r="B19" s="11">
        <v>114.57040469271979</v>
      </c>
      <c r="C19" s="11">
        <v>105.53980785630196</v>
      </c>
      <c r="D19" s="11">
        <v>110.91865106364448</v>
      </c>
      <c r="E19" s="11">
        <v>101.70991395703572</v>
      </c>
      <c r="F19" s="11">
        <v>97.055349402964936</v>
      </c>
      <c r="G19" s="11"/>
      <c r="H19" s="11">
        <f t="shared" si="2"/>
        <v>-13.863301660679539</v>
      </c>
      <c r="I19" s="11">
        <f>'RD T1'!E18</f>
        <v>50.925256074583146</v>
      </c>
      <c r="J19" s="11">
        <f t="shared" si="5"/>
        <v>37.061954413903607</v>
      </c>
      <c r="L19" s="10" t="str">
        <f>name!D15</f>
        <v>41 Administrative occupations</v>
      </c>
      <c r="M19" s="11">
        <v>34.766037827392644</v>
      </c>
      <c r="N19" s="11">
        <v>31.066412228997802</v>
      </c>
      <c r="O19" s="11">
        <v>37.233378622315428</v>
      </c>
      <c r="P19" s="11">
        <v>35.435520102130205</v>
      </c>
      <c r="Q19" s="11">
        <v>38.957957029619536</v>
      </c>
      <c r="R19" s="11"/>
      <c r="S19" s="11">
        <f t="shared" si="3"/>
        <v>1.7245784073041079</v>
      </c>
      <c r="T19" s="11">
        <f>'RD T1'!T18</f>
        <v>13.789090517980187</v>
      </c>
      <c r="U19" s="11">
        <f t="shared" si="6"/>
        <v>15.513668925284295</v>
      </c>
      <c r="W19" s="10" t="str">
        <f>name!D15</f>
        <v>41 Administrative occupations</v>
      </c>
      <c r="X19" s="11">
        <v>79.804366865327268</v>
      </c>
      <c r="Y19" s="11">
        <v>74.473395627304086</v>
      </c>
      <c r="Z19" s="11">
        <v>73.685272441329062</v>
      </c>
      <c r="AA19" s="11">
        <v>66.274393854905597</v>
      </c>
      <c r="AB19" s="11">
        <v>58.097392373345521</v>
      </c>
      <c r="AC19" s="11"/>
      <c r="AD19" s="11">
        <f t="shared" si="4"/>
        <v>-15.587880067983541</v>
      </c>
      <c r="AE19" s="11">
        <f>'RD T1'!T47</f>
        <v>37.136165556602954</v>
      </c>
      <c r="AF19" s="11">
        <f t="shared" si="7"/>
        <v>21.548285488619413</v>
      </c>
    </row>
    <row r="20" spans="1:32" x14ac:dyDescent="0.2">
      <c r="A20" s="10" t="str">
        <f>name!D16</f>
        <v>42 Secretarial and related occupations</v>
      </c>
      <c r="B20" s="11">
        <v>25.1803806130523</v>
      </c>
      <c r="C20" s="11">
        <v>21.474199365586301</v>
      </c>
      <c r="D20" s="11">
        <v>21.772443071641227</v>
      </c>
      <c r="E20" s="11">
        <v>23.693157887733729</v>
      </c>
      <c r="F20" s="11">
        <v>20.167851374538614</v>
      </c>
      <c r="G20" s="11"/>
      <c r="H20" s="11">
        <f t="shared" si="2"/>
        <v>-1.6045916971026131</v>
      </c>
      <c r="I20" s="11">
        <f>'RD T1'!E19</f>
        <v>12.048559171339857</v>
      </c>
      <c r="J20" s="11">
        <f t="shared" si="5"/>
        <v>10.443967474237244</v>
      </c>
      <c r="L20" s="10" t="str">
        <f>name!D16</f>
        <v>42 Secretarial and related occupations</v>
      </c>
      <c r="M20" s="11">
        <v>1.6789348131317414</v>
      </c>
      <c r="N20" s="11">
        <v>1.2765123230505644</v>
      </c>
      <c r="O20" s="11">
        <v>1.1666759509376754</v>
      </c>
      <c r="P20" s="11">
        <v>1.694401719120664</v>
      </c>
      <c r="Q20" s="11">
        <v>2.0435303176081177</v>
      </c>
      <c r="R20" s="11"/>
      <c r="S20" s="11">
        <f t="shared" si="3"/>
        <v>0.87685436667044225</v>
      </c>
      <c r="T20" s="11">
        <f>'RD T1'!T19</f>
        <v>0.59170120986827501</v>
      </c>
      <c r="U20" s="11">
        <f t="shared" si="6"/>
        <v>1.4685555765387173</v>
      </c>
      <c r="W20" s="10" t="str">
        <f>name!D16</f>
        <v>42 Secretarial and related occupations</v>
      </c>
      <c r="X20" s="11">
        <v>23.501445799920564</v>
      </c>
      <c r="Y20" s="11">
        <v>20.197687042535737</v>
      </c>
      <c r="Z20" s="11">
        <v>20.605767120703554</v>
      </c>
      <c r="AA20" s="11">
        <v>21.99875616861307</v>
      </c>
      <c r="AB20" s="11">
        <v>18.124321056930512</v>
      </c>
      <c r="AC20" s="11"/>
      <c r="AD20" s="11">
        <f t="shared" si="4"/>
        <v>-2.481446063773042</v>
      </c>
      <c r="AE20" s="11">
        <f>'RD T1'!T48</f>
        <v>11.456857961471581</v>
      </c>
      <c r="AF20" s="11">
        <f t="shared" si="7"/>
        <v>8.9754118976985389</v>
      </c>
    </row>
    <row r="21" spans="1:32" x14ac:dyDescent="0.2">
      <c r="A21" s="10" t="str">
        <f>name!D17</f>
        <v>51 Skilled agricultural and related trades</v>
      </c>
      <c r="B21" s="11">
        <v>12.543419718462415</v>
      </c>
      <c r="C21" s="11">
        <v>10.264940340113577</v>
      </c>
      <c r="D21" s="11">
        <v>10.301868360565633</v>
      </c>
      <c r="E21" s="11">
        <v>10.465035897964432</v>
      </c>
      <c r="F21" s="11">
        <v>11.586104938365459</v>
      </c>
      <c r="G21" s="11"/>
      <c r="H21" s="11">
        <f t="shared" si="2"/>
        <v>1.2842365777998257</v>
      </c>
      <c r="I21" s="11">
        <f>'RD T1'!E20</f>
        <v>6.0567057681012804</v>
      </c>
      <c r="J21" s="11">
        <f t="shared" si="5"/>
        <v>7.3409423459011061</v>
      </c>
      <c r="L21" s="10" t="str">
        <f>name!D17</f>
        <v>51 Skilled agricultural and related trades</v>
      </c>
      <c r="M21" s="11">
        <v>11.636452191940384</v>
      </c>
      <c r="N21" s="11">
        <v>9.0764318563695703</v>
      </c>
      <c r="O21" s="11">
        <v>8.1366460268245948</v>
      </c>
      <c r="P21" s="11">
        <v>8.0753337418006499</v>
      </c>
      <c r="Q21" s="11">
        <v>8.7701206946933734</v>
      </c>
      <c r="R21" s="11"/>
      <c r="S21" s="11">
        <f t="shared" si="3"/>
        <v>0.6334746678687786</v>
      </c>
      <c r="T21" s="11">
        <f>'RD T1'!T20</f>
        <v>4.3150484832795328</v>
      </c>
      <c r="U21" s="11">
        <f t="shared" si="6"/>
        <v>4.9485231511483114</v>
      </c>
      <c r="W21" s="10" t="str">
        <f>name!D17</f>
        <v>51 Skilled agricultural and related trades</v>
      </c>
      <c r="X21" s="11">
        <v>0.90696752652206036</v>
      </c>
      <c r="Y21" s="11">
        <v>1.1885084837439934</v>
      </c>
      <c r="Z21" s="11">
        <v>2.1652223337410623</v>
      </c>
      <c r="AA21" s="11">
        <v>2.3897021561637932</v>
      </c>
      <c r="AB21" s="11">
        <v>2.8159842436720797</v>
      </c>
      <c r="AC21" s="11"/>
      <c r="AD21" s="11">
        <f t="shared" si="4"/>
        <v>0.65076190993101735</v>
      </c>
      <c r="AE21" s="11">
        <f>'RD T1'!T49</f>
        <v>1.7416572848217462</v>
      </c>
      <c r="AF21" s="11">
        <f t="shared" si="7"/>
        <v>2.3924191947527635</v>
      </c>
    </row>
    <row r="22" spans="1:32" x14ac:dyDescent="0.2">
      <c r="A22" s="10" t="str">
        <f>name!D18</f>
        <v>52 Skilled metal, electrical and electronic trades</v>
      </c>
      <c r="B22" s="11">
        <v>51.747021542468346</v>
      </c>
      <c r="C22" s="11">
        <v>50.143502229845936</v>
      </c>
      <c r="D22" s="11">
        <v>42.60775024378303</v>
      </c>
      <c r="E22" s="11">
        <v>40.397944693805357</v>
      </c>
      <c r="F22" s="11">
        <v>36.473047170903065</v>
      </c>
      <c r="G22" s="11"/>
      <c r="H22" s="11">
        <f t="shared" si="2"/>
        <v>-6.1347030728799652</v>
      </c>
      <c r="I22" s="11">
        <f>'RD T1'!E21</f>
        <v>14.656533449391997</v>
      </c>
      <c r="J22" s="11">
        <f t="shared" si="5"/>
        <v>8.5218303765120318</v>
      </c>
      <c r="L22" s="10" t="str">
        <f>name!D18</f>
        <v>52 Skilled metal, electrical and electronic trades</v>
      </c>
      <c r="M22" s="11">
        <v>51.271698802829619</v>
      </c>
      <c r="N22" s="11">
        <v>49.404160076149466</v>
      </c>
      <c r="O22" s="11">
        <v>42.007258387746035</v>
      </c>
      <c r="P22" s="11">
        <v>38.983087378550721</v>
      </c>
      <c r="Q22" s="11">
        <v>34.571447362125326</v>
      </c>
      <c r="R22" s="11"/>
      <c r="S22" s="11">
        <f t="shared" si="3"/>
        <v>-7.4358110256207084</v>
      </c>
      <c r="T22" s="11">
        <f>'RD T1'!T21</f>
        <v>13.788543735721396</v>
      </c>
      <c r="U22" s="11">
        <f t="shared" si="6"/>
        <v>6.3527327101006872</v>
      </c>
      <c r="W22" s="10" t="str">
        <f>name!D18</f>
        <v>52 Skilled metal, electrical and electronic trades</v>
      </c>
      <c r="X22" s="11">
        <v>0.47532273963869587</v>
      </c>
      <c r="Y22" s="11">
        <v>0.73934215369643219</v>
      </c>
      <c r="Z22" s="11">
        <v>0.6004918560369934</v>
      </c>
      <c r="AA22" s="11">
        <v>1.4148573152545627</v>
      </c>
      <c r="AB22" s="11">
        <v>1.9015998087777757</v>
      </c>
      <c r="AC22" s="11"/>
      <c r="AD22" s="11">
        <f t="shared" si="4"/>
        <v>1.3011079527407823</v>
      </c>
      <c r="AE22" s="11">
        <f>'RD T1'!T50</f>
        <v>0.86798971367060429</v>
      </c>
      <c r="AF22" s="11">
        <f t="shared" si="7"/>
        <v>2.1690976664113863</v>
      </c>
    </row>
    <row r="23" spans="1:32" x14ac:dyDescent="0.2">
      <c r="A23" s="10" t="str">
        <f>name!D19</f>
        <v>53 Skilled construction and building trades</v>
      </c>
      <c r="B23" s="11">
        <v>41.419150338928858</v>
      </c>
      <c r="C23" s="11">
        <v>44.669193195030559</v>
      </c>
      <c r="D23" s="11">
        <v>36.039102763857159</v>
      </c>
      <c r="E23" s="11">
        <v>35.488642210875369</v>
      </c>
      <c r="F23" s="11">
        <v>31.960757016792254</v>
      </c>
      <c r="G23" s="11"/>
      <c r="H23" s="11">
        <f t="shared" si="2"/>
        <v>-4.0783457470649047</v>
      </c>
      <c r="I23" s="11">
        <f>'RD T1'!E22</f>
        <v>14.310706692725715</v>
      </c>
      <c r="J23" s="11">
        <f t="shared" si="5"/>
        <v>10.23236094566081</v>
      </c>
      <c r="L23" s="10" t="str">
        <f>name!D19</f>
        <v>53 Skilled construction and building trades</v>
      </c>
      <c r="M23" s="11">
        <v>39.895092634430256</v>
      </c>
      <c r="N23" s="11">
        <v>43.826332704876407</v>
      </c>
      <c r="O23" s="11">
        <v>35.010299414621841</v>
      </c>
      <c r="P23" s="11">
        <v>34.390753621554488</v>
      </c>
      <c r="Q23" s="11">
        <v>30.71757010536988</v>
      </c>
      <c r="R23" s="11"/>
      <c r="S23" s="11">
        <f t="shared" si="3"/>
        <v>-4.2927293092519605</v>
      </c>
      <c r="T23" s="11">
        <f>'RD T1'!T22</f>
        <v>13.683710243720739</v>
      </c>
      <c r="U23" s="11">
        <f t="shared" si="6"/>
        <v>9.3909809344687787</v>
      </c>
      <c r="W23" s="10" t="str">
        <f>name!D19</f>
        <v>53 Skilled construction and building trades</v>
      </c>
      <c r="X23" s="11">
        <v>1.5240577044984849</v>
      </c>
      <c r="Y23" s="11">
        <v>0.84286049015415576</v>
      </c>
      <c r="Z23" s="11">
        <v>1.0288033492352988</v>
      </c>
      <c r="AA23" s="11">
        <v>1.0978885893208596</v>
      </c>
      <c r="AB23" s="11">
        <v>1.2431869114223111</v>
      </c>
      <c r="AC23" s="11"/>
      <c r="AD23" s="11">
        <f t="shared" si="4"/>
        <v>0.21438356218701227</v>
      </c>
      <c r="AE23" s="11">
        <f>'RD T1'!T51</f>
        <v>0.62699644900497686</v>
      </c>
      <c r="AF23" s="11">
        <f t="shared" si="7"/>
        <v>0.84138001119198913</v>
      </c>
    </row>
    <row r="24" spans="1:32" x14ac:dyDescent="0.2">
      <c r="A24" s="10" t="str">
        <f>name!D20</f>
        <v>54 Textiles, printing and other skilled trades</v>
      </c>
      <c r="B24" s="11">
        <v>25.386641391134777</v>
      </c>
      <c r="C24" s="11">
        <v>22.351057253310533</v>
      </c>
      <c r="D24" s="11">
        <v>21.093602961826281</v>
      </c>
      <c r="E24" s="11">
        <v>20.64922949338639</v>
      </c>
      <c r="F24" s="11">
        <v>20.007455074440646</v>
      </c>
      <c r="G24" s="11"/>
      <c r="H24" s="11">
        <f t="shared" si="2"/>
        <v>-1.0861478873856356</v>
      </c>
      <c r="I24" s="11">
        <f>'RD T1'!E23</f>
        <v>9.2466363718882327</v>
      </c>
      <c r="J24" s="11">
        <f t="shared" si="5"/>
        <v>8.1604884845025971</v>
      </c>
      <c r="L24" s="10" t="str">
        <f>name!D20</f>
        <v>54 Textiles, printing and other skilled trades</v>
      </c>
      <c r="M24" s="11">
        <v>14.628688141793107</v>
      </c>
      <c r="N24" s="11">
        <v>13.119971917734802</v>
      </c>
      <c r="O24" s="11">
        <v>10.94759386747138</v>
      </c>
      <c r="P24" s="11">
        <v>10.614328209264022</v>
      </c>
      <c r="Q24" s="11">
        <v>10.261425400620922</v>
      </c>
      <c r="R24" s="11"/>
      <c r="S24" s="11">
        <f t="shared" si="3"/>
        <v>-0.68616846685045729</v>
      </c>
      <c r="T24" s="11">
        <f>'RD T1'!T23</f>
        <v>3.2782243884219353</v>
      </c>
      <c r="U24" s="11">
        <f t="shared" si="6"/>
        <v>2.592055921571478</v>
      </c>
      <c r="W24" s="10" t="str">
        <f>name!D20</f>
        <v>54 Textiles, printing and other skilled trades</v>
      </c>
      <c r="X24" s="11">
        <v>10.757953249341664</v>
      </c>
      <c r="Y24" s="11">
        <v>9.2310853355757381</v>
      </c>
      <c r="Z24" s="11">
        <v>10.146009094354905</v>
      </c>
      <c r="AA24" s="11">
        <v>10.034901284122361</v>
      </c>
      <c r="AB24" s="11">
        <v>9.7460296738197343</v>
      </c>
      <c r="AC24" s="11"/>
      <c r="AD24" s="11">
        <f t="shared" si="4"/>
        <v>-0.39997942053517122</v>
      </c>
      <c r="AE24" s="11">
        <f>'RD T1'!T52</f>
        <v>5.9684119834662965</v>
      </c>
      <c r="AF24" s="11">
        <f t="shared" si="7"/>
        <v>5.5684325629311253</v>
      </c>
    </row>
    <row r="25" spans="1:32" x14ac:dyDescent="0.2">
      <c r="A25" s="10" t="str">
        <f>name!D21</f>
        <v>61 Caring personal service occupations</v>
      </c>
      <c r="B25" s="11">
        <v>88.684911099512362</v>
      </c>
      <c r="C25" s="11">
        <v>82.941204653813969</v>
      </c>
      <c r="D25" s="11">
        <v>85.269437786949581</v>
      </c>
      <c r="E25" s="11">
        <v>91.561079770055386</v>
      </c>
      <c r="F25" s="11">
        <v>96.070574814222852</v>
      </c>
      <c r="G25" s="11"/>
      <c r="H25" s="11">
        <f t="shared" si="2"/>
        <v>10.801137027273271</v>
      </c>
      <c r="I25" s="11">
        <f>'RD T1'!E24</f>
        <v>52.384100278294021</v>
      </c>
      <c r="J25" s="11">
        <f t="shared" si="5"/>
        <v>63.185237305567291</v>
      </c>
      <c r="L25" s="10" t="str">
        <f>name!D21</f>
        <v>61 Caring personal service occupations</v>
      </c>
      <c r="M25" s="11">
        <v>11.116397224333236</v>
      </c>
      <c r="N25" s="11">
        <v>11.173840973478027</v>
      </c>
      <c r="O25" s="11">
        <v>10.944111595436329</v>
      </c>
      <c r="P25" s="11">
        <v>13.332857030002922</v>
      </c>
      <c r="Q25" s="11">
        <v>15.182187696737737</v>
      </c>
      <c r="R25" s="11"/>
      <c r="S25" s="11">
        <f t="shared" si="3"/>
        <v>4.2380761013014077</v>
      </c>
      <c r="T25" s="11">
        <f>'RD T1'!T24</f>
        <v>6.0114298679059948</v>
      </c>
      <c r="U25" s="11">
        <f t="shared" si="6"/>
        <v>10.249505969207402</v>
      </c>
      <c r="W25" s="10" t="str">
        <f>name!D21</f>
        <v>61 Caring personal service occupations</v>
      </c>
      <c r="X25" s="11">
        <v>77.568513875179136</v>
      </c>
      <c r="Y25" s="11">
        <v>71.767363680335933</v>
      </c>
      <c r="Z25" s="11">
        <v>74.325326191513227</v>
      </c>
      <c r="AA25" s="11">
        <v>78.228222740052459</v>
      </c>
      <c r="AB25" s="11">
        <v>80.888387117485095</v>
      </c>
      <c r="AC25" s="11"/>
      <c r="AD25" s="11">
        <f t="shared" si="4"/>
        <v>6.5630609259718682</v>
      </c>
      <c r="AE25" s="11">
        <f>'RD T1'!T53</f>
        <v>46.372670410388032</v>
      </c>
      <c r="AF25" s="11">
        <f t="shared" si="7"/>
        <v>52.9357313363599</v>
      </c>
    </row>
    <row r="26" spans="1:32" x14ac:dyDescent="0.2">
      <c r="A26" s="10" t="str">
        <f>name!D22</f>
        <v>62 Leisure, travel and related personal service occupations</v>
      </c>
      <c r="B26" s="11">
        <v>27.405172717445431</v>
      </c>
      <c r="C26" s="11">
        <v>28.56716875139217</v>
      </c>
      <c r="D26" s="11">
        <v>26.609234004473503</v>
      </c>
      <c r="E26" s="11">
        <v>26.493861943034343</v>
      </c>
      <c r="F26" s="11">
        <v>27.345758662070583</v>
      </c>
      <c r="G26" s="11"/>
      <c r="H26" s="11">
        <f t="shared" si="2"/>
        <v>0.73652465759708008</v>
      </c>
      <c r="I26" s="11">
        <f>'RD T1'!E25</f>
        <v>13.676147163262671</v>
      </c>
      <c r="J26" s="11">
        <f t="shared" si="5"/>
        <v>14.412671820859751</v>
      </c>
      <c r="L26" s="10" t="str">
        <f>name!D22</f>
        <v>62 Leisure, travel and related personal service occupations</v>
      </c>
      <c r="M26" s="11">
        <v>7.9917594776597687</v>
      </c>
      <c r="N26" s="11">
        <v>8.4713940335200029</v>
      </c>
      <c r="O26" s="11">
        <v>8.4141567658143206</v>
      </c>
      <c r="P26" s="11">
        <v>8.2914591573836987</v>
      </c>
      <c r="Q26" s="11">
        <v>8.9031187115617278</v>
      </c>
      <c r="R26" s="11"/>
      <c r="S26" s="11">
        <f t="shared" si="3"/>
        <v>0.48896194574740726</v>
      </c>
      <c r="T26" s="11">
        <f>'RD T1'!T25</f>
        <v>3.5299362438273127</v>
      </c>
      <c r="U26" s="11">
        <f t="shared" si="6"/>
        <v>4.0188981895747204</v>
      </c>
      <c r="W26" s="10" t="str">
        <f>name!D22</f>
        <v>62 Leisure, travel and related personal service occupations</v>
      </c>
      <c r="X26" s="11">
        <v>19.413413239785708</v>
      </c>
      <c r="Y26" s="11">
        <v>20.095774717872185</v>
      </c>
      <c r="Z26" s="11">
        <v>18.195077238659177</v>
      </c>
      <c r="AA26" s="11">
        <v>18.202402785650644</v>
      </c>
      <c r="AB26" s="11">
        <v>18.442639950508816</v>
      </c>
      <c r="AC26" s="11"/>
      <c r="AD26" s="11">
        <f t="shared" si="4"/>
        <v>0.24756271184963907</v>
      </c>
      <c r="AE26" s="11">
        <f>'RD T1'!T54</f>
        <v>10.146210919435362</v>
      </c>
      <c r="AF26" s="11">
        <f t="shared" si="7"/>
        <v>10.393773631285001</v>
      </c>
    </row>
    <row r="27" spans="1:32" x14ac:dyDescent="0.2">
      <c r="A27" s="10" t="str">
        <f>name!D23</f>
        <v>63 Community and civil enforcement occupations</v>
      </c>
      <c r="B27" s="11">
        <v>1.3802744895746679</v>
      </c>
      <c r="C27" s="11">
        <v>1.2554228391650974</v>
      </c>
      <c r="D27" s="11">
        <v>1.5568242574433744</v>
      </c>
      <c r="E27" s="11">
        <v>1.277250452177739</v>
      </c>
      <c r="F27" s="11">
        <v>1.3602839748610343</v>
      </c>
      <c r="G27" s="11"/>
      <c r="H27" s="11">
        <f t="shared" si="2"/>
        <v>-0.19654028258234013</v>
      </c>
      <c r="I27" s="11">
        <f>'RD T1'!E26</f>
        <v>0.64738633005821355</v>
      </c>
      <c r="J27" s="11">
        <f t="shared" si="5"/>
        <v>0.45084604747587342</v>
      </c>
      <c r="L27" s="10" t="str">
        <f>name!D23</f>
        <v>63 Community and civil enforcement occupations</v>
      </c>
      <c r="M27" s="11">
        <v>1.0207425802249825</v>
      </c>
      <c r="N27" s="11">
        <v>0.81688644295339252</v>
      </c>
      <c r="O27" s="11">
        <v>1.1888725263847495</v>
      </c>
      <c r="P27" s="11">
        <v>0.78362858876925756</v>
      </c>
      <c r="Q27" s="11">
        <v>0.88019824990596762</v>
      </c>
      <c r="R27" s="11"/>
      <c r="S27" s="11">
        <f t="shared" si="3"/>
        <v>-0.30867427647878187</v>
      </c>
      <c r="T27" s="11">
        <f>'RD T1'!T26</f>
        <v>0.3368689586100459</v>
      </c>
      <c r="U27" s="11">
        <f t="shared" si="6"/>
        <v>2.8194682131264026E-2</v>
      </c>
      <c r="W27" s="10" t="str">
        <f>name!D23</f>
        <v>63 Community and civil enforcement occupations</v>
      </c>
      <c r="X27" s="11">
        <v>0.35953190934968643</v>
      </c>
      <c r="Y27" s="11">
        <v>0.43853639621170659</v>
      </c>
      <c r="Z27" s="11">
        <v>0.36795173105862278</v>
      </c>
      <c r="AA27" s="11">
        <v>0.49362186340848135</v>
      </c>
      <c r="AB27" s="11">
        <v>0.48008572495506774</v>
      </c>
      <c r="AC27" s="11"/>
      <c r="AD27" s="11">
        <f t="shared" si="4"/>
        <v>0.11213399389644496</v>
      </c>
      <c r="AE27" s="11">
        <f>'RD T1'!T55</f>
        <v>0.31051737144816771</v>
      </c>
      <c r="AF27" s="11">
        <f t="shared" si="7"/>
        <v>0.42265136534461267</v>
      </c>
    </row>
    <row r="28" spans="1:32" x14ac:dyDescent="0.2">
      <c r="A28" s="10" t="str">
        <f>name!D24</f>
        <v>71 Sales occupations</v>
      </c>
      <c r="B28" s="11">
        <v>115.11953582269213</v>
      </c>
      <c r="C28" s="11">
        <v>103.36021529507335</v>
      </c>
      <c r="D28" s="11">
        <v>103.628321303587</v>
      </c>
      <c r="E28" s="11">
        <v>97.846712688119439</v>
      </c>
      <c r="F28" s="11">
        <v>95.173047322350257</v>
      </c>
      <c r="G28" s="11"/>
      <c r="H28" s="11">
        <f t="shared" si="2"/>
        <v>-8.4552739812367435</v>
      </c>
      <c r="I28" s="11">
        <f>'RD T1'!E27</f>
        <v>49.23707120530166</v>
      </c>
      <c r="J28" s="11">
        <f t="shared" si="5"/>
        <v>40.781797224064917</v>
      </c>
      <c r="L28" s="10" t="str">
        <f>name!D24</f>
        <v>71 Sales occupations</v>
      </c>
      <c r="M28" s="11">
        <v>35.340446240188413</v>
      </c>
      <c r="N28" s="11">
        <v>33.946065489479608</v>
      </c>
      <c r="O28" s="11">
        <v>33.147813017039283</v>
      </c>
      <c r="P28" s="11">
        <v>31.137251209665902</v>
      </c>
      <c r="Q28" s="11">
        <v>31.390267874528671</v>
      </c>
      <c r="R28" s="11"/>
      <c r="S28" s="11">
        <f t="shared" si="3"/>
        <v>-1.7575451425106117</v>
      </c>
      <c r="T28" s="11">
        <f>'RD T1'!T27</f>
        <v>10.650936632357098</v>
      </c>
      <c r="U28" s="11">
        <f t="shared" si="6"/>
        <v>8.8933914898464863</v>
      </c>
      <c r="W28" s="10" t="str">
        <f>name!D24</f>
        <v>71 Sales occupations</v>
      </c>
      <c r="X28" s="11">
        <v>79.779089582503744</v>
      </c>
      <c r="Y28" s="11">
        <v>69.414149805593752</v>
      </c>
      <c r="Z28" s="11">
        <v>70.48050828654759</v>
      </c>
      <c r="AA28" s="11">
        <v>66.709461478453562</v>
      </c>
      <c r="AB28" s="11">
        <v>63.782779447821653</v>
      </c>
      <c r="AC28" s="11"/>
      <c r="AD28" s="11">
        <f t="shared" si="4"/>
        <v>-6.6977288387259364</v>
      </c>
      <c r="AE28" s="11">
        <f>'RD T1'!T56</f>
        <v>38.586134572944552</v>
      </c>
      <c r="AF28" s="11">
        <f t="shared" si="7"/>
        <v>31.888405734218615</v>
      </c>
    </row>
    <row r="29" spans="1:32" x14ac:dyDescent="0.2">
      <c r="A29" s="10" t="str">
        <f>name!D25</f>
        <v>72 Customer service occupations</v>
      </c>
      <c r="B29" s="11">
        <v>20.669868608587418</v>
      </c>
      <c r="C29" s="11">
        <v>21.434349331104272</v>
      </c>
      <c r="D29" s="11">
        <v>22.33440238005921</v>
      </c>
      <c r="E29" s="11">
        <v>28.680817355365821</v>
      </c>
      <c r="F29" s="11">
        <v>33.517955388270146</v>
      </c>
      <c r="G29" s="11"/>
      <c r="H29" s="11">
        <f t="shared" si="2"/>
        <v>11.183553008210936</v>
      </c>
      <c r="I29" s="11">
        <f>'RD T1'!E28</f>
        <v>13.719535091934857</v>
      </c>
      <c r="J29" s="11">
        <f t="shared" si="5"/>
        <v>24.903088100145794</v>
      </c>
      <c r="L29" s="10" t="str">
        <f>name!D25</f>
        <v>72 Customer service occupations</v>
      </c>
      <c r="M29" s="11">
        <v>8.1461592591938441</v>
      </c>
      <c r="N29" s="11">
        <v>7.6117865488165091</v>
      </c>
      <c r="O29" s="11">
        <v>9.1098857598864456</v>
      </c>
      <c r="P29" s="11">
        <v>12.511139488206972</v>
      </c>
      <c r="Q29" s="11">
        <v>15.188379615319265</v>
      </c>
      <c r="R29" s="11"/>
      <c r="S29" s="11">
        <f t="shared" si="3"/>
        <v>6.0784938554328196</v>
      </c>
      <c r="T29" s="11">
        <f>'RD T1'!T28</f>
        <v>4.4680059224024422</v>
      </c>
      <c r="U29" s="11">
        <f t="shared" si="6"/>
        <v>10.546499777835262</v>
      </c>
      <c r="W29" s="10" t="str">
        <f>name!D25</f>
        <v>72 Customer service occupations</v>
      </c>
      <c r="X29" s="11">
        <v>12.523709349393531</v>
      </c>
      <c r="Y29" s="11">
        <v>13.822562782287759</v>
      </c>
      <c r="Z29" s="11">
        <v>13.224516620172782</v>
      </c>
      <c r="AA29" s="11">
        <v>16.169677867158796</v>
      </c>
      <c r="AB29" s="11">
        <v>18.329575772950804</v>
      </c>
      <c r="AC29" s="11"/>
      <c r="AD29" s="11">
        <f t="shared" si="4"/>
        <v>5.105059152778022</v>
      </c>
      <c r="AE29" s="11">
        <f>'RD T1'!T57</f>
        <v>9.2515291695324144</v>
      </c>
      <c r="AF29" s="11">
        <f t="shared" si="7"/>
        <v>14.356588322310436</v>
      </c>
    </row>
    <row r="30" spans="1:32" x14ac:dyDescent="0.2">
      <c r="A30" s="10" t="str">
        <f>name!D26</f>
        <v>81 Process, plant and machine operatives</v>
      </c>
      <c r="B30" s="11">
        <v>43.708317600696866</v>
      </c>
      <c r="C30" s="11">
        <v>39.937105686071149</v>
      </c>
      <c r="D30" s="11">
        <v>34.877203113995151</v>
      </c>
      <c r="E30" s="11">
        <v>40.8444444640147</v>
      </c>
      <c r="F30" s="11">
        <v>38.843978717677466</v>
      </c>
      <c r="G30" s="11"/>
      <c r="H30" s="11">
        <f t="shared" si="2"/>
        <v>3.966775603682315</v>
      </c>
      <c r="I30" s="11">
        <f>'RD T1'!E29</f>
        <v>14.974916823936892</v>
      </c>
      <c r="J30" s="11">
        <f t="shared" si="5"/>
        <v>18.941692427619209</v>
      </c>
      <c r="L30" s="10" t="str">
        <f>name!D26</f>
        <v>81 Process, plant and machine operatives</v>
      </c>
      <c r="M30" s="11">
        <v>36.025411835682554</v>
      </c>
      <c r="N30" s="11">
        <v>32.230721217831999</v>
      </c>
      <c r="O30" s="11">
        <v>28.545376766072533</v>
      </c>
      <c r="P30" s="11">
        <v>33.438271536254113</v>
      </c>
      <c r="Q30" s="11">
        <v>31.951310401733533</v>
      </c>
      <c r="R30" s="11"/>
      <c r="S30" s="11">
        <f t="shared" si="3"/>
        <v>3.4059336356610004</v>
      </c>
      <c r="T30" s="11">
        <f>'RD T1'!T29</f>
        <v>11.489990307653544</v>
      </c>
      <c r="U30" s="11">
        <f t="shared" si="6"/>
        <v>14.895923943314545</v>
      </c>
      <c r="W30" s="10" t="str">
        <f>name!D26</f>
        <v>81 Process, plant and machine operatives</v>
      </c>
      <c r="X30" s="11">
        <v>7.6829057650143824</v>
      </c>
      <c r="Y30" s="11">
        <v>7.7063844682392268</v>
      </c>
      <c r="Z30" s="11">
        <v>6.3318263479225232</v>
      </c>
      <c r="AA30" s="11">
        <v>7.4061729277606547</v>
      </c>
      <c r="AB30" s="11">
        <v>6.8926683159439364</v>
      </c>
      <c r="AC30" s="11"/>
      <c r="AD30" s="11">
        <f t="shared" si="4"/>
        <v>0.56084196802141317</v>
      </c>
      <c r="AE30" s="11">
        <f>'RD T1'!T58</f>
        <v>3.4849265162833438</v>
      </c>
      <c r="AF30" s="11">
        <f t="shared" si="7"/>
        <v>4.045768484304757</v>
      </c>
    </row>
    <row r="31" spans="1:32" x14ac:dyDescent="0.2">
      <c r="A31" s="10" t="str">
        <f>name!D27</f>
        <v>82 Transport and mobile machine drivers and operatives</v>
      </c>
      <c r="B31" s="11">
        <v>41.108961810145928</v>
      </c>
      <c r="C31" s="11">
        <v>49.012200356859871</v>
      </c>
      <c r="D31" s="11">
        <v>43.757334690000292</v>
      </c>
      <c r="E31" s="11">
        <v>43.939515148959167</v>
      </c>
      <c r="F31" s="11">
        <v>41.62594804306957</v>
      </c>
      <c r="G31" s="11"/>
      <c r="H31" s="11">
        <f t="shared" si="2"/>
        <v>-2.1313866469307214</v>
      </c>
      <c r="I31" s="11">
        <f>'RD T1'!E30</f>
        <v>22.274977236405942</v>
      </c>
      <c r="J31" s="11">
        <f t="shared" si="5"/>
        <v>20.14359058947522</v>
      </c>
      <c r="L31" s="10" t="str">
        <f>name!D27</f>
        <v>82 Transport and mobile machine drivers and operatives</v>
      </c>
      <c r="M31" s="11">
        <v>39.639519175405994</v>
      </c>
      <c r="N31" s="11">
        <v>47.55705750622878</v>
      </c>
      <c r="O31" s="11">
        <v>42.563437961363526</v>
      </c>
      <c r="P31" s="11">
        <v>42.279686919704005</v>
      </c>
      <c r="Q31" s="11">
        <v>39.787648464139579</v>
      </c>
      <c r="R31" s="11"/>
      <c r="S31" s="11">
        <f t="shared" si="3"/>
        <v>-2.775789497223947</v>
      </c>
      <c r="T31" s="11">
        <f>'RD T1'!T30</f>
        <v>21.227933739394338</v>
      </c>
      <c r="U31" s="11">
        <f t="shared" si="6"/>
        <v>18.452144242170391</v>
      </c>
      <c r="W31" s="10" t="str">
        <f>name!D27</f>
        <v>82 Transport and mobile machine drivers and operatives</v>
      </c>
      <c r="X31" s="11">
        <v>1.4694426347399576</v>
      </c>
      <c r="Y31" s="11">
        <v>1.4551428506310458</v>
      </c>
      <c r="Z31" s="11">
        <v>1.1938967286367974</v>
      </c>
      <c r="AA31" s="11">
        <v>1.6598282292551783</v>
      </c>
      <c r="AB31" s="11">
        <v>1.8382995789300103</v>
      </c>
      <c r="AC31" s="11"/>
      <c r="AD31" s="11">
        <f t="shared" si="4"/>
        <v>0.64440285029321287</v>
      </c>
      <c r="AE31" s="11">
        <f>'RD T1'!T59</f>
        <v>1.0470434970116089</v>
      </c>
      <c r="AF31" s="11">
        <f t="shared" si="7"/>
        <v>1.6914463473048218</v>
      </c>
    </row>
    <row r="32" spans="1:32" x14ac:dyDescent="0.2">
      <c r="A32" s="10" t="str">
        <f>name!D28</f>
        <v>91 Elementary trades and related occupations</v>
      </c>
      <c r="B32" s="11">
        <v>20.317502556909954</v>
      </c>
      <c r="C32" s="11">
        <v>17.904540418703959</v>
      </c>
      <c r="D32" s="11">
        <v>15.637941740926959</v>
      </c>
      <c r="E32" s="11">
        <v>12.63088442456316</v>
      </c>
      <c r="F32" s="11">
        <v>11.728541244332119</v>
      </c>
      <c r="G32" s="11"/>
      <c r="H32" s="11">
        <f t="shared" si="2"/>
        <v>-3.9094004965948397</v>
      </c>
      <c r="I32" s="11">
        <f>'RD T1'!E31</f>
        <v>4.8080097971246181</v>
      </c>
      <c r="J32" s="11">
        <f t="shared" si="5"/>
        <v>0.89860930052977839</v>
      </c>
      <c r="L32" s="10" t="str">
        <f>name!D28</f>
        <v>91 Elementary trades and related occupations</v>
      </c>
      <c r="M32" s="11">
        <v>16.000529885415887</v>
      </c>
      <c r="N32" s="11">
        <v>14.365538386695871</v>
      </c>
      <c r="O32" s="11">
        <v>12.937368133451121</v>
      </c>
      <c r="P32" s="11">
        <v>10.365391850958495</v>
      </c>
      <c r="Q32" s="11">
        <v>9.6282752328034249</v>
      </c>
      <c r="R32" s="11"/>
      <c r="S32" s="11">
        <f t="shared" si="3"/>
        <v>-3.3090929006476966</v>
      </c>
      <c r="T32" s="11">
        <f>'RD T1'!T31</f>
        <v>3.3783344302749816</v>
      </c>
      <c r="U32" s="11">
        <f t="shared" si="6"/>
        <v>6.9241529627285026E-2</v>
      </c>
      <c r="W32" s="10" t="str">
        <f>name!D28</f>
        <v>91 Elementary trades and related occupations</v>
      </c>
      <c r="X32" s="11">
        <v>4.3169726714941064</v>
      </c>
      <c r="Y32" s="11">
        <v>3.5390020320080406</v>
      </c>
      <c r="Z32" s="11">
        <v>2.7005736074758078</v>
      </c>
      <c r="AA32" s="11">
        <v>2.2654925736046767</v>
      </c>
      <c r="AB32" s="11">
        <v>2.1002660115287179</v>
      </c>
      <c r="AC32" s="11"/>
      <c r="AD32" s="11">
        <f t="shared" si="4"/>
        <v>-0.60030759594708982</v>
      </c>
      <c r="AE32" s="11">
        <f>'RD T1'!T60</f>
        <v>1.4296753668496369</v>
      </c>
      <c r="AF32" s="11">
        <f t="shared" si="7"/>
        <v>0.8293677709025471</v>
      </c>
    </row>
    <row r="33" spans="1:32" x14ac:dyDescent="0.2">
      <c r="A33" s="10" t="str">
        <f>name!D29</f>
        <v>92 Elementary administration and service occupations</v>
      </c>
      <c r="B33" s="11">
        <v>129.32696514894883</v>
      </c>
      <c r="C33" s="11">
        <v>125.2713158198398</v>
      </c>
      <c r="D33" s="11">
        <v>118.1807447549491</v>
      </c>
      <c r="E33" s="11">
        <v>118.59893529113367</v>
      </c>
      <c r="F33" s="11">
        <v>118.32517025857831</v>
      </c>
      <c r="G33" s="11"/>
      <c r="H33" s="11">
        <f t="shared" ref="H33" si="8">F33-D33</f>
        <v>0.1444255036292077</v>
      </c>
      <c r="I33" s="11">
        <f>'RD T1'!E32</f>
        <v>57.138879967398744</v>
      </c>
      <c r="J33" s="11">
        <f>SUM(H33:I33)</f>
        <v>57.283305471027951</v>
      </c>
      <c r="L33" s="10" t="str">
        <f>name!D29</f>
        <v>92 Elementary administration and service occupations</v>
      </c>
      <c r="M33" s="11">
        <v>61.410778714788108</v>
      </c>
      <c r="N33" s="11">
        <v>64.651839325137459</v>
      </c>
      <c r="O33" s="11">
        <v>60.751210267884822</v>
      </c>
      <c r="P33" s="11">
        <v>63.68921738850586</v>
      </c>
      <c r="Q33" s="11">
        <v>61.266323865322299</v>
      </c>
      <c r="R33" s="11"/>
      <c r="S33" s="11">
        <f t="shared" ref="S33" si="9">Q33-O33</f>
        <v>0.51511359743747676</v>
      </c>
      <c r="T33" s="11">
        <f>'RD T1'!T32</f>
        <v>24.528293057887041</v>
      </c>
      <c r="U33" s="11">
        <f>SUM(S33:T33)</f>
        <v>25.043406655324517</v>
      </c>
      <c r="W33" s="10" t="str">
        <f>name!D29</f>
        <v>92 Elementary administration and service occupations</v>
      </c>
      <c r="X33" s="11">
        <v>67.916186434160679</v>
      </c>
      <c r="Y33" s="11">
        <v>60.619476494702347</v>
      </c>
      <c r="Z33" s="11">
        <v>57.429534487064402</v>
      </c>
      <c r="AA33" s="11">
        <v>54.909717902628039</v>
      </c>
      <c r="AB33" s="11">
        <v>57.058846393255962</v>
      </c>
      <c r="AC33" s="11"/>
      <c r="AD33" s="11">
        <f t="shared" ref="AD33" si="10">AB33-Z33</f>
        <v>-0.37068809380843959</v>
      </c>
      <c r="AE33" s="11">
        <f>'RD T1'!T61</f>
        <v>32.610586909511717</v>
      </c>
      <c r="AF33" s="11">
        <f>SUM(AD33:AE33)</f>
        <v>32.239898815703278</v>
      </c>
    </row>
    <row r="34" spans="1:32" x14ac:dyDescent="0.2">
      <c r="H34" s="11"/>
      <c r="L34" s="10"/>
      <c r="S34" s="11"/>
      <c r="W34" s="10"/>
      <c r="AD34" s="11"/>
    </row>
    <row r="35" spans="1:32" x14ac:dyDescent="0.2">
      <c r="A35" s="231" t="str">
        <f>name!D3</f>
        <v>All occupations</v>
      </c>
      <c r="B35" s="33">
        <f>SUM(B8:B33)</f>
        <v>1207.7030000016518</v>
      </c>
      <c r="C35" s="33">
        <f t="shared" ref="C35:F35" si="11">SUM(C8:C33)</f>
        <v>1194.8680000007776</v>
      </c>
      <c r="D35" s="33">
        <f t="shared" si="11"/>
        <v>1189.3390000002905</v>
      </c>
      <c r="E35" s="33">
        <f t="shared" si="11"/>
        <v>1208.7760000004318</v>
      </c>
      <c r="F35" s="33">
        <f t="shared" si="11"/>
        <v>1250.9970000002124</v>
      </c>
      <c r="G35" s="11"/>
      <c r="H35" s="33">
        <f>F35-D35</f>
        <v>61.657999999921913</v>
      </c>
      <c r="I35" s="33">
        <f>SUM(I8:I33)</f>
        <v>597.06002730182149</v>
      </c>
      <c r="J35" s="33">
        <f>SUM(J8:J33)</f>
        <v>658.71802730174318</v>
      </c>
      <c r="L35" s="231" t="str">
        <f>name!D3</f>
        <v>All occupations</v>
      </c>
      <c r="M35" s="33">
        <f>SUM(M8:M33)</f>
        <v>607.15100000070777</v>
      </c>
      <c r="N35" s="33">
        <f t="shared" ref="N35:P35" si="12">SUM(N8:N33)</f>
        <v>613.52499999999543</v>
      </c>
      <c r="O35" s="33">
        <f t="shared" si="12"/>
        <v>591.42599999946799</v>
      </c>
      <c r="P35" s="33">
        <f t="shared" si="12"/>
        <v>596.05099999964671</v>
      </c>
      <c r="Q35" s="33">
        <f>SUM(Q8:Q33)</f>
        <v>609.1029999998492</v>
      </c>
      <c r="R35" s="11"/>
      <c r="S35" s="33">
        <f>Q35-O35</f>
        <v>17.677000000381213</v>
      </c>
      <c r="T35" s="33">
        <f>SUM(T8:T33)</f>
        <v>238.62333860757985</v>
      </c>
      <c r="U35" s="33">
        <f>SUM(U8:U33)</f>
        <v>256.30033860796135</v>
      </c>
      <c r="W35" s="231" t="str">
        <f>name!D3</f>
        <v>All occupations</v>
      </c>
      <c r="X35" s="33">
        <f>SUM(X8:X33)</f>
        <v>600.55200000094487</v>
      </c>
      <c r="Y35" s="33">
        <f t="shared" ref="Y35:AB35" si="13">SUM(Y8:Y33)</f>
        <v>581.34300000078281</v>
      </c>
      <c r="Z35" s="33">
        <f t="shared" si="13"/>
        <v>597.91300000082299</v>
      </c>
      <c r="AA35" s="33">
        <f t="shared" si="13"/>
        <v>612.72500000078605</v>
      </c>
      <c r="AB35" s="33">
        <f t="shared" si="13"/>
        <v>641.89400000036346</v>
      </c>
      <c r="AC35" s="11"/>
      <c r="AD35" s="33">
        <f>AB35-Z35</f>
        <v>43.980999999540472</v>
      </c>
      <c r="AE35" s="33">
        <f>SUM(AE8:AE33)</f>
        <v>358.43668869424152</v>
      </c>
      <c r="AF35" s="33">
        <f>SUM(AF8:AF33)</f>
        <v>402.417688693782</v>
      </c>
    </row>
    <row r="36" spans="1:32" x14ac:dyDescent="0.2">
      <c r="B36" s="11"/>
      <c r="C36" s="11"/>
      <c r="D36" s="11"/>
      <c r="E36" s="11"/>
      <c r="F36" s="11"/>
      <c r="G36" s="11"/>
      <c r="M36" s="11"/>
      <c r="N36" s="11"/>
      <c r="O36" s="11"/>
      <c r="P36" s="11"/>
      <c r="Q36" s="11"/>
      <c r="R36" s="11"/>
      <c r="X36" s="11"/>
      <c r="Y36" s="11"/>
      <c r="Z36" s="11"/>
      <c r="AA36" s="11"/>
      <c r="AB36" s="11"/>
      <c r="AC36" s="11"/>
    </row>
    <row r="37" spans="1:32" x14ac:dyDescent="0.2">
      <c r="B37" s="11"/>
      <c r="C37" s="11"/>
      <c r="D37" s="11"/>
      <c r="E37" s="11"/>
      <c r="F37" s="11"/>
      <c r="G37" s="11"/>
      <c r="H37" s="11"/>
      <c r="I37" s="11"/>
      <c r="J37" s="11"/>
      <c r="M37" s="11"/>
      <c r="N37" s="11"/>
      <c r="O37" s="11"/>
      <c r="P37" s="11"/>
      <c r="Q37" s="11"/>
      <c r="R37" s="11"/>
      <c r="S37" s="11"/>
      <c r="T37" s="11"/>
      <c r="U37" s="11"/>
      <c r="X37" s="11"/>
      <c r="Y37" s="11"/>
      <c r="Z37" s="11"/>
      <c r="AA37" s="11"/>
      <c r="AB37" s="11"/>
      <c r="AC37" s="11"/>
      <c r="AD37" s="11"/>
      <c r="AE37" s="11"/>
      <c r="AF37" s="11"/>
    </row>
    <row r="38" spans="1:32" ht="15.75" x14ac:dyDescent="0.25">
      <c r="A38" s="18" t="str">
        <f>CONCATENATE(A$1," (Continued)")</f>
        <v>Occupation Table 2  Employment Change by Occupation (SOC 2020) and Replacement Demand, 2015-2035, North East (Continued)</v>
      </c>
      <c r="L38" s="18" t="str">
        <f>CONCATENATE(L$1," (Continued)")</f>
        <v>Occupation Table 2.1  Males: Employment Change by Occupation (SOC 2020) and Replacement Demand, 2015-2035, North East (Continued)</v>
      </c>
      <c r="W38" s="18" t="str">
        <f>CONCATENATE(W$1," (Continued)")</f>
        <v>Occupation Table 2.2  Females: Employment Change by Occupation (SOC 2020) and Replacement Demand, 2015-2035, North East (Continued)</v>
      </c>
    </row>
    <row r="40" spans="1:32" x14ac:dyDescent="0.2">
      <c r="F40" s="15" t="s">
        <v>34</v>
      </c>
      <c r="J40" s="15" t="s">
        <v>34</v>
      </c>
      <c r="Q40" s="15" t="s">
        <v>34</v>
      </c>
      <c r="U40" s="15" t="s">
        <v>34</v>
      </c>
      <c r="AB40" s="15" t="s">
        <v>34</v>
      </c>
      <c r="AF40" s="15" t="s">
        <v>34</v>
      </c>
    </row>
    <row r="41" spans="1:32" x14ac:dyDescent="0.2">
      <c r="A41" s="35"/>
      <c r="B41" s="35"/>
      <c r="C41" s="35"/>
      <c r="D41" s="35"/>
      <c r="E41" s="35"/>
      <c r="F41" s="35"/>
      <c r="H41" s="98" t="str">
        <f>$H$4</f>
        <v>2020-2035</v>
      </c>
      <c r="I41" s="35"/>
      <c r="J41" s="35"/>
      <c r="L41" s="35"/>
      <c r="M41" s="35"/>
      <c r="N41" s="35"/>
      <c r="O41" s="35"/>
      <c r="P41" s="35"/>
      <c r="Q41" s="35"/>
      <c r="S41" s="98" t="str">
        <f>$H$4</f>
        <v>2020-2035</v>
      </c>
      <c r="T41" s="35"/>
      <c r="U41" s="35"/>
      <c r="W41" s="35"/>
      <c r="X41" s="35"/>
      <c r="Y41" s="35"/>
      <c r="Z41" s="35"/>
      <c r="AA41" s="35"/>
      <c r="AB41" s="35"/>
      <c r="AD41" s="98" t="str">
        <f>$H$4</f>
        <v>2020-2035</v>
      </c>
      <c r="AE41" s="35"/>
      <c r="AF41" s="35"/>
    </row>
    <row r="42" spans="1:32" x14ac:dyDescent="0.2">
      <c r="H42" s="15" t="str">
        <f t="shared" ref="H42:J43" si="14">H5</f>
        <v>Net</v>
      </c>
      <c r="I42" s="15" t="str">
        <f t="shared" si="14"/>
        <v>Replacement</v>
      </c>
      <c r="J42" s="15" t="str">
        <f t="shared" si="14"/>
        <v>Total</v>
      </c>
      <c r="S42" s="15" t="str">
        <f t="shared" ref="S42:U42" si="15">S5</f>
        <v>Net</v>
      </c>
      <c r="T42" s="15" t="str">
        <f t="shared" si="15"/>
        <v>Replacement</v>
      </c>
      <c r="U42" s="15" t="str">
        <f t="shared" si="15"/>
        <v>Total</v>
      </c>
      <c r="AD42" s="15" t="str">
        <f t="shared" ref="AD42:AF42" si="16">AD5</f>
        <v>Net</v>
      </c>
      <c r="AE42" s="15" t="str">
        <f t="shared" si="16"/>
        <v>Replacement</v>
      </c>
      <c r="AF42" s="15" t="str">
        <f t="shared" si="16"/>
        <v>Total</v>
      </c>
    </row>
    <row r="43" spans="1:32" x14ac:dyDescent="0.2">
      <c r="A43" s="40" t="s">
        <v>463</v>
      </c>
      <c r="B43" s="34">
        <f>B$6</f>
        <v>2015</v>
      </c>
      <c r="C43" s="34">
        <f>C$6</f>
        <v>2019</v>
      </c>
      <c r="D43" s="34">
        <f>D$6</f>
        <v>2020</v>
      </c>
      <c r="E43" s="34">
        <f>E$6</f>
        <v>2025</v>
      </c>
      <c r="F43" s="34">
        <f>F$6</f>
        <v>2035</v>
      </c>
      <c r="H43" s="62" t="str">
        <f t="shared" si="14"/>
        <v>Change</v>
      </c>
      <c r="I43" s="62" t="str">
        <f t="shared" si="14"/>
        <v>Demand</v>
      </c>
      <c r="J43" s="62" t="str">
        <f t="shared" si="14"/>
        <v>Requirement</v>
      </c>
      <c r="L43" s="40" t="s">
        <v>463</v>
      </c>
      <c r="M43" s="34">
        <f>M$6</f>
        <v>2015</v>
      </c>
      <c r="N43" s="34">
        <f>N$6</f>
        <v>2019</v>
      </c>
      <c r="O43" s="34">
        <f>O$6</f>
        <v>2020</v>
      </c>
      <c r="P43" s="34">
        <f>P$6</f>
        <v>2025</v>
      </c>
      <c r="Q43" s="34">
        <f>Q$6</f>
        <v>2035</v>
      </c>
      <c r="S43" s="62" t="str">
        <f t="shared" ref="S43:U43" si="17">S6</f>
        <v>Change</v>
      </c>
      <c r="T43" s="62" t="str">
        <f t="shared" si="17"/>
        <v>Demand</v>
      </c>
      <c r="U43" s="62" t="str">
        <f t="shared" si="17"/>
        <v>Requirement</v>
      </c>
      <c r="W43" s="40" t="s">
        <v>463</v>
      </c>
      <c r="X43" s="34">
        <f>X$6</f>
        <v>2015</v>
      </c>
      <c r="Y43" s="34">
        <f>Y$6</f>
        <v>2019</v>
      </c>
      <c r="Z43" s="34">
        <f>Z$6</f>
        <v>2020</v>
      </c>
      <c r="AA43" s="34">
        <f>AA$6</f>
        <v>2025</v>
      </c>
      <c r="AB43" s="34">
        <f>AB$6</f>
        <v>2035</v>
      </c>
      <c r="AD43" s="62" t="str">
        <f t="shared" ref="AD43:AF43" si="18">AD6</f>
        <v>Change</v>
      </c>
      <c r="AE43" s="62" t="str">
        <f t="shared" si="18"/>
        <v>Demand</v>
      </c>
      <c r="AF43" s="62" t="str">
        <f t="shared" si="18"/>
        <v>Requirement</v>
      </c>
    </row>
    <row r="44" spans="1:32" x14ac:dyDescent="0.2">
      <c r="G44" s="11"/>
      <c r="R44" s="11"/>
      <c r="AC44" s="11"/>
    </row>
    <row r="45" spans="1:32" x14ac:dyDescent="0.2">
      <c r="A45" t="str">
        <f t="shared" ref="A45:A70" si="19">A8</f>
        <v>11 Corporate managers and directors</v>
      </c>
      <c r="B45" s="172">
        <f t="shared" ref="B45:F54" si="20">B8/B$35*100</f>
        <v>4.3710731500617515</v>
      </c>
      <c r="C45" s="172">
        <f t="shared" si="20"/>
        <v>5.0471883959369519</v>
      </c>
      <c r="D45" s="172">
        <f t="shared" si="20"/>
        <v>5.1935057366943438</v>
      </c>
      <c r="E45" s="172">
        <f t="shared" si="20"/>
        <v>4.6992140725172717</v>
      </c>
      <c r="F45" s="172">
        <f t="shared" si="20"/>
        <v>4.9995720205179923</v>
      </c>
      <c r="H45" s="67">
        <f t="shared" ref="H45:H70" si="21">IF(D8&gt;0,(H8/D8)*100,0)</f>
        <v>1.2564789302459032</v>
      </c>
      <c r="I45" s="68">
        <f t="shared" ref="I45:I70" si="22">IF(D8&gt;0,I8/D8*100,0)</f>
        <v>49.44840483915339</v>
      </c>
      <c r="J45" s="68">
        <f t="shared" ref="J45:J70" si="23">IF(D8&gt;0,(J8/D8)*100,0)</f>
        <v>50.704883769399288</v>
      </c>
      <c r="L45" t="str">
        <f t="shared" ref="L45:L70" si="24">L8</f>
        <v>11 Corporate managers and directors</v>
      </c>
      <c r="M45" s="172">
        <f t="shared" ref="M45:Q45" si="25">M8/M$35*100</f>
        <v>5.8254300069024847</v>
      </c>
      <c r="N45" s="172">
        <f t="shared" si="25"/>
        <v>6.4806586839678744</v>
      </c>
      <c r="O45" s="172">
        <f t="shared" si="25"/>
        <v>6.7185777940461797</v>
      </c>
      <c r="P45" s="172">
        <f t="shared" si="25"/>
        <v>5.8924283723862967</v>
      </c>
      <c r="Q45" s="172">
        <f t="shared" si="25"/>
        <v>6.0329375942100727</v>
      </c>
      <c r="S45" s="67">
        <f t="shared" ref="S45:S70" si="26">IF(O8&gt;0,(S8/O8)*100,0)</f>
        <v>-7.5212803533614414</v>
      </c>
      <c r="T45" s="68">
        <f t="shared" ref="T45:T70" si="27">IF(O8&gt;0,T8/O8*100,0)</f>
        <v>41.981213270224139</v>
      </c>
      <c r="U45" s="68">
        <f t="shared" ref="U45:U70" si="28">IF(O8&gt;0,(U8/O8)*100,0)</f>
        <v>34.459932916862698</v>
      </c>
      <c r="W45" t="str">
        <f t="shared" ref="W45:W70" si="29">W8</f>
        <v>11 Corporate managers and directors</v>
      </c>
      <c r="X45" s="172">
        <f t="shared" ref="X45:AB45" si="30">X8/X$35*100</f>
        <v>2.900735494059699</v>
      </c>
      <c r="Y45" s="172">
        <f t="shared" si="30"/>
        <v>3.5343640246742205</v>
      </c>
      <c r="Z45" s="172">
        <f t="shared" si="30"/>
        <v>3.6849798030061507</v>
      </c>
      <c r="AA45" s="172">
        <f t="shared" si="30"/>
        <v>3.5384705470369879</v>
      </c>
      <c r="AB45" s="172">
        <f t="shared" si="30"/>
        <v>4.0189956776450728</v>
      </c>
      <c r="AD45" s="67">
        <f t="shared" ref="AD45:AD70" si="31">IF(Z8&gt;0,(AD8/Z8)*100,0)</f>
        <v>17.086748919538142</v>
      </c>
      <c r="AE45" s="68">
        <f t="shared" ref="AE45:AE70" si="32">IF(Z8&gt;0,AE8/Z8*100,0)</f>
        <v>62.915128495915987</v>
      </c>
      <c r="AF45" s="68">
        <f t="shared" ref="AF45:AF70" si="33">IF(Z8&gt;0,(AF8/Z8)*100,0)</f>
        <v>80.001877415454132</v>
      </c>
    </row>
    <row r="46" spans="1:32" x14ac:dyDescent="0.2">
      <c r="A46" t="str">
        <f t="shared" si="19"/>
        <v>12 Other managers and proprietors</v>
      </c>
      <c r="B46" s="172">
        <f t="shared" si="20"/>
        <v>2.9632294950651739</v>
      </c>
      <c r="C46" s="172">
        <f t="shared" si="20"/>
        <v>3.2968757724145079</v>
      </c>
      <c r="D46" s="172">
        <f t="shared" si="20"/>
        <v>3.1916349241460771</v>
      </c>
      <c r="E46" s="172">
        <f t="shared" si="20"/>
        <v>3.7555728704079154</v>
      </c>
      <c r="F46" s="172">
        <f t="shared" si="20"/>
        <v>4.2818158664968484</v>
      </c>
      <c r="H46" s="67">
        <f t="shared" si="21"/>
        <v>41.112467652386492</v>
      </c>
      <c r="I46" s="68">
        <f t="shared" si="22"/>
        <v>71.214541995746714</v>
      </c>
      <c r="J46" s="68">
        <f t="shared" si="23"/>
        <v>112.3270096481332</v>
      </c>
      <c r="L46" t="str">
        <f t="shared" si="24"/>
        <v>12 Other managers and proprietors</v>
      </c>
      <c r="M46" s="172">
        <f t="shared" ref="M46:Q46" si="34">M9/M$35*100</f>
        <v>3.6408496569723301</v>
      </c>
      <c r="N46" s="172">
        <f t="shared" si="34"/>
        <v>3.9409524511535352</v>
      </c>
      <c r="O46" s="172">
        <f t="shared" si="34"/>
        <v>3.6533752380805389</v>
      </c>
      <c r="P46" s="172">
        <f t="shared" si="34"/>
        <v>4.4588019564132502</v>
      </c>
      <c r="Q46" s="172">
        <f t="shared" si="34"/>
        <v>5.2272514223543221</v>
      </c>
      <c r="S46" s="67">
        <f t="shared" si="26"/>
        <v>47.356546348352261</v>
      </c>
      <c r="T46" s="68">
        <f t="shared" si="27"/>
        <v>66.203252983485569</v>
      </c>
      <c r="U46" s="68">
        <f t="shared" si="28"/>
        <v>113.55979933183784</v>
      </c>
      <c r="W46" t="str">
        <f t="shared" si="29"/>
        <v>12 Other managers and proprietors</v>
      </c>
      <c r="X46" s="172">
        <f t="shared" ref="X46:AB46" si="35">X9/X$35*100</f>
        <v>2.278163490919098</v>
      </c>
      <c r="Y46" s="172">
        <f t="shared" si="35"/>
        <v>2.6171442811557699</v>
      </c>
      <c r="Z46" s="172">
        <f t="shared" si="35"/>
        <v>2.7349042176580385</v>
      </c>
      <c r="AA46" s="172">
        <f t="shared" si="35"/>
        <v>3.0714806594784227</v>
      </c>
      <c r="AB46" s="172">
        <f t="shared" si="35"/>
        <v>3.3846776577287589</v>
      </c>
      <c r="AD46" s="67">
        <f t="shared" si="31"/>
        <v>32.86191681483492</v>
      </c>
      <c r="AE46" s="68">
        <f t="shared" si="32"/>
        <v>77.836158533673796</v>
      </c>
      <c r="AF46" s="68">
        <f t="shared" si="33"/>
        <v>110.69807534850871</v>
      </c>
    </row>
    <row r="47" spans="1:32" x14ac:dyDescent="0.2">
      <c r="A47" t="str">
        <f t="shared" si="19"/>
        <v>21 Science, research, engineering and technology professionals</v>
      </c>
      <c r="B47" s="172">
        <f t="shared" si="20"/>
        <v>4.3955298067886464</v>
      </c>
      <c r="C47" s="172">
        <f t="shared" si="20"/>
        <v>4.6605197826616802</v>
      </c>
      <c r="D47" s="172">
        <f t="shared" si="20"/>
        <v>4.8509055491796911</v>
      </c>
      <c r="E47" s="172">
        <f t="shared" si="20"/>
        <v>4.9726521690915284</v>
      </c>
      <c r="F47" s="172">
        <f t="shared" si="20"/>
        <v>5.3023794405758613</v>
      </c>
      <c r="H47" s="67">
        <f t="shared" si="21"/>
        <v>14.973722349682605</v>
      </c>
      <c r="I47" s="68">
        <f t="shared" si="22"/>
        <v>39.539777939242782</v>
      </c>
      <c r="J47" s="68">
        <f t="shared" si="23"/>
        <v>54.513500288925385</v>
      </c>
      <c r="L47" t="str">
        <f t="shared" si="24"/>
        <v>21 Science, research, engineering and technology professionals</v>
      </c>
      <c r="M47" s="172">
        <f t="shared" ref="M47:Q47" si="36">M10/M$35*100</f>
        <v>7.2503125092682721</v>
      </c>
      <c r="N47" s="172">
        <f t="shared" si="36"/>
        <v>7.6158964954063659</v>
      </c>
      <c r="O47" s="172">
        <f t="shared" si="36"/>
        <v>7.8598870527687117</v>
      </c>
      <c r="P47" s="172">
        <f t="shared" si="36"/>
        <v>7.8598443301890573</v>
      </c>
      <c r="Q47" s="172">
        <f t="shared" si="36"/>
        <v>8.2136088475333455</v>
      </c>
      <c r="S47" s="67">
        <f t="shared" si="26"/>
        <v>7.6237294044151955</v>
      </c>
      <c r="T47" s="68">
        <f t="shared" si="27"/>
        <v>33.50162001590634</v>
      </c>
      <c r="U47" s="68">
        <f t="shared" si="28"/>
        <v>41.125349420321541</v>
      </c>
      <c r="W47" t="str">
        <f t="shared" si="29"/>
        <v>21 Science, research, engineering and technology professionals</v>
      </c>
      <c r="X47" s="172">
        <f t="shared" ref="X47:AB47" si="37">X10/X$35*100</f>
        <v>1.5093781120270016</v>
      </c>
      <c r="Y47" s="172">
        <f t="shared" si="37"/>
        <v>1.54153925363797</v>
      </c>
      <c r="Z47" s="172">
        <f t="shared" si="37"/>
        <v>1.8745697030990542</v>
      </c>
      <c r="AA47" s="172">
        <f t="shared" si="37"/>
        <v>2.1640287657521613</v>
      </c>
      <c r="AB47" s="172">
        <f t="shared" si="37"/>
        <v>2.5398694849374142</v>
      </c>
      <c r="AD47" s="67">
        <f t="shared" si="31"/>
        <v>45.457167672705744</v>
      </c>
      <c r="AE47" s="68">
        <f t="shared" si="32"/>
        <v>64.582503596049861</v>
      </c>
      <c r="AF47" s="68">
        <f t="shared" si="33"/>
        <v>110.03967126875563</v>
      </c>
    </row>
    <row r="48" spans="1:32" x14ac:dyDescent="0.2">
      <c r="A48" t="str">
        <f t="shared" si="19"/>
        <v>22 Health professionals</v>
      </c>
      <c r="B48" s="172">
        <f t="shared" si="20"/>
        <v>6.1642157086693583</v>
      </c>
      <c r="C48" s="172">
        <f t="shared" si="20"/>
        <v>6.3090670647843528</v>
      </c>
      <c r="D48" s="172">
        <f t="shared" si="20"/>
        <v>6.7769219696203473</v>
      </c>
      <c r="E48" s="172">
        <f t="shared" si="20"/>
        <v>7.3447697256033866</v>
      </c>
      <c r="F48" s="172">
        <f t="shared" si="20"/>
        <v>7.9047401635100654</v>
      </c>
      <c r="H48" s="67">
        <f t="shared" si="21"/>
        <v>22.689026840957442</v>
      </c>
      <c r="I48" s="68">
        <f t="shared" si="22"/>
        <v>62.136448514481856</v>
      </c>
      <c r="J48" s="68">
        <f t="shared" si="23"/>
        <v>84.825475355439281</v>
      </c>
      <c r="L48" t="str">
        <f t="shared" si="24"/>
        <v>22 Health professionals</v>
      </c>
      <c r="M48" s="172">
        <f t="shared" ref="M48:Q48" si="38">M11/M$35*100</f>
        <v>2.9868247054137638</v>
      </c>
      <c r="N48" s="172">
        <f t="shared" si="38"/>
        <v>2.9667590954111067</v>
      </c>
      <c r="O48" s="172">
        <f t="shared" si="38"/>
        <v>3.5669413507038255</v>
      </c>
      <c r="P48" s="172">
        <f t="shared" si="38"/>
        <v>3.8639647390043628</v>
      </c>
      <c r="Q48" s="172">
        <f t="shared" si="38"/>
        <v>4.2428636702328406</v>
      </c>
      <c r="S48" s="67">
        <f t="shared" si="26"/>
        <v>22.50489279008508</v>
      </c>
      <c r="T48" s="68">
        <f t="shared" si="27"/>
        <v>43.991397912136577</v>
      </c>
      <c r="U48" s="68">
        <f t="shared" si="28"/>
        <v>66.496290702221643</v>
      </c>
      <c r="W48" t="str">
        <f t="shared" si="29"/>
        <v>22 Health professionals</v>
      </c>
      <c r="X48" s="172">
        <f t="shared" ref="X48:AB48" si="39">X11/X$35*100</f>
        <v>9.3765205965339238</v>
      </c>
      <c r="Y48" s="172">
        <f t="shared" si="39"/>
        <v>9.8363986003957784</v>
      </c>
      <c r="Z48" s="172">
        <f t="shared" si="39"/>
        <v>9.9520762103192961</v>
      </c>
      <c r="AA48" s="172">
        <f t="shared" si="39"/>
        <v>10.730852051383193</v>
      </c>
      <c r="AB48" s="172">
        <f t="shared" si="39"/>
        <v>11.379550580312264</v>
      </c>
      <c r="AD48" s="67">
        <f t="shared" si="31"/>
        <v>22.754306638644827</v>
      </c>
      <c r="AE48" s="68">
        <f t="shared" si="32"/>
        <v>68.569290385639064</v>
      </c>
      <c r="AF48" s="68">
        <f t="shared" si="33"/>
        <v>91.323597024283913</v>
      </c>
    </row>
    <row r="49" spans="1:32" x14ac:dyDescent="0.2">
      <c r="A49" t="str">
        <f t="shared" si="19"/>
        <v>23 Teaching and other educational professionals</v>
      </c>
      <c r="B49" s="172">
        <f t="shared" si="20"/>
        <v>4.2841691474078223</v>
      </c>
      <c r="C49" s="172">
        <f t="shared" si="20"/>
        <v>4.2895576143764931</v>
      </c>
      <c r="D49" s="172">
        <f t="shared" si="20"/>
        <v>4.5158340217360387</v>
      </c>
      <c r="E49" s="172">
        <f t="shared" si="20"/>
        <v>4.8574520953445122</v>
      </c>
      <c r="F49" s="172">
        <f t="shared" si="20"/>
        <v>5.0469609524429346</v>
      </c>
      <c r="H49" s="67">
        <f t="shared" si="21"/>
        <v>17.555399442423365</v>
      </c>
      <c r="I49" s="68">
        <f t="shared" si="22"/>
        <v>55.472589147906291</v>
      </c>
      <c r="J49" s="68">
        <f t="shared" si="23"/>
        <v>73.027988590329656</v>
      </c>
      <c r="L49" t="str">
        <f t="shared" si="24"/>
        <v>23 Teaching and other educational professionals</v>
      </c>
      <c r="M49" s="172">
        <f t="shared" ref="M49:Q49" si="40">M12/M$35*100</f>
        <v>3.6160558626514385</v>
      </c>
      <c r="N49" s="172">
        <f t="shared" si="40"/>
        <v>2.9496673070970467</v>
      </c>
      <c r="O49" s="172">
        <f t="shared" si="40"/>
        <v>2.9916920645959943</v>
      </c>
      <c r="P49" s="172">
        <f t="shared" si="40"/>
        <v>3.3115308071696465</v>
      </c>
      <c r="Q49" s="172">
        <f t="shared" si="40"/>
        <v>3.3948814025751686</v>
      </c>
      <c r="S49" s="67">
        <f t="shared" si="26"/>
        <v>16.868654302206632</v>
      </c>
      <c r="T49" s="68">
        <f t="shared" si="27"/>
        <v>48.466137665892163</v>
      </c>
      <c r="U49" s="68">
        <f t="shared" si="28"/>
        <v>65.334791968098799</v>
      </c>
      <c r="W49" t="str">
        <f t="shared" si="29"/>
        <v>23 Teaching and other educational professionals</v>
      </c>
      <c r="X49" s="172">
        <f t="shared" ref="X49:AB49" si="41">X12/X$35*100</f>
        <v>4.9596238107058372</v>
      </c>
      <c r="Y49" s="172">
        <f t="shared" si="41"/>
        <v>5.703621602026673</v>
      </c>
      <c r="Z49" s="172">
        <f t="shared" si="41"/>
        <v>6.0234399462458814</v>
      </c>
      <c r="AA49" s="172">
        <f t="shared" si="41"/>
        <v>6.3613044430309875</v>
      </c>
      <c r="AB49" s="172">
        <f t="shared" si="41"/>
        <v>6.6146444174111281</v>
      </c>
      <c r="AD49" s="67">
        <f t="shared" si="31"/>
        <v>17.892787974161799</v>
      </c>
      <c r="AE49" s="68">
        <f t="shared" si="32"/>
        <v>58.914763310894635</v>
      </c>
      <c r="AF49" s="68">
        <f t="shared" si="33"/>
        <v>76.807551285056448</v>
      </c>
    </row>
    <row r="50" spans="1:32" x14ac:dyDescent="0.2">
      <c r="A50" t="str">
        <f t="shared" si="19"/>
        <v>24 Business, media and public service professionals</v>
      </c>
      <c r="B50" s="172">
        <f t="shared" si="20"/>
        <v>4.323937465301122</v>
      </c>
      <c r="C50" s="172">
        <f t="shared" si="20"/>
        <v>4.6319952096022288</v>
      </c>
      <c r="D50" s="172">
        <f t="shared" si="20"/>
        <v>5.2761554402967201</v>
      </c>
      <c r="E50" s="172">
        <f t="shared" si="20"/>
        <v>5.686151283293591</v>
      </c>
      <c r="F50" s="172">
        <f t="shared" si="20"/>
        <v>6.269327804426557</v>
      </c>
      <c r="H50" s="67">
        <f t="shared" si="21"/>
        <v>24.983880533842562</v>
      </c>
      <c r="I50" s="68">
        <f t="shared" si="22"/>
        <v>55.885298805686567</v>
      </c>
      <c r="J50" s="68">
        <f t="shared" si="23"/>
        <v>80.869179339529126</v>
      </c>
      <c r="L50" t="str">
        <f t="shared" si="24"/>
        <v>24 Business, media and public service professionals</v>
      </c>
      <c r="M50" s="172">
        <f t="shared" ref="M50:Q50" si="42">M13/M$35*100</f>
        <v>4.657034433905979</v>
      </c>
      <c r="N50" s="172">
        <f t="shared" si="42"/>
        <v>4.5772449135606506</v>
      </c>
      <c r="O50" s="172">
        <f t="shared" si="42"/>
        <v>5.218306308777712</v>
      </c>
      <c r="P50" s="172">
        <f t="shared" si="42"/>
        <v>5.6669622394637225</v>
      </c>
      <c r="Q50" s="172">
        <f t="shared" si="42"/>
        <v>6.0423981320422921</v>
      </c>
      <c r="S50" s="67">
        <f t="shared" si="26"/>
        <v>19.253214662200879</v>
      </c>
      <c r="T50" s="68">
        <f t="shared" si="27"/>
        <v>47.349014370331602</v>
      </c>
      <c r="U50" s="68">
        <f t="shared" si="28"/>
        <v>66.602229032532478</v>
      </c>
      <c r="W50" t="str">
        <f t="shared" si="29"/>
        <v>24 Business, media and public service professionals</v>
      </c>
      <c r="X50" s="172">
        <f t="shared" ref="X50:AB50" si="43">X13/X$35*100</f>
        <v>3.9871803525360052</v>
      </c>
      <c r="Y50" s="172">
        <f t="shared" si="43"/>
        <v>4.6897763738699183</v>
      </c>
      <c r="Z50" s="172">
        <f t="shared" si="43"/>
        <v>5.3333769431870754</v>
      </c>
      <c r="AA50" s="172">
        <f t="shared" si="43"/>
        <v>5.7048181383489727</v>
      </c>
      <c r="AB50" s="172">
        <f t="shared" si="43"/>
        <v>6.4846648292907458</v>
      </c>
      <c r="AD50" s="67">
        <f t="shared" si="31"/>
        <v>30.530071170863376</v>
      </c>
      <c r="AE50" s="68">
        <f t="shared" si="32"/>
        <v>64.146792647892667</v>
      </c>
      <c r="AF50" s="68">
        <f t="shared" si="33"/>
        <v>94.676863818756047</v>
      </c>
    </row>
    <row r="51" spans="1:32" x14ac:dyDescent="0.2">
      <c r="A51" t="str">
        <f t="shared" si="19"/>
        <v>31 Science, engineering and technology associate professionals</v>
      </c>
      <c r="B51" s="172">
        <f t="shared" si="20"/>
        <v>1.8360226275664784</v>
      </c>
      <c r="C51" s="172">
        <f t="shared" si="20"/>
        <v>1.9912027213464398</v>
      </c>
      <c r="D51" s="172">
        <f t="shared" si="20"/>
        <v>2.158729485310293</v>
      </c>
      <c r="E51" s="172">
        <f t="shared" si="20"/>
        <v>1.8329417424268191</v>
      </c>
      <c r="F51" s="172">
        <f t="shared" si="20"/>
        <v>1.8515763941519787</v>
      </c>
      <c r="H51" s="67">
        <f t="shared" si="21"/>
        <v>-9.781828686270476</v>
      </c>
      <c r="I51" s="68">
        <f t="shared" si="22"/>
        <v>35.313516188802176</v>
      </c>
      <c r="J51" s="68">
        <f t="shared" si="23"/>
        <v>25.531687502531696</v>
      </c>
      <c r="L51" t="str">
        <f t="shared" si="24"/>
        <v>31 Science, engineering and technology associate professionals</v>
      </c>
      <c r="M51" s="172">
        <f t="shared" ref="M51:Q51" si="44">M14/M$35*100</f>
        <v>2.9296659665014726</v>
      </c>
      <c r="N51" s="172">
        <f t="shared" si="44"/>
        <v>3.183906310627945</v>
      </c>
      <c r="O51" s="172">
        <f t="shared" si="44"/>
        <v>3.4541505601594182</v>
      </c>
      <c r="P51" s="172">
        <f t="shared" si="44"/>
        <v>2.800240781246174</v>
      </c>
      <c r="Q51" s="172">
        <f t="shared" si="44"/>
        <v>2.7305010155869525</v>
      </c>
      <c r="S51" s="67">
        <f t="shared" si="26"/>
        <v>-18.58744130089493</v>
      </c>
      <c r="T51" s="68">
        <f t="shared" si="27"/>
        <v>29.909467008100922</v>
      </c>
      <c r="U51" s="68">
        <f t="shared" si="28"/>
        <v>11.322025707205988</v>
      </c>
      <c r="W51" t="str">
        <f t="shared" si="29"/>
        <v>31 Science, engineering and technology associate professionals</v>
      </c>
      <c r="X51" s="172">
        <f t="shared" ref="X51:AB51" si="45">X14/X$35*100</f>
        <v>0.73036209046486733</v>
      </c>
      <c r="Y51" s="172">
        <f t="shared" si="45"/>
        <v>0.73247341762566809</v>
      </c>
      <c r="Z51" s="172">
        <f t="shared" si="45"/>
        <v>0.87736295771853567</v>
      </c>
      <c r="AA51" s="172">
        <f t="shared" si="45"/>
        <v>0.89196567749355837</v>
      </c>
      <c r="AB51" s="172">
        <f t="shared" si="45"/>
        <v>1.0175514247809041</v>
      </c>
      <c r="AD51" s="67">
        <f t="shared" si="31"/>
        <v>24.509472251927981</v>
      </c>
      <c r="AE51" s="68">
        <f t="shared" si="32"/>
        <v>56.358261722178412</v>
      </c>
      <c r="AF51" s="68">
        <f t="shared" si="33"/>
        <v>80.867733974106386</v>
      </c>
    </row>
    <row r="52" spans="1:32" x14ac:dyDescent="0.2">
      <c r="A52" t="str">
        <f t="shared" si="19"/>
        <v>32 Health and social care associate professionals</v>
      </c>
      <c r="B52" s="172">
        <f t="shared" si="20"/>
        <v>2.1496683992274748</v>
      </c>
      <c r="C52" s="172">
        <f t="shared" si="20"/>
        <v>2.1955789391595157</v>
      </c>
      <c r="D52" s="172">
        <f t="shared" si="20"/>
        <v>2.4128122281853428</v>
      </c>
      <c r="E52" s="172">
        <f t="shared" si="20"/>
        <v>2.4132019611750515</v>
      </c>
      <c r="F52" s="172">
        <f t="shared" si="20"/>
        <v>2.5486184306442325</v>
      </c>
      <c r="H52" s="67">
        <f t="shared" si="21"/>
        <v>11.10456471593616</v>
      </c>
      <c r="I52" s="68">
        <f t="shared" si="22"/>
        <v>61.304965985684625</v>
      </c>
      <c r="J52" s="68">
        <f t="shared" si="23"/>
        <v>72.409530701620781</v>
      </c>
      <c r="L52" t="str">
        <f t="shared" si="24"/>
        <v>32 Health and social care associate professionals</v>
      </c>
      <c r="M52" s="172">
        <f t="shared" ref="M52:Q52" si="46">M15/M$35*100</f>
        <v>0.98805542428399251</v>
      </c>
      <c r="N52" s="172">
        <f t="shared" si="46"/>
        <v>0.93787806805549057</v>
      </c>
      <c r="O52" s="172">
        <f t="shared" si="46"/>
        <v>1.109563531515823</v>
      </c>
      <c r="P52" s="172">
        <f t="shared" si="46"/>
        <v>1.0076333479624004</v>
      </c>
      <c r="Q52" s="172">
        <f t="shared" si="46"/>
        <v>1.0589001256345754</v>
      </c>
      <c r="S52" s="67">
        <f t="shared" si="26"/>
        <v>-1.7136626527971215</v>
      </c>
      <c r="T52" s="68">
        <f t="shared" si="27"/>
        <v>45.778053362432686</v>
      </c>
      <c r="U52" s="68">
        <f t="shared" si="28"/>
        <v>44.064390709635568</v>
      </c>
      <c r="W52" t="str">
        <f t="shared" si="29"/>
        <v>32 Health and social care associate professionals</v>
      </c>
      <c r="X52" s="172">
        <f t="shared" ref="X52:AB52" si="47">X15/X$35*100</f>
        <v>3.324045437934569</v>
      </c>
      <c r="Y52" s="172">
        <f t="shared" si="47"/>
        <v>3.52290364581815</v>
      </c>
      <c r="Z52" s="172">
        <f t="shared" si="47"/>
        <v>3.701921452561987</v>
      </c>
      <c r="AA52" s="172">
        <f t="shared" si="47"/>
        <v>3.7805210316755815</v>
      </c>
      <c r="AB52" s="172">
        <f t="shared" si="47"/>
        <v>3.962234835744697</v>
      </c>
      <c r="AD52" s="67">
        <f t="shared" si="31"/>
        <v>14.904842668460628</v>
      </c>
      <c r="AE52" s="68">
        <f t="shared" si="32"/>
        <v>65.90830012975276</v>
      </c>
      <c r="AF52" s="68">
        <f t="shared" si="33"/>
        <v>80.813142798213406</v>
      </c>
    </row>
    <row r="53" spans="1:32" x14ac:dyDescent="0.2">
      <c r="A53" t="str">
        <f t="shared" si="19"/>
        <v>33 Protective service occupations</v>
      </c>
      <c r="B53" s="172">
        <f t="shared" si="20"/>
        <v>1.2161460190143498</v>
      </c>
      <c r="C53" s="172">
        <f t="shared" si="20"/>
        <v>1.3087187103868236</v>
      </c>
      <c r="D53" s="172">
        <f t="shared" si="20"/>
        <v>1.3865604984101951</v>
      </c>
      <c r="E53" s="172">
        <f t="shared" si="20"/>
        <v>1.5656652557187634</v>
      </c>
      <c r="F53" s="172">
        <f t="shared" si="20"/>
        <v>1.7236094703540403</v>
      </c>
      <c r="H53" s="67">
        <f t="shared" si="21"/>
        <v>30.752697147672336</v>
      </c>
      <c r="I53" s="68">
        <f t="shared" si="22"/>
        <v>42.12577815958462</v>
      </c>
      <c r="J53" s="68">
        <f t="shared" si="23"/>
        <v>72.878475307256963</v>
      </c>
      <c r="L53" t="str">
        <f t="shared" si="24"/>
        <v>33 Protective service occupations</v>
      </c>
      <c r="M53" s="172">
        <f t="shared" ref="M53:Q53" si="48">M16/M$35*100</f>
        <v>1.8300952520955833</v>
      </c>
      <c r="N53" s="172">
        <f t="shared" si="48"/>
        <v>1.889397484594709</v>
      </c>
      <c r="O53" s="172">
        <f t="shared" si="48"/>
        <v>2.0270961703040777</v>
      </c>
      <c r="P53" s="172">
        <f t="shared" si="48"/>
        <v>2.2024919370080407</v>
      </c>
      <c r="Q53" s="172">
        <f t="shared" si="48"/>
        <v>2.2921433245949823</v>
      </c>
      <c r="S53" s="67">
        <f t="shared" si="26"/>
        <v>16.454893484289713</v>
      </c>
      <c r="T53" s="68">
        <f t="shared" si="27"/>
        <v>30.811440807702379</v>
      </c>
      <c r="U53" s="68">
        <f t="shared" si="28"/>
        <v>47.266334291992088</v>
      </c>
      <c r="W53" t="str">
        <f t="shared" si="29"/>
        <v>33 Protective service occupations</v>
      </c>
      <c r="X53" s="172">
        <f t="shared" ref="X53:AB53" si="49">X16/X$35*100</f>
        <v>0.59545057413304758</v>
      </c>
      <c r="Y53" s="172">
        <f t="shared" si="49"/>
        <v>0.69589470640739715</v>
      </c>
      <c r="Z53" s="172">
        <f t="shared" si="49"/>
        <v>0.75297425712650179</v>
      </c>
      <c r="AA53" s="172">
        <f t="shared" si="49"/>
        <v>0.94616845012335282</v>
      </c>
      <c r="AB53" s="172">
        <f t="shared" si="49"/>
        <v>1.1841190307807856</v>
      </c>
      <c r="AD53" s="67">
        <f t="shared" si="31"/>
        <v>68.826474886231068</v>
      </c>
      <c r="AE53" s="68">
        <f t="shared" si="32"/>
        <v>72.254850829526319</v>
      </c>
      <c r="AF53" s="68">
        <f t="shared" si="33"/>
        <v>141.0813257157574</v>
      </c>
    </row>
    <row r="54" spans="1:32" x14ac:dyDescent="0.2">
      <c r="A54" t="str">
        <f t="shared" si="19"/>
        <v>34 Culture, media and sports occupations</v>
      </c>
      <c r="B54" s="172">
        <f t="shared" si="20"/>
        <v>1.2904074821747924</v>
      </c>
      <c r="C54" s="172">
        <f t="shared" si="20"/>
        <v>1.3201158275849056</v>
      </c>
      <c r="D54" s="172">
        <f t="shared" si="20"/>
        <v>1.2504083932134642</v>
      </c>
      <c r="E54" s="172">
        <f t="shared" si="20"/>
        <v>1.1587742794544875</v>
      </c>
      <c r="F54" s="172">
        <f t="shared" si="20"/>
        <v>1.2585309280077819</v>
      </c>
      <c r="H54" s="67">
        <f t="shared" si="21"/>
        <v>5.8674909616436155</v>
      </c>
      <c r="I54" s="68">
        <f t="shared" si="22"/>
        <v>48.658456781430083</v>
      </c>
      <c r="J54" s="68">
        <f t="shared" si="23"/>
        <v>54.525947743073701</v>
      </c>
      <c r="L54" t="str">
        <f t="shared" si="24"/>
        <v>34 Culture, media and sports occupations</v>
      </c>
      <c r="M54" s="172">
        <f t="shared" ref="M54:Q54" si="50">M17/M$35*100</f>
        <v>1.110532526844374</v>
      </c>
      <c r="N54" s="172">
        <f t="shared" si="50"/>
        <v>1.2330541662051917</v>
      </c>
      <c r="O54" s="172">
        <f t="shared" si="50"/>
        <v>1.0648685260477</v>
      </c>
      <c r="P54" s="172">
        <f t="shared" si="50"/>
        <v>0.99743072501319185</v>
      </c>
      <c r="Q54" s="172">
        <f t="shared" si="50"/>
        <v>1.0643502074259661</v>
      </c>
      <c r="S54" s="67">
        <f t="shared" si="26"/>
        <v>2.9387484864371003</v>
      </c>
      <c r="T54" s="68">
        <f t="shared" si="27"/>
        <v>39.428383166107096</v>
      </c>
      <c r="U54" s="68">
        <f t="shared" si="28"/>
        <v>42.367131652544195</v>
      </c>
      <c r="W54" t="str">
        <f t="shared" si="29"/>
        <v>34 Culture, media and sports occupations</v>
      </c>
      <c r="X54" s="172">
        <f t="shared" ref="X54:AB54" si="51">X17/X$35*100</f>
        <v>1.4722589438363565</v>
      </c>
      <c r="Y54" s="172">
        <f t="shared" si="51"/>
        <v>1.4119970505426322</v>
      </c>
      <c r="Z54" s="172">
        <f t="shared" si="51"/>
        <v>1.4339352633068214</v>
      </c>
      <c r="AA54" s="172">
        <f t="shared" si="51"/>
        <v>1.3157272142427006</v>
      </c>
      <c r="AB54" s="172">
        <f t="shared" si="51"/>
        <v>1.4427919733648809</v>
      </c>
      <c r="AD54" s="67">
        <f t="shared" si="31"/>
        <v>8.018835896931126</v>
      </c>
      <c r="AE54" s="68">
        <f t="shared" si="32"/>
        <v>55.43852443598054</v>
      </c>
      <c r="AF54" s="68">
        <f t="shared" si="33"/>
        <v>63.457360332911669</v>
      </c>
    </row>
    <row r="55" spans="1:32" x14ac:dyDescent="0.2">
      <c r="A55" t="str">
        <f t="shared" si="19"/>
        <v>35 Business and public service associate professionals</v>
      </c>
      <c r="B55" s="172">
        <f t="shared" ref="B55:F64" si="52">B18/B$35*100</f>
        <v>4.1947500052791868</v>
      </c>
      <c r="C55" s="172">
        <f t="shared" si="52"/>
        <v>4.34614905023611</v>
      </c>
      <c r="D55" s="172">
        <f t="shared" si="52"/>
        <v>4.5856164130452521</v>
      </c>
      <c r="E55" s="172">
        <f t="shared" si="52"/>
        <v>4.2772039481665987</v>
      </c>
      <c r="F55" s="172">
        <f t="shared" si="52"/>
        <v>4.3569566918871745</v>
      </c>
      <c r="H55" s="67">
        <f t="shared" si="21"/>
        <v>-6.0740337797168996E-2</v>
      </c>
      <c r="I55" s="68">
        <f t="shared" si="22"/>
        <v>45.435221840771732</v>
      </c>
      <c r="J55" s="68">
        <f t="shared" si="23"/>
        <v>45.374481502974568</v>
      </c>
      <c r="L55" t="str">
        <f t="shared" si="24"/>
        <v>35 Business and public service associate professionals</v>
      </c>
      <c r="M55" s="172">
        <f t="shared" ref="M55:Q55" si="53">M18/M$35*100</f>
        <v>4.1311259554482795</v>
      </c>
      <c r="N55" s="172">
        <f t="shared" si="53"/>
        <v>4.1463565847655097</v>
      </c>
      <c r="O55" s="172">
        <f t="shared" si="53"/>
        <v>4.4916040273083899</v>
      </c>
      <c r="P55" s="172">
        <f t="shared" si="53"/>
        <v>4.0539716457669801</v>
      </c>
      <c r="Q55" s="172">
        <f t="shared" si="53"/>
        <v>3.9625039569780371</v>
      </c>
      <c r="S55" s="67">
        <f t="shared" si="26"/>
        <v>-9.1429625036710878</v>
      </c>
      <c r="T55" s="68">
        <f t="shared" si="27"/>
        <v>34.767701017813373</v>
      </c>
      <c r="U55" s="68">
        <f t="shared" si="28"/>
        <v>25.62473851414228</v>
      </c>
      <c r="W55" t="str">
        <f t="shared" si="29"/>
        <v>35 Business and public service associate professionals</v>
      </c>
      <c r="X55" s="172">
        <f t="shared" ref="X55:AB55" si="54">X18/X$35*100</f>
        <v>4.2590731704320293</v>
      </c>
      <c r="Y55" s="172">
        <f t="shared" si="54"/>
        <v>4.5570016318921986</v>
      </c>
      <c r="Z55" s="172">
        <f t="shared" si="54"/>
        <v>4.6786088203799103</v>
      </c>
      <c r="AA55" s="172">
        <f t="shared" si="54"/>
        <v>4.4943614610432654</v>
      </c>
      <c r="AB55" s="172">
        <f t="shared" si="54"/>
        <v>4.7312589040766646</v>
      </c>
      <c r="AD55" s="67">
        <f t="shared" si="31"/>
        <v>8.5638656846365482</v>
      </c>
      <c r="AE55" s="68">
        <f t="shared" si="32"/>
        <v>55.565249784794581</v>
      </c>
      <c r="AF55" s="68">
        <f t="shared" si="33"/>
        <v>64.129115469431113</v>
      </c>
    </row>
    <row r="56" spans="1:32" x14ac:dyDescent="0.2">
      <c r="A56" t="str">
        <f t="shared" si="19"/>
        <v>41 Administrative occupations</v>
      </c>
      <c r="B56" s="172">
        <f t="shared" si="52"/>
        <v>9.4866374176898702</v>
      </c>
      <c r="C56" s="172">
        <f t="shared" si="52"/>
        <v>8.8327587529529019</v>
      </c>
      <c r="D56" s="172">
        <f t="shared" si="52"/>
        <v>9.3260753295416521</v>
      </c>
      <c r="E56" s="172">
        <f t="shared" si="52"/>
        <v>8.4142896580507376</v>
      </c>
      <c r="F56" s="172">
        <f t="shared" si="52"/>
        <v>7.7582399800278061</v>
      </c>
      <c r="H56" s="67">
        <f t="shared" si="21"/>
        <v>-12.49862086108932</v>
      </c>
      <c r="I56" s="68">
        <f t="shared" si="22"/>
        <v>45.912256943480614</v>
      </c>
      <c r="J56" s="68">
        <f t="shared" si="23"/>
        <v>33.413636082391292</v>
      </c>
      <c r="L56" t="str">
        <f t="shared" si="24"/>
        <v>41 Administrative occupations</v>
      </c>
      <c r="M56" s="172">
        <f t="shared" ref="M56:Q56" si="55">M19/M$35*100</f>
        <v>5.7260941392424813</v>
      </c>
      <c r="N56" s="172">
        <f t="shared" si="55"/>
        <v>5.0635935339225027</v>
      </c>
      <c r="O56" s="172">
        <f t="shared" si="55"/>
        <v>6.2955261727331777</v>
      </c>
      <c r="P56" s="172">
        <f t="shared" si="55"/>
        <v>5.9450483435395984</v>
      </c>
      <c r="Q56" s="172">
        <f t="shared" si="55"/>
        <v>6.3959555329113762</v>
      </c>
      <c r="S56" s="67">
        <f t="shared" si="26"/>
        <v>4.6318074564162712</v>
      </c>
      <c r="T56" s="68">
        <f t="shared" si="27"/>
        <v>37.034217758889717</v>
      </c>
      <c r="U56" s="68">
        <f t="shared" si="28"/>
        <v>41.666025215305986</v>
      </c>
      <c r="W56" t="str">
        <f t="shared" si="29"/>
        <v>41 Administrative occupations</v>
      </c>
      <c r="X56" s="172">
        <f t="shared" ref="X56:AB56" si="56">X19/X$35*100</f>
        <v>13.288502388669377</v>
      </c>
      <c r="Y56" s="172">
        <f t="shared" si="56"/>
        <v>12.810577512278259</v>
      </c>
      <c r="Z56" s="172">
        <f t="shared" si="56"/>
        <v>12.323744832647499</v>
      </c>
      <c r="AA56" s="172">
        <f t="shared" si="56"/>
        <v>10.816335852922695</v>
      </c>
      <c r="AB56" s="172">
        <f t="shared" si="56"/>
        <v>9.0509324550957988</v>
      </c>
      <c r="AD56" s="67">
        <f t="shared" si="31"/>
        <v>-21.154675217351183</v>
      </c>
      <c r="AE56" s="68">
        <f t="shared" si="32"/>
        <v>50.398355500649252</v>
      </c>
      <c r="AF56" s="68">
        <f t="shared" si="33"/>
        <v>29.243680283298069</v>
      </c>
    </row>
    <row r="57" spans="1:32" x14ac:dyDescent="0.2">
      <c r="A57" t="str">
        <f t="shared" si="19"/>
        <v>42 Secretarial and related occupations</v>
      </c>
      <c r="B57" s="172">
        <f t="shared" si="52"/>
        <v>2.0849812092060596</v>
      </c>
      <c r="C57" s="172">
        <f t="shared" si="52"/>
        <v>1.7972026504661878</v>
      </c>
      <c r="D57" s="172">
        <f t="shared" si="52"/>
        <v>1.8306339127562374</v>
      </c>
      <c r="E57" s="172">
        <f t="shared" si="52"/>
        <v>1.9600949959070384</v>
      </c>
      <c r="F57" s="172">
        <f t="shared" si="52"/>
        <v>1.6121422652920183</v>
      </c>
      <c r="H57" s="67">
        <f t="shared" si="21"/>
        <v>-7.3698284194510357</v>
      </c>
      <c r="I57" s="68">
        <f t="shared" si="22"/>
        <v>55.338572394905917</v>
      </c>
      <c r="J57" s="68">
        <f t="shared" si="23"/>
        <v>47.968743975454878</v>
      </c>
      <c r="L57" t="str">
        <f t="shared" si="24"/>
        <v>42 Secretarial and related occupations</v>
      </c>
      <c r="M57" s="172">
        <f t="shared" ref="M57:Q57" si="57">M20/M$35*100</f>
        <v>0.27652673109815917</v>
      </c>
      <c r="N57" s="172">
        <f t="shared" si="57"/>
        <v>0.20806198982120921</v>
      </c>
      <c r="O57" s="172">
        <f t="shared" si="57"/>
        <v>0.19726490734914004</v>
      </c>
      <c r="P57" s="172">
        <f t="shared" si="57"/>
        <v>0.28427126523093971</v>
      </c>
      <c r="Q57" s="172">
        <f t="shared" si="57"/>
        <v>0.33549831762585697</v>
      </c>
      <c r="S57" s="67">
        <f t="shared" si="26"/>
        <v>75.158347608494097</v>
      </c>
      <c r="T57" s="68">
        <f t="shared" si="27"/>
        <v>50.716842958210947</v>
      </c>
      <c r="U57" s="68">
        <f t="shared" si="28"/>
        <v>125.87519056670506</v>
      </c>
      <c r="W57" t="str">
        <f t="shared" si="29"/>
        <v>42 Secretarial and related occupations</v>
      </c>
      <c r="X57" s="172">
        <f t="shared" ref="X57:AB57" si="58">X20/X$35*100</f>
        <v>3.913307390514658</v>
      </c>
      <c r="Y57" s="172">
        <f t="shared" si="58"/>
        <v>3.4743149986339454</v>
      </c>
      <c r="Z57" s="172">
        <f t="shared" si="58"/>
        <v>3.4462818371025867</v>
      </c>
      <c r="AA57" s="172">
        <f t="shared" si="58"/>
        <v>3.5903147690374717</v>
      </c>
      <c r="AB57" s="172">
        <f t="shared" si="58"/>
        <v>2.823569165145686</v>
      </c>
      <c r="AD57" s="67">
        <f t="shared" si="31"/>
        <v>-12.042483297211584</v>
      </c>
      <c r="AE57" s="68">
        <f t="shared" si="32"/>
        <v>55.600249650304711</v>
      </c>
      <c r="AF57" s="68">
        <f t="shared" si="33"/>
        <v>43.557766353093122</v>
      </c>
    </row>
    <row r="58" spans="1:32" x14ac:dyDescent="0.2">
      <c r="A58" t="str">
        <f t="shared" si="19"/>
        <v>51 Skilled agricultural and related trades</v>
      </c>
      <c r="B58" s="172">
        <f t="shared" si="52"/>
        <v>1.0386179150374935</v>
      </c>
      <c r="C58" s="172">
        <f t="shared" si="52"/>
        <v>0.85908571826401725</v>
      </c>
      <c r="D58" s="172">
        <f t="shared" si="52"/>
        <v>0.86618435623174861</v>
      </c>
      <c r="E58" s="172">
        <f t="shared" si="52"/>
        <v>0.86575477160042003</v>
      </c>
      <c r="F58" s="172">
        <f t="shared" si="52"/>
        <v>0.92614969806989889</v>
      </c>
      <c r="H58" s="67">
        <f t="shared" si="21"/>
        <v>12.466055018871486</v>
      </c>
      <c r="I58" s="68">
        <f t="shared" si="22"/>
        <v>58.792304037640911</v>
      </c>
      <c r="J58" s="68">
        <f t="shared" si="23"/>
        <v>71.258359056512404</v>
      </c>
      <c r="L58" t="str">
        <f t="shared" si="24"/>
        <v>51 Skilled agricultural and related trades</v>
      </c>
      <c r="M58" s="172">
        <f t="shared" ref="M58:Q58" si="59">M21/M$35*100</f>
        <v>1.916566421191239</v>
      </c>
      <c r="N58" s="172">
        <f t="shared" si="59"/>
        <v>1.4793907104632473</v>
      </c>
      <c r="O58" s="172">
        <f t="shared" si="59"/>
        <v>1.3757673871003158</v>
      </c>
      <c r="P58" s="172">
        <f t="shared" si="59"/>
        <v>1.3548058373873102</v>
      </c>
      <c r="Q58" s="172">
        <f t="shared" si="59"/>
        <v>1.439841979877877</v>
      </c>
      <c r="S58" s="67">
        <f t="shared" si="26"/>
        <v>7.7854519636268149</v>
      </c>
      <c r="T58" s="68">
        <f t="shared" si="27"/>
        <v>53.032274834788687</v>
      </c>
      <c r="U58" s="68">
        <f t="shared" si="28"/>
        <v>60.817726798415492</v>
      </c>
      <c r="W58" t="str">
        <f t="shared" si="29"/>
        <v>51 Skilled agricultural and related trades</v>
      </c>
      <c r="X58" s="172">
        <f t="shared" ref="X58:AB58" si="60">X21/X$35*100</f>
        <v>0.15102231389132553</v>
      </c>
      <c r="Y58" s="172">
        <f t="shared" si="60"/>
        <v>0.20444186714940973</v>
      </c>
      <c r="Z58" s="172">
        <f t="shared" si="60"/>
        <v>0.36212999779869015</v>
      </c>
      <c r="AA58" s="172">
        <f t="shared" si="60"/>
        <v>0.39001218428507528</v>
      </c>
      <c r="AB58" s="172">
        <f t="shared" si="60"/>
        <v>0.43869926244371898</v>
      </c>
      <c r="AD58" s="67">
        <f t="shared" si="31"/>
        <v>30.055200327009079</v>
      </c>
      <c r="AE58" s="68">
        <f t="shared" si="32"/>
        <v>80.437803438528078</v>
      </c>
      <c r="AF58" s="68">
        <f t="shared" si="33"/>
        <v>110.49300376553717</v>
      </c>
    </row>
    <row r="59" spans="1:32" x14ac:dyDescent="0.2">
      <c r="A59" t="str">
        <f t="shared" si="19"/>
        <v>52 Skilled metal, electrical and electronic trades</v>
      </c>
      <c r="B59" s="172">
        <f t="shared" si="52"/>
        <v>4.2847472882320874</v>
      </c>
      <c r="C59" s="172">
        <f t="shared" si="52"/>
        <v>4.1965725276610719</v>
      </c>
      <c r="D59" s="172">
        <f t="shared" si="52"/>
        <v>3.58247314212118</v>
      </c>
      <c r="E59" s="172">
        <f t="shared" si="52"/>
        <v>3.3420538374182582</v>
      </c>
      <c r="F59" s="172">
        <f t="shared" si="52"/>
        <v>2.91551835623082</v>
      </c>
      <c r="H59" s="67">
        <f t="shared" si="21"/>
        <v>-14.398091985096281</v>
      </c>
      <c r="I59" s="68">
        <f t="shared" si="22"/>
        <v>34.398749911773521</v>
      </c>
      <c r="J59" s="68">
        <f t="shared" si="23"/>
        <v>20.000657926677238</v>
      </c>
      <c r="L59" t="str">
        <f t="shared" si="24"/>
        <v>52 Skilled metal, electrical and electronic trades</v>
      </c>
      <c r="M59" s="172">
        <f t="shared" ref="M59:Q59" si="61">M22/M$35*100</f>
        <v>8.4446371335581851</v>
      </c>
      <c r="N59" s="172">
        <f t="shared" si="61"/>
        <v>8.0525096900941016</v>
      </c>
      <c r="O59" s="172">
        <f t="shared" si="61"/>
        <v>7.102707420333874</v>
      </c>
      <c r="P59" s="172">
        <f t="shared" si="61"/>
        <v>6.5402268226332687</v>
      </c>
      <c r="Q59" s="172">
        <f t="shared" si="61"/>
        <v>5.6757965996118696</v>
      </c>
      <c r="S59" s="67">
        <f t="shared" si="26"/>
        <v>-17.701252857267672</v>
      </c>
      <c r="T59" s="68">
        <f t="shared" si="27"/>
        <v>32.824193401166262</v>
      </c>
      <c r="U59" s="68">
        <f t="shared" si="28"/>
        <v>15.122940543898592</v>
      </c>
      <c r="W59" t="str">
        <f t="shared" si="29"/>
        <v>52 Skilled metal, electrical and electronic trades</v>
      </c>
      <c r="X59" s="172">
        <f t="shared" ref="X59:AB59" si="62">X22/X$35*100</f>
        <v>7.914764077681001E-2</v>
      </c>
      <c r="Y59" s="172">
        <f t="shared" si="62"/>
        <v>0.12717830156988846</v>
      </c>
      <c r="Z59" s="172">
        <f t="shared" si="62"/>
        <v>0.10043130957784274</v>
      </c>
      <c r="AA59" s="172">
        <f t="shared" si="62"/>
        <v>0.23091228777228734</v>
      </c>
      <c r="AB59" s="172">
        <f t="shared" si="62"/>
        <v>0.29624826042566205</v>
      </c>
      <c r="AD59" s="67">
        <f t="shared" si="31"/>
        <v>216.67370500702131</v>
      </c>
      <c r="AE59" s="68">
        <f t="shared" si="32"/>
        <v>144.54645886440323</v>
      </c>
      <c r="AF59" s="68">
        <f t="shared" si="33"/>
        <v>361.22016387142457</v>
      </c>
    </row>
    <row r="60" spans="1:32" x14ac:dyDescent="0.2">
      <c r="A60" t="str">
        <f t="shared" si="19"/>
        <v>53 Skilled construction and building trades</v>
      </c>
      <c r="B60" s="172">
        <f t="shared" si="52"/>
        <v>3.4295808107516672</v>
      </c>
      <c r="C60" s="172">
        <f t="shared" si="52"/>
        <v>3.7384207456389733</v>
      </c>
      <c r="D60" s="172">
        <f t="shared" si="52"/>
        <v>3.0301791805236653</v>
      </c>
      <c r="E60" s="172">
        <f t="shared" si="52"/>
        <v>2.9359155220539361</v>
      </c>
      <c r="F60" s="172">
        <f t="shared" si="52"/>
        <v>2.5548228346500292</v>
      </c>
      <c r="H60" s="67">
        <f t="shared" si="21"/>
        <v>-11.316446399312111</v>
      </c>
      <c r="I60" s="68">
        <f t="shared" si="22"/>
        <v>39.708831783341772</v>
      </c>
      <c r="J60" s="68">
        <f t="shared" si="23"/>
        <v>28.392385384029662</v>
      </c>
      <c r="L60" t="str">
        <f t="shared" si="24"/>
        <v>53 Skilled construction and building trades</v>
      </c>
      <c r="M60" s="172">
        <f t="shared" ref="M60:Q60" si="63">M23/M$35*100</f>
        <v>6.5708683069588529</v>
      </c>
      <c r="N60" s="172">
        <f t="shared" si="63"/>
        <v>7.1433654219268545</v>
      </c>
      <c r="O60" s="172">
        <f t="shared" si="63"/>
        <v>5.9196415806294169</v>
      </c>
      <c r="P60" s="172">
        <f t="shared" si="63"/>
        <v>5.7697669530920797</v>
      </c>
      <c r="Q60" s="172">
        <f t="shared" si="63"/>
        <v>5.0430830426672477</v>
      </c>
      <c r="S60" s="67">
        <f t="shared" si="26"/>
        <v>-12.261332753581444</v>
      </c>
      <c r="T60" s="68">
        <f t="shared" si="27"/>
        <v>39.084813533487861</v>
      </c>
      <c r="U60" s="68">
        <f t="shared" si="28"/>
        <v>26.823480779906419</v>
      </c>
      <c r="W60" t="str">
        <f t="shared" si="29"/>
        <v>53 Skilled construction and building trades</v>
      </c>
      <c r="X60" s="172">
        <f t="shared" ref="X60:AB60" si="64">X23/X$35*100</f>
        <v>0.25377614336411947</v>
      </c>
      <c r="Y60" s="172">
        <f t="shared" si="64"/>
        <v>0.14498505876101042</v>
      </c>
      <c r="Z60" s="172">
        <f t="shared" si="64"/>
        <v>0.17206572682545498</v>
      </c>
      <c r="AA60" s="172">
        <f t="shared" si="64"/>
        <v>0.17918129492340792</v>
      </c>
      <c r="AB60" s="172">
        <f t="shared" si="64"/>
        <v>0.19367479855265934</v>
      </c>
      <c r="AD60" s="67">
        <f t="shared" si="31"/>
        <v>20.838147771035331</v>
      </c>
      <c r="AE60" s="68">
        <f t="shared" si="32"/>
        <v>60.944246485105069</v>
      </c>
      <c r="AF60" s="68">
        <f t="shared" si="33"/>
        <v>81.782394256140407</v>
      </c>
    </row>
    <row r="61" spans="1:32" x14ac:dyDescent="0.2">
      <c r="A61" t="str">
        <f t="shared" si="19"/>
        <v>54 Textiles, printing and other skilled trades</v>
      </c>
      <c r="B61" s="172">
        <f t="shared" si="52"/>
        <v>2.1020599759295169</v>
      </c>
      <c r="C61" s="172">
        <f t="shared" si="52"/>
        <v>1.8705879857269581</v>
      </c>
      <c r="D61" s="172">
        <f t="shared" si="52"/>
        <v>1.7735568212108681</v>
      </c>
      <c r="E61" s="172">
        <f t="shared" si="52"/>
        <v>1.7082759331240043</v>
      </c>
      <c r="F61" s="172">
        <f t="shared" si="52"/>
        <v>1.5993207876947146</v>
      </c>
      <c r="H61" s="67">
        <f t="shared" si="21"/>
        <v>-5.1491814335904094</v>
      </c>
      <c r="I61" s="68">
        <f t="shared" si="22"/>
        <v>43.836211332042922</v>
      </c>
      <c r="J61" s="68">
        <f t="shared" si="23"/>
        <v>38.687029898452508</v>
      </c>
      <c r="L61" t="str">
        <f t="shared" si="24"/>
        <v>54 Textiles, printing and other skilled trades</v>
      </c>
      <c r="M61" s="172">
        <f t="shared" ref="M61:Q61" si="65">M24/M$35*100</f>
        <v>2.4093986737691373</v>
      </c>
      <c r="N61" s="172">
        <f t="shared" si="65"/>
        <v>2.1384575881561307</v>
      </c>
      <c r="O61" s="172">
        <f t="shared" si="65"/>
        <v>1.8510504894071664</v>
      </c>
      <c r="P61" s="172">
        <f t="shared" si="65"/>
        <v>1.780775170123079</v>
      </c>
      <c r="Q61" s="172">
        <f t="shared" si="65"/>
        <v>1.6846781908188704</v>
      </c>
      <c r="S61" s="67">
        <f t="shared" si="26"/>
        <v>-6.2677559576746074</v>
      </c>
      <c r="T61" s="68">
        <f t="shared" si="27"/>
        <v>29.944702261585842</v>
      </c>
      <c r="U61" s="68">
        <f t="shared" si="28"/>
        <v>23.676946303911237</v>
      </c>
      <c r="W61" t="str">
        <f t="shared" si="29"/>
        <v>54 Textiles, printing and other skilled trades</v>
      </c>
      <c r="X61" s="172">
        <f t="shared" ref="X61:AB61" si="66">X24/X$35*100</f>
        <v>1.7913441715829335</v>
      </c>
      <c r="Y61" s="172">
        <f t="shared" si="66"/>
        <v>1.5878896513010923</v>
      </c>
      <c r="Z61" s="172">
        <f t="shared" si="66"/>
        <v>1.6969039131681265</v>
      </c>
      <c r="AA61" s="172">
        <f t="shared" si="66"/>
        <v>1.6377496077538027</v>
      </c>
      <c r="AB61" s="172">
        <f t="shared" si="66"/>
        <v>1.5183238468990543</v>
      </c>
      <c r="AD61" s="67">
        <f t="shared" si="31"/>
        <v>-3.9422340036903183</v>
      </c>
      <c r="AE61" s="68">
        <f t="shared" si="32"/>
        <v>58.825218151904032</v>
      </c>
      <c r="AF61" s="68">
        <f t="shared" si="33"/>
        <v>54.882984148213723</v>
      </c>
    </row>
    <row r="62" spans="1:32" x14ac:dyDescent="0.2">
      <c r="A62" t="str">
        <f t="shared" si="19"/>
        <v>61 Caring personal service occupations</v>
      </c>
      <c r="B62" s="172">
        <f t="shared" si="52"/>
        <v>7.3432715741693997</v>
      </c>
      <c r="C62" s="172">
        <f t="shared" si="52"/>
        <v>6.9414533365827857</v>
      </c>
      <c r="D62" s="172">
        <f t="shared" si="52"/>
        <v>7.1694813494662792</v>
      </c>
      <c r="E62" s="172">
        <f t="shared" si="52"/>
        <v>7.5746937207574163</v>
      </c>
      <c r="F62" s="172">
        <f t="shared" si="52"/>
        <v>7.6795207993469647</v>
      </c>
      <c r="H62" s="67">
        <f t="shared" si="21"/>
        <v>12.667067248948575</v>
      </c>
      <c r="I62" s="68">
        <f t="shared" si="22"/>
        <v>61.433617527980658</v>
      </c>
      <c r="J62" s="68">
        <f t="shared" si="23"/>
        <v>74.100684776929242</v>
      </c>
      <c r="L62" t="str">
        <f t="shared" si="24"/>
        <v>61 Caring personal service occupations</v>
      </c>
      <c r="M62" s="172">
        <f t="shared" ref="M62:Q62" si="67">M25/M$35*100</f>
        <v>1.8309114576637899</v>
      </c>
      <c r="N62" s="172">
        <f t="shared" si="67"/>
        <v>1.8212527563633285</v>
      </c>
      <c r="O62" s="172">
        <f t="shared" si="67"/>
        <v>1.8504616968895813</v>
      </c>
      <c r="P62" s="172">
        <f t="shared" si="67"/>
        <v>2.2368651390587089</v>
      </c>
      <c r="Q62" s="172">
        <f t="shared" si="67"/>
        <v>2.4925485011141788</v>
      </c>
      <c r="S62" s="67">
        <f t="shared" si="26"/>
        <v>38.724715700712302</v>
      </c>
      <c r="T62" s="68">
        <f t="shared" si="27"/>
        <v>54.928440883339938</v>
      </c>
      <c r="U62" s="68">
        <f t="shared" si="28"/>
        <v>93.653156584052226</v>
      </c>
      <c r="W62" t="str">
        <f t="shared" si="29"/>
        <v>61 Caring personal service occupations</v>
      </c>
      <c r="X62" s="172">
        <f t="shared" ref="X62:AB62" si="68">X25/X$35*100</f>
        <v>12.916202739322671</v>
      </c>
      <c r="Y62" s="172">
        <f t="shared" si="68"/>
        <v>12.345098105634591</v>
      </c>
      <c r="Z62" s="172">
        <f t="shared" si="68"/>
        <v>12.430792806212763</v>
      </c>
      <c r="AA62" s="172">
        <f t="shared" si="68"/>
        <v>12.767264717442913</v>
      </c>
      <c r="AB62" s="172">
        <f t="shared" si="68"/>
        <v>12.601517870152906</v>
      </c>
      <c r="AD62" s="67">
        <f t="shared" si="31"/>
        <v>8.8301811270372408</v>
      </c>
      <c r="AE62" s="68">
        <f t="shared" si="32"/>
        <v>62.391479172119737</v>
      </c>
      <c r="AF62" s="68">
        <f t="shared" si="33"/>
        <v>71.22166029915698</v>
      </c>
    </row>
    <row r="63" spans="1:32" x14ac:dyDescent="0.2">
      <c r="A63" t="str">
        <f t="shared" si="19"/>
        <v>62 Leisure, travel and related personal service occupations</v>
      </c>
      <c r="B63" s="172">
        <f t="shared" si="52"/>
        <v>2.2691980327454635</v>
      </c>
      <c r="C63" s="172">
        <f t="shared" si="52"/>
        <v>2.3908221453226282</v>
      </c>
      <c r="D63" s="172">
        <f t="shared" si="52"/>
        <v>2.2373128270801681</v>
      </c>
      <c r="E63" s="172">
        <f t="shared" si="52"/>
        <v>2.1917925192943009</v>
      </c>
      <c r="F63" s="172">
        <f t="shared" si="52"/>
        <v>2.1859172054022462</v>
      </c>
      <c r="H63" s="67">
        <f t="shared" si="21"/>
        <v>2.7679288230290906</v>
      </c>
      <c r="I63" s="68">
        <f t="shared" si="22"/>
        <v>51.396245231874992</v>
      </c>
      <c r="J63" s="68">
        <f t="shared" si="23"/>
        <v>54.16417405490408</v>
      </c>
      <c r="L63" t="str">
        <f t="shared" si="24"/>
        <v>62 Leisure, travel and related personal service occupations</v>
      </c>
      <c r="M63" s="172">
        <f t="shared" ref="M63:Q63" si="69">M26/M$35*100</f>
        <v>1.31627214278663</v>
      </c>
      <c r="N63" s="172">
        <f t="shared" si="69"/>
        <v>1.3807740570506606</v>
      </c>
      <c r="O63" s="172">
        <f t="shared" si="69"/>
        <v>1.4226896967366822</v>
      </c>
      <c r="P63" s="172">
        <f t="shared" si="69"/>
        <v>1.3910653882618456</v>
      </c>
      <c r="Q63" s="172">
        <f t="shared" si="69"/>
        <v>1.4616770417423544</v>
      </c>
      <c r="S63" s="67">
        <f t="shared" si="26"/>
        <v>5.8111817898853424</v>
      </c>
      <c r="T63" s="68">
        <f t="shared" si="27"/>
        <v>41.952347003671328</v>
      </c>
      <c r="U63" s="68">
        <f t="shared" si="28"/>
        <v>47.763528793556681</v>
      </c>
      <c r="W63" t="str">
        <f t="shared" si="29"/>
        <v>62 Leisure, travel and related personal service occupations</v>
      </c>
      <c r="X63" s="172">
        <f t="shared" ref="X63:AB63" si="70">X26/X$35*100</f>
        <v>3.2325948859974099</v>
      </c>
      <c r="Y63" s="172">
        <f t="shared" si="70"/>
        <v>3.4567845003457727</v>
      </c>
      <c r="Z63" s="172">
        <f t="shared" si="70"/>
        <v>3.0430977815558675</v>
      </c>
      <c r="AA63" s="172">
        <f t="shared" si="70"/>
        <v>2.9707295745444191</v>
      </c>
      <c r="AB63" s="172">
        <f t="shared" si="70"/>
        <v>2.8731597351740903</v>
      </c>
      <c r="AD63" s="67">
        <f t="shared" si="31"/>
        <v>1.3606026982047719</v>
      </c>
      <c r="AE63" s="68">
        <f t="shared" si="32"/>
        <v>55.763494632920022</v>
      </c>
      <c r="AF63" s="68">
        <f t="shared" si="33"/>
        <v>57.124097331124787</v>
      </c>
    </row>
    <row r="64" spans="1:32" x14ac:dyDescent="0.2">
      <c r="A64" t="str">
        <f t="shared" si="19"/>
        <v>63 Community and civil enforcement occupations</v>
      </c>
      <c r="B64" s="172">
        <f t="shared" si="52"/>
        <v>0.11428923249944564</v>
      </c>
      <c r="C64" s="172">
        <f t="shared" si="52"/>
        <v>0.10506791036033106</v>
      </c>
      <c r="D64" s="172">
        <f t="shared" si="52"/>
        <v>0.13089827689523292</v>
      </c>
      <c r="E64" s="172">
        <f t="shared" si="52"/>
        <v>0.10566477595330175</v>
      </c>
      <c r="F64" s="172">
        <f t="shared" si="52"/>
        <v>0.10873599016311015</v>
      </c>
      <c r="H64" s="67">
        <f t="shared" si="21"/>
        <v>-12.624436036544015</v>
      </c>
      <c r="I64" s="68">
        <f t="shared" si="22"/>
        <v>41.583777164505072</v>
      </c>
      <c r="J64" s="68">
        <f t="shared" si="23"/>
        <v>28.959341127961057</v>
      </c>
      <c r="L64" t="str">
        <f t="shared" si="24"/>
        <v>63 Community and civil enforcement occupations</v>
      </c>
      <c r="M64" s="172">
        <f t="shared" ref="M64:Q64" si="71">M27/M$35*100</f>
        <v>0.16812005254439055</v>
      </c>
      <c r="N64" s="172">
        <f t="shared" si="71"/>
        <v>0.13314639875366099</v>
      </c>
      <c r="O64" s="172">
        <f t="shared" si="71"/>
        <v>0.20101796782451548</v>
      </c>
      <c r="P64" s="172">
        <f t="shared" si="71"/>
        <v>0.1314700568860252</v>
      </c>
      <c r="Q64" s="172">
        <f t="shared" si="71"/>
        <v>0.14450729185477423</v>
      </c>
      <c r="S64" s="67">
        <f t="shared" si="26"/>
        <v>-25.963614233515141</v>
      </c>
      <c r="T64" s="68">
        <f t="shared" si="27"/>
        <v>28.335162192235448</v>
      </c>
      <c r="U64" s="68">
        <f t="shared" si="28"/>
        <v>2.3715479587203032</v>
      </c>
      <c r="W64" t="str">
        <f t="shared" si="29"/>
        <v>63 Community and civil enforcement occupations</v>
      </c>
      <c r="X64" s="172">
        <f t="shared" ref="X64:AB64" si="72">X27/X$35*100</f>
        <v>5.9866907336770303E-2</v>
      </c>
      <c r="Y64" s="172">
        <f t="shared" si="72"/>
        <v>7.5435052320422899E-2</v>
      </c>
      <c r="Z64" s="172">
        <f t="shared" si="72"/>
        <v>6.153934285725788E-2</v>
      </c>
      <c r="AA64" s="172">
        <f t="shared" si="72"/>
        <v>8.0561730532922288E-2</v>
      </c>
      <c r="AB64" s="172">
        <f t="shared" si="72"/>
        <v>7.479205678115014E-2</v>
      </c>
      <c r="AD64" s="67">
        <f t="shared" si="31"/>
        <v>30.475191290397696</v>
      </c>
      <c r="AE64" s="68">
        <f t="shared" si="32"/>
        <v>84.390789670913506</v>
      </c>
      <c r="AF64" s="68">
        <f t="shared" si="33"/>
        <v>114.86598096131122</v>
      </c>
    </row>
    <row r="65" spans="1:32" x14ac:dyDescent="0.2">
      <c r="A65" t="str">
        <f t="shared" si="19"/>
        <v>71 Sales occupations</v>
      </c>
      <c r="B65" s="172">
        <f t="shared" ref="B65:F70" si="73">B28/B$35*100</f>
        <v>9.5321064717513053</v>
      </c>
      <c r="C65" s="172">
        <f t="shared" si="73"/>
        <v>8.6503459206377684</v>
      </c>
      <c r="D65" s="172">
        <f t="shared" si="73"/>
        <v>8.713102093142636</v>
      </c>
      <c r="E65" s="172">
        <f t="shared" si="73"/>
        <v>8.0946935319765192</v>
      </c>
      <c r="F65" s="172">
        <f t="shared" si="73"/>
        <v>7.6077758237896722</v>
      </c>
      <c r="H65" s="67">
        <f t="shared" si="21"/>
        <v>-8.159230869393685</v>
      </c>
      <c r="I65" s="68">
        <f t="shared" si="22"/>
        <v>47.513141760791378</v>
      </c>
      <c r="J65" s="68">
        <f t="shared" si="23"/>
        <v>39.353910891397689</v>
      </c>
      <c r="L65" t="str">
        <f t="shared" si="24"/>
        <v>71 Sales occupations</v>
      </c>
      <c r="M65" s="172">
        <f t="shared" ref="M65:Q65" si="74">M28/M$35*100</f>
        <v>5.8207013148536717</v>
      </c>
      <c r="N65" s="172">
        <f t="shared" si="74"/>
        <v>5.5329555420691676</v>
      </c>
      <c r="O65" s="172">
        <f t="shared" si="74"/>
        <v>5.6047270524239892</v>
      </c>
      <c r="P65" s="172">
        <f t="shared" si="74"/>
        <v>5.2239239947058822</v>
      </c>
      <c r="Q65" s="172">
        <f t="shared" si="74"/>
        <v>5.153523767661043</v>
      </c>
      <c r="S65" s="67">
        <f t="shared" si="26"/>
        <v>-5.3021450965925387</v>
      </c>
      <c r="T65" s="68">
        <f t="shared" si="27"/>
        <v>32.131642069062281</v>
      </c>
      <c r="U65" s="68">
        <f t="shared" si="28"/>
        <v>26.829496972469748</v>
      </c>
      <c r="W65" t="str">
        <f t="shared" si="29"/>
        <v>71 Sales occupations</v>
      </c>
      <c r="X65" s="172">
        <f t="shared" ref="X65:AB65" si="75">X28/X$35*100</f>
        <v>13.284293380486323</v>
      </c>
      <c r="Y65" s="172">
        <f t="shared" si="75"/>
        <v>11.94030887195688</v>
      </c>
      <c r="Z65" s="172">
        <f t="shared" si="75"/>
        <v>11.787753115662408</v>
      </c>
      <c r="AA65" s="172">
        <f t="shared" si="75"/>
        <v>10.887341218061607</v>
      </c>
      <c r="AB65" s="172">
        <f t="shared" si="75"/>
        <v>9.9366530062261891</v>
      </c>
      <c r="AD65" s="67">
        <f t="shared" si="31"/>
        <v>-9.5029519530356623</v>
      </c>
      <c r="AE65" s="68">
        <f t="shared" si="32"/>
        <v>54.74724219647743</v>
      </c>
      <c r="AF65" s="68">
        <f t="shared" si="33"/>
        <v>45.244290243441768</v>
      </c>
    </row>
    <row r="66" spans="1:32" x14ac:dyDescent="0.2">
      <c r="A66" t="str">
        <f t="shared" si="19"/>
        <v>72 Customer service occupations</v>
      </c>
      <c r="B66" s="172">
        <f t="shared" si="73"/>
        <v>1.711502630080338</v>
      </c>
      <c r="C66" s="172">
        <f t="shared" si="73"/>
        <v>1.793867551151284</v>
      </c>
      <c r="D66" s="172">
        <f t="shared" si="73"/>
        <v>1.8778836294827423</v>
      </c>
      <c r="E66" s="172">
        <f t="shared" si="73"/>
        <v>2.3727156524745339</v>
      </c>
      <c r="F66" s="172">
        <f t="shared" si="73"/>
        <v>2.6792994218422952</v>
      </c>
      <c r="H66" s="67">
        <f t="shared" si="21"/>
        <v>50.073213591763398</v>
      </c>
      <c r="I66" s="68">
        <f t="shared" si="22"/>
        <v>61.4278137309107</v>
      </c>
      <c r="J66" s="68">
        <f t="shared" si="23"/>
        <v>111.5010273226741</v>
      </c>
      <c r="L66" t="str">
        <f t="shared" si="24"/>
        <v>72 Customer service occupations</v>
      </c>
      <c r="M66" s="172">
        <f t="shared" ref="M66:Q66" si="76">M29/M$35*100</f>
        <v>1.3417023539752628</v>
      </c>
      <c r="N66" s="172">
        <f t="shared" si="76"/>
        <v>1.2406644470586472</v>
      </c>
      <c r="O66" s="172">
        <f t="shared" si="76"/>
        <v>1.5403255453589528</v>
      </c>
      <c r="P66" s="172">
        <f t="shared" si="76"/>
        <v>2.0990048650559077</v>
      </c>
      <c r="Q66" s="172">
        <f t="shared" si="76"/>
        <v>2.4935650645823491</v>
      </c>
      <c r="S66" s="67">
        <f t="shared" si="26"/>
        <v>66.724150177582331</v>
      </c>
      <c r="T66" s="68">
        <f t="shared" si="27"/>
        <v>49.045685535118452</v>
      </c>
      <c r="U66" s="68">
        <f t="shared" si="28"/>
        <v>115.76983571270078</v>
      </c>
      <c r="W66" t="str">
        <f t="shared" si="29"/>
        <v>72 Customer service occupations</v>
      </c>
      <c r="X66" s="172">
        <f t="shared" ref="X66:AB66" si="77">X29/X$35*100</f>
        <v>2.0853663545161498</v>
      </c>
      <c r="Y66" s="172">
        <f t="shared" si="77"/>
        <v>2.3776948861978462</v>
      </c>
      <c r="Z66" s="172">
        <f t="shared" si="77"/>
        <v>2.2117794094048095</v>
      </c>
      <c r="AA66" s="172">
        <f t="shared" si="77"/>
        <v>2.6389779863948837</v>
      </c>
      <c r="AB66" s="172">
        <f t="shared" si="77"/>
        <v>2.8555455843083788</v>
      </c>
      <c r="AD66" s="67">
        <f t="shared" si="31"/>
        <v>38.602992452599175</v>
      </c>
      <c r="AE66" s="68">
        <f t="shared" si="32"/>
        <v>69.957408918977492</v>
      </c>
      <c r="AF66" s="68">
        <f t="shared" si="33"/>
        <v>108.56040137157666</v>
      </c>
    </row>
    <row r="67" spans="1:32" x14ac:dyDescent="0.2">
      <c r="A67" t="str">
        <f t="shared" si="19"/>
        <v>81 Process, plant and machine operatives</v>
      </c>
      <c r="B67" s="172">
        <f t="shared" si="73"/>
        <v>3.6191280141423086</v>
      </c>
      <c r="C67" s="172">
        <f t="shared" si="73"/>
        <v>3.342386413063632</v>
      </c>
      <c r="D67" s="172">
        <f t="shared" si="73"/>
        <v>2.9324862897783248</v>
      </c>
      <c r="E67" s="172">
        <f t="shared" si="73"/>
        <v>3.378992010430395</v>
      </c>
      <c r="F67" s="172">
        <f t="shared" si="73"/>
        <v>3.1050417161408754</v>
      </c>
      <c r="H67" s="67">
        <f t="shared" si="21"/>
        <v>11.373548477258973</v>
      </c>
      <c r="I67" s="68">
        <f t="shared" si="22"/>
        <v>42.936117253989096</v>
      </c>
      <c r="J67" s="68">
        <f t="shared" si="23"/>
        <v>54.309665731248067</v>
      </c>
      <c r="L67" t="str">
        <f t="shared" si="24"/>
        <v>81 Process, plant and machine operatives</v>
      </c>
      <c r="M67" s="172">
        <f t="shared" ref="M67:Q67" si="78">M30/M$35*100</f>
        <v>5.9335176645744729</v>
      </c>
      <c r="N67" s="172">
        <f t="shared" si="78"/>
        <v>5.2533672169564793</v>
      </c>
      <c r="O67" s="172">
        <f t="shared" si="78"/>
        <v>4.8265339647053409</v>
      </c>
      <c r="P67" s="172">
        <f t="shared" si="78"/>
        <v>5.609968196727114</v>
      </c>
      <c r="Q67" s="172">
        <f t="shared" si="78"/>
        <v>5.2456333989064978</v>
      </c>
      <c r="S67" s="67">
        <f t="shared" si="26"/>
        <v>11.931647158040338</v>
      </c>
      <c r="T67" s="68">
        <f t="shared" si="27"/>
        <v>40.251668078558751</v>
      </c>
      <c r="U67" s="68">
        <f t="shared" si="28"/>
        <v>52.183315236599093</v>
      </c>
      <c r="W67" t="str">
        <f t="shared" si="29"/>
        <v>81 Process, plant and machine operatives</v>
      </c>
      <c r="X67" s="172">
        <f t="shared" ref="X67:AB67" si="79">X30/X$35*100</f>
        <v>1.2793073314221408</v>
      </c>
      <c r="Y67" s="172">
        <f t="shared" si="79"/>
        <v>1.3256174871339037</v>
      </c>
      <c r="Z67" s="172">
        <f t="shared" si="79"/>
        <v>1.0589879042459032</v>
      </c>
      <c r="AA67" s="172">
        <f t="shared" si="79"/>
        <v>1.2087270680568205</v>
      </c>
      <c r="AB67" s="172">
        <f t="shared" si="79"/>
        <v>1.0738016426294736</v>
      </c>
      <c r="AD67" s="67">
        <f t="shared" si="31"/>
        <v>8.8575070951752455</v>
      </c>
      <c r="AE67" s="68">
        <f t="shared" si="32"/>
        <v>55.038251600610479</v>
      </c>
      <c r="AF67" s="68">
        <f t="shared" si="33"/>
        <v>63.895758695785723</v>
      </c>
    </row>
    <row r="68" spans="1:32" x14ac:dyDescent="0.2">
      <c r="A68" t="str">
        <f t="shared" si="19"/>
        <v>82 Transport and mobile machine drivers and operatives</v>
      </c>
      <c r="B68" s="172">
        <f t="shared" si="73"/>
        <v>3.4038966376741384</v>
      </c>
      <c r="C68" s="172">
        <f t="shared" si="73"/>
        <v>4.1018924564745207</v>
      </c>
      <c r="D68" s="172">
        <f t="shared" si="73"/>
        <v>3.679130566641605</v>
      </c>
      <c r="E68" s="172">
        <f t="shared" si="73"/>
        <v>3.6350419886681626</v>
      </c>
      <c r="F68" s="172">
        <f t="shared" si="73"/>
        <v>3.3274218917441449</v>
      </c>
      <c r="H68" s="67">
        <f t="shared" si="21"/>
        <v>-4.8709242965335351</v>
      </c>
      <c r="I68" s="68">
        <f t="shared" si="22"/>
        <v>50.905699339810027</v>
      </c>
      <c r="J68" s="68">
        <f t="shared" si="23"/>
        <v>46.03477504327649</v>
      </c>
      <c r="L68" t="str">
        <f t="shared" si="24"/>
        <v>82 Transport and mobile machine drivers and operatives</v>
      </c>
      <c r="M68" s="172">
        <f t="shared" ref="M68:Q68" si="80">M31/M$35*100</f>
        <v>6.5287744194376334</v>
      </c>
      <c r="N68" s="172">
        <f t="shared" si="80"/>
        <v>7.7514457448725205</v>
      </c>
      <c r="O68" s="172">
        <f t="shared" si="80"/>
        <v>7.1967478537301055</v>
      </c>
      <c r="P68" s="172">
        <f t="shared" si="80"/>
        <v>7.09330022426421</v>
      </c>
      <c r="Q68" s="172">
        <f t="shared" si="80"/>
        <v>6.5321708256484428</v>
      </c>
      <c r="S68" s="67">
        <f t="shared" si="26"/>
        <v>-6.5215349844240444</v>
      </c>
      <c r="T68" s="68">
        <f t="shared" si="27"/>
        <v>49.87363511064062</v>
      </c>
      <c r="U68" s="68">
        <f t="shared" si="28"/>
        <v>43.352100126216577</v>
      </c>
      <c r="W68" t="str">
        <f t="shared" si="29"/>
        <v>82 Transport and mobile machine drivers and operatives</v>
      </c>
      <c r="X68" s="172">
        <f t="shared" ref="X68:AB68" si="81">X31/X$35*100</f>
        <v>0.24468199835112459</v>
      </c>
      <c r="Y68" s="172">
        <f t="shared" si="81"/>
        <v>0.25030710796020361</v>
      </c>
      <c r="Z68" s="172">
        <f t="shared" si="81"/>
        <v>0.19967733242715144</v>
      </c>
      <c r="AA68" s="172">
        <f t="shared" si="81"/>
        <v>0.27089285229965299</v>
      </c>
      <c r="AB68" s="172">
        <f t="shared" si="81"/>
        <v>0.28638678332076156</v>
      </c>
      <c r="AD68" s="67">
        <f t="shared" si="31"/>
        <v>53.974756345048213</v>
      </c>
      <c r="AE68" s="68">
        <f t="shared" si="32"/>
        <v>87.699670490523346</v>
      </c>
      <c r="AF68" s="68">
        <f t="shared" si="33"/>
        <v>141.67442683557155</v>
      </c>
    </row>
    <row r="69" spans="1:32" x14ac:dyDescent="0.2">
      <c r="A69" t="str">
        <f t="shared" si="19"/>
        <v>91 Elementary trades and related occupations</v>
      </c>
      <c r="B69" s="172">
        <f t="shared" si="73"/>
        <v>1.6823260815682468</v>
      </c>
      <c r="C69" s="172">
        <f t="shared" si="73"/>
        <v>1.4984534206868299</v>
      </c>
      <c r="D69" s="172">
        <f t="shared" si="73"/>
        <v>1.3148430969574814</v>
      </c>
      <c r="E69" s="172">
        <f t="shared" si="73"/>
        <v>1.0449317677186383</v>
      </c>
      <c r="F69" s="172">
        <f t="shared" si="73"/>
        <v>0.93753552121468942</v>
      </c>
      <c r="H69" s="67">
        <f t="shared" si="21"/>
        <v>-24.999456842605586</v>
      </c>
      <c r="I69" s="68">
        <f t="shared" si="22"/>
        <v>30.745796836813238</v>
      </c>
      <c r="J69" s="68">
        <f t="shared" si="23"/>
        <v>5.746339994207653</v>
      </c>
      <c r="L69" t="str">
        <f t="shared" si="24"/>
        <v>91 Elementary trades and related occupations</v>
      </c>
      <c r="M69" s="172">
        <f t="shared" ref="M69:Q70" si="82">M32/M$35*100</f>
        <v>2.6353460482478388</v>
      </c>
      <c r="N69" s="172">
        <f t="shared" si="82"/>
        <v>2.3414756345211649</v>
      </c>
      <c r="O69" s="172">
        <f t="shared" si="82"/>
        <v>2.1874872145395639</v>
      </c>
      <c r="P69" s="172">
        <f t="shared" si="82"/>
        <v>1.7390108985581167</v>
      </c>
      <c r="Q69" s="172">
        <f t="shared" si="82"/>
        <v>1.5807302267113785</v>
      </c>
      <c r="S69" s="67">
        <f t="shared" si="26"/>
        <v>-25.577790370605896</v>
      </c>
      <c r="T69" s="68">
        <f t="shared" si="27"/>
        <v>26.112996054737682</v>
      </c>
      <c r="U69" s="68">
        <f t="shared" si="28"/>
        <v>0.53520568413178815</v>
      </c>
      <c r="W69" t="str">
        <f t="shared" si="29"/>
        <v>91 Elementary trades and related occupations</v>
      </c>
      <c r="X69" s="172">
        <f t="shared" ref="X69:AB70" si="83">X32/X$35*100</f>
        <v>0.71883411785945495</v>
      </c>
      <c r="Y69" s="172">
        <f t="shared" si="83"/>
        <v>0.60876316253971841</v>
      </c>
      <c r="Z69" s="172">
        <f t="shared" si="83"/>
        <v>0.45166664840404719</v>
      </c>
      <c r="AA69" s="172">
        <f t="shared" si="83"/>
        <v>0.36974051550071735</v>
      </c>
      <c r="AB69" s="172">
        <f t="shared" si="83"/>
        <v>0.32719826194473367</v>
      </c>
      <c r="AD69" s="67">
        <f t="shared" si="31"/>
        <v>-22.228892198505555</v>
      </c>
      <c r="AE69" s="68">
        <f t="shared" si="32"/>
        <v>52.939692622780854</v>
      </c>
      <c r="AF69" s="68">
        <f t="shared" si="33"/>
        <v>30.710800424275298</v>
      </c>
    </row>
    <row r="70" spans="1:32" x14ac:dyDescent="0.2">
      <c r="A70" t="str">
        <f t="shared" si="19"/>
        <v>92 Elementary administration and service occupations</v>
      </c>
      <c r="B70" s="172">
        <f t="shared" si="73"/>
        <v>10.708507401966539</v>
      </c>
      <c r="C70" s="172">
        <f t="shared" si="73"/>
        <v>10.484113376520106</v>
      </c>
      <c r="D70" s="172">
        <f t="shared" si="73"/>
        <v>9.9366744683324288</v>
      </c>
      <c r="E70" s="172">
        <f t="shared" si="73"/>
        <v>9.8114899113724388</v>
      </c>
      <c r="F70" s="172">
        <f t="shared" si="73"/>
        <v>9.4584695453752659</v>
      </c>
      <c r="H70" s="67">
        <f t="shared" si="21"/>
        <v>0.12220730536829649</v>
      </c>
      <c r="I70" s="68">
        <f t="shared" si="22"/>
        <v>48.348722193177679</v>
      </c>
      <c r="J70" s="68">
        <f t="shared" si="23"/>
        <v>48.470929498545978</v>
      </c>
      <c r="L70" t="str">
        <f t="shared" si="24"/>
        <v>92 Elementary administration and service occupations</v>
      </c>
      <c r="M70" s="172">
        <f t="shared" si="82"/>
        <v>10.114580839810282</v>
      </c>
      <c r="N70" s="172">
        <f t="shared" si="82"/>
        <v>10.537767707124884</v>
      </c>
      <c r="O70" s="172">
        <f t="shared" si="82"/>
        <v>10.271988425929782</v>
      </c>
      <c r="P70" s="172">
        <f t="shared" si="82"/>
        <v>10.685195962852777</v>
      </c>
      <c r="Q70" s="172">
        <f t="shared" si="82"/>
        <v>10.05845051909734</v>
      </c>
      <c r="S70" s="67">
        <f t="shared" si="26"/>
        <v>0.84790672509413945</v>
      </c>
      <c r="T70" s="68">
        <f t="shared" si="27"/>
        <v>40.374986687061174</v>
      </c>
      <c r="U70" s="68">
        <f t="shared" si="28"/>
        <v>41.222893412155322</v>
      </c>
      <c r="W70" t="str">
        <f t="shared" si="29"/>
        <v>92 Elementary administration and service occupations</v>
      </c>
      <c r="X70" s="172">
        <f t="shared" si="83"/>
        <v>11.308960162326297</v>
      </c>
      <c r="Y70" s="172">
        <f t="shared" si="83"/>
        <v>10.427488848170654</v>
      </c>
      <c r="Z70" s="172">
        <f t="shared" si="83"/>
        <v>9.6049984675003479</v>
      </c>
      <c r="AA70" s="172">
        <f t="shared" si="83"/>
        <v>8.9615599008621487</v>
      </c>
      <c r="AB70" s="172">
        <f t="shared" si="83"/>
        <v>8.889138454826444</v>
      </c>
      <c r="AD70" s="67">
        <f t="shared" si="31"/>
        <v>-0.64546595600898427</v>
      </c>
      <c r="AE70" s="68">
        <f t="shared" si="32"/>
        <v>56.783651827888349</v>
      </c>
      <c r="AF70" s="68">
        <f t="shared" si="33"/>
        <v>56.138185871879365</v>
      </c>
    </row>
    <row r="71" spans="1:32" x14ac:dyDescent="0.2">
      <c r="H71" s="67"/>
      <c r="I71" s="68"/>
      <c r="J71" s="68"/>
      <c r="S71" s="67"/>
      <c r="T71" s="68"/>
      <c r="U71" s="68"/>
      <c r="AD71" s="67"/>
      <c r="AE71" s="68"/>
      <c r="AF71" s="68"/>
    </row>
    <row r="72" spans="1:32" x14ac:dyDescent="0.2">
      <c r="A72" s="23" t="str">
        <f>A35</f>
        <v>All occupations</v>
      </c>
      <c r="B72" s="25">
        <f>B35/B$35*100</f>
        <v>100</v>
      </c>
      <c r="C72" s="25">
        <f>C35/C$35*100</f>
        <v>100</v>
      </c>
      <c r="D72" s="25">
        <f>D35/D$35*100</f>
        <v>100</v>
      </c>
      <c r="E72" s="25">
        <f>E35/E$35*100</f>
        <v>100</v>
      </c>
      <c r="F72" s="25">
        <f>F35/F$35*100</f>
        <v>100</v>
      </c>
      <c r="H72" s="69">
        <f>IF(D35&gt;0,(H35/D35)*100,0)</f>
        <v>5.184224178296251</v>
      </c>
      <c r="I72" s="66">
        <f>IF(D35&gt;0,I35/D35*100,0)</f>
        <v>50.200996293039715</v>
      </c>
      <c r="J72" s="66">
        <f>IF(D35&gt;0,(J35/D35)*100,0)</f>
        <v>55.385220471335948</v>
      </c>
      <c r="L72" s="23" t="str">
        <f>L35</f>
        <v>All occupations</v>
      </c>
      <c r="M72" s="25">
        <f>M35/M$35*100</f>
        <v>100</v>
      </c>
      <c r="N72" s="25">
        <f>N35/N$35*100</f>
        <v>100</v>
      </c>
      <c r="O72" s="25">
        <f>O35/O$35*100</f>
        <v>100</v>
      </c>
      <c r="P72" s="25">
        <f>P35/P$35*100</f>
        <v>100</v>
      </c>
      <c r="Q72" s="25">
        <f>Q35/Q$35*100</f>
        <v>100</v>
      </c>
      <c r="S72" s="69">
        <f t="shared" ref="S72" si="84">IF(O35&gt;0,(S35/O35)*100,0)</f>
        <v>2.9888777294872249</v>
      </c>
      <c r="T72" s="66">
        <f t="shared" ref="T72" si="85">IF(O35&gt;0,T35/O35*100,0)</f>
        <v>40.347116732743324</v>
      </c>
      <c r="U72" s="66">
        <f t="shared" ref="U72" si="86">IF(O35&gt;0,(U35/O35)*100,0)</f>
        <v>43.335994462230595</v>
      </c>
      <c r="W72" s="23" t="str">
        <f>W35</f>
        <v>All occupations</v>
      </c>
      <c r="X72" s="25">
        <f>X35/X$35*100</f>
        <v>100</v>
      </c>
      <c r="Y72" s="25">
        <f>Y35/Y$35*100</f>
        <v>100</v>
      </c>
      <c r="Z72" s="25">
        <f>Z35/Z$35*100</f>
        <v>100</v>
      </c>
      <c r="AA72" s="25">
        <f>AA35/AA$35*100</f>
        <v>100</v>
      </c>
      <c r="AB72" s="25">
        <f>AB35/AB$35*100</f>
        <v>100</v>
      </c>
      <c r="AD72" s="69">
        <f t="shared" ref="AD72" si="87">IF(Z35&gt;0,(AD35/Z35)*100,0)</f>
        <v>7.3557524254331206</v>
      </c>
      <c r="AE72" s="66">
        <f t="shared" ref="AE72" si="88">IF(Z35&gt;0,AE35/Z35*100,0)</f>
        <v>59.947967127951415</v>
      </c>
      <c r="AF72" s="66">
        <f t="shared" ref="AF72" si="89">IF(Z35&gt;0,(AF35/Z35)*100,0)</f>
        <v>67.303719553384539</v>
      </c>
    </row>
    <row r="73" spans="1:32" x14ac:dyDescent="0.2">
      <c r="B73" s="17"/>
      <c r="C73" s="17"/>
      <c r="D73" s="17"/>
      <c r="E73" s="17"/>
      <c r="F73" s="17"/>
      <c r="M73" s="17"/>
      <c r="N73" s="17"/>
      <c r="O73" s="17"/>
      <c r="P73" s="17"/>
      <c r="Q73" s="17"/>
      <c r="X73" s="17"/>
      <c r="Y73" s="17"/>
      <c r="Z73" s="17"/>
      <c r="AA73" s="17"/>
      <c r="AB73" s="17"/>
    </row>
    <row r="74" spans="1:32" x14ac:dyDescent="0.2">
      <c r="B74" s="17"/>
      <c r="C74" s="17"/>
      <c r="D74" s="17"/>
      <c r="E74" s="17"/>
      <c r="F74" s="17"/>
      <c r="M74" s="17"/>
      <c r="N74" s="17"/>
      <c r="O74" s="17"/>
      <c r="P74" s="17"/>
      <c r="Q74" s="17"/>
      <c r="X74" s="17"/>
      <c r="Y74" s="17"/>
      <c r="Z74" s="17"/>
      <c r="AA74" s="17"/>
      <c r="AB74" s="17"/>
    </row>
    <row r="75" spans="1:32" ht="15.75" x14ac:dyDescent="0.25">
      <c r="A75" s="18" t="str">
        <f>CONCATENATE(A$1," (Continued)")</f>
        <v>Occupation Table 2  Employment Change by Occupation (SOC 2020) and Replacement Demand, 2015-2035, North East (Continued)</v>
      </c>
      <c r="B75" s="17"/>
      <c r="C75" s="17"/>
      <c r="D75" s="17"/>
      <c r="E75" s="17"/>
      <c r="F75" s="17"/>
      <c r="L75" s="18" t="str">
        <f>CONCATENATE(L$1," (Continued)")</f>
        <v>Occupation Table 2.1  Males: Employment Change by Occupation (SOC 2020) and Replacement Demand, 2015-2035, North East (Continued)</v>
      </c>
      <c r="M75" s="17"/>
      <c r="N75" s="17"/>
      <c r="O75" s="17"/>
      <c r="P75" s="17"/>
      <c r="Q75" s="17"/>
      <c r="W75" s="18" t="str">
        <f>CONCATENATE(W$1," (Continued)")</f>
        <v>Occupation Table 2.2  Females: Employment Change by Occupation (SOC 2020) and Replacement Demand, 2015-2035, North East (Continued)</v>
      </c>
      <c r="X75" s="17"/>
      <c r="Y75" s="17"/>
      <c r="Z75" s="17"/>
      <c r="AA75" s="17"/>
      <c r="AB75" s="17"/>
    </row>
    <row r="77" spans="1:32" x14ac:dyDescent="0.2">
      <c r="F77" s="15" t="s">
        <v>36</v>
      </c>
      <c r="J77" s="15" t="s">
        <v>36</v>
      </c>
      <c r="Q77" s="15" t="s">
        <v>36</v>
      </c>
      <c r="U77" s="15" t="s">
        <v>36</v>
      </c>
      <c r="AB77" s="15" t="s">
        <v>36</v>
      </c>
      <c r="AF77" s="15" t="s">
        <v>36</v>
      </c>
    </row>
    <row r="78" spans="1:32" x14ac:dyDescent="0.2">
      <c r="A78" s="35"/>
      <c r="B78" s="35"/>
      <c r="C78" s="35"/>
      <c r="D78" s="35"/>
      <c r="E78" s="35"/>
      <c r="F78" s="35"/>
      <c r="H78" s="98" t="str">
        <f>$H$4</f>
        <v>2020-2035</v>
      </c>
      <c r="I78" s="35"/>
      <c r="J78" s="35"/>
      <c r="L78" s="35"/>
      <c r="M78" s="35"/>
      <c r="N78" s="35"/>
      <c r="O78" s="35"/>
      <c r="P78" s="35"/>
      <c r="Q78" s="35"/>
      <c r="S78" s="98" t="str">
        <f>$H$4</f>
        <v>2020-2035</v>
      </c>
      <c r="T78" s="35"/>
      <c r="U78" s="35"/>
      <c r="W78" s="35"/>
      <c r="X78" s="35"/>
      <c r="Y78" s="35"/>
      <c r="Z78" s="35"/>
      <c r="AA78" s="35"/>
      <c r="AB78" s="35"/>
      <c r="AD78" s="98" t="str">
        <f>$H$4</f>
        <v>2020-2035</v>
      </c>
      <c r="AE78" s="35"/>
      <c r="AF78" s="35"/>
    </row>
    <row r="79" spans="1:32" x14ac:dyDescent="0.2">
      <c r="H79" s="15" t="str">
        <f t="shared" ref="H79:J80" si="90">H42</f>
        <v>Net</v>
      </c>
      <c r="I79" s="15" t="str">
        <f t="shared" si="90"/>
        <v>Replacement</v>
      </c>
      <c r="J79" s="15" t="str">
        <f t="shared" si="90"/>
        <v>Total</v>
      </c>
      <c r="S79" s="15" t="str">
        <f t="shared" ref="S79:U79" si="91">S42</f>
        <v>Net</v>
      </c>
      <c r="T79" s="15" t="str">
        <f t="shared" si="91"/>
        <v>Replacement</v>
      </c>
      <c r="U79" s="15" t="str">
        <f t="shared" si="91"/>
        <v>Total</v>
      </c>
      <c r="AD79" s="15" t="str">
        <f t="shared" ref="AD79:AF79" si="92">AD42</f>
        <v>Net</v>
      </c>
      <c r="AE79" s="15" t="str">
        <f t="shared" si="92"/>
        <v>Replacement</v>
      </c>
      <c r="AF79" s="15" t="str">
        <f t="shared" si="92"/>
        <v>Total</v>
      </c>
    </row>
    <row r="80" spans="1:32" x14ac:dyDescent="0.2">
      <c r="A80" s="40" t="s">
        <v>14</v>
      </c>
      <c r="B80" s="63" t="str">
        <f>CONCATENATE(B$6,"-",C$6)</f>
        <v>2015-2019</v>
      </c>
      <c r="C80" s="63" t="str">
        <f>CONCATENATE(C$6,"-",D$6)</f>
        <v>2019-2020</v>
      </c>
      <c r="D80" s="63" t="str">
        <f>CONCATENATE(D$6,"-",E$6)</f>
        <v>2020-2025</v>
      </c>
      <c r="E80" s="63" t="str">
        <f>CONCATENATE(E$6,"-",F$6)</f>
        <v>2025-2035</v>
      </c>
      <c r="F80" s="63" t="str">
        <f>CONCATENATE(D$6,"-",F$6)</f>
        <v>2020-2035</v>
      </c>
      <c r="H80" s="62" t="str">
        <f t="shared" si="90"/>
        <v>Change</v>
      </c>
      <c r="I80" s="62" t="str">
        <f t="shared" si="90"/>
        <v>Demand</v>
      </c>
      <c r="J80" s="62" t="str">
        <f t="shared" si="90"/>
        <v>Requirement</v>
      </c>
      <c r="L80" s="40" t="s">
        <v>14</v>
      </c>
      <c r="M80" s="63" t="str">
        <f>CONCATENATE(M$6,"-",N$6)</f>
        <v>2015-2019</v>
      </c>
      <c r="N80" s="63" t="str">
        <f>CONCATENATE(N$6,"-",O$6)</f>
        <v>2019-2020</v>
      </c>
      <c r="O80" s="63" t="str">
        <f>CONCATENATE(O$6,"-",P$6)</f>
        <v>2020-2025</v>
      </c>
      <c r="P80" s="63" t="str">
        <f>CONCATENATE(P$6,"-",Q$6)</f>
        <v>2025-2035</v>
      </c>
      <c r="Q80" s="63" t="str">
        <f>CONCATENATE(O$6,"-",Q$6)</f>
        <v>2020-2035</v>
      </c>
      <c r="S80" s="62" t="str">
        <f t="shared" ref="S80:U80" si="93">S43</f>
        <v>Change</v>
      </c>
      <c r="T80" s="62" t="str">
        <f t="shared" si="93"/>
        <v>Demand</v>
      </c>
      <c r="U80" s="62" t="str">
        <f t="shared" si="93"/>
        <v>Requirement</v>
      </c>
      <c r="W80" s="40" t="s">
        <v>14</v>
      </c>
      <c r="X80" s="63" t="str">
        <f>CONCATENATE(X$6,"-",Y$6)</f>
        <v>2015-2019</v>
      </c>
      <c r="Y80" s="63" t="str">
        <f>CONCATENATE(Y$6,"-",Z$6)</f>
        <v>2019-2020</v>
      </c>
      <c r="Z80" s="63" t="str">
        <f>CONCATENATE(Z$6,"-",AA$6)</f>
        <v>2020-2025</v>
      </c>
      <c r="AA80" s="63" t="str">
        <f>CONCATENATE(AA$6,"-",AB$6)</f>
        <v>2025-2035</v>
      </c>
      <c r="AB80" s="63" t="str">
        <f>CONCATENATE(Z$6,"-",AB$6)</f>
        <v>2020-2035</v>
      </c>
      <c r="AD80" s="62" t="str">
        <f t="shared" ref="AD80:AF80" si="94">AD43</f>
        <v>Change</v>
      </c>
      <c r="AE80" s="62" t="str">
        <f t="shared" si="94"/>
        <v>Demand</v>
      </c>
      <c r="AF80" s="62" t="str">
        <f t="shared" si="94"/>
        <v>Requirement</v>
      </c>
    </row>
    <row r="82" spans="1:32" x14ac:dyDescent="0.2">
      <c r="A82" t="str">
        <f t="shared" ref="A82:A107" si="95">A8</f>
        <v>11 Corporate managers and directors</v>
      </c>
      <c r="B82" s="17">
        <f t="shared" ref="B82:E107" si="96">IF(AND(C$6-B$6 &lt;&gt; 0,B8&lt;&gt;0,C8&lt;&gt;0),(EXP(LN(C8/B8)/(C$6-B$6))-1)*100,0)</f>
        <v>3.3844702339223431</v>
      </c>
      <c r="C82" s="17">
        <f t="shared" si="96"/>
        <v>2.4228437151931237</v>
      </c>
      <c r="D82" s="17">
        <f t="shared" si="96"/>
        <v>-1.6620939385781464</v>
      </c>
      <c r="E82" s="17">
        <f t="shared" si="96"/>
        <v>0.96754668593357351</v>
      </c>
      <c r="F82" s="17">
        <f t="shared" ref="F82:F107" si="97">IF(AND(F$6-D$6 &lt;&gt; 0,D8&lt;&gt;0,F8&lt;&gt;0),(EXP(LN(F8/D8)/(F$6-D$6))-1)*100,0)</f>
        <v>8.3278039491885281E-2</v>
      </c>
      <c r="H82" s="17">
        <f t="shared" ref="H82:H107" si="98">IF($F$6-$D$6 &lt;&gt; 0,(EXP(LN(1+(H45/100))/($F$6-$D$6))-1)*100,0)</f>
        <v>8.3278039491885281E-2</v>
      </c>
      <c r="I82" s="17">
        <f t="shared" ref="I82:I107" si="99">IF(D8&gt;0,((1+(I8/D8))^(1/($F$6-$D$6))-1)*100,0)</f>
        <v>2.7147355283696495</v>
      </c>
      <c r="J82" s="17">
        <f t="shared" ref="J82:J107" si="100">IF($F$6-$D$6 &lt;&gt; 0,(EXP(LN(1+(J45/100))/($F$6-$D$6))-1)*100,0)</f>
        <v>2.7720820838412319</v>
      </c>
      <c r="K82" s="39"/>
      <c r="L82" t="str">
        <f t="shared" ref="L82:L107" si="101">L8</f>
        <v>11 Corporate managers and directors</v>
      </c>
      <c r="M82" s="17">
        <f t="shared" ref="M82:P107" si="102">IF(AND(N$6-M$6 &lt;&gt; 0,M8&lt;&gt;0,N8&lt;&gt;0),(EXP(LN(N8/M8)/(N$6-M$6))-1)*100,0)</f>
        <v>2.9690432628028063</v>
      </c>
      <c r="N82" s="17">
        <f t="shared" si="102"/>
        <v>-6.2990432916754102E-2</v>
      </c>
      <c r="O82" s="17">
        <f t="shared" si="102"/>
        <v>-2.4381574092101843</v>
      </c>
      <c r="P82" s="17">
        <f t="shared" si="102"/>
        <v>0.45329433016643161</v>
      </c>
      <c r="Q82" s="17">
        <f t="shared" ref="Q82:Q107" si="103">IF(AND(Q$6-O$6 &lt;&gt; 0,O8&lt;&gt;0,Q8&lt;&gt;0),(EXP(LN(Q8/O8)/(Q$6-O$6))-1)*100,0)</f>
        <v>-0.51992121192784291</v>
      </c>
      <c r="S82" s="17">
        <f t="shared" ref="S82:S107" si="104">IF($F$6-$D$6 &lt;&gt; 0,(EXP(LN(1+(S45/100))/($F$6-$D$6))-1)*100,0)</f>
        <v>-0.51992121192784291</v>
      </c>
      <c r="T82" s="17">
        <f t="shared" ref="T82:T107" si="105">IF(O8&gt;0,((1+(T8/O8))^(1/($F$6-$D$6))-1)*100,0)</f>
        <v>2.3643482250115699</v>
      </c>
      <c r="U82" s="17">
        <f t="shared" ref="U82:U107" si="106">IF($F$6-$D$6 &lt;&gt; 0,(EXP(LN(1+(U45/100))/($F$6-$D$6))-1)*100,0)</f>
        <v>1.9935855080781995</v>
      </c>
      <c r="W82" t="str">
        <f t="shared" ref="W82:W107" si="107">W8</f>
        <v>11 Corporate managers and directors</v>
      </c>
      <c r="X82" s="17">
        <f t="shared" ref="X82:AA107" si="108">IF(AND(Y$6-X$6 &lt;&gt; 0,X8&lt;&gt;0,Y8&lt;&gt;0),(EXP(LN(Y8/X8)/(Y$6-X$6))-1)*100,0)</f>
        <v>4.2128431817955114</v>
      </c>
      <c r="Y82" s="17">
        <f t="shared" si="108"/>
        <v>7.2332287246930305</v>
      </c>
      <c r="Z82" s="17">
        <f t="shared" si="108"/>
        <v>-0.32147209533491816</v>
      </c>
      <c r="AA82" s="17">
        <f t="shared" si="108"/>
        <v>1.7536430289592175</v>
      </c>
      <c r="AB82" s="17">
        <f t="shared" ref="AB82:AB107" si="109">IF(AND(AB$6-Z$6 &lt;&gt; 0,Z8&lt;&gt;0,AB8&lt;&gt;0),(EXP(LN(AB8/Z8)/(AB$6-Z$6))-1)*100,0)</f>
        <v>1.0571818780966025</v>
      </c>
      <c r="AD82" s="17">
        <f t="shared" ref="AD82:AD107" si="110">IF($F$6-$D$6 &lt;&gt; 0,(EXP(LN(1+(AD45/100))/($F$6-$D$6))-1)*100,0)</f>
        <v>1.0571818780966025</v>
      </c>
      <c r="AE82" s="17">
        <f t="shared" ref="AE82:AE107" si="111">IF(Z8&gt;0,((1+(AE8/Z8))^(1/($F$6-$D$6))-1)*100,0)</f>
        <v>3.3072405030760921</v>
      </c>
      <c r="AF82" s="17">
        <f t="shared" ref="AF82:AF107" si="112">IF($F$6-$D$6 &lt;&gt; 0,(EXP(LN(1+(AF45/100))/($F$6-$D$6))-1)*100,0)</f>
        <v>3.9964390845617537</v>
      </c>
    </row>
    <row r="83" spans="1:32" x14ac:dyDescent="0.2">
      <c r="A83" t="str">
        <f t="shared" si="95"/>
        <v>12 Other managers and proprietors</v>
      </c>
      <c r="B83" s="17">
        <f t="shared" si="96"/>
        <v>2.4293154120807126</v>
      </c>
      <c r="C83" s="17">
        <f t="shared" si="96"/>
        <v>-3.640096713523866</v>
      </c>
      <c r="D83" s="17">
        <f t="shared" si="96"/>
        <v>3.6431563613732676</v>
      </c>
      <c r="E83" s="17">
        <f t="shared" si="96"/>
        <v>1.6684548810723898</v>
      </c>
      <c r="F83" s="17">
        <f t="shared" si="97"/>
        <v>2.322472491234584</v>
      </c>
      <c r="H83" s="17">
        <f t="shared" si="98"/>
        <v>2.322472491234584</v>
      </c>
      <c r="I83" s="17">
        <f t="shared" si="99"/>
        <v>3.6500167378919146</v>
      </c>
      <c r="J83" s="17">
        <f t="shared" si="100"/>
        <v>5.1478385320818054</v>
      </c>
      <c r="K83" s="39"/>
      <c r="L83" t="str">
        <f t="shared" si="101"/>
        <v>12 Other managers and proprietors</v>
      </c>
      <c r="M83" s="17">
        <f t="shared" si="102"/>
        <v>2.2665251691313726</v>
      </c>
      <c r="N83" s="17">
        <f t="shared" si="102"/>
        <v>-10.636280926144515</v>
      </c>
      <c r="O83" s="17">
        <f t="shared" si="102"/>
        <v>4.2272746791158555</v>
      </c>
      <c r="P83" s="17">
        <f t="shared" si="102"/>
        <v>1.8230853287681814</v>
      </c>
      <c r="Q83" s="17">
        <f t="shared" si="103"/>
        <v>2.6182558615336138</v>
      </c>
      <c r="S83" s="17">
        <f t="shared" si="104"/>
        <v>2.6182558615336138</v>
      </c>
      <c r="T83" s="17">
        <f t="shared" si="105"/>
        <v>3.4449517348636549</v>
      </c>
      <c r="U83" s="17">
        <f t="shared" si="106"/>
        <v>5.1884285191658108</v>
      </c>
      <c r="W83" t="str">
        <f t="shared" si="107"/>
        <v>12 Other managers and proprietors</v>
      </c>
      <c r="X83" s="17">
        <f t="shared" si="108"/>
        <v>2.6907089046379395</v>
      </c>
      <c r="Y83" s="17">
        <f t="shared" si="108"/>
        <v>7.4781058481977691</v>
      </c>
      <c r="Z83" s="17">
        <f t="shared" si="108"/>
        <v>2.8505583427083758</v>
      </c>
      <c r="AA83" s="17">
        <f t="shared" si="108"/>
        <v>1.4464197568425652</v>
      </c>
      <c r="AB83" s="17">
        <f t="shared" si="109"/>
        <v>1.9123229676724085</v>
      </c>
      <c r="AD83" s="17">
        <f t="shared" si="110"/>
        <v>1.9123229676724085</v>
      </c>
      <c r="AE83" s="17">
        <f t="shared" si="111"/>
        <v>3.9125504994781624</v>
      </c>
      <c r="AF83" s="17">
        <f t="shared" si="112"/>
        <v>5.0938666957092593</v>
      </c>
    </row>
    <row r="84" spans="1:32" x14ac:dyDescent="0.2">
      <c r="A84" t="str">
        <f t="shared" si="95"/>
        <v>21 Science, research, engineering and technology professionals</v>
      </c>
      <c r="B84" s="17">
        <f t="shared" si="96"/>
        <v>1.203545578356735</v>
      </c>
      <c r="C84" s="17">
        <f t="shared" si="96"/>
        <v>3.6034440501195419</v>
      </c>
      <c r="D84" s="17">
        <f t="shared" si="96"/>
        <v>0.8233413945010648</v>
      </c>
      <c r="E84" s="17">
        <f t="shared" si="96"/>
        <v>0.99021948152455685</v>
      </c>
      <c r="F84" s="17">
        <f t="shared" si="97"/>
        <v>0.93456278520251956</v>
      </c>
      <c r="H84" s="17">
        <f t="shared" si="98"/>
        <v>0.93456278520251956</v>
      </c>
      <c r="I84" s="17">
        <f t="shared" si="99"/>
        <v>2.2460490485519902</v>
      </c>
      <c r="J84" s="17">
        <f t="shared" si="100"/>
        <v>2.9432231944743315</v>
      </c>
      <c r="K84" s="39"/>
      <c r="L84" t="str">
        <f t="shared" si="101"/>
        <v>21 Science, research, engineering and technology professionals</v>
      </c>
      <c r="M84" s="17">
        <f t="shared" si="102"/>
        <v>1.5020851592945084</v>
      </c>
      <c r="N84" s="17">
        <f t="shared" si="102"/>
        <v>-0.51366756399799929</v>
      </c>
      <c r="O84" s="17">
        <f t="shared" si="102"/>
        <v>0.15580581954730555</v>
      </c>
      <c r="P84" s="17">
        <f t="shared" si="102"/>
        <v>0.65902953066934167</v>
      </c>
      <c r="Q84" s="17">
        <f t="shared" si="103"/>
        <v>0.49100798562522474</v>
      </c>
      <c r="S84" s="17">
        <f t="shared" si="104"/>
        <v>0.49100798562522474</v>
      </c>
      <c r="T84" s="17">
        <f t="shared" si="105"/>
        <v>1.9449621717278154</v>
      </c>
      <c r="U84" s="17">
        <f t="shared" si="106"/>
        <v>2.3230951804595446</v>
      </c>
      <c r="W84" t="str">
        <f t="shared" si="107"/>
        <v>21 Science, research, engineering and technology professionals</v>
      </c>
      <c r="X84" s="17">
        <f t="shared" si="108"/>
        <v>-0.28520689106744657</v>
      </c>
      <c r="Y84" s="17">
        <f t="shared" si="108"/>
        <v>25.069828473345712</v>
      </c>
      <c r="Z84" s="17">
        <f t="shared" si="108"/>
        <v>3.41839846968508</v>
      </c>
      <c r="AA84" s="17">
        <f t="shared" si="108"/>
        <v>2.087979549273089</v>
      </c>
      <c r="AB84" s="17">
        <f t="shared" si="109"/>
        <v>2.5295398916432177</v>
      </c>
      <c r="AD84" s="17">
        <f t="shared" si="110"/>
        <v>2.5295398916432177</v>
      </c>
      <c r="AE84" s="17">
        <f t="shared" si="111"/>
        <v>3.3773934330264987</v>
      </c>
      <c r="AF84" s="17">
        <f t="shared" si="112"/>
        <v>5.071941060114149</v>
      </c>
    </row>
    <row r="85" spans="1:32" x14ac:dyDescent="0.2">
      <c r="A85" t="str">
        <f t="shared" si="95"/>
        <v>22 Health professionals</v>
      </c>
      <c r="B85" s="17">
        <f t="shared" si="96"/>
        <v>0.31405247124516311</v>
      </c>
      <c r="C85" s="17">
        <f t="shared" si="96"/>
        <v>6.9185526375159068</v>
      </c>
      <c r="D85" s="17">
        <f t="shared" si="96"/>
        <v>1.9523342224145868</v>
      </c>
      <c r="E85" s="17">
        <f t="shared" si="96"/>
        <v>1.0838990641183877</v>
      </c>
      <c r="F85" s="17">
        <f t="shared" si="97"/>
        <v>1.3725523924732919</v>
      </c>
      <c r="H85" s="17">
        <f t="shared" si="98"/>
        <v>1.3725523924732919</v>
      </c>
      <c r="I85" s="17">
        <f t="shared" si="99"/>
        <v>3.2742485744508665</v>
      </c>
      <c r="J85" s="17">
        <f t="shared" si="100"/>
        <v>4.1799445931958834</v>
      </c>
      <c r="K85" s="39"/>
      <c r="L85" t="str">
        <f t="shared" si="101"/>
        <v>22 Health professionals</v>
      </c>
      <c r="M85" s="17">
        <f t="shared" si="102"/>
        <v>9.261236482134283E-2</v>
      </c>
      <c r="N85" s="17">
        <f t="shared" si="102"/>
        <v>15.899572696282259</v>
      </c>
      <c r="O85" s="17">
        <f t="shared" si="102"/>
        <v>1.7709992765793103</v>
      </c>
      <c r="P85" s="17">
        <f t="shared" si="102"/>
        <v>1.1587196818027667</v>
      </c>
      <c r="Q85" s="17">
        <f t="shared" si="103"/>
        <v>1.3624024900236842</v>
      </c>
      <c r="S85" s="17">
        <f t="shared" si="104"/>
        <v>1.3624024900236842</v>
      </c>
      <c r="T85" s="17">
        <f t="shared" si="105"/>
        <v>2.4603346160390949</v>
      </c>
      <c r="U85" s="17">
        <f t="shared" si="106"/>
        <v>3.4571008590516428</v>
      </c>
      <c r="W85" t="str">
        <f t="shared" si="107"/>
        <v>22 Health professionals</v>
      </c>
      <c r="X85" s="17">
        <f t="shared" si="108"/>
        <v>0.38505454587010046</v>
      </c>
      <c r="Y85" s="17">
        <f t="shared" si="108"/>
        <v>4.0598324656275997</v>
      </c>
      <c r="Z85" s="17">
        <f t="shared" si="108"/>
        <v>2.0163130437309995</v>
      </c>
      <c r="AA85" s="17">
        <f t="shared" si="108"/>
        <v>1.0575725113435075</v>
      </c>
      <c r="AB85" s="17">
        <f t="shared" si="109"/>
        <v>1.3761473551676451</v>
      </c>
      <c r="AD85" s="17">
        <f t="shared" si="110"/>
        <v>1.3761473551676451</v>
      </c>
      <c r="AE85" s="17">
        <f t="shared" si="111"/>
        <v>3.5424802675778633</v>
      </c>
      <c r="AF85" s="17">
        <f t="shared" si="112"/>
        <v>4.4202116513485601</v>
      </c>
    </row>
    <row r="86" spans="1:32" x14ac:dyDescent="0.2">
      <c r="A86" t="str">
        <f t="shared" si="95"/>
        <v>23 Teaching and other educational professionals</v>
      </c>
      <c r="B86" s="17">
        <f t="shared" si="96"/>
        <v>-0.23541040465705487</v>
      </c>
      <c r="C86" s="17">
        <f t="shared" si="96"/>
        <v>4.7879141635689182</v>
      </c>
      <c r="D86" s="17">
        <f t="shared" si="96"/>
        <v>1.7986795427486824</v>
      </c>
      <c r="E86" s="17">
        <f t="shared" si="96"/>
        <v>0.72868998139345997</v>
      </c>
      <c r="F86" s="17">
        <f t="shared" si="97"/>
        <v>1.0840976851205664</v>
      </c>
      <c r="H86" s="17">
        <f t="shared" si="98"/>
        <v>1.0840976851205664</v>
      </c>
      <c r="I86" s="17">
        <f t="shared" si="99"/>
        <v>2.9856992430022711</v>
      </c>
      <c r="J86" s="17">
        <f t="shared" si="100"/>
        <v>3.7228458319774393</v>
      </c>
      <c r="K86" s="39"/>
      <c r="L86" t="str">
        <f t="shared" si="101"/>
        <v>23 Teaching and other educational professionals</v>
      </c>
      <c r="M86" s="17">
        <f t="shared" si="102"/>
        <v>-4.716354805075607</v>
      </c>
      <c r="N86" s="17">
        <f t="shared" si="102"/>
        <v>-2.2285618148916941</v>
      </c>
      <c r="O86" s="17">
        <f t="shared" si="102"/>
        <v>2.2113168604243061</v>
      </c>
      <c r="P86" s="17">
        <f t="shared" si="102"/>
        <v>0.46627785480168882</v>
      </c>
      <c r="Q86" s="17">
        <f t="shared" si="103"/>
        <v>1.0446218409703834</v>
      </c>
      <c r="S86" s="17">
        <f t="shared" si="104"/>
        <v>1.0446218409703834</v>
      </c>
      <c r="T86" s="17">
        <f t="shared" si="105"/>
        <v>2.6695899178410087</v>
      </c>
      <c r="U86" s="17">
        <f t="shared" si="106"/>
        <v>3.4088282078521992</v>
      </c>
      <c r="W86" t="str">
        <f t="shared" si="107"/>
        <v>23 Teaching and other educational professionals</v>
      </c>
      <c r="X86" s="17">
        <f t="shared" si="108"/>
        <v>2.7178568883021059</v>
      </c>
      <c r="Y86" s="17">
        <f t="shared" si="108"/>
        <v>8.6174063596320849</v>
      </c>
      <c r="Z86" s="17">
        <f t="shared" si="108"/>
        <v>1.5934807274885499</v>
      </c>
      <c r="AA86" s="17">
        <f t="shared" si="108"/>
        <v>0.85926611736235614</v>
      </c>
      <c r="AB86" s="17">
        <f t="shared" si="109"/>
        <v>1.1034128458631276</v>
      </c>
      <c r="AD86" s="17">
        <f t="shared" si="110"/>
        <v>1.1034128458631276</v>
      </c>
      <c r="AE86" s="17">
        <f t="shared" si="111"/>
        <v>3.1361581283069206</v>
      </c>
      <c r="AF86" s="17">
        <f t="shared" si="112"/>
        <v>3.8723731478890189</v>
      </c>
    </row>
    <row r="87" spans="1:32" x14ac:dyDescent="0.2">
      <c r="A87" t="str">
        <f t="shared" si="95"/>
        <v>24 Business, media and public service professionals</v>
      </c>
      <c r="B87" s="17">
        <f t="shared" si="96"/>
        <v>1.4640329808991437</v>
      </c>
      <c r="C87" s="17">
        <f t="shared" si="96"/>
        <v>13.379675596424899</v>
      </c>
      <c r="D87" s="17">
        <f t="shared" si="96"/>
        <v>1.8376102184659127</v>
      </c>
      <c r="E87" s="17">
        <f t="shared" si="96"/>
        <v>1.3284269938692361</v>
      </c>
      <c r="F87" s="17">
        <f t="shared" si="97"/>
        <v>1.4978712280647066</v>
      </c>
      <c r="H87" s="17">
        <f t="shared" si="98"/>
        <v>1.4978712280647066</v>
      </c>
      <c r="I87" s="17">
        <f t="shared" si="99"/>
        <v>3.0039020787582249</v>
      </c>
      <c r="J87" s="17">
        <f t="shared" si="100"/>
        <v>4.0297698959907313</v>
      </c>
      <c r="K87" s="39"/>
      <c r="L87" t="str">
        <f t="shared" si="101"/>
        <v>24 Business, media and public service professionals</v>
      </c>
      <c r="M87" s="17">
        <f t="shared" si="102"/>
        <v>-0.17080644793727728</v>
      </c>
      <c r="N87" s="17">
        <f t="shared" si="102"/>
        <v>9.8989558283693704</v>
      </c>
      <c r="O87" s="17">
        <f t="shared" si="102"/>
        <v>1.8217956751365172</v>
      </c>
      <c r="P87" s="17">
        <f t="shared" si="102"/>
        <v>0.86178123957139086</v>
      </c>
      <c r="Q87" s="17">
        <f t="shared" si="103"/>
        <v>1.1807761049527521</v>
      </c>
      <c r="S87" s="17">
        <f t="shared" si="104"/>
        <v>1.1807761049527521</v>
      </c>
      <c r="T87" s="17">
        <f t="shared" si="105"/>
        <v>2.6179061714320717</v>
      </c>
      <c r="U87" s="17">
        <f t="shared" si="106"/>
        <v>3.461488071694685</v>
      </c>
      <c r="W87" t="str">
        <f t="shared" si="107"/>
        <v>24 Business, media and public service professionals</v>
      </c>
      <c r="X87" s="17">
        <f t="shared" si="108"/>
        <v>3.2980256613737602</v>
      </c>
      <c r="Y87" s="17">
        <f t="shared" si="108"/>
        <v>16.9649375522106</v>
      </c>
      <c r="Z87" s="17">
        <f t="shared" si="108"/>
        <v>1.8529063290127601</v>
      </c>
      <c r="AA87" s="17">
        <f t="shared" si="108"/>
        <v>1.7616978828686847</v>
      </c>
      <c r="AB87" s="17">
        <f t="shared" si="109"/>
        <v>1.7920916194786196</v>
      </c>
      <c r="AD87" s="17">
        <f t="shared" si="110"/>
        <v>1.7920916194786196</v>
      </c>
      <c r="AE87" s="17">
        <f t="shared" si="111"/>
        <v>3.3591256326844565</v>
      </c>
      <c r="AF87" s="17">
        <f t="shared" si="112"/>
        <v>4.5412341366949827</v>
      </c>
    </row>
    <row r="88" spans="1:32" x14ac:dyDescent="0.2">
      <c r="A88" t="str">
        <f t="shared" si="95"/>
        <v>31 Science, engineering and technology associate professionals</v>
      </c>
      <c r="B88" s="17">
        <f t="shared" si="96"/>
        <v>1.7769210040031291</v>
      </c>
      <c r="C88" s="17">
        <f t="shared" si="96"/>
        <v>7.9116855488854387</v>
      </c>
      <c r="D88" s="17">
        <f t="shared" si="96"/>
        <v>-2.9047193619990974</v>
      </c>
      <c r="E88" s="17">
        <f t="shared" si="96"/>
        <v>0.44546678153445374</v>
      </c>
      <c r="F88" s="17">
        <f t="shared" si="97"/>
        <v>-0.6839127547068613</v>
      </c>
      <c r="H88" s="17">
        <f t="shared" si="98"/>
        <v>-0.6839127547068613</v>
      </c>
      <c r="I88" s="17">
        <f t="shared" si="99"/>
        <v>2.0366234355206014</v>
      </c>
      <c r="J88" s="17">
        <f t="shared" si="100"/>
        <v>1.5274685563030355</v>
      </c>
      <c r="K88" s="39"/>
      <c r="L88" t="str">
        <f t="shared" si="101"/>
        <v>31 Science, engineering and technology associate professionals</v>
      </c>
      <c r="M88" s="17">
        <f t="shared" si="102"/>
        <v>2.3692286289799913</v>
      </c>
      <c r="N88" s="17">
        <f t="shared" si="102"/>
        <v>4.580119263595317</v>
      </c>
      <c r="O88" s="17">
        <f t="shared" si="102"/>
        <v>-3.9610453888231589</v>
      </c>
      <c r="P88" s="17">
        <f t="shared" si="102"/>
        <v>-3.5585096785240022E-2</v>
      </c>
      <c r="Q88" s="17">
        <f t="shared" si="103"/>
        <v>-1.3615830549178254</v>
      </c>
      <c r="S88" s="17">
        <f t="shared" si="104"/>
        <v>-1.3615830549178254</v>
      </c>
      <c r="T88" s="17">
        <f t="shared" si="105"/>
        <v>1.759755166937027</v>
      </c>
      <c r="U88" s="17">
        <f t="shared" si="106"/>
        <v>0.71760887809397822</v>
      </c>
      <c r="W88" t="str">
        <f t="shared" si="107"/>
        <v>31 Science, engineering and technology associate professionals</v>
      </c>
      <c r="X88" s="17">
        <f t="shared" si="108"/>
        <v>-0.73780633122824124</v>
      </c>
      <c r="Y88" s="17">
        <f t="shared" si="108"/>
        <v>23.194969662421517</v>
      </c>
      <c r="Z88" s="17">
        <f t="shared" si="108"/>
        <v>0.82292451289776025</v>
      </c>
      <c r="AA88" s="17">
        <f t="shared" si="108"/>
        <v>1.7983160435070866</v>
      </c>
      <c r="AB88" s="17">
        <f t="shared" si="109"/>
        <v>1.4721415457570108</v>
      </c>
      <c r="AD88" s="17">
        <f t="shared" si="110"/>
        <v>1.4721415457570108</v>
      </c>
      <c r="AE88" s="17">
        <f t="shared" si="111"/>
        <v>3.0247071976752471</v>
      </c>
      <c r="AF88" s="17">
        <f t="shared" si="112"/>
        <v>4.0297144741314517</v>
      </c>
    </row>
    <row r="89" spans="1:32" x14ac:dyDescent="0.2">
      <c r="A89" t="str">
        <f t="shared" si="95"/>
        <v>32 Health and social care associate professionals</v>
      </c>
      <c r="B89" s="17">
        <f t="shared" si="96"/>
        <v>0.26153337090675244</v>
      </c>
      <c r="C89" s="17">
        <f t="shared" si="96"/>
        <v>9.3856114651134313</v>
      </c>
      <c r="D89" s="17">
        <f t="shared" si="96"/>
        <v>0.32797868034448729</v>
      </c>
      <c r="E89" s="17">
        <f t="shared" si="96"/>
        <v>0.89326093728698819</v>
      </c>
      <c r="F89" s="17">
        <f t="shared" si="97"/>
        <v>0.70448051335030293</v>
      </c>
      <c r="H89" s="17">
        <f t="shared" si="98"/>
        <v>0.70448051335030293</v>
      </c>
      <c r="I89" s="17">
        <f t="shared" si="99"/>
        <v>3.2388557836439791</v>
      </c>
      <c r="J89" s="17">
        <f t="shared" si="100"/>
        <v>3.6980885811555675</v>
      </c>
      <c r="K89" s="39"/>
      <c r="L89" t="str">
        <f t="shared" si="101"/>
        <v>32 Health and social care associate professionals</v>
      </c>
      <c r="M89" s="17">
        <f t="shared" si="102"/>
        <v>-1.0364750881590612</v>
      </c>
      <c r="N89" s="17">
        <f t="shared" si="102"/>
        <v>14.044394243861014</v>
      </c>
      <c r="O89" s="17">
        <f t="shared" si="102"/>
        <v>-1.7558559504412652</v>
      </c>
      <c r="P89" s="17">
        <f t="shared" si="102"/>
        <v>0.71542240519057998</v>
      </c>
      <c r="Q89" s="17">
        <f t="shared" si="103"/>
        <v>-0.11516801628942419</v>
      </c>
      <c r="S89" s="17">
        <f t="shared" si="104"/>
        <v>-0.11516801628942419</v>
      </c>
      <c r="T89" s="17">
        <f t="shared" si="105"/>
        <v>2.5446034049535493</v>
      </c>
      <c r="U89" s="17">
        <f t="shared" si="106"/>
        <v>2.4637964421877268</v>
      </c>
      <c r="W89" t="str">
        <f t="shared" si="107"/>
        <v>32 Health and social care associate professionals</v>
      </c>
      <c r="X89" s="17">
        <f t="shared" si="108"/>
        <v>0.64191938320832254</v>
      </c>
      <c r="Y89" s="17">
        <f t="shared" si="108"/>
        <v>8.0766770299206101</v>
      </c>
      <c r="Z89" s="17">
        <f t="shared" si="108"/>
        <v>0.91376570624768227</v>
      </c>
      <c r="AA89" s="17">
        <f t="shared" si="108"/>
        <v>0.93891378263588621</v>
      </c>
      <c r="AB89" s="17">
        <f t="shared" si="109"/>
        <v>0.93053039425117223</v>
      </c>
      <c r="AD89" s="17">
        <f t="shared" si="110"/>
        <v>0.93053039425117223</v>
      </c>
      <c r="AE89" s="17">
        <f t="shared" si="111"/>
        <v>3.432703004973825</v>
      </c>
      <c r="AF89" s="17">
        <f t="shared" si="112"/>
        <v>4.0276208983843542</v>
      </c>
    </row>
    <row r="90" spans="1:32" x14ac:dyDescent="0.2">
      <c r="A90" t="str">
        <f t="shared" si="95"/>
        <v>33 Protective service occupations</v>
      </c>
      <c r="B90" s="17">
        <f t="shared" si="96"/>
        <v>1.5792714270628894</v>
      </c>
      <c r="C90" s="17">
        <f t="shared" si="96"/>
        <v>5.4576870335021788</v>
      </c>
      <c r="D90" s="17">
        <f t="shared" si="96"/>
        <v>2.792174129163616</v>
      </c>
      <c r="E90" s="17">
        <f t="shared" si="96"/>
        <v>1.3129683182343976</v>
      </c>
      <c r="F90" s="17">
        <f t="shared" si="97"/>
        <v>1.803656539104348</v>
      </c>
      <c r="H90" s="17">
        <f t="shared" si="98"/>
        <v>1.803656539104348</v>
      </c>
      <c r="I90" s="17">
        <f t="shared" si="99"/>
        <v>2.3712933991455909</v>
      </c>
      <c r="J90" s="17">
        <f t="shared" si="100"/>
        <v>3.7168683018530269</v>
      </c>
      <c r="K90" s="39"/>
      <c r="L90" t="str">
        <f t="shared" si="101"/>
        <v>33 Protective service occupations</v>
      </c>
      <c r="M90" s="17">
        <f t="shared" si="102"/>
        <v>1.0639566845392689</v>
      </c>
      <c r="N90" s="17">
        <f t="shared" si="102"/>
        <v>3.4234852917572889</v>
      </c>
      <c r="O90" s="17">
        <f t="shared" si="102"/>
        <v>1.8320757230632534</v>
      </c>
      <c r="P90" s="17">
        <f t="shared" si="102"/>
        <v>0.61748926009597138</v>
      </c>
      <c r="Q90" s="17">
        <f t="shared" si="103"/>
        <v>1.0207331780360152</v>
      </c>
      <c r="S90" s="17">
        <f t="shared" si="104"/>
        <v>1.0207331780360152</v>
      </c>
      <c r="T90" s="17">
        <f t="shared" si="105"/>
        <v>1.8067050757921477</v>
      </c>
      <c r="U90" s="17">
        <f t="shared" si="106"/>
        <v>2.6140664538488956</v>
      </c>
      <c r="W90" t="str">
        <f t="shared" si="107"/>
        <v>33 Protective service occupations</v>
      </c>
      <c r="X90" s="17">
        <f t="shared" si="108"/>
        <v>3.1323493551346449</v>
      </c>
      <c r="Y90" s="17">
        <f t="shared" si="108"/>
        <v>11.286413009359997</v>
      </c>
      <c r="Z90" s="17">
        <f t="shared" si="108"/>
        <v>5.1872709525277116</v>
      </c>
      <c r="AA90" s="17">
        <f t="shared" si="108"/>
        <v>2.7454175499384448</v>
      </c>
      <c r="AB90" s="17">
        <f t="shared" si="109"/>
        <v>3.5530043591721405</v>
      </c>
      <c r="AD90" s="17">
        <f t="shared" si="110"/>
        <v>3.5530043591721405</v>
      </c>
      <c r="AE90" s="17">
        <f t="shared" si="111"/>
        <v>3.6918836934932031</v>
      </c>
      <c r="AF90" s="17">
        <f t="shared" si="112"/>
        <v>6.0419172925727738</v>
      </c>
    </row>
    <row r="91" spans="1:32" x14ac:dyDescent="0.2">
      <c r="A91" t="str">
        <f t="shared" si="95"/>
        <v>34 Culture, media and sports occupations</v>
      </c>
      <c r="B91" s="17">
        <f t="shared" si="96"/>
        <v>0.30237988454884235</v>
      </c>
      <c r="C91" s="17">
        <f t="shared" si="96"/>
        <v>-5.7186978798228765</v>
      </c>
      <c r="D91" s="17">
        <f t="shared" si="96"/>
        <v>-1.1907900031823293</v>
      </c>
      <c r="E91" s="17">
        <f t="shared" si="96"/>
        <v>1.1760100153130892</v>
      </c>
      <c r="F91" s="17">
        <f t="shared" si="97"/>
        <v>0.38084364570027951</v>
      </c>
      <c r="H91" s="17">
        <f t="shared" si="98"/>
        <v>0.38084364570027951</v>
      </c>
      <c r="I91" s="17">
        <f t="shared" si="99"/>
        <v>2.6784509276264856</v>
      </c>
      <c r="J91" s="17">
        <f t="shared" si="100"/>
        <v>2.9437760406131996</v>
      </c>
      <c r="K91" s="39"/>
      <c r="L91" t="str">
        <f t="shared" si="101"/>
        <v>34 Culture, media and sports occupations</v>
      </c>
      <c r="M91" s="17">
        <f t="shared" si="102"/>
        <v>2.9192482317934143</v>
      </c>
      <c r="N91" s="17">
        <f t="shared" si="102"/>
        <v>-16.750432722099706</v>
      </c>
      <c r="O91" s="17">
        <f t="shared" si="102"/>
        <v>-1.1460672191030419</v>
      </c>
      <c r="P91" s="17">
        <f t="shared" si="102"/>
        <v>0.86974256787617499</v>
      </c>
      <c r="Q91" s="17">
        <f t="shared" si="103"/>
        <v>0.1932795476770055</v>
      </c>
      <c r="S91" s="17">
        <f t="shared" si="104"/>
        <v>0.1932795476770055</v>
      </c>
      <c r="T91" s="17">
        <f t="shared" si="105"/>
        <v>2.2406054773560946</v>
      </c>
      <c r="U91" s="17">
        <f t="shared" si="106"/>
        <v>2.3828738038003561</v>
      </c>
      <c r="W91" t="str">
        <f t="shared" si="107"/>
        <v>34 Culture, media and sports occupations</v>
      </c>
      <c r="X91" s="17">
        <f t="shared" si="108"/>
        <v>-1.8403831516260905</v>
      </c>
      <c r="Y91" s="17">
        <f t="shared" si="108"/>
        <v>4.4482827623527177</v>
      </c>
      <c r="Z91" s="17">
        <f t="shared" si="108"/>
        <v>-1.2236933497396962</v>
      </c>
      <c r="AA91" s="17">
        <f t="shared" si="108"/>
        <v>1.396638512084758</v>
      </c>
      <c r="AB91" s="17">
        <f t="shared" si="109"/>
        <v>0.51556067962719165</v>
      </c>
      <c r="AD91" s="17">
        <f t="shared" si="110"/>
        <v>0.51556067962719165</v>
      </c>
      <c r="AE91" s="17">
        <f t="shared" si="111"/>
        <v>2.9841947819035486</v>
      </c>
      <c r="AF91" s="17">
        <f t="shared" si="112"/>
        <v>3.3301275347408232</v>
      </c>
    </row>
    <row r="92" spans="1:32" x14ac:dyDescent="0.2">
      <c r="A92" t="str">
        <f t="shared" si="95"/>
        <v>35 Business and public service associate professionals</v>
      </c>
      <c r="B92" s="17">
        <f t="shared" si="96"/>
        <v>0.62122019927410843</v>
      </c>
      <c r="C92" s="17">
        <f t="shared" si="96"/>
        <v>5.021649883201329</v>
      </c>
      <c r="D92" s="17">
        <f t="shared" si="96"/>
        <v>-1.0626028243102548</v>
      </c>
      <c r="E92" s="17">
        <f t="shared" si="96"/>
        <v>0.52946524163814956</v>
      </c>
      <c r="F92" s="17">
        <f t="shared" si="97"/>
        <v>-4.0505041124405672E-3</v>
      </c>
      <c r="H92" s="17">
        <f t="shared" si="98"/>
        <v>-4.0505041124405672E-3</v>
      </c>
      <c r="I92" s="17">
        <f t="shared" si="99"/>
        <v>2.5285085435941657</v>
      </c>
      <c r="J92" s="17">
        <f t="shared" si="100"/>
        <v>2.5256532837012458</v>
      </c>
      <c r="K92" s="39"/>
      <c r="L92" t="str">
        <f t="shared" si="101"/>
        <v>35 Business and public service associate professionals</v>
      </c>
      <c r="M92" s="17">
        <f t="shared" si="102"/>
        <v>0.35371177831324818</v>
      </c>
      <c r="N92" s="17">
        <f t="shared" si="102"/>
        <v>4.4246342530323224</v>
      </c>
      <c r="O92" s="17">
        <f t="shared" si="102"/>
        <v>-1.876631120386929</v>
      </c>
      <c r="P92" s="17">
        <f t="shared" si="102"/>
        <v>-1.1596995521800935E-2</v>
      </c>
      <c r="Q92" s="17">
        <f t="shared" si="103"/>
        <v>-0.63718088027593378</v>
      </c>
      <c r="S92" s="17">
        <f t="shared" si="104"/>
        <v>-0.63718088027593378</v>
      </c>
      <c r="T92" s="17">
        <f t="shared" si="105"/>
        <v>2.0091325888013323</v>
      </c>
      <c r="U92" s="17">
        <f t="shared" si="106"/>
        <v>1.5324840056158751</v>
      </c>
      <c r="W92" t="str">
        <f t="shared" si="107"/>
        <v>35 Business and public service associate professionals</v>
      </c>
      <c r="X92" s="17">
        <f t="shared" si="108"/>
        <v>0.88148770237963525</v>
      </c>
      <c r="Y92" s="17">
        <f t="shared" si="108"/>
        <v>5.59493805625908</v>
      </c>
      <c r="Z92" s="17">
        <f t="shared" si="108"/>
        <v>-0.31363192836423304</v>
      </c>
      <c r="AA92" s="17">
        <f t="shared" si="108"/>
        <v>0.98355215938799034</v>
      </c>
      <c r="AB92" s="17">
        <f t="shared" si="109"/>
        <v>0.54929269480357146</v>
      </c>
      <c r="AD92" s="17">
        <f t="shared" si="110"/>
        <v>0.54929269480357146</v>
      </c>
      <c r="AE92" s="17">
        <f t="shared" si="111"/>
        <v>2.9897900251498966</v>
      </c>
      <c r="AF92" s="17">
        <f t="shared" si="112"/>
        <v>3.3583835369424664</v>
      </c>
    </row>
    <row r="93" spans="1:32" x14ac:dyDescent="0.2">
      <c r="A93" t="str">
        <f t="shared" si="95"/>
        <v>41 Administrative occupations</v>
      </c>
      <c r="B93" s="17">
        <f t="shared" si="96"/>
        <v>-2.0316117952810964</v>
      </c>
      <c r="C93" s="17">
        <f t="shared" si="96"/>
        <v>5.0965065377663876</v>
      </c>
      <c r="D93" s="17">
        <f t="shared" si="96"/>
        <v>-1.7185078423488709</v>
      </c>
      <c r="E93" s="17">
        <f t="shared" si="96"/>
        <v>-0.46733808635540663</v>
      </c>
      <c r="F93" s="17">
        <f t="shared" si="97"/>
        <v>-0.88615450774064408</v>
      </c>
      <c r="H93" s="17">
        <f t="shared" si="98"/>
        <v>-0.88615450774064408</v>
      </c>
      <c r="I93" s="17">
        <f t="shared" si="99"/>
        <v>2.5508942212060903</v>
      </c>
      <c r="J93" s="17">
        <f t="shared" si="100"/>
        <v>1.9404816874856845</v>
      </c>
      <c r="K93" s="39"/>
      <c r="L93" t="str">
        <f t="shared" si="101"/>
        <v>41 Administrative occupations</v>
      </c>
      <c r="M93" s="17">
        <f t="shared" si="102"/>
        <v>-2.7736514564310588</v>
      </c>
      <c r="N93" s="17">
        <f t="shared" si="102"/>
        <v>19.850912773124474</v>
      </c>
      <c r="O93" s="17">
        <f t="shared" si="102"/>
        <v>-0.9849358991062207</v>
      </c>
      <c r="P93" s="17">
        <f t="shared" si="102"/>
        <v>0.95218803683161379</v>
      </c>
      <c r="Q93" s="17">
        <f t="shared" si="103"/>
        <v>0.3023053972685652</v>
      </c>
      <c r="S93" s="17">
        <f t="shared" si="104"/>
        <v>0.3023053972685652</v>
      </c>
      <c r="T93" s="17">
        <f t="shared" si="105"/>
        <v>2.1226168758182951</v>
      </c>
      <c r="U93" s="17">
        <f t="shared" si="106"/>
        <v>2.3491830767967459</v>
      </c>
      <c r="W93" t="str">
        <f t="shared" si="107"/>
        <v>41 Administrative occupations</v>
      </c>
      <c r="X93" s="17">
        <f t="shared" si="108"/>
        <v>-1.7135554783763163</v>
      </c>
      <c r="Y93" s="17">
        <f t="shared" si="108"/>
        <v>-1.0582613822513465</v>
      </c>
      <c r="Z93" s="17">
        <f t="shared" si="108"/>
        <v>-2.0976730764150298</v>
      </c>
      <c r="AA93" s="17">
        <f t="shared" si="108"/>
        <v>-1.3081959996935622</v>
      </c>
      <c r="AB93" s="17">
        <f t="shared" si="109"/>
        <v>-1.5720598668875985</v>
      </c>
      <c r="AD93" s="17">
        <f t="shared" si="110"/>
        <v>-1.5720598668875985</v>
      </c>
      <c r="AE93" s="17">
        <f t="shared" si="111"/>
        <v>2.758133193114265</v>
      </c>
      <c r="AF93" s="17">
        <f t="shared" si="112"/>
        <v>1.7249037845831872</v>
      </c>
    </row>
    <row r="94" spans="1:32" x14ac:dyDescent="0.2">
      <c r="A94" t="str">
        <f t="shared" si="95"/>
        <v>42 Secretarial and related occupations</v>
      </c>
      <c r="B94" s="17">
        <f t="shared" si="96"/>
        <v>-3.9021497120461768</v>
      </c>
      <c r="C94" s="17">
        <f t="shared" si="96"/>
        <v>1.3888466851661896</v>
      </c>
      <c r="D94" s="17">
        <f t="shared" si="96"/>
        <v>1.7051997186684487</v>
      </c>
      <c r="E94" s="17">
        <f t="shared" si="96"/>
        <v>-1.5980582531805787</v>
      </c>
      <c r="F94" s="17">
        <f t="shared" si="97"/>
        <v>-0.50906830229731082</v>
      </c>
      <c r="H94" s="17">
        <f t="shared" si="98"/>
        <v>-0.50906830229731082</v>
      </c>
      <c r="I94" s="17">
        <f t="shared" si="99"/>
        <v>2.9797786434668572</v>
      </c>
      <c r="J94" s="17">
        <f t="shared" si="100"/>
        <v>2.6466229661154195</v>
      </c>
      <c r="K94" s="39"/>
      <c r="L94" t="str">
        <f t="shared" si="101"/>
        <v>42 Secretarial and related occupations</v>
      </c>
      <c r="M94" s="17">
        <f t="shared" si="102"/>
        <v>-6.621306267577209</v>
      </c>
      <c r="N94" s="17">
        <f t="shared" si="102"/>
        <v>-8.6044114208318696</v>
      </c>
      <c r="O94" s="17">
        <f t="shared" si="102"/>
        <v>7.7489948638368222</v>
      </c>
      <c r="P94" s="17">
        <f t="shared" si="102"/>
        <v>1.8911514612746316</v>
      </c>
      <c r="Q94" s="17">
        <f t="shared" si="103"/>
        <v>3.8074977526187048</v>
      </c>
      <c r="S94" s="17">
        <f t="shared" si="104"/>
        <v>3.8074977526186826</v>
      </c>
      <c r="T94" s="17">
        <f t="shared" si="105"/>
        <v>2.7726257624049122</v>
      </c>
      <c r="U94" s="17">
        <f t="shared" si="106"/>
        <v>5.5823284552891206</v>
      </c>
      <c r="W94" t="str">
        <f t="shared" si="107"/>
        <v>42 Secretarial and related occupations</v>
      </c>
      <c r="X94" s="17">
        <f t="shared" si="108"/>
        <v>-3.7165231547193422</v>
      </c>
      <c r="Y94" s="17">
        <f t="shared" si="108"/>
        <v>2.0204297517255831</v>
      </c>
      <c r="Z94" s="17">
        <f t="shared" si="108"/>
        <v>1.3168940690702291</v>
      </c>
      <c r="AA94" s="17">
        <f t="shared" si="108"/>
        <v>-1.9186664448078483</v>
      </c>
      <c r="AB94" s="17">
        <f t="shared" si="109"/>
        <v>-0.85179319406040177</v>
      </c>
      <c r="AD94" s="17">
        <f t="shared" si="110"/>
        <v>-0.85179319406040177</v>
      </c>
      <c r="AE94" s="17">
        <f t="shared" si="111"/>
        <v>2.9913346076315905</v>
      </c>
      <c r="AF94" s="17">
        <f t="shared" si="112"/>
        <v>2.4397349610432828</v>
      </c>
    </row>
    <row r="95" spans="1:32" x14ac:dyDescent="0.2">
      <c r="A95" t="str">
        <f t="shared" si="95"/>
        <v>51 Skilled agricultural and related trades</v>
      </c>
      <c r="B95" s="17">
        <f t="shared" si="96"/>
        <v>-4.8880427680318412</v>
      </c>
      <c r="C95" s="17">
        <f t="shared" si="96"/>
        <v>0.35974900222017769</v>
      </c>
      <c r="D95" s="17">
        <f t="shared" si="96"/>
        <v>0.31478467296899293</v>
      </c>
      <c r="E95" s="17">
        <f t="shared" si="96"/>
        <v>1.02286328354384</v>
      </c>
      <c r="F95" s="17">
        <f t="shared" si="97"/>
        <v>0.78628347946878563</v>
      </c>
      <c r="H95" s="17">
        <f t="shared" si="98"/>
        <v>0.78628347946878563</v>
      </c>
      <c r="I95" s="17">
        <f t="shared" si="99"/>
        <v>3.1308577929336057</v>
      </c>
      <c r="J95" s="17">
        <f t="shared" si="100"/>
        <v>3.6517849275621739</v>
      </c>
      <c r="K95" s="39"/>
      <c r="L95" t="str">
        <f t="shared" si="101"/>
        <v>51 Skilled agricultural and related trades</v>
      </c>
      <c r="M95" s="17">
        <f t="shared" si="102"/>
        <v>-6.0225534973545098</v>
      </c>
      <c r="N95" s="17">
        <f t="shared" si="102"/>
        <v>-10.354133038364211</v>
      </c>
      <c r="O95" s="17">
        <f t="shared" si="102"/>
        <v>-0.15116284528461366</v>
      </c>
      <c r="P95" s="17">
        <f t="shared" si="102"/>
        <v>0.82877921656645537</v>
      </c>
      <c r="Q95" s="17">
        <f t="shared" si="103"/>
        <v>0.50106789695818499</v>
      </c>
      <c r="S95" s="17">
        <f t="shared" si="104"/>
        <v>0.50106789695818499</v>
      </c>
      <c r="T95" s="17">
        <f t="shared" si="105"/>
        <v>2.8771368364419736</v>
      </c>
      <c r="U95" s="17">
        <f t="shared" si="106"/>
        <v>3.2180368085179767</v>
      </c>
      <c r="W95" t="str">
        <f t="shared" si="107"/>
        <v>51 Skilled agricultural and related trades</v>
      </c>
      <c r="X95" s="17">
        <f t="shared" si="108"/>
        <v>6.9923279677303274</v>
      </c>
      <c r="Y95" s="17">
        <f t="shared" si="108"/>
        <v>82.179796219902684</v>
      </c>
      <c r="Z95" s="17">
        <f t="shared" si="108"/>
        <v>1.9925042973582663</v>
      </c>
      <c r="AA95" s="17">
        <f t="shared" si="108"/>
        <v>1.654976548058662</v>
      </c>
      <c r="AB95" s="17">
        <f t="shared" si="109"/>
        <v>1.7673615045206814</v>
      </c>
      <c r="AD95" s="17">
        <f t="shared" si="110"/>
        <v>1.7673615045206814</v>
      </c>
      <c r="AE95" s="17">
        <f t="shared" si="111"/>
        <v>4.0132106126306022</v>
      </c>
      <c r="AF95" s="17">
        <f t="shared" si="112"/>
        <v>5.0870444341619692</v>
      </c>
    </row>
    <row r="96" spans="1:32" x14ac:dyDescent="0.2">
      <c r="A96" t="str">
        <f t="shared" si="95"/>
        <v>52 Skilled metal, electrical and electronic trades</v>
      </c>
      <c r="B96" s="17">
        <f t="shared" si="96"/>
        <v>-0.78386007858950446</v>
      </c>
      <c r="C96" s="17">
        <f t="shared" si="96"/>
        <v>-15.028371874626556</v>
      </c>
      <c r="D96" s="17">
        <f t="shared" si="96"/>
        <v>-1.0594925677580469</v>
      </c>
      <c r="E96" s="17">
        <f t="shared" si="96"/>
        <v>-1.0168483373012682</v>
      </c>
      <c r="F96" s="17">
        <f t="shared" si="97"/>
        <v>-1.0310651226223211</v>
      </c>
      <c r="H96" s="17">
        <f t="shared" si="98"/>
        <v>-1.0310651226223211</v>
      </c>
      <c r="I96" s="17">
        <f t="shared" si="99"/>
        <v>1.9904908565520962</v>
      </c>
      <c r="J96" s="17">
        <f t="shared" si="100"/>
        <v>1.2229309858517778</v>
      </c>
      <c r="K96" s="39"/>
      <c r="L96" t="str">
        <f t="shared" si="101"/>
        <v>52 Skilled metal, electrical and electronic trades</v>
      </c>
      <c r="M96" s="17">
        <f t="shared" si="102"/>
        <v>-0.92331817090707258</v>
      </c>
      <c r="N96" s="17">
        <f t="shared" si="102"/>
        <v>-14.972224357224494</v>
      </c>
      <c r="O96" s="17">
        <f t="shared" si="102"/>
        <v>-1.4831814218094763</v>
      </c>
      <c r="P96" s="17">
        <f t="shared" si="102"/>
        <v>-1.1938145522950805</v>
      </c>
      <c r="Q96" s="17">
        <f t="shared" si="103"/>
        <v>-1.2903644899477373</v>
      </c>
      <c r="S96" s="17">
        <f t="shared" si="104"/>
        <v>-1.2903644899477373</v>
      </c>
      <c r="T96" s="17">
        <f t="shared" si="105"/>
        <v>1.9103936512322228</v>
      </c>
      <c r="U96" s="17">
        <f t="shared" si="106"/>
        <v>0.94329066868414913</v>
      </c>
      <c r="W96" t="str">
        <f t="shared" si="107"/>
        <v>52 Skilled metal, electrical and electronic trades</v>
      </c>
      <c r="X96" s="17">
        <f t="shared" si="108"/>
        <v>11.677123496457176</v>
      </c>
      <c r="Y96" s="17">
        <f t="shared" si="108"/>
        <v>-18.780249031553197</v>
      </c>
      <c r="Z96" s="17">
        <f t="shared" si="108"/>
        <v>18.697372251366229</v>
      </c>
      <c r="AA96" s="17">
        <f t="shared" si="108"/>
        <v>3.0008119043559045</v>
      </c>
      <c r="AB96" s="17">
        <f t="shared" si="109"/>
        <v>7.9876607616557349</v>
      </c>
      <c r="AD96" s="17">
        <f t="shared" si="110"/>
        <v>7.9876607616557349</v>
      </c>
      <c r="AE96" s="17">
        <f t="shared" si="111"/>
        <v>6.142853431863271</v>
      </c>
      <c r="AF96" s="17">
        <f t="shared" si="112"/>
        <v>10.728789551079343</v>
      </c>
    </row>
    <row r="97" spans="1:32" x14ac:dyDescent="0.2">
      <c r="A97" t="str">
        <f t="shared" si="95"/>
        <v>53 Skilled construction and building trades</v>
      </c>
      <c r="B97" s="17">
        <f t="shared" si="96"/>
        <v>1.9064635776963712</v>
      </c>
      <c r="C97" s="17">
        <f t="shared" si="96"/>
        <v>-19.320005162156129</v>
      </c>
      <c r="D97" s="17">
        <f t="shared" si="96"/>
        <v>-0.30736325494622463</v>
      </c>
      <c r="E97" s="17">
        <f t="shared" si="96"/>
        <v>-1.0415766332980581</v>
      </c>
      <c r="F97" s="17">
        <f t="shared" si="97"/>
        <v>-0.79744162815216235</v>
      </c>
      <c r="H97" s="17">
        <f t="shared" si="98"/>
        <v>-0.79744162815216235</v>
      </c>
      <c r="I97" s="17">
        <f t="shared" si="99"/>
        <v>2.2543025243805692</v>
      </c>
      <c r="J97" s="17">
        <f t="shared" si="100"/>
        <v>1.6800968417722384</v>
      </c>
      <c r="K97" s="39"/>
      <c r="L97" t="str">
        <f t="shared" si="101"/>
        <v>53 Skilled construction and building trades</v>
      </c>
      <c r="M97" s="17">
        <f t="shared" si="102"/>
        <v>2.3773569705612063</v>
      </c>
      <c r="N97" s="17">
        <f t="shared" si="102"/>
        <v>-20.11583617917827</v>
      </c>
      <c r="O97" s="17">
        <f t="shared" si="102"/>
        <v>-0.3564541686285061</v>
      </c>
      <c r="P97" s="17">
        <f t="shared" si="102"/>
        <v>-1.1231740798374523</v>
      </c>
      <c r="Q97" s="17">
        <f t="shared" si="103"/>
        <v>-0.86825854170540229</v>
      </c>
      <c r="S97" s="17">
        <f t="shared" si="104"/>
        <v>-0.86825854170540229</v>
      </c>
      <c r="T97" s="17">
        <f t="shared" si="105"/>
        <v>2.2237905247853185</v>
      </c>
      <c r="U97" s="17">
        <f t="shared" si="106"/>
        <v>1.5967880086276587</v>
      </c>
      <c r="W97" t="str">
        <f t="shared" si="107"/>
        <v>53 Skilled construction and building trades</v>
      </c>
      <c r="X97" s="17">
        <f t="shared" si="108"/>
        <v>-13.764006441929267</v>
      </c>
      <c r="Y97" s="17">
        <f t="shared" si="108"/>
        <v>22.060929567019439</v>
      </c>
      <c r="Z97" s="17">
        <f t="shared" si="108"/>
        <v>1.3083356050021866</v>
      </c>
      <c r="AA97" s="17">
        <f t="shared" si="108"/>
        <v>1.250649029126949</v>
      </c>
      <c r="AB97" s="17">
        <f t="shared" si="109"/>
        <v>1.2698742370888638</v>
      </c>
      <c r="AD97" s="17">
        <f t="shared" si="110"/>
        <v>1.2698742370888638</v>
      </c>
      <c r="AE97" s="17">
        <f t="shared" si="111"/>
        <v>3.2234484513976147</v>
      </c>
      <c r="AF97" s="17">
        <f t="shared" si="112"/>
        <v>4.0647043237175939</v>
      </c>
    </row>
    <row r="98" spans="1:32" x14ac:dyDescent="0.2">
      <c r="A98" t="str">
        <f t="shared" si="95"/>
        <v>54 Textiles, printing and other skilled trades</v>
      </c>
      <c r="B98" s="17">
        <f t="shared" si="96"/>
        <v>-3.1335897335555307</v>
      </c>
      <c r="C98" s="17">
        <f t="shared" si="96"/>
        <v>-5.6259275667955411</v>
      </c>
      <c r="D98" s="17">
        <f t="shared" si="96"/>
        <v>-0.42493082932631987</v>
      </c>
      <c r="E98" s="17">
        <f t="shared" si="96"/>
        <v>-0.31523257767650525</v>
      </c>
      <c r="F98" s="17">
        <f t="shared" si="97"/>
        <v>-0.35181208283330268</v>
      </c>
      <c r="H98" s="17">
        <f t="shared" si="98"/>
        <v>-0.35181208283330268</v>
      </c>
      <c r="I98" s="17">
        <f t="shared" si="99"/>
        <v>2.4529691428941902</v>
      </c>
      <c r="J98" s="17">
        <f t="shared" si="100"/>
        <v>2.2042737413120905</v>
      </c>
      <c r="K98" s="39"/>
      <c r="L98" t="str">
        <f t="shared" si="101"/>
        <v>54 Textiles, printing and other skilled trades</v>
      </c>
      <c r="M98" s="17">
        <f t="shared" si="102"/>
        <v>-2.684530787050643</v>
      </c>
      <c r="N98" s="17">
        <f t="shared" si="102"/>
        <v>-16.557794970025274</v>
      </c>
      <c r="O98" s="17">
        <f t="shared" si="102"/>
        <v>-0.61639022807578048</v>
      </c>
      <c r="P98" s="17">
        <f t="shared" si="102"/>
        <v>-0.3375594646234048</v>
      </c>
      <c r="Q98" s="17">
        <f t="shared" si="103"/>
        <v>-0.43058986511029795</v>
      </c>
      <c r="S98" s="17">
        <f t="shared" si="104"/>
        <v>-0.43058986511029795</v>
      </c>
      <c r="T98" s="17">
        <f t="shared" si="105"/>
        <v>1.7615949492079341</v>
      </c>
      <c r="U98" s="17">
        <f t="shared" si="106"/>
        <v>1.4267672559671984</v>
      </c>
      <c r="W98" t="str">
        <f t="shared" si="107"/>
        <v>54 Textiles, printing and other skilled trades</v>
      </c>
      <c r="X98" s="17">
        <f t="shared" si="108"/>
        <v>-3.754423487586378</v>
      </c>
      <c r="Y98" s="17">
        <f t="shared" si="108"/>
        <v>9.9113346428846949</v>
      </c>
      <c r="Z98" s="17">
        <f t="shared" si="108"/>
        <v>-0.21998348989474836</v>
      </c>
      <c r="AA98" s="17">
        <f t="shared" si="108"/>
        <v>-0.29166538672157349</v>
      </c>
      <c r="AB98" s="17">
        <f t="shared" si="109"/>
        <v>-0.26777714474325309</v>
      </c>
      <c r="AD98" s="17">
        <f t="shared" si="110"/>
        <v>-0.26777714474325309</v>
      </c>
      <c r="AE98" s="17">
        <f t="shared" si="111"/>
        <v>3.1322827706981027</v>
      </c>
      <c r="AF98" s="17">
        <f t="shared" si="112"/>
        <v>2.9596159279558387</v>
      </c>
    </row>
    <row r="99" spans="1:32" x14ac:dyDescent="0.2">
      <c r="A99" t="str">
        <f t="shared" si="95"/>
        <v>61 Caring personal service occupations</v>
      </c>
      <c r="B99" s="17">
        <f t="shared" si="96"/>
        <v>-1.660011999847999</v>
      </c>
      <c r="C99" s="17">
        <f t="shared" si="96"/>
        <v>2.8070886392997929</v>
      </c>
      <c r="D99" s="17">
        <f t="shared" si="96"/>
        <v>1.4339881364871854</v>
      </c>
      <c r="E99" s="17">
        <f t="shared" si="96"/>
        <v>0.48192541946088241</v>
      </c>
      <c r="F99" s="17">
        <f t="shared" si="97"/>
        <v>0.79828259462559892</v>
      </c>
      <c r="H99" s="17">
        <f t="shared" si="98"/>
        <v>0.79828259462559892</v>
      </c>
      <c r="I99" s="17">
        <f t="shared" si="99"/>
        <v>3.244343069587563</v>
      </c>
      <c r="J99" s="17">
        <f t="shared" si="100"/>
        <v>3.7655913185356438</v>
      </c>
      <c r="K99" s="39"/>
      <c r="L99" t="str">
        <f t="shared" si="101"/>
        <v>61 Caring personal service occupations</v>
      </c>
      <c r="M99" s="17">
        <f t="shared" si="102"/>
        <v>0.128937387673278</v>
      </c>
      <c r="N99" s="17">
        <f t="shared" si="102"/>
        <v>-2.0559571107820362</v>
      </c>
      <c r="O99" s="17">
        <f t="shared" si="102"/>
        <v>4.027591084343185</v>
      </c>
      <c r="P99" s="17">
        <f t="shared" si="102"/>
        <v>1.3073869022731666</v>
      </c>
      <c r="Q99" s="17">
        <f t="shared" si="103"/>
        <v>2.2061249895104273</v>
      </c>
      <c r="S99" s="17">
        <f t="shared" si="104"/>
        <v>2.2061249895104273</v>
      </c>
      <c r="T99" s="17">
        <f t="shared" si="105"/>
        <v>2.9616301656180788</v>
      </c>
      <c r="U99" s="17">
        <f t="shared" si="106"/>
        <v>4.5044952620514556</v>
      </c>
      <c r="W99" t="str">
        <f t="shared" si="107"/>
        <v>61 Caring personal service occupations</v>
      </c>
      <c r="X99" s="17">
        <f t="shared" si="108"/>
        <v>-1.9245339556731578</v>
      </c>
      <c r="Y99" s="17">
        <f t="shared" si="108"/>
        <v>3.5642419896749988</v>
      </c>
      <c r="Z99" s="17">
        <f t="shared" si="108"/>
        <v>1.028831032968669</v>
      </c>
      <c r="AA99" s="17">
        <f t="shared" si="108"/>
        <v>0.33495753898258318</v>
      </c>
      <c r="AB99" s="17">
        <f t="shared" si="109"/>
        <v>0.56571757254424426</v>
      </c>
      <c r="AD99" s="17">
        <f t="shared" si="110"/>
        <v>0.56571757254424426</v>
      </c>
      <c r="AE99" s="17">
        <f t="shared" si="111"/>
        <v>3.2850702357459571</v>
      </c>
      <c r="AF99" s="17">
        <f t="shared" si="112"/>
        <v>3.6503040179887591</v>
      </c>
    </row>
    <row r="100" spans="1:32" x14ac:dyDescent="0.2">
      <c r="A100" t="str">
        <f t="shared" si="95"/>
        <v>62 Leisure, travel and related personal service occupations</v>
      </c>
      <c r="B100" s="17">
        <f t="shared" si="96"/>
        <v>1.0435658548189952</v>
      </c>
      <c r="C100" s="17">
        <f t="shared" si="96"/>
        <v>-6.8537934716517928</v>
      </c>
      <c r="D100" s="17">
        <f t="shared" si="96"/>
        <v>-8.6866593129852898E-2</v>
      </c>
      <c r="E100" s="17">
        <f t="shared" si="96"/>
        <v>0.31698492935694489</v>
      </c>
      <c r="F100" s="17">
        <f t="shared" si="97"/>
        <v>0.1821867048710013</v>
      </c>
      <c r="H100" s="17">
        <f t="shared" si="98"/>
        <v>0.1821867048710013</v>
      </c>
      <c r="I100" s="17">
        <f t="shared" si="99"/>
        <v>2.8034462488599088</v>
      </c>
      <c r="J100" s="17">
        <f t="shared" si="100"/>
        <v>2.9276911043732756</v>
      </c>
      <c r="K100" s="39"/>
      <c r="L100" t="str">
        <f t="shared" si="101"/>
        <v>62 Leisure, travel and related personal service occupations</v>
      </c>
      <c r="M100" s="17">
        <f t="shared" si="102"/>
        <v>1.4677708613966001</v>
      </c>
      <c r="N100" s="17">
        <f t="shared" si="102"/>
        <v>-0.67565346953764038</v>
      </c>
      <c r="O100" s="17">
        <f t="shared" si="102"/>
        <v>-0.29336182519157372</v>
      </c>
      <c r="P100" s="17">
        <f t="shared" si="102"/>
        <v>0.71429565356706526</v>
      </c>
      <c r="Q100" s="17">
        <f t="shared" si="103"/>
        <v>0.37728336760696202</v>
      </c>
      <c r="S100" s="17">
        <f t="shared" si="104"/>
        <v>0.37728336760696202</v>
      </c>
      <c r="T100" s="17">
        <f t="shared" si="105"/>
        <v>2.36296064380348</v>
      </c>
      <c r="U100" s="17">
        <f t="shared" si="106"/>
        <v>2.6371262348838576</v>
      </c>
      <c r="W100" t="str">
        <f t="shared" si="107"/>
        <v>62 Leisure, travel and related personal service occupations</v>
      </c>
      <c r="X100" s="17">
        <f t="shared" si="108"/>
        <v>0.86737379142018955</v>
      </c>
      <c r="Y100" s="17">
        <f t="shared" si="108"/>
        <v>-9.4581946000948278</v>
      </c>
      <c r="Z100" s="17">
        <f t="shared" si="108"/>
        <v>8.0509331623845881E-3</v>
      </c>
      <c r="AA100" s="17">
        <f t="shared" si="108"/>
        <v>0.13120365345491436</v>
      </c>
      <c r="AB100" s="17">
        <f t="shared" si="109"/>
        <v>9.0135905493538004E-2</v>
      </c>
      <c r="AD100" s="17">
        <f t="shared" si="110"/>
        <v>9.0135905493538004E-2</v>
      </c>
      <c r="AE100" s="17">
        <f t="shared" si="111"/>
        <v>2.998534507274675</v>
      </c>
      <c r="AF100" s="17">
        <f t="shared" si="112"/>
        <v>3.0582712332702933</v>
      </c>
    </row>
    <row r="101" spans="1:32" x14ac:dyDescent="0.2">
      <c r="A101" t="str">
        <f t="shared" si="95"/>
        <v>63 Community and civil enforcement occupations</v>
      </c>
      <c r="B101" s="17">
        <f t="shared" si="96"/>
        <v>-2.3423788706092075</v>
      </c>
      <c r="C101" s="17">
        <f t="shared" si="96"/>
        <v>24.007960415848405</v>
      </c>
      <c r="D101" s="17">
        <f t="shared" si="96"/>
        <v>-3.8814313138276879</v>
      </c>
      <c r="E101" s="17">
        <f t="shared" si="96"/>
        <v>0.63182564774550976</v>
      </c>
      <c r="F101" s="17">
        <f t="shared" si="97"/>
        <v>-0.89566171107728909</v>
      </c>
      <c r="H101" s="17">
        <f t="shared" si="98"/>
        <v>-0.89566171107728909</v>
      </c>
      <c r="I101" s="17">
        <f t="shared" si="99"/>
        <v>2.3452205636043111</v>
      </c>
      <c r="J101" s="17">
        <f t="shared" si="100"/>
        <v>1.7099686319394847</v>
      </c>
      <c r="K101" s="39"/>
      <c r="L101" t="str">
        <f t="shared" si="101"/>
        <v>63 Community and civil enforcement occupations</v>
      </c>
      <c r="M101" s="17">
        <f t="shared" si="102"/>
        <v>-5.4173747455885657</v>
      </c>
      <c r="N101" s="17">
        <f t="shared" si="102"/>
        <v>45.537061685889753</v>
      </c>
      <c r="O101" s="17">
        <f t="shared" si="102"/>
        <v>-7.998481365249277</v>
      </c>
      <c r="P101" s="17">
        <f t="shared" si="102"/>
        <v>1.1688988160755587</v>
      </c>
      <c r="Q101" s="17">
        <f t="shared" si="103"/>
        <v>-1.9841416919287314</v>
      </c>
      <c r="S101" s="17">
        <f t="shared" si="104"/>
        <v>-1.9841416919287314</v>
      </c>
      <c r="T101" s="17">
        <f t="shared" si="105"/>
        <v>1.677075026946806</v>
      </c>
      <c r="U101" s="17">
        <f t="shared" si="106"/>
        <v>0.1563797193835148</v>
      </c>
      <c r="W101" t="str">
        <f t="shared" si="107"/>
        <v>63 Community and civil enforcement occupations</v>
      </c>
      <c r="X101" s="17">
        <f t="shared" si="108"/>
        <v>5.0913692488699036</v>
      </c>
      <c r="Y101" s="17">
        <f t="shared" si="108"/>
        <v>-16.095509007423082</v>
      </c>
      <c r="Z101" s="17">
        <f t="shared" si="108"/>
        <v>6.0524503413460051</v>
      </c>
      <c r="AA101" s="17">
        <f t="shared" si="108"/>
        <v>-0.27766463443994471</v>
      </c>
      <c r="AB101" s="17">
        <f t="shared" si="109"/>
        <v>1.7892379045540308</v>
      </c>
      <c r="AD101" s="17">
        <f t="shared" si="110"/>
        <v>1.7892379045540308</v>
      </c>
      <c r="AE101" s="17">
        <f t="shared" si="111"/>
        <v>4.1635921184888236</v>
      </c>
      <c r="AF101" s="17">
        <f t="shared" si="112"/>
        <v>5.2311970467747937</v>
      </c>
    </row>
    <row r="102" spans="1:32" x14ac:dyDescent="0.2">
      <c r="A102" t="str">
        <f t="shared" si="95"/>
        <v>71 Sales occupations</v>
      </c>
      <c r="B102" s="17">
        <f t="shared" si="96"/>
        <v>-2.6578142331990628</v>
      </c>
      <c r="C102" s="17">
        <f t="shared" si="96"/>
        <v>0.25938994781333768</v>
      </c>
      <c r="D102" s="17">
        <f t="shared" si="96"/>
        <v>-1.1416049932796879</v>
      </c>
      <c r="E102" s="17">
        <f t="shared" si="96"/>
        <v>-0.27666968708969231</v>
      </c>
      <c r="F102" s="17">
        <f t="shared" si="97"/>
        <v>-0.56581903856246507</v>
      </c>
      <c r="H102" s="17">
        <f t="shared" si="98"/>
        <v>-0.56581903856246507</v>
      </c>
      <c r="I102" s="17">
        <f t="shared" si="99"/>
        <v>2.625522401842062</v>
      </c>
      <c r="J102" s="17">
        <f t="shared" si="100"/>
        <v>2.2369639476493841</v>
      </c>
      <c r="K102" s="39"/>
      <c r="L102" t="str">
        <f t="shared" si="101"/>
        <v>71 Sales occupations</v>
      </c>
      <c r="M102" s="17">
        <f t="shared" si="102"/>
        <v>-1.001331404722916</v>
      </c>
      <c r="N102" s="17">
        <f t="shared" si="102"/>
        <v>-2.3515316456563018</v>
      </c>
      <c r="O102" s="17">
        <f t="shared" si="102"/>
        <v>-1.2436391216610998</v>
      </c>
      <c r="P102" s="17">
        <f t="shared" si="102"/>
        <v>8.0962897971215142E-2</v>
      </c>
      <c r="Q102" s="17">
        <f t="shared" si="103"/>
        <v>-0.36253350501034287</v>
      </c>
      <c r="S102" s="17">
        <f t="shared" si="104"/>
        <v>-0.36253350501034287</v>
      </c>
      <c r="T102" s="17">
        <f t="shared" si="105"/>
        <v>1.8748828060865641</v>
      </c>
      <c r="U102" s="17">
        <f t="shared" si="106"/>
        <v>1.5971093015544335</v>
      </c>
      <c r="W102" t="str">
        <f t="shared" si="107"/>
        <v>71 Sales occupations</v>
      </c>
      <c r="X102" s="17">
        <f t="shared" si="108"/>
        <v>-3.419436894018979</v>
      </c>
      <c r="Y102" s="17">
        <f t="shared" si="108"/>
        <v>1.5362263802702447</v>
      </c>
      <c r="Z102" s="17">
        <f t="shared" si="108"/>
        <v>-1.0937624270859536</v>
      </c>
      <c r="AA102" s="17">
        <f t="shared" si="108"/>
        <v>-0.44763068208062418</v>
      </c>
      <c r="AB102" s="17">
        <f t="shared" si="109"/>
        <v>-0.66347557722669093</v>
      </c>
      <c r="AD102" s="17">
        <f t="shared" si="110"/>
        <v>-0.66347557722669093</v>
      </c>
      <c r="AE102" s="17">
        <f t="shared" si="111"/>
        <v>2.9535977680304581</v>
      </c>
      <c r="AF102" s="17">
        <f t="shared" si="112"/>
        <v>2.5195295470430201</v>
      </c>
    </row>
    <row r="103" spans="1:32" x14ac:dyDescent="0.2">
      <c r="A103" t="str">
        <f t="shared" si="95"/>
        <v>72 Customer service occupations</v>
      </c>
      <c r="B103" s="17">
        <f t="shared" si="96"/>
        <v>0.91207748442128089</v>
      </c>
      <c r="C103" s="17">
        <f t="shared" si="96"/>
        <v>4.1991153314312912</v>
      </c>
      <c r="D103" s="17">
        <f t="shared" si="96"/>
        <v>5.1292188686479001</v>
      </c>
      <c r="E103" s="17">
        <f t="shared" si="96"/>
        <v>1.5707360081788524</v>
      </c>
      <c r="F103" s="17">
        <f t="shared" si="97"/>
        <v>2.7433082393231389</v>
      </c>
      <c r="H103" s="17">
        <f t="shared" si="98"/>
        <v>2.7433082393231389</v>
      </c>
      <c r="I103" s="17">
        <f t="shared" si="99"/>
        <v>3.2440956121379205</v>
      </c>
      <c r="J103" s="17">
        <f t="shared" si="100"/>
        <v>5.1205195644590695</v>
      </c>
      <c r="K103" s="39"/>
      <c r="L103" t="str">
        <f t="shared" si="101"/>
        <v>72 Customer service occupations</v>
      </c>
      <c r="M103" s="17">
        <f t="shared" si="102"/>
        <v>-1.6819115454046241</v>
      </c>
      <c r="N103" s="17">
        <f t="shared" si="102"/>
        <v>19.681308736946423</v>
      </c>
      <c r="O103" s="17">
        <f t="shared" si="102"/>
        <v>6.5508177236859089</v>
      </c>
      <c r="P103" s="17">
        <f t="shared" si="102"/>
        <v>1.9580351963567333</v>
      </c>
      <c r="Q103" s="17">
        <f t="shared" si="103"/>
        <v>3.4665339574655896</v>
      </c>
      <c r="S103" s="17">
        <f t="shared" si="104"/>
        <v>3.4665339574655896</v>
      </c>
      <c r="T103" s="17">
        <f t="shared" si="105"/>
        <v>2.6962598922227521</v>
      </c>
      <c r="U103" s="17">
        <f t="shared" si="106"/>
        <v>5.2606502919709586</v>
      </c>
      <c r="W103" t="str">
        <f t="shared" si="107"/>
        <v>72 Customer service occupations</v>
      </c>
      <c r="X103" s="17">
        <f t="shared" si="108"/>
        <v>2.4976475287161515</v>
      </c>
      <c r="Y103" s="17">
        <f t="shared" si="108"/>
        <v>-4.3265939285970445</v>
      </c>
      <c r="Z103" s="17">
        <f t="shared" si="108"/>
        <v>4.1032558195194913</v>
      </c>
      <c r="AA103" s="17">
        <f t="shared" si="108"/>
        <v>1.261674453523054</v>
      </c>
      <c r="AB103" s="17">
        <f t="shared" si="109"/>
        <v>2.2001438594037914</v>
      </c>
      <c r="AD103" s="17">
        <f t="shared" si="110"/>
        <v>2.2001438594037914</v>
      </c>
      <c r="AE103" s="17">
        <f t="shared" si="111"/>
        <v>3.5991057724665598</v>
      </c>
      <c r="AF103" s="17">
        <f t="shared" si="112"/>
        <v>5.0224447176256293</v>
      </c>
    </row>
    <row r="104" spans="1:32" x14ac:dyDescent="0.2">
      <c r="A104" t="str">
        <f t="shared" si="95"/>
        <v>81 Process, plant and machine operatives</v>
      </c>
      <c r="B104" s="17">
        <f t="shared" si="96"/>
        <v>-2.2305607437207664</v>
      </c>
      <c r="C104" s="17">
        <f t="shared" si="96"/>
        <v>-12.669677697351855</v>
      </c>
      <c r="D104" s="17">
        <f t="shared" si="96"/>
        <v>3.209165979913875</v>
      </c>
      <c r="E104" s="17">
        <f t="shared" si="96"/>
        <v>-0.50091856532450407</v>
      </c>
      <c r="F104" s="17">
        <f t="shared" si="97"/>
        <v>0.7207158581668649</v>
      </c>
      <c r="H104" s="17">
        <f t="shared" si="98"/>
        <v>0.7207158581668649</v>
      </c>
      <c r="I104" s="17">
        <f t="shared" si="99"/>
        <v>2.4101020036791709</v>
      </c>
      <c r="J104" s="17">
        <f t="shared" si="100"/>
        <v>2.9341640873311148</v>
      </c>
      <c r="K104" s="39"/>
      <c r="L104" t="str">
        <f t="shared" si="101"/>
        <v>81 Process, plant and machine operatives</v>
      </c>
      <c r="M104" s="17">
        <f t="shared" si="102"/>
        <v>-2.7442544706017591</v>
      </c>
      <c r="N104" s="17">
        <f t="shared" si="102"/>
        <v>-11.434259962263916</v>
      </c>
      <c r="O104" s="17">
        <f t="shared" si="102"/>
        <v>3.2147127189608105</v>
      </c>
      <c r="P104" s="17">
        <f t="shared" si="102"/>
        <v>-0.45384603469107443</v>
      </c>
      <c r="Q104" s="17">
        <f t="shared" si="103"/>
        <v>0.75428521155520567</v>
      </c>
      <c r="S104" s="17">
        <f t="shared" si="104"/>
        <v>0.75428521155520567</v>
      </c>
      <c r="T104" s="17">
        <f t="shared" si="105"/>
        <v>2.2807417742671809</v>
      </c>
      <c r="U104" s="17">
        <f t="shared" si="106"/>
        <v>2.8389900019945458</v>
      </c>
      <c r="W104" t="str">
        <f t="shared" si="107"/>
        <v>81 Process, plant and machine operatives</v>
      </c>
      <c r="X104" s="17">
        <f t="shared" si="108"/>
        <v>7.6311767664516417E-2</v>
      </c>
      <c r="Y104" s="17">
        <f t="shared" si="108"/>
        <v>-17.8366149000449</v>
      </c>
      <c r="Z104" s="17">
        <f t="shared" si="108"/>
        <v>3.1841451466255721</v>
      </c>
      <c r="AA104" s="17">
        <f t="shared" si="108"/>
        <v>-0.71598004370883039</v>
      </c>
      <c r="AB104" s="17">
        <f t="shared" si="109"/>
        <v>0.56740076594754552</v>
      </c>
      <c r="AD104" s="17">
        <f t="shared" si="110"/>
        <v>0.56740076594754552</v>
      </c>
      <c r="AE104" s="17">
        <f t="shared" si="111"/>
        <v>2.9664937238606415</v>
      </c>
      <c r="AF104" s="17">
        <f t="shared" si="112"/>
        <v>3.348580118151423</v>
      </c>
    </row>
    <row r="105" spans="1:32" x14ac:dyDescent="0.2">
      <c r="A105" t="str">
        <f t="shared" si="95"/>
        <v>82 Transport and mobile machine drivers and operatives</v>
      </c>
      <c r="B105" s="17">
        <f t="shared" si="96"/>
        <v>4.4941368179963082</v>
      </c>
      <c r="C105" s="17">
        <f t="shared" si="96"/>
        <v>-10.721546122391334</v>
      </c>
      <c r="D105" s="17">
        <f t="shared" si="96"/>
        <v>8.3130207975545822E-2</v>
      </c>
      <c r="E105" s="17">
        <f t="shared" si="96"/>
        <v>-0.53944283984225239</v>
      </c>
      <c r="F105" s="17">
        <f t="shared" si="97"/>
        <v>-0.33234999040935298</v>
      </c>
      <c r="H105" s="17">
        <f t="shared" si="98"/>
        <v>-0.33234999040935298</v>
      </c>
      <c r="I105" s="17">
        <f t="shared" si="99"/>
        <v>2.7812060578642939</v>
      </c>
      <c r="J105" s="17">
        <f t="shared" si="100"/>
        <v>2.5566325648440413</v>
      </c>
      <c r="K105" s="39"/>
      <c r="L105" t="str">
        <f t="shared" si="101"/>
        <v>82 Transport and mobile machine drivers and operatives</v>
      </c>
      <c r="M105" s="17">
        <f t="shared" si="102"/>
        <v>4.6578116187150576</v>
      </c>
      <c r="N105" s="17">
        <f t="shared" si="102"/>
        <v>-10.500270215858531</v>
      </c>
      <c r="O105" s="17">
        <f t="shared" si="102"/>
        <v>-0.13368785586710397</v>
      </c>
      <c r="P105" s="17">
        <f t="shared" si="102"/>
        <v>-0.60566075592471957</v>
      </c>
      <c r="Q105" s="17">
        <f t="shared" si="103"/>
        <v>-0.44858481861267396</v>
      </c>
      <c r="S105" s="17">
        <f t="shared" si="104"/>
        <v>-0.44858481861267396</v>
      </c>
      <c r="T105" s="17">
        <f t="shared" si="105"/>
        <v>2.7341935369657344</v>
      </c>
      <c r="U105" s="17">
        <f t="shared" si="106"/>
        <v>2.4299444806916037</v>
      </c>
      <c r="W105" t="str">
        <f t="shared" si="107"/>
        <v>82 Transport and mobile machine drivers and operatives</v>
      </c>
      <c r="X105" s="17">
        <f t="shared" si="108"/>
        <v>-0.24417874547945084</v>
      </c>
      <c r="Y105" s="17">
        <f t="shared" si="108"/>
        <v>-17.953297291805736</v>
      </c>
      <c r="Z105" s="17">
        <f t="shared" si="108"/>
        <v>6.811810568611687</v>
      </c>
      <c r="AA105" s="17">
        <f t="shared" si="108"/>
        <v>1.0265015662025645</v>
      </c>
      <c r="AB105" s="17">
        <f t="shared" si="109"/>
        <v>2.9192552857194576</v>
      </c>
      <c r="AD105" s="17">
        <f t="shared" si="110"/>
        <v>2.9192552857194576</v>
      </c>
      <c r="AE105" s="17">
        <f t="shared" si="111"/>
        <v>4.2871744044348459</v>
      </c>
      <c r="AF105" s="17">
        <f t="shared" si="112"/>
        <v>6.0592894351204407</v>
      </c>
    </row>
    <row r="106" spans="1:32" x14ac:dyDescent="0.2">
      <c r="A106" t="str">
        <f t="shared" si="95"/>
        <v>91 Elementary trades and related occupations</v>
      </c>
      <c r="B106" s="17">
        <f t="shared" si="96"/>
        <v>-3.1112810655437584</v>
      </c>
      <c r="C106" s="17">
        <f t="shared" si="96"/>
        <v>-12.659351342016024</v>
      </c>
      <c r="D106" s="17">
        <f t="shared" si="96"/>
        <v>-4.1811765079195702</v>
      </c>
      <c r="E106" s="17">
        <f t="shared" si="96"/>
        <v>-0.73845656930298098</v>
      </c>
      <c r="F106" s="17">
        <f t="shared" si="97"/>
        <v>-1.8995588049037226</v>
      </c>
      <c r="H106" s="17">
        <f t="shared" si="98"/>
        <v>-1.8995588049037226</v>
      </c>
      <c r="I106" s="17">
        <f t="shared" si="99"/>
        <v>1.8032983595317464</v>
      </c>
      <c r="J106" s="17">
        <f t="shared" si="100"/>
        <v>0.37318140330746541</v>
      </c>
      <c r="K106" s="39"/>
      <c r="L106" t="str">
        <f t="shared" si="101"/>
        <v>91 Elementary trades and related occupations</v>
      </c>
      <c r="M106" s="17">
        <f t="shared" si="102"/>
        <v>-2.6587575056150725</v>
      </c>
      <c r="N106" s="17">
        <f t="shared" si="102"/>
        <v>-9.9416409938899228</v>
      </c>
      <c r="O106" s="17">
        <f t="shared" si="102"/>
        <v>-4.3361274007047035</v>
      </c>
      <c r="P106" s="17">
        <f t="shared" si="102"/>
        <v>-0.73497022814348334</v>
      </c>
      <c r="Q106" s="17">
        <f t="shared" si="103"/>
        <v>-1.9501717310652977</v>
      </c>
      <c r="S106" s="17">
        <f t="shared" si="104"/>
        <v>-1.9501717310652977</v>
      </c>
      <c r="T106" s="17">
        <f t="shared" si="105"/>
        <v>1.5587443906295073</v>
      </c>
      <c r="U106" s="17">
        <f t="shared" si="106"/>
        <v>3.5591568851089939E-2</v>
      </c>
      <c r="W106" t="str">
        <f t="shared" si="107"/>
        <v>91 Elementary trades and related occupations</v>
      </c>
      <c r="X106" s="17">
        <f t="shared" si="108"/>
        <v>-4.8463661899707411</v>
      </c>
      <c r="Y106" s="17">
        <f t="shared" si="108"/>
        <v>-23.691097573529962</v>
      </c>
      <c r="Z106" s="17">
        <f t="shared" si="108"/>
        <v>-3.4524350570436568</v>
      </c>
      <c r="AA106" s="17">
        <f t="shared" si="108"/>
        <v>-0.75442182654475998</v>
      </c>
      <c r="AB106" s="17">
        <f t="shared" si="109"/>
        <v>-1.662034494119502</v>
      </c>
      <c r="AD106" s="17">
        <f t="shared" si="110"/>
        <v>-1.662034494119502</v>
      </c>
      <c r="AE106" s="17">
        <f t="shared" si="111"/>
        <v>2.8729863904024766</v>
      </c>
      <c r="AF106" s="17">
        <f t="shared" si="112"/>
        <v>1.8014815029960163</v>
      </c>
    </row>
    <row r="107" spans="1:32" x14ac:dyDescent="0.2">
      <c r="A107" t="str">
        <f t="shared" si="95"/>
        <v>92 Elementary administration and service occupations</v>
      </c>
      <c r="B107" s="17">
        <f t="shared" si="96"/>
        <v>-0.79338345539005095</v>
      </c>
      <c r="C107" s="17">
        <f t="shared" si="96"/>
        <v>-5.6601712997794928</v>
      </c>
      <c r="D107" s="17">
        <f t="shared" si="96"/>
        <v>7.0671389405130292E-2</v>
      </c>
      <c r="E107" s="17">
        <f t="shared" si="96"/>
        <v>-2.310727502460308E-2</v>
      </c>
      <c r="F107" s="17">
        <f t="shared" si="97"/>
        <v>8.1425110192601124E-3</v>
      </c>
      <c r="H107" s="17">
        <f t="shared" si="98"/>
        <v>8.1425110192601124E-3</v>
      </c>
      <c r="I107" s="17">
        <f t="shared" si="99"/>
        <v>2.6641747886230416</v>
      </c>
      <c r="J107" s="17">
        <f t="shared" si="100"/>
        <v>2.6698108293077727</v>
      </c>
      <c r="K107" s="39"/>
      <c r="L107" t="str">
        <f t="shared" si="101"/>
        <v>92 Elementary administration and service occupations</v>
      </c>
      <c r="M107" s="17">
        <f t="shared" si="102"/>
        <v>1.2940813507892557</v>
      </c>
      <c r="N107" s="17">
        <f t="shared" si="102"/>
        <v>-6.0332839683588491</v>
      </c>
      <c r="O107" s="17">
        <f t="shared" si="102"/>
        <v>0.94904054553395234</v>
      </c>
      <c r="P107" s="17">
        <f t="shared" si="102"/>
        <v>-0.38709834005492549</v>
      </c>
      <c r="Q107" s="17">
        <f t="shared" si="103"/>
        <v>5.6304657634131949E-2</v>
      </c>
      <c r="S107" s="17">
        <f t="shared" si="104"/>
        <v>5.6304657634131949E-2</v>
      </c>
      <c r="T107" s="17">
        <f t="shared" si="105"/>
        <v>2.2867347849671926</v>
      </c>
      <c r="U107" s="17">
        <f t="shared" si="106"/>
        <v>2.3278086191264924</v>
      </c>
      <c r="W107" t="str">
        <f t="shared" si="107"/>
        <v>92 Elementary administration and service occupations</v>
      </c>
      <c r="X107" s="17">
        <f t="shared" si="108"/>
        <v>-2.8014642751814312</v>
      </c>
      <c r="Y107" s="17">
        <f t="shared" si="108"/>
        <v>-5.2622394518974769</v>
      </c>
      <c r="Z107" s="17">
        <f t="shared" si="108"/>
        <v>-0.89335298172528166</v>
      </c>
      <c r="AA107" s="17">
        <f t="shared" si="108"/>
        <v>0.38466579023599401</v>
      </c>
      <c r="AB107" s="17">
        <f t="shared" si="109"/>
        <v>-4.3161222534449095E-2</v>
      </c>
      <c r="AD107" s="17">
        <f t="shared" si="110"/>
        <v>-4.3161222534449095E-2</v>
      </c>
      <c r="AE107" s="17">
        <f t="shared" si="111"/>
        <v>3.0433695295301488</v>
      </c>
      <c r="AF107" s="17">
        <f t="shared" si="112"/>
        <v>3.0150336202702022</v>
      </c>
    </row>
    <row r="108" spans="1:32" x14ac:dyDescent="0.2">
      <c r="C108" s="17"/>
      <c r="F108" s="17"/>
      <c r="H108" s="17"/>
      <c r="I108" s="17"/>
      <c r="J108" s="17"/>
      <c r="N108" s="17"/>
      <c r="Q108" s="17"/>
      <c r="S108" s="17"/>
      <c r="T108" s="17"/>
      <c r="U108" s="17"/>
      <c r="Y108" s="17"/>
      <c r="AB108" s="17"/>
      <c r="AD108" s="17"/>
      <c r="AE108" s="17"/>
      <c r="AF108" s="17"/>
    </row>
    <row r="109" spans="1:32" x14ac:dyDescent="0.2">
      <c r="A109" s="23" t="str">
        <f>A35</f>
        <v>All occupations</v>
      </c>
      <c r="B109" s="25">
        <f>IF(AND(C$6-B$6 &lt;&gt; 0,B35&lt;&gt;0,C35&lt;&gt;0),(EXP(LN(C35/B35)/(C$6-B$6))-1)*100,0)</f>
        <v>-0.26675580585351355</v>
      </c>
      <c r="C109" s="25">
        <f>IF(AND(D$6-C$6 &lt;&gt; 0,C35&lt;&gt;0,D35&lt;&gt;0),(EXP(LN(D35/C35)/(D$6-C$6))-1)*100,0)</f>
        <v>-0.46272893746283073</v>
      </c>
      <c r="D109" s="25">
        <f>IF(AND(E$6-D$6 &lt;&gt; 0,D35&lt;&gt;0,E35&lt;&gt;0),(EXP(LN(E35/D35)/(E$6-D$6))-1)*100,0)</f>
        <v>0.32473787001079391</v>
      </c>
      <c r="E109" s="25">
        <f>IF(AND(F$6-E$6 &lt;&gt; 0,E35&lt;&gt;0,F35&lt;&gt;0),(EXP(LN(F35/E35)/(F$6-E$6))-1)*100,0)</f>
        <v>0.34391559747728451</v>
      </c>
      <c r="F109" s="25">
        <f t="shared" ref="F109" si="113">IF(AND(F$6-D$6 &lt;&gt; 0,D35&lt;&gt;0,F35&lt;&gt;0),(EXP(LN(F35/D35)/(F$6-D$6))-1)*100,0)</f>
        <v>0.33752261436219566</v>
      </c>
      <c r="H109" s="25">
        <f>IF($F$6-$D$6 &lt;&gt; 0,(EXP(LN(1+(H72/100))/($F$6-$D$6))-1)*100,0)</f>
        <v>0.33752261436219566</v>
      </c>
      <c r="I109" s="25">
        <f>IF(D35&gt;0,((1+(I35/D35))^(1/($F$6-$D$6))-1)*100,0)</f>
        <v>2.7491381065133158</v>
      </c>
      <c r="J109" s="25">
        <f t="shared" ref="J109" si="114">IF($F$6-$D$6 &lt;&gt; 0,(EXP(LN(1+(J72/100))/($F$6-$D$6))-1)*100,0)</f>
        <v>2.9818400054912209</v>
      </c>
      <c r="L109" s="23" t="str">
        <f>L35</f>
        <v>All occupations</v>
      </c>
      <c r="M109" s="25">
        <f>IF(AND(N$6-M$6 &lt;&gt; 0,M35&lt;&gt;0,N35&lt;&gt;0),(EXP(LN(N35/M35)/(N$6-M$6))-1)*100,0)</f>
        <v>0.26142834393183545</v>
      </c>
      <c r="N109" s="25">
        <f>IF(AND(O$6-N$6 &lt;&gt; 0,N35&lt;&gt;0,O35&lt;&gt;0),(EXP(LN(O35/N35)/(O$6-N$6))-1)*100,0)</f>
        <v>-3.6019722098573959</v>
      </c>
      <c r="O109" s="25">
        <f>IF(AND(P$6-O$6 &lt;&gt; 0,O35&lt;&gt;0,P35&lt;&gt;0),(EXP(LN(P35/O35)/(P$6-O$6))-1)*100,0)</f>
        <v>0.15591469969580274</v>
      </c>
      <c r="P109" s="25">
        <f>IF(AND(Q$6-P$6 &lt;&gt; 0,P35&lt;&gt;0,Q35&lt;&gt;0),(EXP(LN(Q35/P35)/(Q$6-P$6))-1)*100,0)</f>
        <v>0.21684626473816859</v>
      </c>
      <c r="Q109" s="25">
        <f t="shared" ref="Q109" si="115">IF(AND(Q$6-O$6 &lt;&gt; 0,O35&lt;&gt;0,Q35&lt;&gt;0),(EXP(LN(Q35/O35)/(Q$6-O$6))-1)*100,0)</f>
        <v>0.19653162541946045</v>
      </c>
      <c r="S109" s="25">
        <f t="shared" ref="S109" si="116">IF($F$6-$D$6 &lt;&gt; 0,(EXP(LN(1+(S72/100))/($F$6-$D$6))-1)*100,0)</f>
        <v>0.19653162541946045</v>
      </c>
      <c r="T109" s="25">
        <f t="shared" ref="T109" si="117">IF(O35&gt;0,((1+(T35/O35))^(1/($F$6-$D$6))-1)*100,0)</f>
        <v>2.2853807969329676</v>
      </c>
      <c r="U109" s="25">
        <f t="shared" ref="U109" si="118">IF($F$6-$D$6 &lt;&gt; 0,(EXP(LN(1+(U72/100))/($F$6-$D$6))-1)*100,0)</f>
        <v>2.4291772375344189</v>
      </c>
      <c r="W109" s="23" t="str">
        <f>W35</f>
        <v>All occupations</v>
      </c>
      <c r="X109" s="25">
        <f>IF(AND(Y$6-X$6 &lt;&gt; 0,X35&lt;&gt;0,Y35&lt;&gt;0),(EXP(LN(Y35/X35)/(Y$6-X$6))-1)*100,0)</f>
        <v>-0.80941366763023215</v>
      </c>
      <c r="Y109" s="25">
        <f>IF(AND(Z$6-Y$6 &lt;&gt; 0,Y35&lt;&gt;0,Z35&lt;&gt;0),(EXP(LN(Z35/Y35)/(Z$6-Y$6))-1)*100,0)</f>
        <v>2.8502966407126129</v>
      </c>
      <c r="Z109" s="25">
        <f>IF(AND(AA$6-Z$6 &lt;&gt; 0,Z35&lt;&gt;0,AA35&lt;&gt;0),(EXP(LN(AA35/Z35)/(AA$6-Z$6))-1)*100,0)</f>
        <v>0.49061888206123339</v>
      </c>
      <c r="AA109" s="25">
        <f>IF(AND(AB$6-AA$6 &lt;&gt; 0,AA35&lt;&gt;0,AB35&lt;&gt;0),(EXP(LN(AB35/AA35)/(AB$6-AA$6))-1)*100,0)</f>
        <v>0.46615271827747939</v>
      </c>
      <c r="AB109" s="25">
        <f t="shared" ref="AB109" si="119">IF(AND(AB$6-Z$6 &lt;&gt; 0,Z35&lt;&gt;0,AB35&lt;&gt;0),(EXP(LN(AB35/Z35)/(AB$6-Z$6))-1)*100,0)</f>
        <v>0.4743074442774331</v>
      </c>
      <c r="AD109" s="25">
        <f t="shared" ref="AD109" si="120">IF($F$6-$D$6 &lt;&gt; 0,(EXP(LN(1+(AD72/100))/($F$6-$D$6))-1)*100,0)</f>
        <v>0.4743074442774331</v>
      </c>
      <c r="AE109" s="25">
        <f t="shared" ref="AE109" si="121">IF(Z35&gt;0,((1+(AE35/Z35))^(1/($F$6-$D$6))-1)*100,0)</f>
        <v>3.1807265512586946</v>
      </c>
      <c r="AF109" s="25">
        <f t="shared" ref="AF109" si="122">IF($F$6-$D$6 &lt;&gt; 0,(EXP(LN(1+(AF72/100))/($F$6-$D$6))-1)*100,0)</f>
        <v>3.4904732899206481</v>
      </c>
    </row>
    <row r="112" spans="1:32" ht="15.75" x14ac:dyDescent="0.25">
      <c r="A112" s="18" t="str">
        <f>CONCATENATE(A$1," (Continued)")</f>
        <v>Occupation Table 2  Employment Change by Occupation (SOC 2020) and Replacement Demand, 2015-2035, North East (Continued)</v>
      </c>
      <c r="L112" s="18" t="str">
        <f>CONCATENATE(L$1," (Continued)")</f>
        <v>Occupation Table 2.1  Males: Employment Change by Occupation (SOC 2020) and Replacement Demand, 2015-2035, North East (Continued)</v>
      </c>
      <c r="W112" s="18" t="str">
        <f>CONCATENATE(W$1," (Continued)")</f>
        <v>Occupation Table 2.2  Females: Employment Change by Occupation (SOC 2020) and Replacement Demand, 2015-2035, North East (Continued)</v>
      </c>
    </row>
    <row r="114" spans="1:28" x14ac:dyDescent="0.2">
      <c r="F114" s="15" t="s">
        <v>35</v>
      </c>
      <c r="Q114" s="15" t="s">
        <v>35</v>
      </c>
      <c r="AB114" s="15" t="s">
        <v>35</v>
      </c>
    </row>
    <row r="115" spans="1:28" x14ac:dyDescent="0.2">
      <c r="A115" s="35"/>
      <c r="B115" s="35"/>
      <c r="C115" s="35"/>
      <c r="D115" s="35"/>
      <c r="E115" s="35"/>
      <c r="F115" s="35"/>
      <c r="L115" s="35"/>
      <c r="M115" s="35"/>
      <c r="N115" s="35"/>
      <c r="O115" s="35"/>
      <c r="P115" s="35"/>
      <c r="Q115" s="35"/>
      <c r="W115" s="35"/>
      <c r="X115" s="35"/>
      <c r="Y115" s="35"/>
      <c r="Z115" s="35"/>
      <c r="AA115" s="35"/>
      <c r="AB115" s="35"/>
    </row>
    <row r="117" spans="1:28" x14ac:dyDescent="0.2">
      <c r="A117" s="40" t="s">
        <v>15</v>
      </c>
      <c r="B117" s="63" t="str">
        <f>CONCATENATE(B$6,"-",C$6)</f>
        <v>2015-2019</v>
      </c>
      <c r="C117" s="63" t="str">
        <f>CONCATENATE(C$6,"-",D$6)</f>
        <v>2019-2020</v>
      </c>
      <c r="D117" s="63" t="str">
        <f>CONCATENATE(D$6,"-",E$6)</f>
        <v>2020-2025</v>
      </c>
      <c r="E117" s="63" t="str">
        <f>CONCATENATE(E$6,"-",F$6)</f>
        <v>2025-2035</v>
      </c>
      <c r="F117" s="63" t="str">
        <f>CONCATENATE(D$6,"-",F$6)</f>
        <v>2020-2035</v>
      </c>
      <c r="L117" s="40" t="s">
        <v>15</v>
      </c>
      <c r="M117" s="63" t="str">
        <f>CONCATENATE(M$6,"-",N$6)</f>
        <v>2015-2019</v>
      </c>
      <c r="N117" s="63" t="str">
        <f>CONCATENATE(N$6,"-",O$6)</f>
        <v>2019-2020</v>
      </c>
      <c r="O117" s="63" t="str">
        <f>CONCATENATE(O$6,"-",P$6)</f>
        <v>2020-2025</v>
      </c>
      <c r="P117" s="63" t="str">
        <f>CONCATENATE(P$6,"-",Q$6)</f>
        <v>2025-2035</v>
      </c>
      <c r="Q117" s="63" t="str">
        <f>CONCATENATE(O$6,"-",Q$6)</f>
        <v>2020-2035</v>
      </c>
      <c r="W117" s="40" t="s">
        <v>15</v>
      </c>
      <c r="X117" s="63" t="str">
        <f>CONCATENATE(X$6,"-",Y$6)</f>
        <v>2015-2019</v>
      </c>
      <c r="Y117" s="63" t="str">
        <f>CONCATENATE(Y$6,"-",Z$6)</f>
        <v>2019-2020</v>
      </c>
      <c r="Z117" s="63" t="str">
        <f>CONCATENATE(Z$6,"-",AA$6)</f>
        <v>2020-2025</v>
      </c>
      <c r="AA117" s="63" t="str">
        <f>CONCATENATE(AA$6,"-",AB$6)</f>
        <v>2025-2035</v>
      </c>
      <c r="AB117" s="63" t="str">
        <f>CONCATENATE(Z$6,"-",AB$6)</f>
        <v>2020-2035</v>
      </c>
    </row>
    <row r="118" spans="1:28" x14ac:dyDescent="0.2">
      <c r="B118" s="19"/>
      <c r="C118" s="19"/>
      <c r="D118" s="19"/>
      <c r="E118" s="19"/>
      <c r="F118" s="19"/>
      <c r="M118" s="19"/>
      <c r="N118" s="19"/>
      <c r="O118" s="19"/>
      <c r="P118" s="19"/>
      <c r="Q118" s="19"/>
      <c r="X118" s="19"/>
      <c r="Y118" s="19"/>
      <c r="Z118" s="19"/>
      <c r="AA118" s="19"/>
      <c r="AB118" s="19"/>
    </row>
    <row r="119" spans="1:28" x14ac:dyDescent="0.2">
      <c r="A119" t="str">
        <f t="shared" ref="A119:A144" si="123">A8</f>
        <v>11 Corporate managers and directors</v>
      </c>
      <c r="B119" s="26">
        <f t="shared" ref="B119:E144" si="124">C8-B8</f>
        <v>7.5176574772407037</v>
      </c>
      <c r="C119" s="26">
        <f t="shared" si="124"/>
        <v>1.4611501509550493</v>
      </c>
      <c r="D119" s="26">
        <f t="shared" si="124"/>
        <v>-4.9654172965265673</v>
      </c>
      <c r="E119" s="26">
        <f t="shared" si="124"/>
        <v>5.7415240922984268</v>
      </c>
      <c r="F119" s="26">
        <f t="shared" ref="F119:F144" si="125">F8-D8</f>
        <v>0.77610679577185948</v>
      </c>
      <c r="L119" t="str">
        <f t="shared" ref="L119:L144" si="126">L8</f>
        <v>11 Corporate managers and directors</v>
      </c>
      <c r="M119" s="26">
        <f t="shared" ref="M119:P144" si="127">N8-M8</f>
        <v>4.391304649563871</v>
      </c>
      <c r="N119" s="26">
        <f t="shared" si="127"/>
        <v>-2.5045286633790909E-2</v>
      </c>
      <c r="O119" s="26">
        <f t="shared" si="127"/>
        <v>-4.6135376663083889</v>
      </c>
      <c r="P119" s="26">
        <f t="shared" si="127"/>
        <v>1.6249256365808549</v>
      </c>
      <c r="Q119" s="26">
        <f t="shared" ref="Q119:Q144" si="128">Q8-O8</f>
        <v>-2.988612029727534</v>
      </c>
      <c r="W119" t="str">
        <f t="shared" ref="W119:W144" si="129">W8</f>
        <v>11 Corporate managers and directors</v>
      </c>
      <c r="X119" s="26">
        <f t="shared" ref="X119:AA144" si="130">Y8-X8</f>
        <v>3.1263528276767083</v>
      </c>
      <c r="Y119" s="26">
        <f t="shared" si="130"/>
        <v>1.4861954375889717</v>
      </c>
      <c r="Z119" s="26">
        <f t="shared" si="130"/>
        <v>-0.3518796302182956</v>
      </c>
      <c r="AA119" s="26">
        <f t="shared" si="130"/>
        <v>4.116598455717476</v>
      </c>
      <c r="AB119" s="26">
        <f t="shared" ref="AB119:AB144" si="131">AB8-Z8</f>
        <v>3.7647188254991804</v>
      </c>
    </row>
    <row r="120" spans="1:28" x14ac:dyDescent="0.2">
      <c r="A120" t="str">
        <f t="shared" si="123"/>
        <v>12 Other managers and proprietors</v>
      </c>
      <c r="B120" s="26">
        <f t="shared" si="124"/>
        <v>3.6063020955235174</v>
      </c>
      <c r="C120" s="26">
        <f t="shared" si="124"/>
        <v>-1.4339547138604374</v>
      </c>
      <c r="D120" s="26">
        <f t="shared" si="124"/>
        <v>7.4371046295192187</v>
      </c>
      <c r="E120" s="26">
        <f t="shared" si="124"/>
        <v>8.1689245153904722</v>
      </c>
      <c r="F120" s="26">
        <f t="shared" si="125"/>
        <v>15.606029144909691</v>
      </c>
      <c r="L120" t="str">
        <f t="shared" si="126"/>
        <v>12 Other managers and proprietors</v>
      </c>
      <c r="M120" s="26">
        <f t="shared" si="127"/>
        <v>2.0732734251097007</v>
      </c>
      <c r="N120" s="26">
        <f t="shared" si="127"/>
        <v>-2.571717490388771</v>
      </c>
      <c r="O120" s="26">
        <f t="shared" si="127"/>
        <v>4.9697226136542128</v>
      </c>
      <c r="P120" s="26">
        <f t="shared" si="127"/>
        <v>5.2626115818899777</v>
      </c>
      <c r="Q120" s="26">
        <f t="shared" si="128"/>
        <v>10.23233419554419</v>
      </c>
      <c r="W120" t="str">
        <f t="shared" si="129"/>
        <v>12 Other managers and proprietors</v>
      </c>
      <c r="X120" s="26">
        <f t="shared" si="130"/>
        <v>1.5330286704138878</v>
      </c>
      <c r="Y120" s="26">
        <f t="shared" si="130"/>
        <v>1.1377627765283425</v>
      </c>
      <c r="Z120" s="26">
        <f t="shared" si="130"/>
        <v>2.4673820158650912</v>
      </c>
      <c r="AA120" s="26">
        <f t="shared" si="130"/>
        <v>2.9063129335004341</v>
      </c>
      <c r="AB120" s="26">
        <f t="shared" si="131"/>
        <v>5.3736949493655253</v>
      </c>
    </row>
    <row r="121" spans="1:28" x14ac:dyDescent="0.2">
      <c r="A121" t="str">
        <f t="shared" si="123"/>
        <v>21 Science, research, engineering and technology professionals</v>
      </c>
      <c r="B121" s="26">
        <f t="shared" si="124"/>
        <v>2.6021141741769114</v>
      </c>
      <c r="C121" s="26">
        <f t="shared" si="124"/>
        <v>2.0066520328421404</v>
      </c>
      <c r="D121" s="26">
        <f t="shared" si="124"/>
        <v>2.4145144339069518</v>
      </c>
      <c r="E121" s="26">
        <f t="shared" si="124"/>
        <v>6.2243817467527762</v>
      </c>
      <c r="F121" s="26">
        <f t="shared" si="125"/>
        <v>8.638896180659728</v>
      </c>
      <c r="L121" t="str">
        <f t="shared" si="126"/>
        <v>21 Science, research, engineering and technology professionals</v>
      </c>
      <c r="M121" s="26">
        <f t="shared" si="127"/>
        <v>2.7050840702428331</v>
      </c>
      <c r="N121" s="26">
        <f t="shared" si="127"/>
        <v>-0.24001337277549339</v>
      </c>
      <c r="O121" s="26">
        <f t="shared" si="127"/>
        <v>0.36326512784134479</v>
      </c>
      <c r="P121" s="26">
        <f t="shared" si="127"/>
        <v>3.1806571700712425</v>
      </c>
      <c r="Q121" s="26">
        <f t="shared" si="128"/>
        <v>3.5439222979125873</v>
      </c>
      <c r="W121" t="str">
        <f t="shared" si="129"/>
        <v>21 Science, research, engineering and technology professionals</v>
      </c>
      <c r="X121" s="26">
        <f t="shared" si="130"/>
        <v>-0.10296989606600881</v>
      </c>
      <c r="Y121" s="26">
        <f t="shared" si="130"/>
        <v>2.2466654056174242</v>
      </c>
      <c r="Z121" s="26">
        <f t="shared" si="130"/>
        <v>2.0512493060658663</v>
      </c>
      <c r="AA121" s="26">
        <f t="shared" si="130"/>
        <v>3.0437245766814538</v>
      </c>
      <c r="AB121" s="26">
        <f t="shared" si="131"/>
        <v>5.0949738827473201</v>
      </c>
    </row>
    <row r="122" spans="1:28" x14ac:dyDescent="0.2">
      <c r="A122" t="str">
        <f t="shared" si="123"/>
        <v>22 Health professionals</v>
      </c>
      <c r="B122" s="26">
        <f t="shared" si="124"/>
        <v>0.93960541552362997</v>
      </c>
      <c r="C122" s="26">
        <f t="shared" si="124"/>
        <v>5.2155525285860733</v>
      </c>
      <c r="D122" s="26">
        <f t="shared" si="124"/>
        <v>8.1812377141086898</v>
      </c>
      <c r="E122" s="26">
        <f t="shared" si="124"/>
        <v>10.106248604931494</v>
      </c>
      <c r="F122" s="26">
        <f t="shared" si="125"/>
        <v>18.287486319040184</v>
      </c>
      <c r="L122" t="str">
        <f t="shared" si="126"/>
        <v>22 Health professionals</v>
      </c>
      <c r="M122" s="26">
        <f t="shared" si="127"/>
        <v>6.7272672932997324E-2</v>
      </c>
      <c r="N122" s="26">
        <f t="shared" si="127"/>
        <v>2.8940098126737723</v>
      </c>
      <c r="O122" s="26">
        <f t="shared" si="127"/>
        <v>1.9353819136746147</v>
      </c>
      <c r="P122" s="26">
        <f t="shared" si="127"/>
        <v>2.8122094348226945</v>
      </c>
      <c r="Q122" s="26">
        <f t="shared" si="128"/>
        <v>4.7475913484973091</v>
      </c>
      <c r="W122" t="str">
        <f t="shared" si="129"/>
        <v>22 Health professionals</v>
      </c>
      <c r="X122" s="26">
        <f t="shared" si="130"/>
        <v>0.87233274259082094</v>
      </c>
      <c r="Y122" s="26">
        <f t="shared" si="130"/>
        <v>2.3215427159124857</v>
      </c>
      <c r="Z122" s="26">
        <f t="shared" si="130"/>
        <v>6.2458558004337021</v>
      </c>
      <c r="AA122" s="26">
        <f t="shared" si="130"/>
        <v>7.2940391701089453</v>
      </c>
      <c r="AB122" s="26">
        <f t="shared" si="131"/>
        <v>13.539894970542647</v>
      </c>
    </row>
    <row r="123" spans="1:28" x14ac:dyDescent="0.2">
      <c r="A123" t="str">
        <f t="shared" si="123"/>
        <v>23 Teaching and other educational professionals</v>
      </c>
      <c r="B123" s="26">
        <f t="shared" si="124"/>
        <v>-0.48548804260798306</v>
      </c>
      <c r="C123" s="26">
        <f t="shared" si="124"/>
        <v>2.4540239200068328</v>
      </c>
      <c r="D123" s="26">
        <f t="shared" si="124"/>
        <v>5.0071399442542557</v>
      </c>
      <c r="E123" s="26">
        <f t="shared" si="124"/>
        <v>4.4216149662006998</v>
      </c>
      <c r="F123" s="26">
        <f t="shared" si="125"/>
        <v>9.4287549104549555</v>
      </c>
      <c r="L123" t="str">
        <f t="shared" si="126"/>
        <v>23 Teaching and other educational professionals</v>
      </c>
      <c r="M123" s="26">
        <f t="shared" si="127"/>
        <v>-3.8579729848054072</v>
      </c>
      <c r="N123" s="26">
        <f t="shared" si="127"/>
        <v>-0.40330163592543045</v>
      </c>
      <c r="O123" s="26">
        <f t="shared" si="127"/>
        <v>2.0447677814894583</v>
      </c>
      <c r="P123" s="26">
        <f t="shared" si="127"/>
        <v>0.93991197809125993</v>
      </c>
      <c r="Q123" s="26">
        <f t="shared" si="128"/>
        <v>2.9846797595807182</v>
      </c>
      <c r="W123" t="str">
        <f t="shared" si="129"/>
        <v>23 Teaching and other educational professionals</v>
      </c>
      <c r="X123" s="26">
        <f t="shared" si="130"/>
        <v>3.3724849421975875</v>
      </c>
      <c r="Y123" s="26">
        <f t="shared" si="130"/>
        <v>2.8573255559321424</v>
      </c>
      <c r="Z123" s="26">
        <f t="shared" si="130"/>
        <v>2.9623721627649147</v>
      </c>
      <c r="AA123" s="26">
        <f t="shared" si="130"/>
        <v>3.4817029881093973</v>
      </c>
      <c r="AB123" s="26">
        <f t="shared" si="131"/>
        <v>6.4440751508743119</v>
      </c>
    </row>
    <row r="124" spans="1:28" x14ac:dyDescent="0.2">
      <c r="A124" t="str">
        <f t="shared" si="123"/>
        <v>24 Business, media and public service professionals</v>
      </c>
      <c r="B124" s="26">
        <f t="shared" si="124"/>
        <v>3.1259060344689402</v>
      </c>
      <c r="C124" s="26">
        <f t="shared" si="124"/>
        <v>7.4051458309799685</v>
      </c>
      <c r="D124" s="26">
        <f t="shared" si="124"/>
        <v>5.9814576840835585</v>
      </c>
      <c r="E124" s="26">
        <f t="shared" si="124"/>
        <v>9.6962707173859144</v>
      </c>
      <c r="F124" s="26">
        <f t="shared" si="125"/>
        <v>15.677728401469473</v>
      </c>
      <c r="L124" t="str">
        <f t="shared" si="126"/>
        <v>24 Business, media and public service professionals</v>
      </c>
      <c r="M124" s="26">
        <f t="shared" si="127"/>
        <v>-0.19268927991468132</v>
      </c>
      <c r="N124" s="26">
        <f t="shared" si="127"/>
        <v>2.7798784138011357</v>
      </c>
      <c r="O124" s="26">
        <f t="shared" si="127"/>
        <v>2.9155648282019833</v>
      </c>
      <c r="P124" s="26">
        <f t="shared" si="127"/>
        <v>3.0264431962785565</v>
      </c>
      <c r="Q124" s="26">
        <f t="shared" si="128"/>
        <v>5.9420080244805398</v>
      </c>
      <c r="W124" t="str">
        <f t="shared" si="129"/>
        <v>24 Business, media and public service professionals</v>
      </c>
      <c r="X124" s="26">
        <f t="shared" si="130"/>
        <v>3.3185953143836109</v>
      </c>
      <c r="Y124" s="26">
        <f t="shared" si="130"/>
        <v>4.6252674171787191</v>
      </c>
      <c r="Z124" s="26">
        <f t="shared" si="130"/>
        <v>3.0658928558815504</v>
      </c>
      <c r="AA124" s="26">
        <f t="shared" si="130"/>
        <v>6.6698275211075213</v>
      </c>
      <c r="AB124" s="26">
        <f t="shared" si="131"/>
        <v>9.7357203769890717</v>
      </c>
    </row>
    <row r="125" spans="1:28" x14ac:dyDescent="0.2">
      <c r="A125" t="str">
        <f t="shared" si="123"/>
        <v>31 Science, engineering and technology associate professionals</v>
      </c>
      <c r="B125" s="26">
        <f t="shared" si="124"/>
        <v>1.6185437786837475</v>
      </c>
      <c r="C125" s="26">
        <f t="shared" si="124"/>
        <v>1.8823675407875946</v>
      </c>
      <c r="D125" s="26">
        <f t="shared" si="124"/>
        <v>-3.5184517968557323</v>
      </c>
      <c r="E125" s="26">
        <f t="shared" si="124"/>
        <v>1.0070052671082408</v>
      </c>
      <c r="F125" s="26">
        <f t="shared" si="125"/>
        <v>-2.5114465297474915</v>
      </c>
      <c r="L125" t="str">
        <f t="shared" si="126"/>
        <v>31 Science, engineering and technology associate professionals</v>
      </c>
      <c r="M125" s="26">
        <f t="shared" si="127"/>
        <v>1.746564979985866</v>
      </c>
      <c r="N125" s="26">
        <f t="shared" si="127"/>
        <v>0.89468329963010973</v>
      </c>
      <c r="O125" s="26">
        <f t="shared" si="127"/>
        <v>-3.7378813128943271</v>
      </c>
      <c r="P125" s="26">
        <f t="shared" si="127"/>
        <v>-5.9299578049262891E-2</v>
      </c>
      <c r="Q125" s="26">
        <f t="shared" si="128"/>
        <v>-3.79718089094359</v>
      </c>
      <c r="W125" t="str">
        <f t="shared" si="129"/>
        <v>31 Science, engineering and technology associate professionals</v>
      </c>
      <c r="X125" s="26">
        <f t="shared" si="130"/>
        <v>-0.12802120130214956</v>
      </c>
      <c r="Y125" s="26">
        <f t="shared" si="130"/>
        <v>0.98768424115752751</v>
      </c>
      <c r="Z125" s="26">
        <f t="shared" si="130"/>
        <v>0.2194295160385682</v>
      </c>
      <c r="AA125" s="26">
        <f t="shared" si="130"/>
        <v>1.0663048451574184</v>
      </c>
      <c r="AB125" s="26">
        <f t="shared" si="131"/>
        <v>1.2857343611959866</v>
      </c>
    </row>
    <row r="126" spans="1:28" x14ac:dyDescent="0.2">
      <c r="A126" t="str">
        <f t="shared" si="123"/>
        <v>32 Health and social care associate professionals</v>
      </c>
      <c r="B126" s="26">
        <f t="shared" si="124"/>
        <v>0.27266041121589879</v>
      </c>
      <c r="C126" s="26">
        <f t="shared" si="124"/>
        <v>2.4622466678106854</v>
      </c>
      <c r="D126" s="26">
        <f t="shared" si="124"/>
        <v>0.47368931163947892</v>
      </c>
      <c r="E126" s="26">
        <f t="shared" si="124"/>
        <v>2.7129339705880824</v>
      </c>
      <c r="F126" s="26">
        <f t="shared" si="125"/>
        <v>3.1866232822275613</v>
      </c>
      <c r="L126" t="str">
        <f t="shared" si="126"/>
        <v>32 Health and social care associate professionals</v>
      </c>
      <c r="M126" s="26">
        <f t="shared" si="127"/>
        <v>-0.24487197206409128</v>
      </c>
      <c r="N126" s="26">
        <f t="shared" si="127"/>
        <v>0.80813079485946293</v>
      </c>
      <c r="O126" s="26">
        <f t="shared" si="127"/>
        <v>-0.55623856503706026</v>
      </c>
      <c r="P126" s="26">
        <f t="shared" si="127"/>
        <v>0.44378378538256325</v>
      </c>
      <c r="Q126" s="26">
        <f t="shared" si="128"/>
        <v>-0.11245477965449702</v>
      </c>
      <c r="W126" t="str">
        <f t="shared" si="129"/>
        <v>32 Health and social care associate professionals</v>
      </c>
      <c r="X126" s="26">
        <f t="shared" si="130"/>
        <v>0.51753238327996343</v>
      </c>
      <c r="Y126" s="26">
        <f t="shared" si="130"/>
        <v>1.654115872951234</v>
      </c>
      <c r="Z126" s="26">
        <f t="shared" si="130"/>
        <v>1.0299278766765063</v>
      </c>
      <c r="AA126" s="26">
        <f t="shared" si="130"/>
        <v>2.2691501852055396</v>
      </c>
      <c r="AB126" s="26">
        <f t="shared" si="131"/>
        <v>3.2990780618820459</v>
      </c>
    </row>
    <row r="127" spans="1:28" x14ac:dyDescent="0.2">
      <c r="A127" t="str">
        <f t="shared" si="123"/>
        <v>33 Protective service occupations</v>
      </c>
      <c r="B127" s="26">
        <f t="shared" si="124"/>
        <v>0.95002912439804632</v>
      </c>
      <c r="C127" s="26">
        <f t="shared" si="124"/>
        <v>0.8534436857558525</v>
      </c>
      <c r="D127" s="26">
        <f t="shared" si="124"/>
        <v>2.4344810852829397</v>
      </c>
      <c r="E127" s="26">
        <f t="shared" si="124"/>
        <v>2.6369169143747975</v>
      </c>
      <c r="F127" s="26">
        <f t="shared" si="125"/>
        <v>5.0713979996577372</v>
      </c>
      <c r="L127" t="str">
        <f t="shared" si="126"/>
        <v>33 Protective service occupations</v>
      </c>
      <c r="M127" s="26">
        <f t="shared" si="127"/>
        <v>0.48048429329579534</v>
      </c>
      <c r="N127" s="26">
        <f t="shared" si="127"/>
        <v>0.39684787881220629</v>
      </c>
      <c r="O127" s="26">
        <f t="shared" si="127"/>
        <v>1.1392014192762066</v>
      </c>
      <c r="P127" s="26">
        <f t="shared" si="127"/>
        <v>0.83353853895630081</v>
      </c>
      <c r="Q127" s="26">
        <f t="shared" si="128"/>
        <v>1.9727399582325074</v>
      </c>
      <c r="W127" t="str">
        <f t="shared" si="129"/>
        <v>33 Protective service occupations</v>
      </c>
      <c r="X127" s="26">
        <f t="shared" si="130"/>
        <v>0.46954483110227585</v>
      </c>
      <c r="Y127" s="26">
        <f t="shared" si="130"/>
        <v>0.45659580694357516</v>
      </c>
      <c r="Z127" s="26">
        <f t="shared" si="130"/>
        <v>1.295279666006774</v>
      </c>
      <c r="AA127" s="26">
        <f t="shared" si="130"/>
        <v>1.8033783754185686</v>
      </c>
      <c r="AB127" s="26">
        <f t="shared" si="131"/>
        <v>3.0986580414253426</v>
      </c>
    </row>
    <row r="128" spans="1:28" x14ac:dyDescent="0.2">
      <c r="A128" t="str">
        <f t="shared" si="123"/>
        <v>34 Culture, media and sports occupations</v>
      </c>
      <c r="B128" s="26">
        <f t="shared" si="124"/>
        <v>0.18935171228672409</v>
      </c>
      <c r="C128" s="26">
        <f t="shared" si="124"/>
        <v>-0.90204690699275858</v>
      </c>
      <c r="D128" s="26">
        <f t="shared" si="124"/>
        <v>-0.86460929554093369</v>
      </c>
      <c r="E128" s="26">
        <f t="shared" si="124"/>
        <v>1.7371987692284012</v>
      </c>
      <c r="F128" s="26">
        <f t="shared" si="125"/>
        <v>0.87258947368746753</v>
      </c>
      <c r="L128" t="str">
        <f t="shared" si="126"/>
        <v>34 Culture, media and sports occupations</v>
      </c>
      <c r="M128" s="26">
        <f t="shared" si="127"/>
        <v>0.82248623114160058</v>
      </c>
      <c r="N128" s="26">
        <f t="shared" si="127"/>
        <v>-1.2671862443531419</v>
      </c>
      <c r="O128" s="26">
        <f t="shared" si="127"/>
        <v>-0.35271351811234819</v>
      </c>
      <c r="P128" s="26">
        <f t="shared" si="127"/>
        <v>0.53779323319132022</v>
      </c>
      <c r="Q128" s="26">
        <f t="shared" si="128"/>
        <v>0.18507971507897203</v>
      </c>
      <c r="W128" t="str">
        <f t="shared" si="129"/>
        <v>34 Culture, media and sports occupations</v>
      </c>
      <c r="X128" s="26">
        <f t="shared" si="130"/>
        <v>-0.63313451885491823</v>
      </c>
      <c r="Y128" s="26">
        <f t="shared" si="130"/>
        <v>0.36513933736040727</v>
      </c>
      <c r="Z128" s="26">
        <f t="shared" si="130"/>
        <v>-0.51189577742858638</v>
      </c>
      <c r="AA128" s="26">
        <f t="shared" si="130"/>
        <v>1.1994055360370837</v>
      </c>
      <c r="AB128" s="26">
        <f t="shared" si="131"/>
        <v>0.68750975860849728</v>
      </c>
    </row>
    <row r="129" spans="1:28" x14ac:dyDescent="0.2">
      <c r="A129" t="str">
        <f t="shared" si="123"/>
        <v>35 Business and public service associate professionals</v>
      </c>
      <c r="B129" s="26">
        <f t="shared" si="124"/>
        <v>1.2706225772828077</v>
      </c>
      <c r="C129" s="26">
        <f t="shared" si="124"/>
        <v>2.6077801571526038</v>
      </c>
      <c r="D129" s="26">
        <f t="shared" si="124"/>
        <v>-2.8367095942528309</v>
      </c>
      <c r="E129" s="26">
        <f t="shared" si="124"/>
        <v>2.8035827103082909</v>
      </c>
      <c r="F129" s="26">
        <f t="shared" si="125"/>
        <v>-3.3126883944539998E-2</v>
      </c>
      <c r="L129" t="str">
        <f t="shared" si="126"/>
        <v>35 Business and public service associate professionals</v>
      </c>
      <c r="M129" s="26">
        <f t="shared" si="127"/>
        <v>0.35676168688938503</v>
      </c>
      <c r="N129" s="26">
        <f t="shared" si="127"/>
        <v>1.1255797978426152</v>
      </c>
      <c r="O129" s="26">
        <f t="shared" si="127"/>
        <v>-2.4007755002288</v>
      </c>
      <c r="P129" s="26">
        <f t="shared" si="127"/>
        <v>-2.8008057230266559E-2</v>
      </c>
      <c r="Q129" s="26">
        <f t="shared" si="128"/>
        <v>-2.4287835574590666</v>
      </c>
      <c r="W129" t="str">
        <f t="shared" si="129"/>
        <v>35 Business and public service associate professionals</v>
      </c>
      <c r="X129" s="26">
        <f t="shared" si="130"/>
        <v>0.91386089039353635</v>
      </c>
      <c r="Y129" s="26">
        <f t="shared" si="130"/>
        <v>1.4822003593098998</v>
      </c>
      <c r="Z129" s="26">
        <f t="shared" si="130"/>
        <v>-0.43593409402395977</v>
      </c>
      <c r="AA129" s="26">
        <f t="shared" si="130"/>
        <v>2.8315907675383833</v>
      </c>
      <c r="AB129" s="26">
        <f t="shared" si="131"/>
        <v>2.3956566735144236</v>
      </c>
    </row>
    <row r="130" spans="1:28" x14ac:dyDescent="0.2">
      <c r="A130" t="str">
        <f t="shared" si="123"/>
        <v>41 Administrative occupations</v>
      </c>
      <c r="B130" s="26">
        <f t="shared" si="124"/>
        <v>-9.0305968364178284</v>
      </c>
      <c r="C130" s="26">
        <f t="shared" si="124"/>
        <v>5.3788432073425128</v>
      </c>
      <c r="D130" s="26">
        <f t="shared" si="124"/>
        <v>-9.2087371066087513</v>
      </c>
      <c r="E130" s="26">
        <f t="shared" si="124"/>
        <v>-4.6545645540707881</v>
      </c>
      <c r="F130" s="26">
        <f t="shared" si="125"/>
        <v>-13.863301660679539</v>
      </c>
      <c r="L130" t="str">
        <f t="shared" si="126"/>
        <v>41 Administrative occupations</v>
      </c>
      <c r="M130" s="26">
        <f t="shared" si="127"/>
        <v>-3.6996255983948423</v>
      </c>
      <c r="N130" s="26">
        <f t="shared" si="127"/>
        <v>6.166966393317626</v>
      </c>
      <c r="O130" s="26">
        <f t="shared" si="127"/>
        <v>-1.7978585201852226</v>
      </c>
      <c r="P130" s="26">
        <f t="shared" si="127"/>
        <v>3.5224369274893306</v>
      </c>
      <c r="Q130" s="26">
        <f t="shared" si="128"/>
        <v>1.7245784073041079</v>
      </c>
      <c r="W130" t="str">
        <f t="shared" si="129"/>
        <v>41 Administrative occupations</v>
      </c>
      <c r="X130" s="26">
        <f t="shared" si="130"/>
        <v>-5.3309712380231815</v>
      </c>
      <c r="Y130" s="26">
        <f t="shared" si="130"/>
        <v>-0.7881231859750244</v>
      </c>
      <c r="Z130" s="26">
        <f t="shared" si="130"/>
        <v>-7.4108785864234648</v>
      </c>
      <c r="AA130" s="26">
        <f t="shared" si="130"/>
        <v>-8.177001481560076</v>
      </c>
      <c r="AB130" s="26">
        <f t="shared" si="131"/>
        <v>-15.587880067983541</v>
      </c>
    </row>
    <row r="131" spans="1:28" x14ac:dyDescent="0.2">
      <c r="A131" t="str">
        <f t="shared" si="123"/>
        <v>42 Secretarial and related occupations</v>
      </c>
      <c r="B131" s="26">
        <f t="shared" si="124"/>
        <v>-3.7061812474659988</v>
      </c>
      <c r="C131" s="26">
        <f t="shared" si="124"/>
        <v>0.29824370605492589</v>
      </c>
      <c r="D131" s="26">
        <f t="shared" si="124"/>
        <v>1.9207148160925023</v>
      </c>
      <c r="E131" s="26">
        <f t="shared" si="124"/>
        <v>-3.5253065131951153</v>
      </c>
      <c r="F131" s="26">
        <f t="shared" si="125"/>
        <v>-1.6045916971026131</v>
      </c>
      <c r="L131" t="str">
        <f t="shared" si="126"/>
        <v>42 Secretarial and related occupations</v>
      </c>
      <c r="M131" s="26">
        <f t="shared" si="127"/>
        <v>-0.40242249008117703</v>
      </c>
      <c r="N131" s="26">
        <f t="shared" si="127"/>
        <v>-0.10983637211288899</v>
      </c>
      <c r="O131" s="26">
        <f t="shared" si="127"/>
        <v>0.52772576818298855</v>
      </c>
      <c r="P131" s="26">
        <f t="shared" si="127"/>
        <v>0.3491285984874537</v>
      </c>
      <c r="Q131" s="26">
        <f t="shared" si="128"/>
        <v>0.87685436667044225</v>
      </c>
      <c r="W131" t="str">
        <f t="shared" si="129"/>
        <v>42 Secretarial and related occupations</v>
      </c>
      <c r="X131" s="26">
        <f t="shared" si="130"/>
        <v>-3.303758757384827</v>
      </c>
      <c r="Y131" s="26">
        <f t="shared" si="130"/>
        <v>0.40808007816781711</v>
      </c>
      <c r="Z131" s="26">
        <f t="shared" si="130"/>
        <v>1.3929890479095164</v>
      </c>
      <c r="AA131" s="26">
        <f t="shared" si="130"/>
        <v>-3.8744351116825584</v>
      </c>
      <c r="AB131" s="26">
        <f t="shared" si="131"/>
        <v>-2.481446063773042</v>
      </c>
    </row>
    <row r="132" spans="1:28" x14ac:dyDescent="0.2">
      <c r="A132" t="str">
        <f t="shared" si="123"/>
        <v>51 Skilled agricultural and related trades</v>
      </c>
      <c r="B132" s="26">
        <f t="shared" si="124"/>
        <v>-2.2784793783488375</v>
      </c>
      <c r="C132" s="26">
        <f t="shared" si="124"/>
        <v>3.6928020452055677E-2</v>
      </c>
      <c r="D132" s="26">
        <f t="shared" si="124"/>
        <v>0.16316753739879886</v>
      </c>
      <c r="E132" s="26">
        <f t="shared" si="124"/>
        <v>1.1210690404010268</v>
      </c>
      <c r="F132" s="26">
        <f t="shared" si="125"/>
        <v>1.2842365777998257</v>
      </c>
      <c r="L132" t="str">
        <f t="shared" si="126"/>
        <v>51 Skilled agricultural and related trades</v>
      </c>
      <c r="M132" s="26">
        <f t="shared" si="127"/>
        <v>-2.5600203355708135</v>
      </c>
      <c r="N132" s="26">
        <f t="shared" si="127"/>
        <v>-0.93978582954497547</v>
      </c>
      <c r="O132" s="26">
        <f t="shared" si="127"/>
        <v>-6.1312285023944924E-2</v>
      </c>
      <c r="P132" s="26">
        <f t="shared" si="127"/>
        <v>0.69478695289272352</v>
      </c>
      <c r="Q132" s="26">
        <f t="shared" si="128"/>
        <v>0.6334746678687786</v>
      </c>
      <c r="W132" t="str">
        <f t="shared" si="129"/>
        <v>51 Skilled agricultural and related trades</v>
      </c>
      <c r="X132" s="26">
        <f t="shared" si="130"/>
        <v>0.28154095722193306</v>
      </c>
      <c r="Y132" s="26">
        <f t="shared" si="130"/>
        <v>0.97671384999706889</v>
      </c>
      <c r="Z132" s="26">
        <f t="shared" si="130"/>
        <v>0.2244798224227309</v>
      </c>
      <c r="AA132" s="26">
        <f t="shared" si="130"/>
        <v>0.42628208750828644</v>
      </c>
      <c r="AB132" s="26">
        <f t="shared" si="131"/>
        <v>0.65076190993101735</v>
      </c>
    </row>
    <row r="133" spans="1:28" x14ac:dyDescent="0.2">
      <c r="A133" t="str">
        <f t="shared" si="123"/>
        <v>52 Skilled metal, electrical and electronic trades</v>
      </c>
      <c r="B133" s="26">
        <f t="shared" si="124"/>
        <v>-1.6035193126224101</v>
      </c>
      <c r="C133" s="26">
        <f t="shared" si="124"/>
        <v>-7.5357519860629054</v>
      </c>
      <c r="D133" s="26">
        <f t="shared" si="124"/>
        <v>-2.2098055499776734</v>
      </c>
      <c r="E133" s="26">
        <f t="shared" si="124"/>
        <v>-3.9248975229022918</v>
      </c>
      <c r="F133" s="26">
        <f t="shared" si="125"/>
        <v>-6.1347030728799652</v>
      </c>
      <c r="L133" t="str">
        <f t="shared" si="126"/>
        <v>52 Skilled metal, electrical and electronic trades</v>
      </c>
      <c r="M133" s="26">
        <f t="shared" si="127"/>
        <v>-1.8675387266801522</v>
      </c>
      <c r="N133" s="26">
        <f t="shared" si="127"/>
        <v>-7.3969016884034318</v>
      </c>
      <c r="O133" s="26">
        <f t="shared" si="127"/>
        <v>-3.0241710091953138</v>
      </c>
      <c r="P133" s="26">
        <f t="shared" si="127"/>
        <v>-4.4116400164253946</v>
      </c>
      <c r="Q133" s="26">
        <f t="shared" si="128"/>
        <v>-7.4358110256207084</v>
      </c>
      <c r="W133" t="str">
        <f t="shared" si="129"/>
        <v>52 Skilled metal, electrical and electronic trades</v>
      </c>
      <c r="X133" s="26">
        <f t="shared" si="130"/>
        <v>0.26401941405773632</v>
      </c>
      <c r="Y133" s="26">
        <f t="shared" si="130"/>
        <v>-0.13885029765943879</v>
      </c>
      <c r="Z133" s="26">
        <f t="shared" si="130"/>
        <v>0.81436545921756931</v>
      </c>
      <c r="AA133" s="26">
        <f t="shared" si="130"/>
        <v>0.48674249352321297</v>
      </c>
      <c r="AB133" s="26">
        <f t="shared" si="131"/>
        <v>1.3011079527407823</v>
      </c>
    </row>
    <row r="134" spans="1:28" x14ac:dyDescent="0.2">
      <c r="A134" t="str">
        <f t="shared" si="123"/>
        <v>53 Skilled construction and building trades</v>
      </c>
      <c r="B134" s="26">
        <f t="shared" si="124"/>
        <v>3.2500428561017003</v>
      </c>
      <c r="C134" s="26">
        <f t="shared" si="124"/>
        <v>-8.6300904311734001</v>
      </c>
      <c r="D134" s="26">
        <f t="shared" si="124"/>
        <v>-0.55046055298178942</v>
      </c>
      <c r="E134" s="26">
        <f t="shared" si="124"/>
        <v>-3.5278851940831153</v>
      </c>
      <c r="F134" s="26">
        <f t="shared" si="125"/>
        <v>-4.0783457470649047</v>
      </c>
      <c r="L134" t="str">
        <f t="shared" si="126"/>
        <v>53 Skilled construction and building trades</v>
      </c>
      <c r="M134" s="26">
        <f t="shared" si="127"/>
        <v>3.931240070446151</v>
      </c>
      <c r="N134" s="26">
        <f t="shared" si="127"/>
        <v>-8.8160332902545662</v>
      </c>
      <c r="O134" s="26">
        <f t="shared" si="127"/>
        <v>-0.61954579306735269</v>
      </c>
      <c r="P134" s="26">
        <f t="shared" si="127"/>
        <v>-3.6731835161846078</v>
      </c>
      <c r="Q134" s="26">
        <f t="shared" si="128"/>
        <v>-4.2927293092519605</v>
      </c>
      <c r="W134" t="str">
        <f t="shared" si="129"/>
        <v>53 Skilled construction and building trades</v>
      </c>
      <c r="X134" s="26">
        <f t="shared" si="130"/>
        <v>-0.68119721434432912</v>
      </c>
      <c r="Y134" s="26">
        <f t="shared" si="130"/>
        <v>0.18594285908114305</v>
      </c>
      <c r="Z134" s="26">
        <f t="shared" si="130"/>
        <v>6.9085240085560828E-2</v>
      </c>
      <c r="AA134" s="26">
        <f t="shared" si="130"/>
        <v>0.14529832210145144</v>
      </c>
      <c r="AB134" s="26">
        <f t="shared" si="131"/>
        <v>0.21438356218701227</v>
      </c>
    </row>
    <row r="135" spans="1:28" x14ac:dyDescent="0.2">
      <c r="A135" t="str">
        <f t="shared" si="123"/>
        <v>54 Textiles, printing and other skilled trades</v>
      </c>
      <c r="B135" s="26">
        <f t="shared" si="124"/>
        <v>-3.0355841378242445</v>
      </c>
      <c r="C135" s="26">
        <f t="shared" si="124"/>
        <v>-1.257454291484251</v>
      </c>
      <c r="D135" s="26">
        <f t="shared" si="124"/>
        <v>-0.44437346843989189</v>
      </c>
      <c r="E135" s="26">
        <f t="shared" si="124"/>
        <v>-0.64177441894574372</v>
      </c>
      <c r="F135" s="26">
        <f t="shared" si="125"/>
        <v>-1.0861478873856356</v>
      </c>
      <c r="L135" t="str">
        <f t="shared" si="126"/>
        <v>54 Textiles, printing and other skilled trades</v>
      </c>
      <c r="M135" s="26">
        <f t="shared" si="127"/>
        <v>-1.5087162240583059</v>
      </c>
      <c r="N135" s="26">
        <f t="shared" si="127"/>
        <v>-2.172378050263422</v>
      </c>
      <c r="O135" s="26">
        <f t="shared" si="127"/>
        <v>-0.33326565820735787</v>
      </c>
      <c r="P135" s="26">
        <f t="shared" si="127"/>
        <v>-0.35290280864309942</v>
      </c>
      <c r="Q135" s="26">
        <f t="shared" si="128"/>
        <v>-0.68616846685045729</v>
      </c>
      <c r="W135" t="str">
        <f t="shared" si="129"/>
        <v>54 Textiles, printing and other skilled trades</v>
      </c>
      <c r="X135" s="26">
        <f t="shared" si="130"/>
        <v>-1.5268679137659262</v>
      </c>
      <c r="Y135" s="26">
        <f t="shared" si="130"/>
        <v>0.91492375877916743</v>
      </c>
      <c r="Z135" s="26">
        <f t="shared" si="130"/>
        <v>-0.11110781023254468</v>
      </c>
      <c r="AA135" s="26">
        <f t="shared" si="130"/>
        <v>-0.28887161030262654</v>
      </c>
      <c r="AB135" s="26">
        <f t="shared" si="131"/>
        <v>-0.39997942053517122</v>
      </c>
    </row>
    <row r="136" spans="1:28" x14ac:dyDescent="0.2">
      <c r="A136" t="str">
        <f t="shared" si="123"/>
        <v>61 Caring personal service occupations</v>
      </c>
      <c r="B136" s="26">
        <f t="shared" si="124"/>
        <v>-5.7437064456983933</v>
      </c>
      <c r="C136" s="26">
        <f t="shared" si="124"/>
        <v>2.3282331331356119</v>
      </c>
      <c r="D136" s="26">
        <f t="shared" si="124"/>
        <v>6.291641983105805</v>
      </c>
      <c r="E136" s="26">
        <f t="shared" si="124"/>
        <v>4.5094950441674655</v>
      </c>
      <c r="F136" s="26">
        <f t="shared" si="125"/>
        <v>10.801137027273271</v>
      </c>
      <c r="L136" t="str">
        <f t="shared" si="126"/>
        <v>61 Caring personal service occupations</v>
      </c>
      <c r="M136" s="26">
        <f t="shared" si="127"/>
        <v>5.7443749144791667E-2</v>
      </c>
      <c r="N136" s="26">
        <f t="shared" si="127"/>
        <v>-0.22972937804169824</v>
      </c>
      <c r="O136" s="26">
        <f t="shared" si="127"/>
        <v>2.3887454345665926</v>
      </c>
      <c r="P136" s="26">
        <f t="shared" si="127"/>
        <v>1.8493306667348151</v>
      </c>
      <c r="Q136" s="26">
        <f t="shared" si="128"/>
        <v>4.2380761013014077</v>
      </c>
      <c r="W136" t="str">
        <f t="shared" si="129"/>
        <v>61 Caring personal service occupations</v>
      </c>
      <c r="X136" s="26">
        <f t="shared" si="130"/>
        <v>-5.8011501948432027</v>
      </c>
      <c r="Y136" s="26">
        <f t="shared" si="130"/>
        <v>2.5579625111772941</v>
      </c>
      <c r="Z136" s="26">
        <f t="shared" si="130"/>
        <v>3.902896548539232</v>
      </c>
      <c r="AA136" s="26">
        <f t="shared" si="130"/>
        <v>2.6601643774326362</v>
      </c>
      <c r="AB136" s="26">
        <f t="shared" si="131"/>
        <v>6.5630609259718682</v>
      </c>
    </row>
    <row r="137" spans="1:28" x14ac:dyDescent="0.2">
      <c r="A137" t="str">
        <f t="shared" si="123"/>
        <v>62 Leisure, travel and related personal service occupations</v>
      </c>
      <c r="B137" s="26">
        <f t="shared" si="124"/>
        <v>1.161996033946739</v>
      </c>
      <c r="C137" s="26">
        <f t="shared" si="124"/>
        <v>-1.9579347469186672</v>
      </c>
      <c r="D137" s="26">
        <f t="shared" si="124"/>
        <v>-0.11537206143916023</v>
      </c>
      <c r="E137" s="26">
        <f t="shared" si="124"/>
        <v>0.85189671903624031</v>
      </c>
      <c r="F137" s="26">
        <f t="shared" si="125"/>
        <v>0.73652465759708008</v>
      </c>
      <c r="L137" t="str">
        <f t="shared" si="126"/>
        <v>62 Leisure, travel and related personal service occupations</v>
      </c>
      <c r="M137" s="26">
        <f t="shared" si="127"/>
        <v>0.47963455586023418</v>
      </c>
      <c r="N137" s="26">
        <f t="shared" si="127"/>
        <v>-5.7237267705682271E-2</v>
      </c>
      <c r="O137" s="26">
        <f t="shared" si="127"/>
        <v>-0.12269760843062194</v>
      </c>
      <c r="P137" s="26">
        <f t="shared" si="127"/>
        <v>0.6116595541780292</v>
      </c>
      <c r="Q137" s="26">
        <f t="shared" si="128"/>
        <v>0.48896194574740726</v>
      </c>
      <c r="W137" t="str">
        <f t="shared" si="129"/>
        <v>62 Leisure, travel and related personal service occupations</v>
      </c>
      <c r="X137" s="26">
        <f t="shared" si="130"/>
        <v>0.68236147808647729</v>
      </c>
      <c r="Y137" s="26">
        <f t="shared" si="130"/>
        <v>-1.900697479213008</v>
      </c>
      <c r="Z137" s="26">
        <f t="shared" si="130"/>
        <v>7.3255469914670357E-3</v>
      </c>
      <c r="AA137" s="26">
        <f t="shared" si="130"/>
        <v>0.24023716485817204</v>
      </c>
      <c r="AB137" s="26">
        <f t="shared" si="131"/>
        <v>0.24756271184963907</v>
      </c>
    </row>
    <row r="138" spans="1:28" x14ac:dyDescent="0.2">
      <c r="A138" t="str">
        <f t="shared" si="123"/>
        <v>63 Community and civil enforcement occupations</v>
      </c>
      <c r="B138" s="26">
        <f t="shared" si="124"/>
        <v>-0.12485165040957047</v>
      </c>
      <c r="C138" s="26">
        <f t="shared" si="124"/>
        <v>0.30140141827827693</v>
      </c>
      <c r="D138" s="26">
        <f t="shared" si="124"/>
        <v>-0.27957380526563536</v>
      </c>
      <c r="E138" s="26">
        <f t="shared" si="124"/>
        <v>8.3033522683295224E-2</v>
      </c>
      <c r="F138" s="26">
        <f t="shared" si="125"/>
        <v>-0.19654028258234013</v>
      </c>
      <c r="L138" t="str">
        <f t="shared" si="126"/>
        <v>63 Community and civil enforcement occupations</v>
      </c>
      <c r="M138" s="26">
        <f t="shared" si="127"/>
        <v>-0.20385613727159002</v>
      </c>
      <c r="N138" s="26">
        <f t="shared" si="127"/>
        <v>0.37198608343135697</v>
      </c>
      <c r="O138" s="26">
        <f t="shared" si="127"/>
        <v>-0.40524393761549193</v>
      </c>
      <c r="P138" s="26">
        <f t="shared" si="127"/>
        <v>9.6569661136710061E-2</v>
      </c>
      <c r="Q138" s="26">
        <f t="shared" si="128"/>
        <v>-0.30867427647878187</v>
      </c>
      <c r="W138" t="str">
        <f t="shared" si="129"/>
        <v>63 Community and civil enforcement occupations</v>
      </c>
      <c r="X138" s="26">
        <f t="shared" si="130"/>
        <v>7.9004486862020162E-2</v>
      </c>
      <c r="Y138" s="26">
        <f t="shared" si="130"/>
        <v>-7.0584665153083814E-2</v>
      </c>
      <c r="Z138" s="26">
        <f t="shared" si="130"/>
        <v>0.12567013234985858</v>
      </c>
      <c r="AA138" s="26">
        <f t="shared" si="130"/>
        <v>-1.3536138453413615E-2</v>
      </c>
      <c r="AB138" s="26">
        <f t="shared" si="131"/>
        <v>0.11213399389644496</v>
      </c>
    </row>
    <row r="139" spans="1:28" x14ac:dyDescent="0.2">
      <c r="A139" t="str">
        <f t="shared" si="123"/>
        <v>71 Sales occupations</v>
      </c>
      <c r="B139" s="26">
        <f t="shared" si="124"/>
        <v>-11.759320527618783</v>
      </c>
      <c r="C139" s="26">
        <f t="shared" si="124"/>
        <v>0.26810600851365507</v>
      </c>
      <c r="D139" s="26">
        <f t="shared" si="124"/>
        <v>-5.7816086154675617</v>
      </c>
      <c r="E139" s="26">
        <f t="shared" si="124"/>
        <v>-2.6736653657691818</v>
      </c>
      <c r="F139" s="26">
        <f t="shared" si="125"/>
        <v>-8.4552739812367435</v>
      </c>
      <c r="L139" t="str">
        <f t="shared" si="126"/>
        <v>71 Sales occupations</v>
      </c>
      <c r="M139" s="26">
        <f t="shared" si="127"/>
        <v>-1.3943807507088053</v>
      </c>
      <c r="N139" s="26">
        <f t="shared" si="127"/>
        <v>-0.79825247244032482</v>
      </c>
      <c r="O139" s="26">
        <f t="shared" si="127"/>
        <v>-2.0105618073733815</v>
      </c>
      <c r="P139" s="26">
        <f t="shared" si="127"/>
        <v>0.25301666486276986</v>
      </c>
      <c r="Q139" s="26">
        <f t="shared" si="128"/>
        <v>-1.7575451425106117</v>
      </c>
      <c r="W139" t="str">
        <f t="shared" si="129"/>
        <v>71 Sales occupations</v>
      </c>
      <c r="X139" s="26">
        <f t="shared" si="130"/>
        <v>-10.364939776909992</v>
      </c>
      <c r="Y139" s="26">
        <f t="shared" si="130"/>
        <v>1.0663584809538378</v>
      </c>
      <c r="Z139" s="26">
        <f t="shared" si="130"/>
        <v>-3.7710468080940274</v>
      </c>
      <c r="AA139" s="26">
        <f t="shared" si="130"/>
        <v>-2.926682030631909</v>
      </c>
      <c r="AB139" s="26">
        <f t="shared" si="131"/>
        <v>-6.6977288387259364</v>
      </c>
    </row>
    <row r="140" spans="1:28" x14ac:dyDescent="0.2">
      <c r="A140" t="str">
        <f t="shared" si="123"/>
        <v>72 Customer service occupations</v>
      </c>
      <c r="B140" s="26">
        <f t="shared" si="124"/>
        <v>0.76448072251685417</v>
      </c>
      <c r="C140" s="26">
        <f t="shared" si="124"/>
        <v>0.90005304895493765</v>
      </c>
      <c r="D140" s="26">
        <f t="shared" si="124"/>
        <v>6.3464149753066117</v>
      </c>
      <c r="E140" s="26">
        <f t="shared" si="124"/>
        <v>4.8371380329043241</v>
      </c>
      <c r="F140" s="26">
        <f t="shared" si="125"/>
        <v>11.183553008210936</v>
      </c>
      <c r="L140" t="str">
        <f t="shared" si="126"/>
        <v>72 Customer service occupations</v>
      </c>
      <c r="M140" s="26">
        <f t="shared" si="127"/>
        <v>-0.53437271037733503</v>
      </c>
      <c r="N140" s="26">
        <f t="shared" si="127"/>
        <v>1.4980992110699365</v>
      </c>
      <c r="O140" s="26">
        <f t="shared" si="127"/>
        <v>3.4012537283205262</v>
      </c>
      <c r="P140" s="26">
        <f t="shared" si="127"/>
        <v>2.6772401271122934</v>
      </c>
      <c r="Q140" s="26">
        <f t="shared" si="128"/>
        <v>6.0784938554328196</v>
      </c>
      <c r="W140" t="str">
        <f t="shared" si="129"/>
        <v>72 Customer service occupations</v>
      </c>
      <c r="X140" s="26">
        <f t="shared" si="130"/>
        <v>1.2988534328942283</v>
      </c>
      <c r="Y140" s="26">
        <f t="shared" si="130"/>
        <v>-0.59804616211497752</v>
      </c>
      <c r="Z140" s="26">
        <f t="shared" si="130"/>
        <v>2.9451612469860144</v>
      </c>
      <c r="AA140" s="26">
        <f t="shared" si="130"/>
        <v>2.1598979057920076</v>
      </c>
      <c r="AB140" s="26">
        <f t="shared" si="131"/>
        <v>5.105059152778022</v>
      </c>
    </row>
    <row r="141" spans="1:28" x14ac:dyDescent="0.2">
      <c r="A141" t="str">
        <f t="shared" si="123"/>
        <v>81 Process, plant and machine operatives</v>
      </c>
      <c r="B141" s="26">
        <f t="shared" si="124"/>
        <v>-3.7712119146257166</v>
      </c>
      <c r="C141" s="26">
        <f t="shared" si="124"/>
        <v>-5.0599025720759983</v>
      </c>
      <c r="D141" s="26">
        <f t="shared" si="124"/>
        <v>5.9672413500195489</v>
      </c>
      <c r="E141" s="26">
        <f t="shared" si="124"/>
        <v>-2.000465746337234</v>
      </c>
      <c r="F141" s="26">
        <f t="shared" si="125"/>
        <v>3.966775603682315</v>
      </c>
      <c r="L141" t="str">
        <f t="shared" si="126"/>
        <v>81 Process, plant and machine operatives</v>
      </c>
      <c r="M141" s="26">
        <f t="shared" si="127"/>
        <v>-3.7946906178505557</v>
      </c>
      <c r="N141" s="26">
        <f t="shared" si="127"/>
        <v>-3.685344451759466</v>
      </c>
      <c r="O141" s="26">
        <f t="shared" si="127"/>
        <v>4.8928947701815808</v>
      </c>
      <c r="P141" s="26">
        <f t="shared" si="127"/>
        <v>-1.4869611345205804</v>
      </c>
      <c r="Q141" s="26">
        <f t="shared" si="128"/>
        <v>3.4059336356610004</v>
      </c>
      <c r="W141" t="str">
        <f t="shared" si="129"/>
        <v>81 Process, plant and machine operatives</v>
      </c>
      <c r="X141" s="26">
        <f t="shared" si="130"/>
        <v>2.3478703224844466E-2</v>
      </c>
      <c r="Y141" s="26">
        <f t="shared" si="130"/>
        <v>-1.3745581203167037</v>
      </c>
      <c r="Z141" s="26">
        <f t="shared" si="130"/>
        <v>1.0743465798381315</v>
      </c>
      <c r="AA141" s="26">
        <f t="shared" si="130"/>
        <v>-0.51350461181671836</v>
      </c>
      <c r="AB141" s="26">
        <f t="shared" si="131"/>
        <v>0.56084196802141317</v>
      </c>
    </row>
    <row r="142" spans="1:28" x14ac:dyDescent="0.2">
      <c r="A142" t="str">
        <f t="shared" si="123"/>
        <v>82 Transport and mobile machine drivers and operatives</v>
      </c>
      <c r="B142" s="26">
        <f t="shared" si="124"/>
        <v>7.9032385467139434</v>
      </c>
      <c r="C142" s="26">
        <f t="shared" si="124"/>
        <v>-5.2548656668595797</v>
      </c>
      <c r="D142" s="26">
        <f t="shared" si="124"/>
        <v>0.18218045895887514</v>
      </c>
      <c r="E142" s="26">
        <f t="shared" si="124"/>
        <v>-2.3135671058895966</v>
      </c>
      <c r="F142" s="26">
        <f t="shared" si="125"/>
        <v>-2.1313866469307214</v>
      </c>
      <c r="L142" t="str">
        <f t="shared" si="126"/>
        <v>82 Transport and mobile machine drivers and operatives</v>
      </c>
      <c r="M142" s="26">
        <f t="shared" si="127"/>
        <v>7.9175383308227865</v>
      </c>
      <c r="N142" s="26">
        <f t="shared" si="127"/>
        <v>-4.9936195448652541</v>
      </c>
      <c r="O142" s="26">
        <f t="shared" si="127"/>
        <v>-0.28375104165952081</v>
      </c>
      <c r="P142" s="26">
        <f t="shared" si="127"/>
        <v>-2.4920384555644262</v>
      </c>
      <c r="Q142" s="26">
        <f t="shared" si="128"/>
        <v>-2.775789497223947</v>
      </c>
      <c r="W142" t="str">
        <f t="shared" si="129"/>
        <v>82 Transport and mobile machine drivers and operatives</v>
      </c>
      <c r="X142" s="26">
        <f t="shared" si="130"/>
        <v>-1.4299784108911862E-2</v>
      </c>
      <c r="Y142" s="26">
        <f t="shared" si="130"/>
        <v>-0.26124612199424835</v>
      </c>
      <c r="Z142" s="26">
        <f t="shared" si="130"/>
        <v>0.46593150061838084</v>
      </c>
      <c r="AA142" s="26">
        <f t="shared" si="130"/>
        <v>0.17847134967483202</v>
      </c>
      <c r="AB142" s="26">
        <f t="shared" si="131"/>
        <v>0.64440285029321287</v>
      </c>
    </row>
    <row r="143" spans="1:28" x14ac:dyDescent="0.2">
      <c r="A143" t="str">
        <f t="shared" si="123"/>
        <v>91 Elementary trades and related occupations</v>
      </c>
      <c r="B143" s="26">
        <f t="shared" si="124"/>
        <v>-2.4129621382059945</v>
      </c>
      <c r="C143" s="26">
        <f t="shared" si="124"/>
        <v>-2.2665986777770009</v>
      </c>
      <c r="D143" s="26">
        <f t="shared" si="124"/>
        <v>-3.0070573163637988</v>
      </c>
      <c r="E143" s="26">
        <f t="shared" si="124"/>
        <v>-0.90234318023104088</v>
      </c>
      <c r="F143" s="26">
        <f t="shared" si="125"/>
        <v>-3.9094004965948397</v>
      </c>
      <c r="L143" t="str">
        <f t="shared" si="126"/>
        <v>91 Elementary trades and related occupations</v>
      </c>
      <c r="M143" s="26">
        <f t="shared" si="127"/>
        <v>-1.6349914987200158</v>
      </c>
      <c r="N143" s="26">
        <f t="shared" si="127"/>
        <v>-1.4281702532447493</v>
      </c>
      <c r="O143" s="26">
        <f t="shared" si="127"/>
        <v>-2.571976282492626</v>
      </c>
      <c r="P143" s="26">
        <f t="shared" si="127"/>
        <v>-0.73711661815507057</v>
      </c>
      <c r="Q143" s="26">
        <f t="shared" si="128"/>
        <v>-3.3090929006476966</v>
      </c>
      <c r="W143" t="str">
        <f t="shared" si="129"/>
        <v>91 Elementary trades and related occupations</v>
      </c>
      <c r="X143" s="26">
        <f t="shared" si="130"/>
        <v>-0.77797063948606571</v>
      </c>
      <c r="Y143" s="26">
        <f t="shared" si="130"/>
        <v>-0.83842842453223287</v>
      </c>
      <c r="Z143" s="26">
        <f t="shared" si="130"/>
        <v>-0.43508103387113106</v>
      </c>
      <c r="AA143" s="26">
        <f t="shared" si="130"/>
        <v>-0.16522656207595876</v>
      </c>
      <c r="AB143" s="26">
        <f t="shared" si="131"/>
        <v>-0.60030759594708982</v>
      </c>
    </row>
    <row r="144" spans="1:28" x14ac:dyDescent="0.2">
      <c r="A144" t="str">
        <f t="shared" si="123"/>
        <v>92 Elementary administration and service occupations</v>
      </c>
      <c r="B144" s="26">
        <f t="shared" si="124"/>
        <v>-4.0556493291090305</v>
      </c>
      <c r="C144" s="26">
        <f t="shared" si="124"/>
        <v>-7.0905710648906961</v>
      </c>
      <c r="D144" s="26">
        <f t="shared" si="124"/>
        <v>0.41819053618456792</v>
      </c>
      <c r="E144" s="26">
        <f t="shared" si="124"/>
        <v>-0.27376503255536022</v>
      </c>
      <c r="F144" s="26">
        <f t="shared" si="125"/>
        <v>0.1444255036292077</v>
      </c>
      <c r="L144" t="str">
        <f t="shared" si="126"/>
        <v>92 Elementary administration and service occupations</v>
      </c>
      <c r="M144" s="26">
        <f t="shared" si="127"/>
        <v>3.2410606103493507</v>
      </c>
      <c r="N144" s="26">
        <f t="shared" si="127"/>
        <v>-3.9006290572526368</v>
      </c>
      <c r="O144" s="26">
        <f t="shared" si="127"/>
        <v>2.9380071206210374</v>
      </c>
      <c r="P144" s="26">
        <f t="shared" si="127"/>
        <v>-2.4228935231835607</v>
      </c>
      <c r="Q144" s="26">
        <f t="shared" si="128"/>
        <v>0.51511359743747676</v>
      </c>
      <c r="W144" t="str">
        <f t="shared" si="129"/>
        <v>92 Elementary administration and service occupations</v>
      </c>
      <c r="X144" s="26">
        <f t="shared" si="130"/>
        <v>-7.2967099394583315</v>
      </c>
      <c r="Y144" s="26">
        <f t="shared" si="130"/>
        <v>-3.1899420076379457</v>
      </c>
      <c r="Z144" s="26">
        <f t="shared" si="130"/>
        <v>-2.5198165844363629</v>
      </c>
      <c r="AA144" s="26">
        <f t="shared" si="130"/>
        <v>2.1491284906279233</v>
      </c>
      <c r="AB144" s="26">
        <f t="shared" si="131"/>
        <v>-0.37068809380843959</v>
      </c>
    </row>
    <row r="145" spans="1:31" x14ac:dyDescent="0.2">
      <c r="C145" s="26"/>
      <c r="F145" s="26"/>
      <c r="N145" s="26"/>
      <c r="Q145" s="26"/>
      <c r="Y145" s="26"/>
      <c r="AB145" s="26"/>
    </row>
    <row r="146" spans="1:31" x14ac:dyDescent="0.2">
      <c r="A146" s="23" t="str">
        <f>A35</f>
        <v>All occupations</v>
      </c>
      <c r="B146" s="28">
        <f>C35-B35</f>
        <v>-12.835000000874288</v>
      </c>
      <c r="C146" s="28">
        <f t="shared" ref="C146" si="132">D35-C35</f>
        <v>-5.5290000004870308</v>
      </c>
      <c r="D146" s="28">
        <f>E35-D35</f>
        <v>19.437000000141325</v>
      </c>
      <c r="E146" s="28">
        <f>F35-E35</f>
        <v>42.220999999780588</v>
      </c>
      <c r="F146" s="28">
        <f t="shared" ref="F146" si="133">F35-D35</f>
        <v>61.657999999921913</v>
      </c>
      <c r="L146" s="23" t="str">
        <f>L35</f>
        <v>All occupations</v>
      </c>
      <c r="M146" s="28">
        <f>N35-M35</f>
        <v>6.3739999992876619</v>
      </c>
      <c r="N146" s="28">
        <f t="shared" ref="N146" si="134">O35-N35</f>
        <v>-22.09900000052744</v>
      </c>
      <c r="O146" s="28">
        <f>P35-O35</f>
        <v>4.6250000001787157</v>
      </c>
      <c r="P146" s="28">
        <f>Q35-P35</f>
        <v>13.052000000202497</v>
      </c>
      <c r="Q146" s="28">
        <f t="shared" ref="Q146" si="135">Q35-O35</f>
        <v>17.677000000381213</v>
      </c>
      <c r="W146" s="23" t="str">
        <f>W35</f>
        <v>All occupations</v>
      </c>
      <c r="X146" s="28">
        <f>Y35-X35</f>
        <v>-19.209000000162064</v>
      </c>
      <c r="Y146" s="28">
        <f t="shared" ref="Y146" si="136">Z35-Y35</f>
        <v>16.570000000040181</v>
      </c>
      <c r="Z146" s="28">
        <f>AA35-Z35</f>
        <v>14.811999999963064</v>
      </c>
      <c r="AA146" s="28">
        <f>AB35-AA35</f>
        <v>29.168999999577409</v>
      </c>
      <c r="AB146" s="28">
        <f t="shared" ref="AB146" si="137">AB35-Z35</f>
        <v>43.980999999540472</v>
      </c>
    </row>
    <row r="150" spans="1:31" x14ac:dyDescent="0.2">
      <c r="D150" s="1" t="s">
        <v>13</v>
      </c>
      <c r="H150" s="40" t="s">
        <v>41</v>
      </c>
      <c r="O150" s="1" t="s">
        <v>13</v>
      </c>
      <c r="S150" s="40" t="s">
        <v>41</v>
      </c>
      <c r="Z150" s="1" t="s">
        <v>13</v>
      </c>
      <c r="AD150" s="40" t="s">
        <v>41</v>
      </c>
    </row>
    <row r="151" spans="1:31" x14ac:dyDescent="0.2">
      <c r="A151" s="21"/>
      <c r="B151" s="22">
        <f>B6</f>
        <v>2015</v>
      </c>
      <c r="C151" s="22">
        <f t="shared" ref="C151:F151" si="138">C6</f>
        <v>2019</v>
      </c>
      <c r="D151" s="22">
        <f t="shared" si="138"/>
        <v>2020</v>
      </c>
      <c r="E151" s="22">
        <f t="shared" si="138"/>
        <v>2025</v>
      </c>
      <c r="F151" s="22">
        <f t="shared" si="138"/>
        <v>2035</v>
      </c>
      <c r="H151" s="74" t="str">
        <f>CONCATENATE(B$6,"-",D$6)</f>
        <v>2015-2020</v>
      </c>
      <c r="I151" s="74" t="str">
        <f>CONCATENATE(D$6,"-",F$6)</f>
        <v>2020-2035</v>
      </c>
      <c r="L151" s="21"/>
      <c r="M151" s="22">
        <f>M6</f>
        <v>2015</v>
      </c>
      <c r="N151" s="22">
        <f t="shared" ref="N151:Q151" si="139">N6</f>
        <v>2019</v>
      </c>
      <c r="O151" s="22">
        <f t="shared" si="139"/>
        <v>2020</v>
      </c>
      <c r="P151" s="22">
        <f t="shared" si="139"/>
        <v>2025</v>
      </c>
      <c r="Q151" s="22">
        <f t="shared" si="139"/>
        <v>2035</v>
      </c>
      <c r="S151" s="74" t="str">
        <f>CONCATENATE(M$6,"-",O$6)</f>
        <v>2015-2020</v>
      </c>
      <c r="T151" s="74" t="str">
        <f>CONCATENATE(O$6,"-",Q$6)</f>
        <v>2020-2035</v>
      </c>
      <c r="W151" s="21"/>
      <c r="X151" s="22">
        <f>X6</f>
        <v>2015</v>
      </c>
      <c r="Y151" s="22">
        <f t="shared" ref="Y151:AB151" si="140">Y6</f>
        <v>2019</v>
      </c>
      <c r="Z151" s="22">
        <f t="shared" si="140"/>
        <v>2020</v>
      </c>
      <c r="AA151" s="22">
        <f t="shared" si="140"/>
        <v>2025</v>
      </c>
      <c r="AB151" s="22">
        <f t="shared" si="140"/>
        <v>2035</v>
      </c>
      <c r="AD151" s="74" t="str">
        <f>CONCATENATE(X$6,"-",Z$6)</f>
        <v>2015-2020</v>
      </c>
      <c r="AE151" s="74" t="str">
        <f>CONCATENATE(Z$6,"-",AB$6)</f>
        <v>2020-2035</v>
      </c>
    </row>
    <row r="152" spans="1:31" x14ac:dyDescent="0.2">
      <c r="A152" s="10"/>
      <c r="B152" s="11"/>
      <c r="C152" s="11"/>
      <c r="D152" s="11"/>
      <c r="E152" s="11"/>
      <c r="F152" s="11"/>
      <c r="H152" s="39"/>
      <c r="I152" s="39"/>
      <c r="L152" s="10"/>
      <c r="M152" s="11"/>
      <c r="N152" s="11"/>
      <c r="O152" s="11"/>
      <c r="P152" s="11"/>
      <c r="Q152" s="11"/>
      <c r="S152" s="39"/>
      <c r="T152" s="39"/>
      <c r="W152" s="10"/>
      <c r="X152" s="11"/>
      <c r="Y152" s="11"/>
      <c r="Z152" s="11"/>
      <c r="AA152" s="11"/>
      <c r="AB152" s="11"/>
      <c r="AD152" s="39"/>
      <c r="AE152" s="39"/>
    </row>
    <row r="153" spans="1:31" x14ac:dyDescent="0.2">
      <c r="A153" s="10" t="str">
        <f t="shared" ref="A153:B178" si="141">A8</f>
        <v>11 Corporate managers and directors</v>
      </c>
      <c r="B153" s="11">
        <f t="shared" si="141"/>
        <v>52.789581565562479</v>
      </c>
      <c r="C153" s="11">
        <f t="shared" ref="C153:F153" si="142">C8</f>
        <v>60.307239042803182</v>
      </c>
      <c r="D153" s="11">
        <f t="shared" si="142"/>
        <v>61.768389193758232</v>
      </c>
      <c r="E153" s="11">
        <f t="shared" si="142"/>
        <v>56.802971897231664</v>
      </c>
      <c r="F153" s="11">
        <f t="shared" si="142"/>
        <v>62.544495989530091</v>
      </c>
      <c r="H153" s="39">
        <f>IF(D$151-B$151 &lt;&gt; 0,(EXP(LN(D153/B153)/(D$151-B$151))-1)*100,0)</f>
        <v>3.1914253480733734</v>
      </c>
      <c r="I153" s="39">
        <f>IF(F$151-D$151 &lt;&gt; 0,(EXP(LN(F153/D153)/(F$151-D$151))-1)*100,0)</f>
        <v>8.3278039491885281E-2</v>
      </c>
      <c r="L153" s="10" t="str">
        <f>L8</f>
        <v>11 Corporate managers and directors</v>
      </c>
      <c r="M153" s="11">
        <f>M8</f>
        <v>35.369156541249737</v>
      </c>
      <c r="N153" s="11">
        <f t="shared" ref="N153:Q153" si="143">N8</f>
        <v>39.760461190813608</v>
      </c>
      <c r="O153" s="11">
        <f t="shared" si="143"/>
        <v>39.735415904179817</v>
      </c>
      <c r="P153" s="11">
        <f t="shared" si="143"/>
        <v>35.121878237871428</v>
      </c>
      <c r="Q153" s="11">
        <f t="shared" si="143"/>
        <v>36.746803874452283</v>
      </c>
      <c r="S153" s="39">
        <f>IF(O$151-M$151 &lt;&gt; 0,(EXP(LN(O153/M153)/(O$151-M$151))-1)*100,0)</f>
        <v>2.3553651532875142</v>
      </c>
      <c r="T153" s="39">
        <f>IF(Q$151-O$151 &lt;&gt; 0,(EXP(LN(Q153/O153)/(Q$151-O$151))-1)*100,0)</f>
        <v>-0.51992121192784291</v>
      </c>
      <c r="W153" s="10" t="str">
        <f>W8</f>
        <v>11 Corporate managers and directors</v>
      </c>
      <c r="X153" s="11">
        <f>X8</f>
        <v>17.420425024312813</v>
      </c>
      <c r="Y153" s="11">
        <f t="shared" ref="Y153:AB153" si="144">Y8</f>
        <v>20.546777851989521</v>
      </c>
      <c r="Z153" s="11">
        <f t="shared" si="144"/>
        <v>22.032973289578493</v>
      </c>
      <c r="AA153" s="11">
        <f t="shared" si="144"/>
        <v>21.681093659360197</v>
      </c>
      <c r="AB153" s="11">
        <f t="shared" si="144"/>
        <v>25.797692115077673</v>
      </c>
      <c r="AD153" s="39">
        <f>IF(Z$151-X$151 &lt;&gt; 0,(EXP(LN(Z153/X153)/(Z$151-X$151))-1)*100,0)</f>
        <v>4.8100365043392657</v>
      </c>
      <c r="AE153" s="39">
        <f>IF(AB$151-Z$151 &lt;&gt; 0,(EXP(LN(AB153/Z153)/(AB$151-Z$151))-1)*100,0)</f>
        <v>1.0571818780966025</v>
      </c>
    </row>
    <row r="154" spans="1:31" x14ac:dyDescent="0.2">
      <c r="A154" s="10" t="str">
        <f t="shared" si="141"/>
        <v>12 Other managers and proprietors</v>
      </c>
      <c r="B154" s="11">
        <f t="shared" si="141"/>
        <v>35.787011508835903</v>
      </c>
      <c r="C154" s="11">
        <f t="shared" ref="C154:F178" si="145">C9</f>
        <v>39.39331360435942</v>
      </c>
      <c r="D154" s="11">
        <f t="shared" si="145"/>
        <v>37.959358890498983</v>
      </c>
      <c r="E154" s="11">
        <f t="shared" si="145"/>
        <v>45.396463520018202</v>
      </c>
      <c r="F154" s="11">
        <f t="shared" si="145"/>
        <v>53.565388035408674</v>
      </c>
      <c r="H154" s="39">
        <f t="shared" ref="H154:H180" si="146">IF(D$151-B$151 &lt;&gt; 0,(EXP(LN(D154/B154)/(D$151-B$151))-1)*100,0)</f>
        <v>1.1855943883452458</v>
      </c>
      <c r="I154" s="39">
        <f t="shared" ref="I154:I180" si="147">IF(F$151-D$151 &lt;&gt; 0,(EXP(LN(F154/D154)/(F$151-D$151))-1)*100,0)</f>
        <v>2.322472491234584</v>
      </c>
      <c r="L154" s="10" t="str">
        <f t="shared" ref="L154:Q154" si="148">L9</f>
        <v>12 Other managers and proprietors</v>
      </c>
      <c r="M154" s="11">
        <f t="shared" si="148"/>
        <v>22.105455100829843</v>
      </c>
      <c r="N154" s="11">
        <f t="shared" si="148"/>
        <v>24.178728525939544</v>
      </c>
      <c r="O154" s="11">
        <f t="shared" si="148"/>
        <v>21.607011035550773</v>
      </c>
      <c r="P154" s="11">
        <f t="shared" si="148"/>
        <v>26.576733649204986</v>
      </c>
      <c r="Q154" s="11">
        <f t="shared" si="148"/>
        <v>31.839345231094963</v>
      </c>
      <c r="S154" s="39">
        <f t="shared" ref="S154:S177" si="149">IF(O$151-M$151 &lt;&gt; 0,(EXP(LN(O154/M154)/(O$151-M$151))-1)*100,0)</f>
        <v>-0.45509266483217958</v>
      </c>
      <c r="T154" s="39">
        <f t="shared" ref="T154:T177" si="150">IF(Q$151-O$151 &lt;&gt; 0,(EXP(LN(Q154/O154)/(Q$151-O$151))-1)*100,0)</f>
        <v>2.6182558615336138</v>
      </c>
      <c r="W154" s="10" t="str">
        <f t="shared" ref="W154:AB154" si="151">W9</f>
        <v>12 Other managers and proprietors</v>
      </c>
      <c r="X154" s="11">
        <f t="shared" si="151"/>
        <v>13.681556408005987</v>
      </c>
      <c r="Y154" s="11">
        <f t="shared" si="151"/>
        <v>15.214585078419875</v>
      </c>
      <c r="Z154" s="11">
        <f t="shared" si="151"/>
        <v>16.352347854948217</v>
      </c>
      <c r="AA154" s="11">
        <f t="shared" si="151"/>
        <v>18.819729870813308</v>
      </c>
      <c r="AB154" s="11">
        <f t="shared" si="151"/>
        <v>21.726042804313742</v>
      </c>
      <c r="AD154" s="39">
        <f t="shared" ref="AD154:AD177" si="152">IF(Z$151-X$151 &lt;&gt; 0,(EXP(LN(Z154/X154)/(Z$151-X$151))-1)*100,0)</f>
        <v>3.6308170728535316</v>
      </c>
      <c r="AE154" s="39">
        <f t="shared" ref="AE154:AE177" si="153">IF(AB$151-Z$151 &lt;&gt; 0,(EXP(LN(AB154/Z154)/(AB$151-Z$151))-1)*100,0)</f>
        <v>1.9123229676724085</v>
      </c>
    </row>
    <row r="155" spans="1:31" x14ac:dyDescent="0.2">
      <c r="A155" s="10" t="str">
        <f t="shared" si="141"/>
        <v>21 Science, research, engineering and technology professionals</v>
      </c>
      <c r="B155" s="11">
        <f t="shared" si="141"/>
        <v>53.08494534255329</v>
      </c>
      <c r="C155" s="11">
        <f t="shared" si="145"/>
        <v>55.687059516730201</v>
      </c>
      <c r="D155" s="11">
        <f t="shared" si="145"/>
        <v>57.693711549572342</v>
      </c>
      <c r="E155" s="11">
        <f t="shared" si="145"/>
        <v>60.108225983479294</v>
      </c>
      <c r="F155" s="11">
        <f t="shared" si="145"/>
        <v>66.33260773023207</v>
      </c>
      <c r="H155" s="39">
        <f t="shared" si="146"/>
        <v>1.6790361796333197</v>
      </c>
      <c r="I155" s="39">
        <f t="shared" si="147"/>
        <v>0.93456278520251956</v>
      </c>
      <c r="L155" s="10" t="str">
        <f t="shared" ref="L155:Q155" si="154">L10</f>
        <v>21 Science, research, engineering and technology professionals</v>
      </c>
      <c r="M155" s="11">
        <f t="shared" si="154"/>
        <v>44.020344903198726</v>
      </c>
      <c r="N155" s="11">
        <f t="shared" si="154"/>
        <v>46.725428973441559</v>
      </c>
      <c r="O155" s="11">
        <f t="shared" si="154"/>
        <v>46.485415600666066</v>
      </c>
      <c r="P155" s="11">
        <f t="shared" si="154"/>
        <v>46.848680728507411</v>
      </c>
      <c r="Q155" s="11">
        <f t="shared" si="154"/>
        <v>50.029337898578653</v>
      </c>
      <c r="S155" s="39">
        <f t="shared" si="149"/>
        <v>1.0956934135798235</v>
      </c>
      <c r="T155" s="39">
        <f t="shared" si="150"/>
        <v>0.49100798562522474</v>
      </c>
      <c r="W155" s="10" t="str">
        <f t="shared" ref="W155:AB155" si="155">W10</f>
        <v>21 Science, research, engineering and technology professionals</v>
      </c>
      <c r="X155" s="11">
        <f t="shared" si="155"/>
        <v>9.0646004393546598</v>
      </c>
      <c r="Y155" s="11">
        <f t="shared" si="155"/>
        <v>8.9616305432886509</v>
      </c>
      <c r="Z155" s="11">
        <f t="shared" si="155"/>
        <v>11.208295948906075</v>
      </c>
      <c r="AA155" s="11">
        <f t="shared" si="155"/>
        <v>13.259545254971941</v>
      </c>
      <c r="AB155" s="11">
        <f t="shared" si="155"/>
        <v>16.303269831653395</v>
      </c>
      <c r="AD155" s="39">
        <f t="shared" si="152"/>
        <v>4.3369614518400157</v>
      </c>
      <c r="AE155" s="39">
        <f t="shared" si="153"/>
        <v>2.5295398916432177</v>
      </c>
    </row>
    <row r="156" spans="1:31" x14ac:dyDescent="0.2">
      <c r="A156" s="10" t="str">
        <f t="shared" si="141"/>
        <v>22 Health professionals</v>
      </c>
      <c r="B156" s="11">
        <f t="shared" si="141"/>
        <v>74.445418040172925</v>
      </c>
      <c r="C156" s="11">
        <f t="shared" si="145"/>
        <v>75.385023455696555</v>
      </c>
      <c r="D156" s="11">
        <f t="shared" si="145"/>
        <v>80.600575984282628</v>
      </c>
      <c r="E156" s="11">
        <f t="shared" si="145"/>
        <v>88.781813698391318</v>
      </c>
      <c r="F156" s="11">
        <f t="shared" si="145"/>
        <v>98.888062303322812</v>
      </c>
      <c r="H156" s="39">
        <f t="shared" si="146"/>
        <v>1.6014800545100405</v>
      </c>
      <c r="I156" s="39">
        <f t="shared" si="147"/>
        <v>1.3725523924732919</v>
      </c>
      <c r="L156" s="10" t="str">
        <f t="shared" ref="L156:Q156" si="156">L11</f>
        <v>22 Health professionals</v>
      </c>
      <c r="M156" s="11">
        <f t="shared" si="156"/>
        <v>18.134536067187859</v>
      </c>
      <c r="N156" s="11">
        <f t="shared" si="156"/>
        <v>18.201808740120857</v>
      </c>
      <c r="O156" s="11">
        <f t="shared" si="156"/>
        <v>21.095818552794629</v>
      </c>
      <c r="P156" s="11">
        <f t="shared" si="156"/>
        <v>23.031200466469244</v>
      </c>
      <c r="Q156" s="11">
        <f t="shared" si="156"/>
        <v>25.843409901291938</v>
      </c>
      <c r="S156" s="39">
        <f t="shared" si="149"/>
        <v>3.0713552239375996</v>
      </c>
      <c r="T156" s="39">
        <f t="shared" si="150"/>
        <v>1.3624024900236842</v>
      </c>
      <c r="W156" s="10" t="str">
        <f t="shared" ref="W156:AB156" si="157">W11</f>
        <v>22 Health professionals</v>
      </c>
      <c r="X156" s="11">
        <f t="shared" si="157"/>
        <v>56.310881972985008</v>
      </c>
      <c r="Y156" s="11">
        <f t="shared" si="157"/>
        <v>57.183214715575829</v>
      </c>
      <c r="Z156" s="11">
        <f t="shared" si="157"/>
        <v>59.504757431488315</v>
      </c>
      <c r="AA156" s="11">
        <f t="shared" si="157"/>
        <v>65.750613231922017</v>
      </c>
      <c r="AB156" s="11">
        <f t="shared" si="157"/>
        <v>73.044652402030962</v>
      </c>
      <c r="AD156" s="39">
        <f t="shared" si="152"/>
        <v>1.1094788531895494</v>
      </c>
      <c r="AE156" s="39">
        <f t="shared" si="153"/>
        <v>1.3761473551676451</v>
      </c>
    </row>
    <row r="157" spans="1:31" x14ac:dyDescent="0.2">
      <c r="A157" s="10" t="str">
        <f t="shared" si="141"/>
        <v>23 Teaching and other educational professionals</v>
      </c>
      <c r="B157" s="11">
        <f t="shared" si="141"/>
        <v>51.740039318389456</v>
      </c>
      <c r="C157" s="11">
        <f t="shared" si="145"/>
        <v>51.254551275781473</v>
      </c>
      <c r="D157" s="11">
        <f t="shared" si="145"/>
        <v>53.708575195788306</v>
      </c>
      <c r="E157" s="11">
        <f t="shared" si="145"/>
        <v>58.715715140042562</v>
      </c>
      <c r="F157" s="11">
        <f t="shared" si="145"/>
        <v>63.137330106243262</v>
      </c>
      <c r="H157" s="39">
        <f t="shared" si="146"/>
        <v>0.74961039979839494</v>
      </c>
      <c r="I157" s="39">
        <f t="shared" si="147"/>
        <v>1.0840976851205664</v>
      </c>
      <c r="L157" s="10" t="str">
        <f t="shared" ref="L157:Q157" si="158">L12</f>
        <v>23 Teaching and other educational professionals</v>
      </c>
      <c r="M157" s="11">
        <f t="shared" si="158"/>
        <v>21.954919330672428</v>
      </c>
      <c r="N157" s="11">
        <f t="shared" si="158"/>
        <v>18.096946345867021</v>
      </c>
      <c r="O157" s="11">
        <f t="shared" si="158"/>
        <v>17.693644709941591</v>
      </c>
      <c r="P157" s="11">
        <f t="shared" si="158"/>
        <v>19.738412491431049</v>
      </c>
      <c r="Q157" s="11">
        <f t="shared" si="158"/>
        <v>20.678324469522309</v>
      </c>
      <c r="S157" s="39">
        <f t="shared" si="149"/>
        <v>-4.2239126320665177</v>
      </c>
      <c r="T157" s="39">
        <f t="shared" si="150"/>
        <v>1.0446218409703834</v>
      </c>
      <c r="W157" s="10" t="str">
        <f t="shared" ref="W157:AB157" si="159">W12</f>
        <v>23 Teaching and other educational professionals</v>
      </c>
      <c r="X157" s="11">
        <f t="shared" si="159"/>
        <v>29.785119987716982</v>
      </c>
      <c r="Y157" s="11">
        <f t="shared" si="159"/>
        <v>33.157604929914569</v>
      </c>
      <c r="Z157" s="11">
        <f t="shared" si="159"/>
        <v>36.014930485846712</v>
      </c>
      <c r="AA157" s="11">
        <f t="shared" si="159"/>
        <v>38.977302648611627</v>
      </c>
      <c r="AB157" s="11">
        <f t="shared" si="159"/>
        <v>42.459005636721024</v>
      </c>
      <c r="AD157" s="39">
        <f t="shared" si="152"/>
        <v>3.8715579038651304</v>
      </c>
      <c r="AE157" s="39">
        <f t="shared" si="153"/>
        <v>1.1034128458631276</v>
      </c>
    </row>
    <row r="158" spans="1:31" x14ac:dyDescent="0.2">
      <c r="A158" s="10" t="str">
        <f t="shared" si="141"/>
        <v>24 Business, media and public service professionals</v>
      </c>
      <c r="B158" s="11">
        <f t="shared" si="141"/>
        <v>52.220322486637031</v>
      </c>
      <c r="C158" s="11">
        <f t="shared" si="145"/>
        <v>55.346228521105971</v>
      </c>
      <c r="D158" s="11">
        <f t="shared" si="145"/>
        <v>62.751374352085939</v>
      </c>
      <c r="E158" s="11">
        <f t="shared" si="145"/>
        <v>68.732832036169498</v>
      </c>
      <c r="F158" s="11">
        <f t="shared" si="145"/>
        <v>78.429102753555412</v>
      </c>
      <c r="H158" s="39">
        <f t="shared" si="146"/>
        <v>3.7425069350011997</v>
      </c>
      <c r="I158" s="39">
        <f t="shared" si="147"/>
        <v>1.4978712280647066</v>
      </c>
      <c r="L158" s="10" t="str">
        <f t="shared" ref="L158:Q158" si="160">L13</f>
        <v>24 Business, media and public service professionals</v>
      </c>
      <c r="M158" s="11">
        <f t="shared" si="160"/>
        <v>28.275231135837455</v>
      </c>
      <c r="N158" s="11">
        <f t="shared" si="160"/>
        <v>28.082541855922774</v>
      </c>
      <c r="O158" s="11">
        <f t="shared" si="160"/>
        <v>30.862420269723909</v>
      </c>
      <c r="P158" s="11">
        <f t="shared" si="160"/>
        <v>33.777985097925892</v>
      </c>
      <c r="Q158" s="11">
        <f t="shared" si="160"/>
        <v>36.804428294204449</v>
      </c>
      <c r="S158" s="39">
        <f t="shared" si="149"/>
        <v>1.766482455073537</v>
      </c>
      <c r="T158" s="39">
        <f t="shared" si="150"/>
        <v>1.1807761049527521</v>
      </c>
      <c r="W158" s="10" t="str">
        <f t="shared" ref="W158:AB158" si="161">W13</f>
        <v>24 Business, media and public service professionals</v>
      </c>
      <c r="X158" s="11">
        <f t="shared" si="161"/>
        <v>23.945091350799704</v>
      </c>
      <c r="Y158" s="11">
        <f t="shared" si="161"/>
        <v>27.263686665183315</v>
      </c>
      <c r="Z158" s="11">
        <f t="shared" si="161"/>
        <v>31.888954082362034</v>
      </c>
      <c r="AA158" s="11">
        <f t="shared" si="161"/>
        <v>34.954846938243584</v>
      </c>
      <c r="AB158" s="11">
        <f t="shared" si="161"/>
        <v>41.624674459351105</v>
      </c>
      <c r="AD158" s="39">
        <f t="shared" si="152"/>
        <v>5.8972678344383356</v>
      </c>
      <c r="AE158" s="39">
        <f t="shared" si="153"/>
        <v>1.7920916194786196</v>
      </c>
    </row>
    <row r="159" spans="1:31" x14ac:dyDescent="0.2">
      <c r="A159" s="10" t="str">
        <f t="shared" si="141"/>
        <v>31 Science, engineering and technology associate professionals</v>
      </c>
      <c r="B159" s="11">
        <f t="shared" si="141"/>
        <v>22.173700353829513</v>
      </c>
      <c r="C159" s="11">
        <f t="shared" si="145"/>
        <v>23.792244132513261</v>
      </c>
      <c r="D159" s="11">
        <f t="shared" si="145"/>
        <v>25.674611673300856</v>
      </c>
      <c r="E159" s="11">
        <f t="shared" si="145"/>
        <v>22.156159876445123</v>
      </c>
      <c r="F159" s="11">
        <f t="shared" si="145"/>
        <v>23.163165143553364</v>
      </c>
      <c r="H159" s="39">
        <f t="shared" si="146"/>
        <v>2.9753180176036231</v>
      </c>
      <c r="I159" s="39">
        <f t="shared" si="147"/>
        <v>-0.6839127547068613</v>
      </c>
      <c r="L159" s="10" t="str">
        <f t="shared" ref="L159:Q159" si="162">L14</f>
        <v>31 Science, engineering and technology associate professionals</v>
      </c>
      <c r="M159" s="11">
        <f t="shared" si="162"/>
        <v>17.787496212294091</v>
      </c>
      <c r="N159" s="11">
        <f t="shared" si="162"/>
        <v>19.534061192279957</v>
      </c>
      <c r="O159" s="11">
        <f t="shared" si="162"/>
        <v>20.428744491910066</v>
      </c>
      <c r="P159" s="11">
        <f t="shared" si="162"/>
        <v>16.690863179015739</v>
      </c>
      <c r="Q159" s="11">
        <f t="shared" si="162"/>
        <v>16.631563600966476</v>
      </c>
      <c r="S159" s="39">
        <f t="shared" si="149"/>
        <v>2.8076355924051777</v>
      </c>
      <c r="T159" s="39">
        <f t="shared" si="150"/>
        <v>-1.3615830549178254</v>
      </c>
      <c r="W159" s="10" t="str">
        <f t="shared" ref="W159:AB159" si="163">W14</f>
        <v>31 Science, engineering and technology associate professionals</v>
      </c>
      <c r="X159" s="11">
        <f t="shared" si="163"/>
        <v>4.3862041415354707</v>
      </c>
      <c r="Y159" s="11">
        <f t="shared" si="163"/>
        <v>4.2581829402333211</v>
      </c>
      <c r="Z159" s="11">
        <f t="shared" si="163"/>
        <v>5.2458671813908486</v>
      </c>
      <c r="AA159" s="11">
        <f t="shared" si="163"/>
        <v>5.4652966974294168</v>
      </c>
      <c r="AB159" s="11">
        <f t="shared" si="163"/>
        <v>6.5316015425868352</v>
      </c>
      <c r="AD159" s="39">
        <f t="shared" si="152"/>
        <v>3.6443637859155498</v>
      </c>
      <c r="AE159" s="39">
        <f t="shared" si="153"/>
        <v>1.4721415457570108</v>
      </c>
    </row>
    <row r="160" spans="1:31" x14ac:dyDescent="0.2">
      <c r="A160" s="10" t="str">
        <f t="shared" si="141"/>
        <v>32 Health and social care associate professionals</v>
      </c>
      <c r="B160" s="11">
        <f t="shared" si="141"/>
        <v>25.961609747557699</v>
      </c>
      <c r="C160" s="11">
        <f t="shared" si="145"/>
        <v>26.234270158773597</v>
      </c>
      <c r="D160" s="11">
        <f t="shared" si="145"/>
        <v>28.696516826584283</v>
      </c>
      <c r="E160" s="11">
        <f t="shared" si="145"/>
        <v>29.170206138223762</v>
      </c>
      <c r="F160" s="11">
        <f t="shared" si="145"/>
        <v>31.883140108811844</v>
      </c>
      <c r="H160" s="39">
        <f t="shared" si="146"/>
        <v>2.0233344610784521</v>
      </c>
      <c r="I160" s="39">
        <f t="shared" si="147"/>
        <v>0.70448051335030293</v>
      </c>
      <c r="L160" s="10" t="str">
        <f t="shared" ref="L160:Q160" si="164">L15</f>
        <v>32 Health and social care associate professionals</v>
      </c>
      <c r="M160" s="11">
        <f t="shared" si="164"/>
        <v>5.9989883891014966</v>
      </c>
      <c r="N160" s="11">
        <f t="shared" si="164"/>
        <v>5.7541164170374053</v>
      </c>
      <c r="O160" s="11">
        <f t="shared" si="164"/>
        <v>6.5622472118968682</v>
      </c>
      <c r="P160" s="11">
        <f t="shared" si="164"/>
        <v>6.006008646859808</v>
      </c>
      <c r="Q160" s="11">
        <f t="shared" si="164"/>
        <v>6.4497924322423712</v>
      </c>
      <c r="S160" s="39">
        <f t="shared" si="149"/>
        <v>1.8110492232684683</v>
      </c>
      <c r="T160" s="39">
        <f t="shared" si="150"/>
        <v>-0.11516801628942419</v>
      </c>
      <c r="W160" s="10" t="str">
        <f t="shared" ref="W160:AB160" si="165">W15</f>
        <v>32 Health and social care associate professionals</v>
      </c>
      <c r="X160" s="11">
        <f t="shared" si="165"/>
        <v>19.962621358456222</v>
      </c>
      <c r="Y160" s="11">
        <f t="shared" si="165"/>
        <v>20.480153741736185</v>
      </c>
      <c r="Z160" s="11">
        <f t="shared" si="165"/>
        <v>22.134269614687419</v>
      </c>
      <c r="AA160" s="11">
        <f t="shared" si="165"/>
        <v>23.164197491363925</v>
      </c>
      <c r="AB160" s="11">
        <f t="shared" si="165"/>
        <v>25.433347676569465</v>
      </c>
      <c r="AD160" s="39">
        <f t="shared" si="152"/>
        <v>2.0867846235801624</v>
      </c>
      <c r="AE160" s="39">
        <f t="shared" si="153"/>
        <v>0.93053039425117223</v>
      </c>
    </row>
    <row r="161" spans="1:31" x14ac:dyDescent="0.2">
      <c r="A161" s="10" t="str">
        <f t="shared" si="141"/>
        <v>33 Protective service occupations</v>
      </c>
      <c r="B161" s="11">
        <f t="shared" si="141"/>
        <v>14.68743195603696</v>
      </c>
      <c r="C161" s="11">
        <f t="shared" si="145"/>
        <v>15.637461080435006</v>
      </c>
      <c r="D161" s="11">
        <f t="shared" si="145"/>
        <v>16.490904766190859</v>
      </c>
      <c r="E161" s="11">
        <f t="shared" si="145"/>
        <v>18.925385851473798</v>
      </c>
      <c r="F161" s="11">
        <f t="shared" si="145"/>
        <v>21.562302765848596</v>
      </c>
      <c r="H161" s="39">
        <f t="shared" si="146"/>
        <v>2.3433722931692769</v>
      </c>
      <c r="I161" s="39">
        <f t="shared" si="147"/>
        <v>1.803656539104348</v>
      </c>
      <c r="L161" s="10" t="str">
        <f t="shared" ref="L161:Q161" si="166">L16</f>
        <v>33 Protective service occupations</v>
      </c>
      <c r="M161" s="11">
        <f t="shared" si="166"/>
        <v>11.111441624063808</v>
      </c>
      <c r="N161" s="11">
        <f t="shared" si="166"/>
        <v>11.591925917359603</v>
      </c>
      <c r="O161" s="11">
        <f t="shared" si="166"/>
        <v>11.988773796171809</v>
      </c>
      <c r="P161" s="11">
        <f t="shared" si="166"/>
        <v>13.127975215448016</v>
      </c>
      <c r="Q161" s="11">
        <f t="shared" si="166"/>
        <v>13.961513754404317</v>
      </c>
      <c r="S161" s="39">
        <f t="shared" si="149"/>
        <v>1.5315161371391994</v>
      </c>
      <c r="T161" s="39">
        <f t="shared" si="150"/>
        <v>1.0207331780360152</v>
      </c>
      <c r="W161" s="10" t="str">
        <f t="shared" ref="W161:AB161" si="167">W16</f>
        <v>33 Protective service occupations</v>
      </c>
      <c r="X161" s="11">
        <f t="shared" si="167"/>
        <v>3.5759903319731263</v>
      </c>
      <c r="Y161" s="11">
        <f t="shared" si="167"/>
        <v>4.0455351630754022</v>
      </c>
      <c r="Z161" s="11">
        <f t="shared" si="167"/>
        <v>4.5021309700189773</v>
      </c>
      <c r="AA161" s="11">
        <f t="shared" si="167"/>
        <v>5.7974106360257514</v>
      </c>
      <c r="AB161" s="11">
        <f t="shared" si="167"/>
        <v>7.60078901144432</v>
      </c>
      <c r="AD161" s="39">
        <f t="shared" si="152"/>
        <v>4.7139055108827987</v>
      </c>
      <c r="AE161" s="39">
        <f t="shared" si="153"/>
        <v>3.5530043591721405</v>
      </c>
    </row>
    <row r="162" spans="1:31" x14ac:dyDescent="0.2">
      <c r="A162" s="10" t="str">
        <f t="shared" si="141"/>
        <v>34 Culture, media and sports occupations</v>
      </c>
      <c r="B162" s="11">
        <f t="shared" si="141"/>
        <v>15.58428987447075</v>
      </c>
      <c r="C162" s="11">
        <f t="shared" si="145"/>
        <v>15.773641586757474</v>
      </c>
      <c r="D162" s="11">
        <f t="shared" si="145"/>
        <v>14.871594679764716</v>
      </c>
      <c r="E162" s="11">
        <f t="shared" si="145"/>
        <v>14.006985384223782</v>
      </c>
      <c r="F162" s="11">
        <f t="shared" si="145"/>
        <v>15.744184153452183</v>
      </c>
      <c r="H162" s="39">
        <f t="shared" si="146"/>
        <v>-0.93183825362352923</v>
      </c>
      <c r="I162" s="39">
        <f t="shared" si="147"/>
        <v>0.38084364570027951</v>
      </c>
      <c r="L162" s="10" t="str">
        <f t="shared" ref="L162:Q162" si="168">L17</f>
        <v>34 Culture, media and sports occupations</v>
      </c>
      <c r="M162" s="11">
        <f t="shared" si="168"/>
        <v>6.7426093420687456</v>
      </c>
      <c r="N162" s="11">
        <f t="shared" si="168"/>
        <v>7.5650955732103462</v>
      </c>
      <c r="O162" s="11">
        <f t="shared" si="168"/>
        <v>6.2979093288572043</v>
      </c>
      <c r="P162" s="11">
        <f t="shared" si="168"/>
        <v>5.9451958107448561</v>
      </c>
      <c r="Q162" s="11">
        <f t="shared" si="168"/>
        <v>6.4829890439361764</v>
      </c>
      <c r="S162" s="39">
        <f t="shared" si="149"/>
        <v>-1.3553170796042013</v>
      </c>
      <c r="T162" s="39">
        <f t="shared" si="150"/>
        <v>0.1932795476770055</v>
      </c>
      <c r="W162" s="10" t="str">
        <f t="shared" ref="W162:AB162" si="169">W17</f>
        <v>34 Culture, media and sports occupations</v>
      </c>
      <c r="X162" s="11">
        <f t="shared" si="169"/>
        <v>8.8416805324020267</v>
      </c>
      <c r="Y162" s="11">
        <f t="shared" si="169"/>
        <v>8.2085460135471084</v>
      </c>
      <c r="Z162" s="11">
        <f t="shared" si="169"/>
        <v>8.5736853509075157</v>
      </c>
      <c r="AA162" s="11">
        <f t="shared" si="169"/>
        <v>8.0617895734789293</v>
      </c>
      <c r="AB162" s="11">
        <f t="shared" si="169"/>
        <v>9.261195109516013</v>
      </c>
      <c r="AD162" s="39">
        <f t="shared" si="152"/>
        <v>-0.61369504409023445</v>
      </c>
      <c r="AE162" s="39">
        <f t="shared" si="153"/>
        <v>0.51556067962719165</v>
      </c>
    </row>
    <row r="163" spans="1:31" x14ac:dyDescent="0.2">
      <c r="A163" s="10" t="str">
        <f t="shared" si="141"/>
        <v>35 Business and public service associate professionals</v>
      </c>
      <c r="B163" s="11">
        <f t="shared" si="141"/>
        <v>50.660121656326183</v>
      </c>
      <c r="C163" s="11">
        <f t="shared" si="145"/>
        <v>51.930744233608991</v>
      </c>
      <c r="D163" s="11">
        <f t="shared" si="145"/>
        <v>54.538524390761594</v>
      </c>
      <c r="E163" s="11">
        <f t="shared" si="145"/>
        <v>51.701814796508764</v>
      </c>
      <c r="F163" s="11">
        <f t="shared" si="145"/>
        <v>54.505397506817054</v>
      </c>
      <c r="H163" s="39">
        <f t="shared" si="146"/>
        <v>1.4863027490615632</v>
      </c>
      <c r="I163" s="39">
        <f t="shared" si="147"/>
        <v>-4.0505041124405672E-3</v>
      </c>
      <c r="L163" s="10" t="str">
        <f t="shared" ref="L163:Q163" si="170">L18</f>
        <v>35 Business and public service associate professionals</v>
      </c>
      <c r="M163" s="11">
        <f t="shared" si="170"/>
        <v>25.082172549793022</v>
      </c>
      <c r="N163" s="11">
        <f t="shared" si="170"/>
        <v>25.438934236682407</v>
      </c>
      <c r="O163" s="11">
        <f t="shared" si="170"/>
        <v>26.564514034525022</v>
      </c>
      <c r="P163" s="11">
        <f t="shared" si="170"/>
        <v>24.163738534296222</v>
      </c>
      <c r="Q163" s="11">
        <f t="shared" si="170"/>
        <v>24.135730477065955</v>
      </c>
      <c r="S163" s="39">
        <f t="shared" si="149"/>
        <v>1.1549977700313629</v>
      </c>
      <c r="T163" s="39">
        <f t="shared" si="150"/>
        <v>-0.63718088027593378</v>
      </c>
      <c r="W163" s="10" t="str">
        <f t="shared" ref="W163:AB163" si="171">W18</f>
        <v>35 Business and public service associate professionals</v>
      </c>
      <c r="X163" s="11">
        <f t="shared" si="171"/>
        <v>25.5779491065332</v>
      </c>
      <c r="Y163" s="11">
        <f t="shared" si="171"/>
        <v>26.491809996926737</v>
      </c>
      <c r="Z163" s="11">
        <f t="shared" si="171"/>
        <v>27.974010356236636</v>
      </c>
      <c r="AA163" s="11">
        <f t="shared" si="171"/>
        <v>27.538076262212677</v>
      </c>
      <c r="AB163" s="11">
        <f t="shared" si="171"/>
        <v>30.36966702975106</v>
      </c>
      <c r="AD163" s="39">
        <f t="shared" si="152"/>
        <v>1.8070380773882677</v>
      </c>
      <c r="AE163" s="39">
        <f t="shared" si="153"/>
        <v>0.54929269480357146</v>
      </c>
    </row>
    <row r="164" spans="1:31" x14ac:dyDescent="0.2">
      <c r="A164" s="10" t="str">
        <f t="shared" si="141"/>
        <v>41 Administrative occupations</v>
      </c>
      <c r="B164" s="11">
        <f t="shared" si="141"/>
        <v>114.57040469271979</v>
      </c>
      <c r="C164" s="11">
        <f t="shared" si="145"/>
        <v>105.53980785630196</v>
      </c>
      <c r="D164" s="11">
        <f t="shared" si="145"/>
        <v>110.91865106364448</v>
      </c>
      <c r="E164" s="11">
        <f t="shared" si="145"/>
        <v>101.70991395703572</v>
      </c>
      <c r="F164" s="11">
        <f t="shared" si="145"/>
        <v>97.055349402964936</v>
      </c>
      <c r="H164" s="39">
        <f t="shared" si="146"/>
        <v>-0.64575523807332003</v>
      </c>
      <c r="I164" s="39">
        <f t="shared" si="147"/>
        <v>-0.88615450774064408</v>
      </c>
      <c r="L164" s="10" t="str">
        <f t="shared" ref="L164:Q164" si="172">L19</f>
        <v>41 Administrative occupations</v>
      </c>
      <c r="M164" s="11">
        <f t="shared" si="172"/>
        <v>34.766037827392644</v>
      </c>
      <c r="N164" s="11">
        <f t="shared" si="172"/>
        <v>31.066412228997802</v>
      </c>
      <c r="O164" s="11">
        <f t="shared" si="172"/>
        <v>37.233378622315428</v>
      </c>
      <c r="P164" s="11">
        <f t="shared" si="172"/>
        <v>35.435520102130205</v>
      </c>
      <c r="Q164" s="11">
        <f t="shared" si="172"/>
        <v>38.957957029619536</v>
      </c>
      <c r="S164" s="39">
        <f t="shared" si="149"/>
        <v>1.3807383071153589</v>
      </c>
      <c r="T164" s="39">
        <f t="shared" si="150"/>
        <v>0.3023053972685652</v>
      </c>
      <c r="W164" s="10" t="str">
        <f t="shared" ref="W164:AB164" si="173">W19</f>
        <v>41 Administrative occupations</v>
      </c>
      <c r="X164" s="11">
        <f t="shared" si="173"/>
        <v>79.804366865327268</v>
      </c>
      <c r="Y164" s="11">
        <f t="shared" si="173"/>
        <v>74.473395627304086</v>
      </c>
      <c r="Z164" s="11">
        <f t="shared" si="173"/>
        <v>73.685272441329062</v>
      </c>
      <c r="AA164" s="11">
        <f t="shared" si="173"/>
        <v>66.274393854905597</v>
      </c>
      <c r="AB164" s="11">
        <f t="shared" si="173"/>
        <v>58.097392373345521</v>
      </c>
      <c r="AD164" s="39">
        <f t="shared" si="152"/>
        <v>-1.5828447849223215</v>
      </c>
      <c r="AE164" s="39">
        <f t="shared" si="153"/>
        <v>-1.5720598668875985</v>
      </c>
    </row>
    <row r="165" spans="1:31" x14ac:dyDescent="0.2">
      <c r="A165" s="10" t="str">
        <f t="shared" si="141"/>
        <v>42 Secretarial and related occupations</v>
      </c>
      <c r="B165" s="11">
        <f t="shared" si="141"/>
        <v>25.1803806130523</v>
      </c>
      <c r="C165" s="11">
        <f t="shared" si="145"/>
        <v>21.474199365586301</v>
      </c>
      <c r="D165" s="11">
        <f t="shared" si="145"/>
        <v>21.772443071641227</v>
      </c>
      <c r="E165" s="11">
        <f t="shared" si="145"/>
        <v>23.693157887733729</v>
      </c>
      <c r="F165" s="11">
        <f t="shared" si="145"/>
        <v>20.167851374538614</v>
      </c>
      <c r="H165" s="39">
        <f t="shared" si="146"/>
        <v>-2.8665141443915521</v>
      </c>
      <c r="I165" s="39">
        <f t="shared" si="147"/>
        <v>-0.50906830229731082</v>
      </c>
      <c r="L165" s="10" t="str">
        <f t="shared" ref="L165:Q165" si="174">L20</f>
        <v>42 Secretarial and related occupations</v>
      </c>
      <c r="M165" s="11">
        <f t="shared" si="174"/>
        <v>1.6789348131317414</v>
      </c>
      <c r="N165" s="11">
        <f t="shared" si="174"/>
        <v>1.2765123230505644</v>
      </c>
      <c r="O165" s="11">
        <f t="shared" si="174"/>
        <v>1.1666759509376754</v>
      </c>
      <c r="P165" s="11">
        <f t="shared" si="174"/>
        <v>1.694401719120664</v>
      </c>
      <c r="Q165" s="11">
        <f t="shared" si="174"/>
        <v>2.0435303176081177</v>
      </c>
      <c r="S165" s="39">
        <f t="shared" si="149"/>
        <v>-7.0213401325411535</v>
      </c>
      <c r="T165" s="39">
        <f t="shared" si="150"/>
        <v>3.8074977526187048</v>
      </c>
      <c r="W165" s="10" t="str">
        <f t="shared" ref="W165:AB165" si="175">W20</f>
        <v>42 Secretarial and related occupations</v>
      </c>
      <c r="X165" s="11">
        <f t="shared" si="175"/>
        <v>23.501445799920564</v>
      </c>
      <c r="Y165" s="11">
        <f t="shared" si="175"/>
        <v>20.197687042535737</v>
      </c>
      <c r="Z165" s="11">
        <f t="shared" si="175"/>
        <v>20.605767120703554</v>
      </c>
      <c r="AA165" s="11">
        <f t="shared" si="175"/>
        <v>21.99875616861307</v>
      </c>
      <c r="AB165" s="11">
        <f t="shared" si="175"/>
        <v>18.124321056930512</v>
      </c>
      <c r="AD165" s="39">
        <f t="shared" si="152"/>
        <v>-2.5955403810517752</v>
      </c>
      <c r="AE165" s="39">
        <f t="shared" si="153"/>
        <v>-0.85179319406040177</v>
      </c>
    </row>
    <row r="166" spans="1:31" x14ac:dyDescent="0.2">
      <c r="A166" s="10" t="str">
        <f t="shared" si="141"/>
        <v>51 Skilled agricultural and related trades</v>
      </c>
      <c r="B166" s="11">
        <f t="shared" si="141"/>
        <v>12.543419718462415</v>
      </c>
      <c r="C166" s="11">
        <f t="shared" si="145"/>
        <v>10.264940340113577</v>
      </c>
      <c r="D166" s="11">
        <f t="shared" si="145"/>
        <v>10.301868360565633</v>
      </c>
      <c r="E166" s="11">
        <f t="shared" si="145"/>
        <v>10.465035897964432</v>
      </c>
      <c r="F166" s="11">
        <f t="shared" si="145"/>
        <v>11.586104938365459</v>
      </c>
      <c r="H166" s="39">
        <f t="shared" si="146"/>
        <v>-3.8609097151089067</v>
      </c>
      <c r="I166" s="39">
        <f t="shared" si="147"/>
        <v>0.78628347946878563</v>
      </c>
      <c r="L166" s="10" t="str">
        <f t="shared" ref="L166:Q166" si="176">L21</f>
        <v>51 Skilled agricultural and related trades</v>
      </c>
      <c r="M166" s="11">
        <f t="shared" si="176"/>
        <v>11.636452191940384</v>
      </c>
      <c r="N166" s="11">
        <f t="shared" si="176"/>
        <v>9.0764318563695703</v>
      </c>
      <c r="O166" s="11">
        <f t="shared" si="176"/>
        <v>8.1366460268245948</v>
      </c>
      <c r="P166" s="11">
        <f t="shared" si="176"/>
        <v>8.0753337418006499</v>
      </c>
      <c r="Q166" s="11">
        <f t="shared" si="176"/>
        <v>8.7701206946933734</v>
      </c>
      <c r="S166" s="39">
        <f t="shared" si="149"/>
        <v>-6.9052978672003444</v>
      </c>
      <c r="T166" s="39">
        <f t="shared" si="150"/>
        <v>0.50106789695818499</v>
      </c>
      <c r="W166" s="10" t="str">
        <f t="shared" ref="W166:AB166" si="177">W21</f>
        <v>51 Skilled agricultural and related trades</v>
      </c>
      <c r="X166" s="11">
        <f t="shared" si="177"/>
        <v>0.90696752652206036</v>
      </c>
      <c r="Y166" s="11">
        <f t="shared" si="177"/>
        <v>1.1885084837439934</v>
      </c>
      <c r="Z166" s="11">
        <f t="shared" si="177"/>
        <v>2.1652223337410623</v>
      </c>
      <c r="AA166" s="11">
        <f t="shared" si="177"/>
        <v>2.3897021561637932</v>
      </c>
      <c r="AB166" s="11">
        <f t="shared" si="177"/>
        <v>2.8159842436720797</v>
      </c>
      <c r="AD166" s="39">
        <f t="shared" si="152"/>
        <v>19.009642908651546</v>
      </c>
      <c r="AE166" s="39">
        <f t="shared" si="153"/>
        <v>1.7673615045206814</v>
      </c>
    </row>
    <row r="167" spans="1:31" x14ac:dyDescent="0.2">
      <c r="A167" s="10" t="str">
        <f t="shared" si="141"/>
        <v>52 Skilled metal, electrical and electronic trades</v>
      </c>
      <c r="B167" s="11">
        <f t="shared" si="141"/>
        <v>51.747021542468346</v>
      </c>
      <c r="C167" s="11">
        <f t="shared" si="145"/>
        <v>50.143502229845936</v>
      </c>
      <c r="D167" s="11">
        <f t="shared" si="145"/>
        <v>42.60775024378303</v>
      </c>
      <c r="E167" s="11">
        <f t="shared" si="145"/>
        <v>40.397944693805357</v>
      </c>
      <c r="F167" s="11">
        <f t="shared" si="145"/>
        <v>36.473047170903065</v>
      </c>
      <c r="H167" s="39">
        <f t="shared" si="146"/>
        <v>-3.8120543906761784</v>
      </c>
      <c r="I167" s="39">
        <f t="shared" si="147"/>
        <v>-1.0310651226223211</v>
      </c>
      <c r="L167" s="10" t="str">
        <f t="shared" ref="L167:Q167" si="178">L22</f>
        <v>52 Skilled metal, electrical and electronic trades</v>
      </c>
      <c r="M167" s="11">
        <f t="shared" si="178"/>
        <v>51.271698802829619</v>
      </c>
      <c r="N167" s="11">
        <f t="shared" si="178"/>
        <v>49.404160076149466</v>
      </c>
      <c r="O167" s="11">
        <f t="shared" si="178"/>
        <v>42.007258387746035</v>
      </c>
      <c r="P167" s="11">
        <f t="shared" si="178"/>
        <v>38.983087378550721</v>
      </c>
      <c r="Q167" s="11">
        <f t="shared" si="178"/>
        <v>34.571447362125326</v>
      </c>
      <c r="S167" s="39">
        <f t="shared" si="149"/>
        <v>-3.9075367798052429</v>
      </c>
      <c r="T167" s="39">
        <f t="shared" si="150"/>
        <v>-1.2903644899477373</v>
      </c>
      <c r="W167" s="10" t="str">
        <f t="shared" ref="W167:AB167" si="179">W22</f>
        <v>52 Skilled metal, electrical and electronic trades</v>
      </c>
      <c r="X167" s="11">
        <f t="shared" si="179"/>
        <v>0.47532273963869587</v>
      </c>
      <c r="Y167" s="11">
        <f t="shared" si="179"/>
        <v>0.73934215369643219</v>
      </c>
      <c r="Z167" s="11">
        <f t="shared" si="179"/>
        <v>0.6004918560369934</v>
      </c>
      <c r="AA167" s="11">
        <f t="shared" si="179"/>
        <v>1.4148573152545627</v>
      </c>
      <c r="AB167" s="11">
        <f t="shared" si="179"/>
        <v>1.9015998087777757</v>
      </c>
      <c r="AD167" s="39">
        <f t="shared" si="152"/>
        <v>4.7861070563615105</v>
      </c>
      <c r="AE167" s="39">
        <f t="shared" si="153"/>
        <v>7.9876607616557349</v>
      </c>
    </row>
    <row r="168" spans="1:31" x14ac:dyDescent="0.2">
      <c r="A168" s="10" t="str">
        <f t="shared" si="141"/>
        <v>53 Skilled construction and building trades</v>
      </c>
      <c r="B168" s="11">
        <f t="shared" si="141"/>
        <v>41.419150338928858</v>
      </c>
      <c r="C168" s="11">
        <f t="shared" si="145"/>
        <v>44.669193195030559</v>
      </c>
      <c r="D168" s="11">
        <f t="shared" si="145"/>
        <v>36.039102763857159</v>
      </c>
      <c r="E168" s="11">
        <f t="shared" si="145"/>
        <v>35.488642210875369</v>
      </c>
      <c r="F168" s="11">
        <f t="shared" si="145"/>
        <v>31.960757016792254</v>
      </c>
      <c r="H168" s="39">
        <f t="shared" si="146"/>
        <v>-2.7444135688581728</v>
      </c>
      <c r="I168" s="39">
        <f t="shared" si="147"/>
        <v>-0.79744162815216235</v>
      </c>
      <c r="L168" s="10" t="str">
        <f t="shared" ref="L168:Q168" si="180">L23</f>
        <v>53 Skilled construction and building trades</v>
      </c>
      <c r="M168" s="11">
        <f t="shared" si="180"/>
        <v>39.895092634430256</v>
      </c>
      <c r="N168" s="11">
        <f t="shared" si="180"/>
        <v>43.826332704876407</v>
      </c>
      <c r="O168" s="11">
        <f t="shared" si="180"/>
        <v>35.010299414621841</v>
      </c>
      <c r="P168" s="11">
        <f t="shared" si="180"/>
        <v>34.390753621554488</v>
      </c>
      <c r="Q168" s="11">
        <f t="shared" si="180"/>
        <v>30.71757010536988</v>
      </c>
      <c r="S168" s="39">
        <f t="shared" si="149"/>
        <v>-2.5783974175892843</v>
      </c>
      <c r="T168" s="39">
        <f t="shared" si="150"/>
        <v>-0.86825854170540229</v>
      </c>
      <c r="W168" s="10" t="str">
        <f t="shared" ref="W168:AB168" si="181">W23</f>
        <v>53 Skilled construction and building trades</v>
      </c>
      <c r="X168" s="11">
        <f t="shared" si="181"/>
        <v>1.5240577044984849</v>
      </c>
      <c r="Y168" s="11">
        <f t="shared" si="181"/>
        <v>0.84286049015415576</v>
      </c>
      <c r="Z168" s="11">
        <f t="shared" si="181"/>
        <v>1.0288033492352988</v>
      </c>
      <c r="AA168" s="11">
        <f t="shared" si="181"/>
        <v>1.0978885893208596</v>
      </c>
      <c r="AB168" s="11">
        <f t="shared" si="181"/>
        <v>1.2431869114223111</v>
      </c>
      <c r="AD168" s="39">
        <f t="shared" si="152"/>
        <v>-7.5586686234745182</v>
      </c>
      <c r="AE168" s="39">
        <f t="shared" si="153"/>
        <v>1.2698742370888638</v>
      </c>
    </row>
    <row r="169" spans="1:31" x14ac:dyDescent="0.2">
      <c r="A169" s="10" t="str">
        <f t="shared" si="141"/>
        <v>54 Textiles, printing and other skilled trades</v>
      </c>
      <c r="B169" s="11">
        <f t="shared" si="141"/>
        <v>25.386641391134777</v>
      </c>
      <c r="C169" s="11">
        <f t="shared" si="145"/>
        <v>22.351057253310533</v>
      </c>
      <c r="D169" s="11">
        <f t="shared" si="145"/>
        <v>21.093602961826281</v>
      </c>
      <c r="E169" s="11">
        <f t="shared" si="145"/>
        <v>20.64922949338639</v>
      </c>
      <c r="F169" s="11">
        <f t="shared" si="145"/>
        <v>20.007455074440646</v>
      </c>
      <c r="H169" s="39">
        <f t="shared" si="146"/>
        <v>-3.6372681097002202</v>
      </c>
      <c r="I169" s="39">
        <f t="shared" si="147"/>
        <v>-0.35181208283330268</v>
      </c>
      <c r="L169" s="10" t="str">
        <f t="shared" ref="L169:Q169" si="182">L24</f>
        <v>54 Textiles, printing and other skilled trades</v>
      </c>
      <c r="M169" s="11">
        <f t="shared" si="182"/>
        <v>14.628688141793107</v>
      </c>
      <c r="N169" s="11">
        <f t="shared" si="182"/>
        <v>13.119971917734802</v>
      </c>
      <c r="O169" s="11">
        <f t="shared" si="182"/>
        <v>10.94759386747138</v>
      </c>
      <c r="P169" s="11">
        <f t="shared" si="182"/>
        <v>10.614328209264022</v>
      </c>
      <c r="Q169" s="11">
        <f t="shared" si="182"/>
        <v>10.261425400620922</v>
      </c>
      <c r="S169" s="39">
        <f t="shared" si="149"/>
        <v>-5.6324544978219144</v>
      </c>
      <c r="T169" s="39">
        <f t="shared" si="150"/>
        <v>-0.43058986511029795</v>
      </c>
      <c r="W169" s="10" t="str">
        <f t="shared" ref="W169:AB169" si="183">W24</f>
        <v>54 Textiles, printing and other skilled trades</v>
      </c>
      <c r="X169" s="11">
        <f t="shared" si="183"/>
        <v>10.757953249341664</v>
      </c>
      <c r="Y169" s="11">
        <f t="shared" si="183"/>
        <v>9.2310853355757381</v>
      </c>
      <c r="Z169" s="11">
        <f t="shared" si="183"/>
        <v>10.146009094354905</v>
      </c>
      <c r="AA169" s="11">
        <f t="shared" si="183"/>
        <v>10.034901284122361</v>
      </c>
      <c r="AB169" s="11">
        <f t="shared" si="183"/>
        <v>9.7460296738197343</v>
      </c>
      <c r="AD169" s="39">
        <f t="shared" si="152"/>
        <v>-1.1644646669415115</v>
      </c>
      <c r="AE169" s="39">
        <f t="shared" si="153"/>
        <v>-0.26777714474325309</v>
      </c>
    </row>
    <row r="170" spans="1:31" x14ac:dyDescent="0.2">
      <c r="A170" s="10" t="str">
        <f t="shared" si="141"/>
        <v>61 Caring personal service occupations</v>
      </c>
      <c r="B170" s="11">
        <f t="shared" si="141"/>
        <v>88.684911099512362</v>
      </c>
      <c r="C170" s="11">
        <f t="shared" si="145"/>
        <v>82.941204653813969</v>
      </c>
      <c r="D170" s="11">
        <f t="shared" si="145"/>
        <v>85.269437786949581</v>
      </c>
      <c r="E170" s="11">
        <f t="shared" si="145"/>
        <v>91.561079770055386</v>
      </c>
      <c r="F170" s="11">
        <f t="shared" si="145"/>
        <v>96.070574814222852</v>
      </c>
      <c r="H170" s="39">
        <f t="shared" si="146"/>
        <v>-0.78239649614618711</v>
      </c>
      <c r="I170" s="39">
        <f t="shared" si="147"/>
        <v>0.79828259462559892</v>
      </c>
      <c r="L170" s="10" t="str">
        <f t="shared" ref="L170:Q170" si="184">L25</f>
        <v>61 Caring personal service occupations</v>
      </c>
      <c r="M170" s="11">
        <f t="shared" si="184"/>
        <v>11.116397224333236</v>
      </c>
      <c r="N170" s="11">
        <f t="shared" si="184"/>
        <v>11.173840973478027</v>
      </c>
      <c r="O170" s="11">
        <f t="shared" si="184"/>
        <v>10.944111595436329</v>
      </c>
      <c r="P170" s="11">
        <f t="shared" si="184"/>
        <v>13.332857030002922</v>
      </c>
      <c r="Q170" s="11">
        <f t="shared" si="184"/>
        <v>15.182187696737737</v>
      </c>
      <c r="S170" s="39">
        <f t="shared" si="149"/>
        <v>-0.31190631698909677</v>
      </c>
      <c r="T170" s="39">
        <f t="shared" si="150"/>
        <v>2.2061249895104273</v>
      </c>
      <c r="W170" s="10" t="str">
        <f t="shared" ref="W170:AB170" si="185">W25</f>
        <v>61 Caring personal service occupations</v>
      </c>
      <c r="X170" s="11">
        <f t="shared" si="185"/>
        <v>77.568513875179136</v>
      </c>
      <c r="Y170" s="11">
        <f t="shared" si="185"/>
        <v>71.767363680335933</v>
      </c>
      <c r="Z170" s="11">
        <f t="shared" si="185"/>
        <v>74.325326191513227</v>
      </c>
      <c r="AA170" s="11">
        <f t="shared" si="185"/>
        <v>78.228222740052459</v>
      </c>
      <c r="AB170" s="11">
        <f t="shared" si="185"/>
        <v>80.888387117485095</v>
      </c>
      <c r="AD170" s="39">
        <f t="shared" si="152"/>
        <v>-0.85055886959454208</v>
      </c>
      <c r="AE170" s="39">
        <f t="shared" si="153"/>
        <v>0.56571757254424426</v>
      </c>
    </row>
    <row r="171" spans="1:31" x14ac:dyDescent="0.2">
      <c r="A171" s="10" t="str">
        <f t="shared" si="141"/>
        <v>62 Leisure, travel and related personal service occupations</v>
      </c>
      <c r="B171" s="11">
        <f t="shared" si="141"/>
        <v>27.405172717445431</v>
      </c>
      <c r="C171" s="11">
        <f t="shared" si="145"/>
        <v>28.56716875139217</v>
      </c>
      <c r="D171" s="11">
        <f t="shared" si="145"/>
        <v>26.609234004473503</v>
      </c>
      <c r="E171" s="11">
        <f t="shared" si="145"/>
        <v>26.493861943034343</v>
      </c>
      <c r="F171" s="11">
        <f t="shared" si="145"/>
        <v>27.345758662070583</v>
      </c>
      <c r="H171" s="39">
        <f t="shared" si="146"/>
        <v>-0.58773568265229059</v>
      </c>
      <c r="I171" s="39">
        <f t="shared" si="147"/>
        <v>0.1821867048710013</v>
      </c>
      <c r="L171" s="10" t="str">
        <f t="shared" ref="L171:Q171" si="186">L26</f>
        <v>62 Leisure, travel and related personal service occupations</v>
      </c>
      <c r="M171" s="11">
        <f t="shared" si="186"/>
        <v>7.9917594776597687</v>
      </c>
      <c r="N171" s="11">
        <f t="shared" si="186"/>
        <v>8.4713940335200029</v>
      </c>
      <c r="O171" s="11">
        <f t="shared" si="186"/>
        <v>8.4141567658143206</v>
      </c>
      <c r="P171" s="11">
        <f t="shared" si="186"/>
        <v>8.2914591573836987</v>
      </c>
      <c r="Q171" s="11">
        <f t="shared" si="186"/>
        <v>8.9031187115617278</v>
      </c>
      <c r="S171" s="39">
        <f t="shared" si="149"/>
        <v>1.0354171470326801</v>
      </c>
      <c r="T171" s="39">
        <f t="shared" si="150"/>
        <v>0.37728336760696202</v>
      </c>
      <c r="W171" s="10" t="str">
        <f t="shared" ref="W171:AB171" si="187">W26</f>
        <v>62 Leisure, travel and related personal service occupations</v>
      </c>
      <c r="X171" s="11">
        <f t="shared" si="187"/>
        <v>19.413413239785708</v>
      </c>
      <c r="Y171" s="11">
        <f t="shared" si="187"/>
        <v>20.095774717872185</v>
      </c>
      <c r="Z171" s="11">
        <f t="shared" si="187"/>
        <v>18.195077238659177</v>
      </c>
      <c r="AA171" s="11">
        <f t="shared" si="187"/>
        <v>18.202402785650644</v>
      </c>
      <c r="AB171" s="11">
        <f t="shared" si="187"/>
        <v>18.442639950508816</v>
      </c>
      <c r="AD171" s="39">
        <f t="shared" si="152"/>
        <v>-1.2878977976731654</v>
      </c>
      <c r="AE171" s="39">
        <f t="shared" si="153"/>
        <v>9.0135905493538004E-2</v>
      </c>
    </row>
    <row r="172" spans="1:31" x14ac:dyDescent="0.2">
      <c r="A172" s="10" t="str">
        <f t="shared" si="141"/>
        <v>63 Community and civil enforcement occupations</v>
      </c>
      <c r="B172" s="11">
        <f t="shared" si="141"/>
        <v>1.3802744895746679</v>
      </c>
      <c r="C172" s="11">
        <f t="shared" si="145"/>
        <v>1.2554228391650974</v>
      </c>
      <c r="D172" s="11">
        <f t="shared" si="145"/>
        <v>1.5568242574433744</v>
      </c>
      <c r="E172" s="11">
        <f t="shared" si="145"/>
        <v>1.277250452177739</v>
      </c>
      <c r="F172" s="11">
        <f t="shared" si="145"/>
        <v>1.3602839748610343</v>
      </c>
      <c r="H172" s="39">
        <f t="shared" si="146"/>
        <v>2.4365222689466837</v>
      </c>
      <c r="I172" s="39">
        <f t="shared" si="147"/>
        <v>-0.89566171107728909</v>
      </c>
      <c r="L172" s="10" t="str">
        <f t="shared" ref="L172:Q172" si="188">L27</f>
        <v>63 Community and civil enforcement occupations</v>
      </c>
      <c r="M172" s="11">
        <f t="shared" si="188"/>
        <v>1.0207425802249825</v>
      </c>
      <c r="N172" s="11">
        <f t="shared" si="188"/>
        <v>0.81688644295339252</v>
      </c>
      <c r="O172" s="11">
        <f t="shared" si="188"/>
        <v>1.1888725263847495</v>
      </c>
      <c r="P172" s="11">
        <f t="shared" si="188"/>
        <v>0.78362858876925756</v>
      </c>
      <c r="Q172" s="11">
        <f t="shared" si="188"/>
        <v>0.88019824990596762</v>
      </c>
      <c r="S172" s="39">
        <f t="shared" si="149"/>
        <v>3.0964739116744022</v>
      </c>
      <c r="T172" s="39">
        <f t="shared" si="150"/>
        <v>-1.9841416919287314</v>
      </c>
      <c r="W172" s="10" t="str">
        <f t="shared" ref="W172:AB172" si="189">W27</f>
        <v>63 Community and civil enforcement occupations</v>
      </c>
      <c r="X172" s="11">
        <f t="shared" si="189"/>
        <v>0.35953190934968643</v>
      </c>
      <c r="Y172" s="11">
        <f t="shared" si="189"/>
        <v>0.43853639621170659</v>
      </c>
      <c r="Z172" s="11">
        <f t="shared" si="189"/>
        <v>0.36795173105862278</v>
      </c>
      <c r="AA172" s="11">
        <f t="shared" si="189"/>
        <v>0.49362186340848135</v>
      </c>
      <c r="AB172" s="11">
        <f t="shared" si="189"/>
        <v>0.48008572495506774</v>
      </c>
      <c r="AD172" s="39">
        <f t="shared" si="152"/>
        <v>0.46405000020617315</v>
      </c>
      <c r="AE172" s="39">
        <f t="shared" si="153"/>
        <v>1.7892379045540308</v>
      </c>
    </row>
    <row r="173" spans="1:31" x14ac:dyDescent="0.2">
      <c r="A173" s="10" t="str">
        <f t="shared" si="141"/>
        <v>71 Sales occupations</v>
      </c>
      <c r="B173" s="11">
        <f t="shared" si="141"/>
        <v>115.11953582269213</v>
      </c>
      <c r="C173" s="11">
        <f t="shared" si="145"/>
        <v>103.36021529507335</v>
      </c>
      <c r="D173" s="11">
        <f t="shared" si="145"/>
        <v>103.628321303587</v>
      </c>
      <c r="E173" s="11">
        <f t="shared" si="145"/>
        <v>97.846712688119439</v>
      </c>
      <c r="F173" s="11">
        <f t="shared" si="145"/>
        <v>95.173047322350257</v>
      </c>
      <c r="H173" s="39">
        <f t="shared" si="146"/>
        <v>-2.0812441677521276</v>
      </c>
      <c r="I173" s="39">
        <f t="shared" si="147"/>
        <v>-0.56581903856246507</v>
      </c>
      <c r="L173" s="10" t="str">
        <f t="shared" ref="L173:Q173" si="190">L28</f>
        <v>71 Sales occupations</v>
      </c>
      <c r="M173" s="11">
        <f t="shared" si="190"/>
        <v>35.340446240188413</v>
      </c>
      <c r="N173" s="11">
        <f t="shared" si="190"/>
        <v>33.946065489479608</v>
      </c>
      <c r="O173" s="11">
        <f t="shared" si="190"/>
        <v>33.147813017039283</v>
      </c>
      <c r="P173" s="11">
        <f t="shared" si="190"/>
        <v>31.137251209665902</v>
      </c>
      <c r="Q173" s="11">
        <f t="shared" si="190"/>
        <v>31.390267874528671</v>
      </c>
      <c r="S173" s="39">
        <f t="shared" si="149"/>
        <v>-1.2728568084876435</v>
      </c>
      <c r="T173" s="39">
        <f t="shared" si="150"/>
        <v>-0.36253350501034287</v>
      </c>
      <c r="W173" s="10" t="str">
        <f t="shared" ref="W173:AB173" si="191">W28</f>
        <v>71 Sales occupations</v>
      </c>
      <c r="X173" s="11">
        <f t="shared" si="191"/>
        <v>79.779089582503744</v>
      </c>
      <c r="Y173" s="11">
        <f t="shared" si="191"/>
        <v>69.414149805593752</v>
      </c>
      <c r="Z173" s="11">
        <f t="shared" si="191"/>
        <v>70.48050828654759</v>
      </c>
      <c r="AA173" s="11">
        <f t="shared" si="191"/>
        <v>66.709461478453562</v>
      </c>
      <c r="AB173" s="11">
        <f t="shared" si="191"/>
        <v>63.782779447821653</v>
      </c>
      <c r="AD173" s="39">
        <f t="shared" si="152"/>
        <v>-2.4480420900169775</v>
      </c>
      <c r="AE173" s="39">
        <f t="shared" si="153"/>
        <v>-0.66347557722669093</v>
      </c>
    </row>
    <row r="174" spans="1:31" x14ac:dyDescent="0.2">
      <c r="A174" s="10" t="str">
        <f t="shared" si="141"/>
        <v>72 Customer service occupations</v>
      </c>
      <c r="B174" s="11">
        <f t="shared" si="141"/>
        <v>20.669868608587418</v>
      </c>
      <c r="C174" s="11">
        <f t="shared" si="145"/>
        <v>21.434349331104272</v>
      </c>
      <c r="D174" s="11">
        <f t="shared" si="145"/>
        <v>22.33440238005921</v>
      </c>
      <c r="E174" s="11">
        <f t="shared" si="145"/>
        <v>28.680817355365821</v>
      </c>
      <c r="F174" s="11">
        <f t="shared" si="145"/>
        <v>33.517955388270146</v>
      </c>
      <c r="H174" s="39">
        <f t="shared" si="146"/>
        <v>1.5610831644915946</v>
      </c>
      <c r="I174" s="39">
        <f t="shared" si="147"/>
        <v>2.7433082393231389</v>
      </c>
      <c r="L174" s="10" t="str">
        <f t="shared" ref="L174:Q174" si="192">L29</f>
        <v>72 Customer service occupations</v>
      </c>
      <c r="M174" s="11">
        <f t="shared" si="192"/>
        <v>8.1461592591938441</v>
      </c>
      <c r="N174" s="11">
        <f t="shared" si="192"/>
        <v>7.6117865488165091</v>
      </c>
      <c r="O174" s="11">
        <f t="shared" si="192"/>
        <v>9.1098857598864456</v>
      </c>
      <c r="P174" s="11">
        <f t="shared" si="192"/>
        <v>12.511139488206972</v>
      </c>
      <c r="Q174" s="11">
        <f t="shared" si="192"/>
        <v>15.188379615319265</v>
      </c>
      <c r="S174" s="39">
        <f t="shared" si="149"/>
        <v>2.2614642337958513</v>
      </c>
      <c r="T174" s="39">
        <f t="shared" si="150"/>
        <v>3.4665339574655896</v>
      </c>
      <c r="W174" s="10" t="str">
        <f t="shared" ref="W174:AB174" si="193">W29</f>
        <v>72 Customer service occupations</v>
      </c>
      <c r="X174" s="11">
        <f t="shared" si="193"/>
        <v>12.523709349393531</v>
      </c>
      <c r="Y174" s="11">
        <f t="shared" si="193"/>
        <v>13.822562782287759</v>
      </c>
      <c r="Z174" s="11">
        <f t="shared" si="193"/>
        <v>13.224516620172782</v>
      </c>
      <c r="AA174" s="11">
        <f t="shared" si="193"/>
        <v>16.169677867158796</v>
      </c>
      <c r="AB174" s="11">
        <f t="shared" si="193"/>
        <v>18.329575772950804</v>
      </c>
      <c r="AD174" s="39">
        <f t="shared" si="152"/>
        <v>1.0949275504208877</v>
      </c>
      <c r="AE174" s="39">
        <f t="shared" si="153"/>
        <v>2.2001438594037914</v>
      </c>
    </row>
    <row r="175" spans="1:31" x14ac:dyDescent="0.2">
      <c r="A175" s="10" t="str">
        <f t="shared" si="141"/>
        <v>81 Process, plant and machine operatives</v>
      </c>
      <c r="B175" s="11">
        <f t="shared" si="141"/>
        <v>43.708317600696866</v>
      </c>
      <c r="C175" s="11">
        <f t="shared" si="145"/>
        <v>39.937105686071149</v>
      </c>
      <c r="D175" s="11">
        <f t="shared" si="145"/>
        <v>34.877203113995151</v>
      </c>
      <c r="E175" s="11">
        <f t="shared" si="145"/>
        <v>40.8444444640147</v>
      </c>
      <c r="F175" s="11">
        <f t="shared" si="145"/>
        <v>38.843978717677466</v>
      </c>
      <c r="H175" s="39">
        <f t="shared" si="146"/>
        <v>-4.4137305882278817</v>
      </c>
      <c r="I175" s="39">
        <f t="shared" si="147"/>
        <v>0.7207158581668649</v>
      </c>
      <c r="L175" s="10" t="str">
        <f t="shared" ref="L175:Q175" si="194">L30</f>
        <v>81 Process, plant and machine operatives</v>
      </c>
      <c r="M175" s="11">
        <f t="shared" si="194"/>
        <v>36.025411835682554</v>
      </c>
      <c r="N175" s="11">
        <f t="shared" si="194"/>
        <v>32.230721217831999</v>
      </c>
      <c r="O175" s="11">
        <f t="shared" si="194"/>
        <v>28.545376766072533</v>
      </c>
      <c r="P175" s="11">
        <f t="shared" si="194"/>
        <v>33.438271536254113</v>
      </c>
      <c r="Q175" s="11">
        <f t="shared" si="194"/>
        <v>31.951310401733533</v>
      </c>
      <c r="S175" s="39">
        <f t="shared" si="149"/>
        <v>-4.5479269243091869</v>
      </c>
      <c r="T175" s="39">
        <f t="shared" si="150"/>
        <v>0.75428521155520567</v>
      </c>
      <c r="W175" s="10" t="str">
        <f t="shared" ref="W175:AB175" si="195">W30</f>
        <v>81 Process, plant and machine operatives</v>
      </c>
      <c r="X175" s="11">
        <f t="shared" si="195"/>
        <v>7.6829057650143824</v>
      </c>
      <c r="Y175" s="11">
        <f t="shared" si="195"/>
        <v>7.7063844682392268</v>
      </c>
      <c r="Z175" s="11">
        <f t="shared" si="195"/>
        <v>6.3318263479225232</v>
      </c>
      <c r="AA175" s="11">
        <f t="shared" si="195"/>
        <v>7.4061729277606547</v>
      </c>
      <c r="AB175" s="11">
        <f t="shared" si="195"/>
        <v>6.8926683159439364</v>
      </c>
      <c r="AD175" s="39">
        <f t="shared" si="152"/>
        <v>-3.7943234883987098</v>
      </c>
      <c r="AE175" s="39">
        <f t="shared" si="153"/>
        <v>0.56740076594754552</v>
      </c>
    </row>
    <row r="176" spans="1:31" x14ac:dyDescent="0.2">
      <c r="A176" s="10" t="str">
        <f t="shared" si="141"/>
        <v>82 Transport and mobile machine drivers and operatives</v>
      </c>
      <c r="B176" s="11">
        <f t="shared" si="141"/>
        <v>41.108961810145928</v>
      </c>
      <c r="C176" s="11">
        <f t="shared" si="145"/>
        <v>49.012200356859871</v>
      </c>
      <c r="D176" s="11">
        <f t="shared" si="145"/>
        <v>43.757334690000292</v>
      </c>
      <c r="E176" s="11">
        <f t="shared" si="145"/>
        <v>43.939515148959167</v>
      </c>
      <c r="F176" s="11">
        <f t="shared" si="145"/>
        <v>41.62594804306957</v>
      </c>
      <c r="H176" s="39">
        <f t="shared" si="146"/>
        <v>1.256490377052355</v>
      </c>
      <c r="I176" s="39">
        <f t="shared" si="147"/>
        <v>-0.33234999040935298</v>
      </c>
      <c r="L176" s="10" t="str">
        <f t="shared" ref="L176:Q176" si="196">L31</f>
        <v>82 Transport and mobile machine drivers and operatives</v>
      </c>
      <c r="M176" s="11">
        <f t="shared" si="196"/>
        <v>39.639519175405994</v>
      </c>
      <c r="N176" s="11">
        <f t="shared" si="196"/>
        <v>47.55705750622878</v>
      </c>
      <c r="O176" s="11">
        <f t="shared" si="196"/>
        <v>42.563437961363526</v>
      </c>
      <c r="P176" s="11">
        <f t="shared" si="196"/>
        <v>42.279686919704005</v>
      </c>
      <c r="Q176" s="11">
        <f t="shared" si="196"/>
        <v>39.787648464139579</v>
      </c>
      <c r="S176" s="39">
        <f t="shared" si="149"/>
        <v>1.4335591262002678</v>
      </c>
      <c r="T176" s="39">
        <f t="shared" si="150"/>
        <v>-0.44858481861267396</v>
      </c>
      <c r="W176" s="10" t="str">
        <f t="shared" ref="W176:AB176" si="197">W31</f>
        <v>82 Transport and mobile machine drivers and operatives</v>
      </c>
      <c r="X176" s="11">
        <f t="shared" si="197"/>
        <v>1.4694426347399576</v>
      </c>
      <c r="Y176" s="11">
        <f t="shared" si="197"/>
        <v>1.4551428506310458</v>
      </c>
      <c r="Z176" s="11">
        <f t="shared" si="197"/>
        <v>1.1938967286367974</v>
      </c>
      <c r="AA176" s="11">
        <f t="shared" si="197"/>
        <v>1.6598282292551783</v>
      </c>
      <c r="AB176" s="11">
        <f t="shared" si="197"/>
        <v>1.8382995789300103</v>
      </c>
      <c r="AD176" s="39">
        <f t="shared" si="152"/>
        <v>-4.0681487971089503</v>
      </c>
      <c r="AE176" s="39">
        <f t="shared" si="153"/>
        <v>2.9192552857194576</v>
      </c>
    </row>
    <row r="177" spans="1:31" x14ac:dyDescent="0.2">
      <c r="A177" s="10" t="str">
        <f t="shared" si="141"/>
        <v>91 Elementary trades and related occupations</v>
      </c>
      <c r="B177" s="11">
        <f t="shared" si="141"/>
        <v>20.317502556909954</v>
      </c>
      <c r="C177" s="11">
        <f t="shared" si="145"/>
        <v>17.904540418703959</v>
      </c>
      <c r="D177" s="11">
        <f t="shared" si="145"/>
        <v>15.637941740926959</v>
      </c>
      <c r="E177" s="11">
        <f t="shared" si="145"/>
        <v>12.63088442456316</v>
      </c>
      <c r="F177" s="11">
        <f t="shared" si="145"/>
        <v>11.728541244332119</v>
      </c>
      <c r="H177" s="39">
        <f>IF(D$151-B$151 &lt;&gt; 0,(EXP(LN(D177/B177)/(D$151-B$151))-1)*100,0)</f>
        <v>-5.1009524764847995</v>
      </c>
      <c r="I177" s="39">
        <f t="shared" si="147"/>
        <v>-1.8995588049037226</v>
      </c>
      <c r="L177" s="10" t="str">
        <f t="shared" ref="L177:Q178" si="198">L32</f>
        <v>91 Elementary trades and related occupations</v>
      </c>
      <c r="M177" s="11">
        <f t="shared" si="198"/>
        <v>16.000529885415887</v>
      </c>
      <c r="N177" s="11">
        <f t="shared" si="198"/>
        <v>14.365538386695871</v>
      </c>
      <c r="O177" s="11">
        <f t="shared" si="198"/>
        <v>12.937368133451121</v>
      </c>
      <c r="P177" s="11">
        <f t="shared" si="198"/>
        <v>10.365391850958495</v>
      </c>
      <c r="Q177" s="11">
        <f t="shared" si="198"/>
        <v>9.6282752328034249</v>
      </c>
      <c r="S177" s="39">
        <f t="shared" si="149"/>
        <v>-4.160991038650419</v>
      </c>
      <c r="T177" s="39">
        <f t="shared" si="150"/>
        <v>-1.9501717310652977</v>
      </c>
      <c r="W177" s="10" t="str">
        <f t="shared" ref="W177:AB178" si="199">W32</f>
        <v>91 Elementary trades and related occupations</v>
      </c>
      <c r="X177" s="11">
        <f t="shared" si="199"/>
        <v>4.3169726714941064</v>
      </c>
      <c r="Y177" s="11">
        <f t="shared" si="199"/>
        <v>3.5390020320080406</v>
      </c>
      <c r="Z177" s="11">
        <f t="shared" si="199"/>
        <v>2.7005736074758078</v>
      </c>
      <c r="AA177" s="11">
        <f t="shared" si="199"/>
        <v>2.2654925736046767</v>
      </c>
      <c r="AB177" s="11">
        <f t="shared" si="199"/>
        <v>2.1002660115287179</v>
      </c>
      <c r="AD177" s="39">
        <f t="shared" si="152"/>
        <v>-8.9551585535072142</v>
      </c>
      <c r="AE177" s="39">
        <f t="shared" si="153"/>
        <v>-1.662034494119502</v>
      </c>
    </row>
    <row r="178" spans="1:31" x14ac:dyDescent="0.2">
      <c r="A178" s="10" t="str">
        <f t="shared" si="141"/>
        <v>92 Elementary administration and service occupations</v>
      </c>
      <c r="B178" s="11">
        <f t="shared" si="141"/>
        <v>129.32696514894883</v>
      </c>
      <c r="C178" s="11">
        <f t="shared" si="145"/>
        <v>125.2713158198398</v>
      </c>
      <c r="D178" s="11">
        <f t="shared" si="145"/>
        <v>118.1807447549491</v>
      </c>
      <c r="E178" s="11">
        <f t="shared" si="145"/>
        <v>118.59893529113367</v>
      </c>
      <c r="F178" s="11">
        <f t="shared" si="145"/>
        <v>118.32517025857831</v>
      </c>
      <c r="H178" s="39">
        <f>IF(D$151-B$151 &lt;&gt; 0,(EXP(LN(D178/B178)/(D$151-B$151))-1)*100,0)</f>
        <v>-1.7864233102176552</v>
      </c>
      <c r="I178" s="39">
        <f t="shared" ref="I178" si="200">IF(F$151-D$151 &lt;&gt; 0,(EXP(LN(F178/D178)/(F$151-D$151))-1)*100,0)</f>
        <v>8.1425110192601124E-3</v>
      </c>
      <c r="L178" s="10" t="str">
        <f t="shared" si="198"/>
        <v>92 Elementary administration and service occupations</v>
      </c>
      <c r="M178" s="11">
        <f t="shared" si="198"/>
        <v>61.410778714788108</v>
      </c>
      <c r="N178" s="11">
        <f t="shared" si="198"/>
        <v>64.651839325137459</v>
      </c>
      <c r="O178" s="11">
        <f t="shared" si="198"/>
        <v>60.751210267884822</v>
      </c>
      <c r="P178" s="11">
        <f t="shared" si="198"/>
        <v>63.68921738850586</v>
      </c>
      <c r="Q178" s="11">
        <f t="shared" si="198"/>
        <v>61.266323865322299</v>
      </c>
      <c r="S178" s="39">
        <f t="shared" ref="S178" si="201">IF(O$151-M$151 &lt;&gt; 0,(EXP(LN(O178/M178)/(O$151-M$151))-1)*100,0)</f>
        <v>-0.21573425282597203</v>
      </c>
      <c r="T178" s="39">
        <f t="shared" ref="T178" si="202">IF(Q$151-O$151 &lt;&gt; 0,(EXP(LN(Q178/O178)/(Q$151-O$151))-1)*100,0)</f>
        <v>5.6304657634131949E-2</v>
      </c>
      <c r="W178" s="10" t="str">
        <f t="shared" si="199"/>
        <v>92 Elementary administration and service occupations</v>
      </c>
      <c r="X178" s="11">
        <f t="shared" si="199"/>
        <v>67.916186434160679</v>
      </c>
      <c r="Y178" s="11">
        <f t="shared" si="199"/>
        <v>60.619476494702347</v>
      </c>
      <c r="Z178" s="11">
        <f t="shared" si="199"/>
        <v>57.429534487064402</v>
      </c>
      <c r="AA178" s="11">
        <f t="shared" si="199"/>
        <v>54.909717902628039</v>
      </c>
      <c r="AB178" s="11">
        <f t="shared" si="199"/>
        <v>57.058846393255962</v>
      </c>
      <c r="AD178" s="39">
        <f t="shared" ref="AD178" si="203">IF(Z$151-X$151 &lt;&gt; 0,(EXP(LN(Z178/X178)/(Z$151-X$151))-1)*100,0)</f>
        <v>-3.2986803411271914</v>
      </c>
      <c r="AE178" s="39">
        <f t="shared" ref="AE178" si="204">IF(AB$151-Z$151 &lt;&gt; 0,(EXP(LN(AB178/Z178)/(AB$151-Z$151))-1)*100,0)</f>
        <v>-4.3161222534449095E-2</v>
      </c>
    </row>
    <row r="179" spans="1:31" x14ac:dyDescent="0.2">
      <c r="A179" s="10"/>
      <c r="B179" s="11"/>
      <c r="C179" s="11"/>
      <c r="D179" s="11"/>
      <c r="E179" s="11"/>
      <c r="F179" s="11"/>
      <c r="H179" s="39"/>
      <c r="I179" s="39"/>
      <c r="L179" s="10"/>
      <c r="M179" s="11"/>
      <c r="N179" s="11"/>
      <c r="O179" s="11"/>
      <c r="P179" s="11"/>
      <c r="Q179" s="11"/>
      <c r="S179" s="39"/>
      <c r="T179" s="39"/>
      <c r="W179" s="10"/>
      <c r="X179" s="11"/>
      <c r="Y179" s="11"/>
      <c r="Z179" s="11"/>
      <c r="AA179" s="11"/>
      <c r="AB179" s="11"/>
      <c r="AD179" s="39"/>
      <c r="AE179" s="39"/>
    </row>
    <row r="180" spans="1:31" x14ac:dyDescent="0.2">
      <c r="A180" s="231" t="str">
        <f t="shared" ref="A180:F180" si="205">A35</f>
        <v>All occupations</v>
      </c>
      <c r="B180" s="33">
        <f>B35</f>
        <v>1207.7030000016518</v>
      </c>
      <c r="C180" s="33">
        <f t="shared" si="205"/>
        <v>1194.8680000007776</v>
      </c>
      <c r="D180" s="33">
        <f t="shared" si="205"/>
        <v>1189.3390000002905</v>
      </c>
      <c r="E180" s="33">
        <f t="shared" si="205"/>
        <v>1208.7760000004318</v>
      </c>
      <c r="F180" s="33">
        <f t="shared" si="205"/>
        <v>1250.9970000002124</v>
      </c>
      <c r="H180" s="42">
        <f t="shared" si="146"/>
        <v>-0.3059812750987656</v>
      </c>
      <c r="I180" s="42">
        <f t="shared" si="147"/>
        <v>0.33752261436219566</v>
      </c>
      <c r="L180" s="231" t="str">
        <f t="shared" ref="L180:Q180" si="206">L35</f>
        <v>All occupations</v>
      </c>
      <c r="M180" s="33">
        <f t="shared" si="206"/>
        <v>607.15100000070777</v>
      </c>
      <c r="N180" s="33">
        <f t="shared" si="206"/>
        <v>613.52499999999543</v>
      </c>
      <c r="O180" s="33">
        <f t="shared" si="206"/>
        <v>591.42599999946799</v>
      </c>
      <c r="P180" s="33">
        <f t="shared" si="206"/>
        <v>596.05099999964671</v>
      </c>
      <c r="Q180" s="33">
        <f t="shared" si="206"/>
        <v>609.1029999998492</v>
      </c>
      <c r="S180" s="42">
        <f t="shared" ref="S180" si="207">IF(O$151-M$151 &lt;&gt; 0,(EXP(LN(O180/M180)/(O$151-M$151))-1)*100,0)</f>
        <v>-0.52344432290043486</v>
      </c>
      <c r="T180" s="42">
        <f t="shared" ref="T180" si="208">IF(Q$151-O$151 &lt;&gt; 0,(EXP(LN(Q180/O180)/(Q$151-O$151))-1)*100,0)</f>
        <v>0.19653162541946045</v>
      </c>
      <c r="W180" s="231" t="str">
        <f t="shared" ref="W180:AB180" si="209">W35</f>
        <v>All occupations</v>
      </c>
      <c r="X180" s="33">
        <f t="shared" si="209"/>
        <v>600.55200000094487</v>
      </c>
      <c r="Y180" s="33">
        <f t="shared" si="209"/>
        <v>581.34300000078281</v>
      </c>
      <c r="Z180" s="33">
        <f t="shared" si="209"/>
        <v>597.91300000082299</v>
      </c>
      <c r="AA180" s="33">
        <f t="shared" si="209"/>
        <v>612.72500000078605</v>
      </c>
      <c r="AB180" s="33">
        <f t="shared" si="209"/>
        <v>641.89400000036346</v>
      </c>
      <c r="AD180" s="42">
        <f t="shared" ref="AD180" si="210">IF(Z$151-X$151 &lt;&gt; 0,(EXP(LN(Z180/X180)/(Z$151-X$151))-1)*100,0)</f>
        <v>-8.8040698592461997E-2</v>
      </c>
      <c r="AE180" s="42">
        <f t="shared" ref="AE180" si="211">IF(AB$151-Z$151 &lt;&gt; 0,(EXP(LN(AB180/Z180)/(AB$151-Z$151))-1)*100,0)</f>
        <v>0.4743074442774331</v>
      </c>
    </row>
    <row r="181" spans="1:31" x14ac:dyDescent="0.2">
      <c r="A181" s="10"/>
    </row>
    <row r="182" spans="1:31" x14ac:dyDescent="0.2">
      <c r="A182" s="10"/>
    </row>
  </sheetData>
  <pageMargins left="0.59055118110236227" right="0.59055118110236227" top="0.78740157480314965" bottom="0.78740157480314965" header="0.51181102362204722" footer="0.51181102362204722"/>
  <pageSetup paperSize="9" scale="76" orientation="landscape" r:id="rId1"/>
  <headerFooter alignWithMargins="0"/>
  <rowBreaks count="4" manualBreakCount="4">
    <brk id="37" max="16383" man="1"/>
    <brk id="74" max="16383" man="1"/>
    <brk id="111" max="16383" man="1"/>
    <brk id="148" max="31" man="1"/>
  </rowBreaks>
  <colBreaks count="2" manualBreakCount="2">
    <brk id="10" max="179" man="1"/>
    <brk id="21" max="179" man="1"/>
  </colBreaks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2"/>
  <dimension ref="A1:L103"/>
  <sheetViews>
    <sheetView showGridLines="0" zoomScale="85" zoomScaleNormal="85" workbookViewId="0"/>
  </sheetViews>
  <sheetFormatPr defaultRowHeight="12.75" x14ac:dyDescent="0.2"/>
  <cols>
    <col min="1" max="1" width="54.7109375" customWidth="1"/>
    <col min="2" max="6" width="11.7109375" customWidth="1"/>
    <col min="7" max="7" width="5.7109375" customWidth="1"/>
    <col min="8" max="12" width="11.7109375" customWidth="1"/>
  </cols>
  <sheetData>
    <row r="1" spans="1:12" ht="15.75" x14ac:dyDescent="0.25">
      <c r="A1" s="18" t="str">
        <f>CONCATENATE("Occupation Table 3  Employment Change by Occupation in Occupation Group (SOC 2020), ",B$5,"-",F$5,", ",Info!B5)</f>
        <v>Occupation Table 3  Employment Change by Occupation in Occupation Group (SOC 2020), 2015-2035, North East</v>
      </c>
    </row>
    <row r="2" spans="1:12" ht="12.75" customHeight="1" x14ac:dyDescent="0.2">
      <c r="A2" s="181" t="s">
        <v>538</v>
      </c>
    </row>
    <row r="3" spans="1:12" ht="12.75" customHeight="1" x14ac:dyDescent="0.25">
      <c r="A3" s="18"/>
      <c r="L3" s="37" t="s">
        <v>19</v>
      </c>
    </row>
    <row r="4" spans="1:12" x14ac:dyDescent="0.2">
      <c r="A4" s="35"/>
      <c r="B4" s="27" t="s">
        <v>17</v>
      </c>
      <c r="C4" s="35"/>
      <c r="D4" s="35"/>
      <c r="E4" s="35"/>
      <c r="F4" s="35"/>
      <c r="G4" s="35"/>
      <c r="H4" s="27" t="s">
        <v>18</v>
      </c>
      <c r="I4" s="35"/>
      <c r="J4" s="35"/>
      <c r="K4" s="35"/>
      <c r="L4" s="35"/>
    </row>
    <row r="5" spans="1:12" x14ac:dyDescent="0.2">
      <c r="A5" s="23"/>
      <c r="B5" s="34">
        <f>'Occ T1'!B6</f>
        <v>2015</v>
      </c>
      <c r="C5" s="34">
        <f>'Occ T1'!C6</f>
        <v>2019</v>
      </c>
      <c r="D5" s="34">
        <f>'Occ T1'!D6</f>
        <v>2020</v>
      </c>
      <c r="E5" s="34">
        <f>'Occ T1'!E6</f>
        <v>2025</v>
      </c>
      <c r="F5" s="34">
        <f>'Occ T1'!F6</f>
        <v>2035</v>
      </c>
      <c r="H5" s="36" t="str">
        <f>CONCATENATE(B$5,"-",C$5)</f>
        <v>2015-2019</v>
      </c>
      <c r="I5" s="36" t="str">
        <f>CONCATENATE(C$5,"-",D$5)</f>
        <v>2019-2020</v>
      </c>
      <c r="J5" s="36" t="str">
        <f>CONCATENATE(D$5,"-",E$5)</f>
        <v>2020-2025</v>
      </c>
      <c r="K5" s="36" t="str">
        <f>CONCATENATE(E$5,"-",F$5)</f>
        <v>2025-2035</v>
      </c>
      <c r="L5" s="36" t="str">
        <f>CONCATENATE(D$5,"-",F$5)</f>
        <v>2020-2035</v>
      </c>
    </row>
    <row r="7" spans="1:12" s="29" customFormat="1" x14ac:dyDescent="0.2">
      <c r="A7" s="29" t="str">
        <f>'Occ T1'!A8</f>
        <v>Managers, directors and senior officials</v>
      </c>
      <c r="B7" s="30">
        <f>'Occ T1'!B8</f>
        <v>88.576593074398374</v>
      </c>
      <c r="C7" s="30">
        <f>'Occ T1'!C8</f>
        <v>99.700552647162596</v>
      </c>
      <c r="D7" s="30">
        <f>'Occ T1'!D8</f>
        <v>99.727748084257215</v>
      </c>
      <c r="E7" s="30">
        <f>'Occ T1'!E8</f>
        <v>102.19943541724987</v>
      </c>
      <c r="F7" s="30">
        <f>'Occ T1'!F8</f>
        <v>116.10988402493876</v>
      </c>
      <c r="H7" s="30">
        <f>C7-B7</f>
        <v>11.123959572764221</v>
      </c>
      <c r="I7" s="30">
        <f>D7-C7</f>
        <v>2.7195437094619024E-2</v>
      </c>
      <c r="J7" s="30">
        <f>E7-D7</f>
        <v>2.4716873329926585</v>
      </c>
      <c r="K7" s="30">
        <f>F7-E7</f>
        <v>13.910448607688892</v>
      </c>
      <c r="L7" s="30">
        <f>F7-D7</f>
        <v>16.38213594068155</v>
      </c>
    </row>
    <row r="8" spans="1:12" s="29" customFormat="1" x14ac:dyDescent="0.2">
      <c r="A8" s="10" t="str">
        <f>'Occ T2'!A8</f>
        <v>11 Corporate managers and directors</v>
      </c>
      <c r="B8" s="31">
        <f>'Occ T2'!B8</f>
        <v>52.789581565562479</v>
      </c>
      <c r="C8" s="31">
        <f>'Occ T2'!C8</f>
        <v>60.307239042803182</v>
      </c>
      <c r="D8" s="31">
        <f>'Occ T2'!D8</f>
        <v>61.768389193758232</v>
      </c>
      <c r="E8" s="31">
        <f>'Occ T2'!E8</f>
        <v>56.802971897231664</v>
      </c>
      <c r="F8" s="31">
        <f>'Occ T2'!F8</f>
        <v>62.544495989530091</v>
      </c>
      <c r="H8" s="30">
        <f t="shared" ref="H8:H9" si="0">C8-B8</f>
        <v>7.5176574772407037</v>
      </c>
      <c r="I8" s="30">
        <f t="shared" ref="I8:I9" si="1">D8-C8</f>
        <v>1.4611501509550493</v>
      </c>
      <c r="J8" s="30">
        <f t="shared" ref="J8:J9" si="2">E8-D8</f>
        <v>-4.9654172965265673</v>
      </c>
      <c r="K8" s="30">
        <f t="shared" ref="K8:K9" si="3">F8-E8</f>
        <v>5.7415240922984268</v>
      </c>
      <c r="L8" s="30">
        <f t="shared" ref="L8:L49" si="4">F8-D8</f>
        <v>0.77610679577185948</v>
      </c>
    </row>
    <row r="9" spans="1:12" s="29" customFormat="1" x14ac:dyDescent="0.2">
      <c r="A9" s="10" t="str">
        <f>'Occ T2'!A9</f>
        <v>12 Other managers and proprietors</v>
      </c>
      <c r="B9" s="31">
        <f>'Occ T2'!B9</f>
        <v>35.787011508835903</v>
      </c>
      <c r="C9" s="31">
        <f>'Occ T2'!C9</f>
        <v>39.39331360435942</v>
      </c>
      <c r="D9" s="31">
        <f>'Occ T2'!D9</f>
        <v>37.959358890498983</v>
      </c>
      <c r="E9" s="31">
        <f>'Occ T2'!E9</f>
        <v>45.396463520018202</v>
      </c>
      <c r="F9" s="31">
        <f>'Occ T2'!F9</f>
        <v>53.565388035408674</v>
      </c>
      <c r="H9" s="30">
        <f t="shared" si="0"/>
        <v>3.6063020955235174</v>
      </c>
      <c r="I9" s="30">
        <f t="shared" si="1"/>
        <v>-1.4339547138604374</v>
      </c>
      <c r="J9" s="30">
        <f t="shared" si="2"/>
        <v>7.4371046295192187</v>
      </c>
      <c r="K9" s="30">
        <f t="shared" si="3"/>
        <v>8.1689245153904722</v>
      </c>
      <c r="L9" s="30">
        <f t="shared" si="4"/>
        <v>15.606029144909691</v>
      </c>
    </row>
    <row r="10" spans="1:12" x14ac:dyDescent="0.2">
      <c r="B10" s="31"/>
      <c r="C10" s="31"/>
      <c r="D10" s="31"/>
      <c r="E10" s="31"/>
      <c r="F10" s="31"/>
      <c r="H10" s="11"/>
      <c r="I10" s="30"/>
      <c r="J10" s="11"/>
      <c r="K10" s="11"/>
      <c r="L10" s="30"/>
    </row>
    <row r="11" spans="1:12" s="29" customFormat="1" x14ac:dyDescent="0.2">
      <c r="A11" s="29" t="str">
        <f>'Occ T1'!A9</f>
        <v>Professional occupations</v>
      </c>
      <c r="B11" s="30">
        <f>'Occ T1'!B9</f>
        <v>231.4907251877527</v>
      </c>
      <c r="C11" s="30">
        <f>'Occ T1'!C9</f>
        <v>237.67286276931418</v>
      </c>
      <c r="D11" s="30">
        <f>'Occ T1'!D9</f>
        <v>254.75423708172923</v>
      </c>
      <c r="E11" s="30">
        <f>'Occ T1'!E9</f>
        <v>276.33858685808264</v>
      </c>
      <c r="F11" s="30">
        <f>'Occ T1'!F9</f>
        <v>306.78710289335356</v>
      </c>
      <c r="H11" s="30">
        <f>C11-B11</f>
        <v>6.1821375815614772</v>
      </c>
      <c r="I11" s="30">
        <f t="shared" ref="I11:I49" si="5">D11-C11</f>
        <v>17.081374312415051</v>
      </c>
      <c r="J11" s="30">
        <f>E11-D11</f>
        <v>21.584349776353406</v>
      </c>
      <c r="K11" s="30">
        <f>F11-E11</f>
        <v>30.448516035270927</v>
      </c>
      <c r="L11" s="30">
        <f t="shared" si="4"/>
        <v>52.032865811624333</v>
      </c>
    </row>
    <row r="12" spans="1:12" x14ac:dyDescent="0.2">
      <c r="A12" s="10" t="str">
        <f>'Occ T2'!A10</f>
        <v>21 Science, research, engineering and technology professionals</v>
      </c>
      <c r="B12" s="10">
        <f>'Occ T2'!B10</f>
        <v>53.08494534255329</v>
      </c>
      <c r="C12" s="10">
        <f>'Occ T2'!C10</f>
        <v>55.687059516730201</v>
      </c>
      <c r="D12" s="10">
        <f>'Occ T2'!D10</f>
        <v>57.693711549572342</v>
      </c>
      <c r="E12" s="10">
        <f>'Occ T2'!E10</f>
        <v>60.108225983479294</v>
      </c>
      <c r="F12" s="10">
        <f>'Occ T2'!F10</f>
        <v>66.33260773023207</v>
      </c>
      <c r="H12" s="11">
        <f t="shared" ref="H12:K14" si="6">C12-B12</f>
        <v>2.6021141741769114</v>
      </c>
      <c r="I12" s="30">
        <f t="shared" si="5"/>
        <v>2.0066520328421404</v>
      </c>
      <c r="J12" s="11">
        <f t="shared" si="6"/>
        <v>2.4145144339069518</v>
      </c>
      <c r="K12" s="11">
        <f t="shared" si="6"/>
        <v>6.2243817467527762</v>
      </c>
      <c r="L12" s="30">
        <f t="shared" si="4"/>
        <v>8.638896180659728</v>
      </c>
    </row>
    <row r="13" spans="1:12" x14ac:dyDescent="0.2">
      <c r="A13" s="10" t="str">
        <f>'Occ T2'!A11</f>
        <v>22 Health professionals</v>
      </c>
      <c r="B13" s="10">
        <f>'Occ T2'!B11</f>
        <v>74.445418040172925</v>
      </c>
      <c r="C13" s="10">
        <f>'Occ T2'!C11</f>
        <v>75.385023455696555</v>
      </c>
      <c r="D13" s="10">
        <f>'Occ T2'!D11</f>
        <v>80.600575984282628</v>
      </c>
      <c r="E13" s="10">
        <f>'Occ T2'!E11</f>
        <v>88.781813698391318</v>
      </c>
      <c r="F13" s="10">
        <f>'Occ T2'!F11</f>
        <v>98.888062303322812</v>
      </c>
      <c r="H13" s="11">
        <f t="shared" si="6"/>
        <v>0.93960541552362997</v>
      </c>
      <c r="I13" s="30">
        <f t="shared" si="5"/>
        <v>5.2155525285860733</v>
      </c>
      <c r="J13" s="11">
        <f t="shared" si="6"/>
        <v>8.1812377141086898</v>
      </c>
      <c r="K13" s="11">
        <f t="shared" si="6"/>
        <v>10.106248604931494</v>
      </c>
      <c r="L13" s="30">
        <f t="shared" si="4"/>
        <v>18.287486319040184</v>
      </c>
    </row>
    <row r="14" spans="1:12" x14ac:dyDescent="0.2">
      <c r="A14" s="10" t="str">
        <f>'Occ T2'!A12</f>
        <v>23 Teaching and other educational professionals</v>
      </c>
      <c r="B14" s="10">
        <f>'Occ T2'!B12</f>
        <v>51.740039318389456</v>
      </c>
      <c r="C14" s="10">
        <f>'Occ T2'!C12</f>
        <v>51.254551275781473</v>
      </c>
      <c r="D14" s="10">
        <f>'Occ T2'!D12</f>
        <v>53.708575195788306</v>
      </c>
      <c r="E14" s="10">
        <f>'Occ T2'!E12</f>
        <v>58.715715140042562</v>
      </c>
      <c r="F14" s="10">
        <f>'Occ T2'!F12</f>
        <v>63.137330106243262</v>
      </c>
      <c r="H14" s="11">
        <f t="shared" si="6"/>
        <v>-0.48548804260798306</v>
      </c>
      <c r="I14" s="30">
        <f t="shared" si="5"/>
        <v>2.4540239200068328</v>
      </c>
      <c r="J14" s="11">
        <f t="shared" si="6"/>
        <v>5.0071399442542557</v>
      </c>
      <c r="K14" s="11">
        <f t="shared" si="6"/>
        <v>4.4216149662006998</v>
      </c>
      <c r="L14" s="30">
        <f t="shared" si="4"/>
        <v>9.4287549104549555</v>
      </c>
    </row>
    <row r="15" spans="1:12" x14ac:dyDescent="0.2">
      <c r="A15" s="10" t="str">
        <f>'Occ T2'!A13</f>
        <v>24 Business, media and public service professionals</v>
      </c>
      <c r="B15" s="10">
        <f>'Occ T2'!B13</f>
        <v>52.220322486637031</v>
      </c>
      <c r="C15" s="10">
        <f>'Occ T2'!C13</f>
        <v>55.346228521105971</v>
      </c>
      <c r="D15" s="10">
        <f>'Occ T2'!D13</f>
        <v>62.751374352085939</v>
      </c>
      <c r="E15" s="10">
        <f>'Occ T2'!E13</f>
        <v>68.732832036169498</v>
      </c>
      <c r="F15" s="10">
        <f>'Occ T2'!F13</f>
        <v>78.429102753555412</v>
      </c>
      <c r="H15" s="11">
        <f t="shared" ref="H15" si="7">C15-B15</f>
        <v>3.1259060344689402</v>
      </c>
      <c r="I15" s="30">
        <f t="shared" si="5"/>
        <v>7.4051458309799685</v>
      </c>
      <c r="J15" s="11">
        <f t="shared" ref="J15" si="8">E15-D15</f>
        <v>5.9814576840835585</v>
      </c>
      <c r="K15" s="11">
        <f t="shared" ref="K15" si="9">F15-E15</f>
        <v>9.6962707173859144</v>
      </c>
      <c r="L15" s="30">
        <f t="shared" si="4"/>
        <v>15.677728401469473</v>
      </c>
    </row>
    <row r="16" spans="1:12" x14ac:dyDescent="0.2">
      <c r="A16" s="10"/>
      <c r="B16" s="31"/>
      <c r="C16" s="31"/>
      <c r="D16" s="31"/>
      <c r="E16" s="31"/>
      <c r="F16" s="31"/>
      <c r="H16" s="11"/>
      <c r="I16" s="30"/>
      <c r="J16" s="11"/>
      <c r="K16" s="11"/>
      <c r="L16" s="30"/>
    </row>
    <row r="17" spans="1:12" s="29" customFormat="1" x14ac:dyDescent="0.2">
      <c r="A17" s="29" t="str">
        <f>'Occ T1'!A10</f>
        <v>Associate professional occupations</v>
      </c>
      <c r="B17" s="30">
        <f>'Occ T1'!B10</f>
        <v>129.06715358822112</v>
      </c>
      <c r="C17" s="30">
        <f>'Occ T1'!C10</f>
        <v>133.36836119208834</v>
      </c>
      <c r="D17" s="30">
        <f>'Occ T1'!D10</f>
        <v>140.27215233660229</v>
      </c>
      <c r="E17" s="30">
        <f>'Occ T1'!E10</f>
        <v>135.96055204687522</v>
      </c>
      <c r="F17" s="30">
        <f>'Occ T1'!F10</f>
        <v>146.85818967848303</v>
      </c>
      <c r="H17" s="30">
        <f t="shared" ref="H17:K21" si="10">C17-B17</f>
        <v>4.3012076038672262</v>
      </c>
      <c r="I17" s="30">
        <f t="shared" si="5"/>
        <v>6.9037911445139457</v>
      </c>
      <c r="J17" s="30">
        <f t="shared" si="10"/>
        <v>-4.3116002897270675</v>
      </c>
      <c r="K17" s="30">
        <f t="shared" si="10"/>
        <v>10.897637631607807</v>
      </c>
      <c r="L17" s="30">
        <f t="shared" si="4"/>
        <v>6.5860373418807399</v>
      </c>
    </row>
    <row r="18" spans="1:12" x14ac:dyDescent="0.2">
      <c r="A18" s="10" t="str">
        <f>'Occ T2'!A14</f>
        <v>31 Science, engineering and technology associate professionals</v>
      </c>
      <c r="B18" s="10">
        <f>'Occ T2'!B14</f>
        <v>22.173700353829513</v>
      </c>
      <c r="C18" s="10">
        <f>'Occ T2'!C14</f>
        <v>23.792244132513261</v>
      </c>
      <c r="D18" s="10">
        <f>'Occ T2'!D14</f>
        <v>25.674611673300856</v>
      </c>
      <c r="E18" s="10">
        <f>'Occ T2'!E14</f>
        <v>22.156159876445123</v>
      </c>
      <c r="F18" s="10">
        <f>'Occ T2'!F14</f>
        <v>23.163165143553364</v>
      </c>
      <c r="H18" s="11">
        <f t="shared" si="10"/>
        <v>1.6185437786837475</v>
      </c>
      <c r="I18" s="30">
        <f t="shared" si="5"/>
        <v>1.8823675407875946</v>
      </c>
      <c r="J18" s="11">
        <f t="shared" si="10"/>
        <v>-3.5184517968557323</v>
      </c>
      <c r="K18" s="11">
        <f t="shared" si="10"/>
        <v>1.0070052671082408</v>
      </c>
      <c r="L18" s="30">
        <f t="shared" si="4"/>
        <v>-2.5114465297474915</v>
      </c>
    </row>
    <row r="19" spans="1:12" x14ac:dyDescent="0.2">
      <c r="A19" s="10" t="str">
        <f>'Occ T2'!A15</f>
        <v>32 Health and social care associate professionals</v>
      </c>
      <c r="B19" s="10">
        <f>'Occ T2'!B15</f>
        <v>25.961609747557699</v>
      </c>
      <c r="C19" s="10">
        <f>'Occ T2'!C15</f>
        <v>26.234270158773597</v>
      </c>
      <c r="D19" s="10">
        <f>'Occ T2'!D15</f>
        <v>28.696516826584283</v>
      </c>
      <c r="E19" s="10">
        <f>'Occ T2'!E15</f>
        <v>29.170206138223762</v>
      </c>
      <c r="F19" s="10">
        <f>'Occ T2'!F15</f>
        <v>31.883140108811844</v>
      </c>
      <c r="H19" s="11">
        <f t="shared" si="10"/>
        <v>0.27266041121589879</v>
      </c>
      <c r="I19" s="30">
        <f t="shared" si="5"/>
        <v>2.4622466678106854</v>
      </c>
      <c r="J19" s="11">
        <f t="shared" si="10"/>
        <v>0.47368931163947892</v>
      </c>
      <c r="K19" s="11">
        <f t="shared" si="10"/>
        <v>2.7129339705880824</v>
      </c>
      <c r="L19" s="30">
        <f t="shared" si="4"/>
        <v>3.1866232822275613</v>
      </c>
    </row>
    <row r="20" spans="1:12" x14ac:dyDescent="0.2">
      <c r="A20" s="10" t="str">
        <f>'Occ T2'!A16</f>
        <v>33 Protective service occupations</v>
      </c>
      <c r="B20" s="10">
        <f>'Occ T2'!B16</f>
        <v>14.68743195603696</v>
      </c>
      <c r="C20" s="10">
        <f>'Occ T2'!C16</f>
        <v>15.637461080435006</v>
      </c>
      <c r="D20" s="10">
        <f>'Occ T2'!D16</f>
        <v>16.490904766190859</v>
      </c>
      <c r="E20" s="10">
        <f>'Occ T2'!E16</f>
        <v>18.925385851473798</v>
      </c>
      <c r="F20" s="10">
        <f>'Occ T2'!F16</f>
        <v>21.562302765848596</v>
      </c>
      <c r="H20" s="11">
        <f t="shared" si="10"/>
        <v>0.95002912439804632</v>
      </c>
      <c r="I20" s="30">
        <f t="shared" si="5"/>
        <v>0.8534436857558525</v>
      </c>
      <c r="J20" s="11">
        <f t="shared" si="10"/>
        <v>2.4344810852829397</v>
      </c>
      <c r="K20" s="11">
        <f t="shared" si="10"/>
        <v>2.6369169143747975</v>
      </c>
      <c r="L20" s="30">
        <f t="shared" si="4"/>
        <v>5.0713979996577372</v>
      </c>
    </row>
    <row r="21" spans="1:12" x14ac:dyDescent="0.2">
      <c r="A21" s="10" t="str">
        <f>'Occ T2'!A17</f>
        <v>34 Culture, media and sports occupations</v>
      </c>
      <c r="B21" s="10">
        <f>'Occ T2'!B17</f>
        <v>15.58428987447075</v>
      </c>
      <c r="C21" s="10">
        <f>'Occ T2'!C17</f>
        <v>15.773641586757474</v>
      </c>
      <c r="D21" s="10">
        <f>'Occ T2'!D17</f>
        <v>14.871594679764716</v>
      </c>
      <c r="E21" s="10">
        <f>'Occ T2'!E17</f>
        <v>14.006985384223782</v>
      </c>
      <c r="F21" s="10">
        <f>'Occ T2'!F17</f>
        <v>15.744184153452183</v>
      </c>
      <c r="H21" s="11">
        <f t="shared" si="10"/>
        <v>0.18935171228672409</v>
      </c>
      <c r="I21" s="30">
        <f t="shared" si="5"/>
        <v>-0.90204690699275858</v>
      </c>
      <c r="J21" s="11">
        <f t="shared" si="10"/>
        <v>-0.86460929554093369</v>
      </c>
      <c r="K21" s="11">
        <f t="shared" si="10"/>
        <v>1.7371987692284012</v>
      </c>
      <c r="L21" s="30">
        <f t="shared" si="4"/>
        <v>0.87258947368746753</v>
      </c>
    </row>
    <row r="22" spans="1:12" x14ac:dyDescent="0.2">
      <c r="A22" s="10" t="str">
        <f>'Occ T2'!A18</f>
        <v>35 Business and public service associate professionals</v>
      </c>
      <c r="B22" s="10">
        <f>'Occ T2'!B18</f>
        <v>50.660121656326183</v>
      </c>
      <c r="C22" s="10">
        <f>'Occ T2'!C18</f>
        <v>51.930744233608991</v>
      </c>
      <c r="D22" s="10">
        <f>'Occ T2'!D18</f>
        <v>54.538524390761594</v>
      </c>
      <c r="E22" s="10">
        <f>'Occ T2'!E18</f>
        <v>51.701814796508764</v>
      </c>
      <c r="F22" s="10">
        <f>'Occ T2'!F18</f>
        <v>54.505397506817054</v>
      </c>
      <c r="H22" s="11">
        <f t="shared" ref="H22" si="11">C22-B22</f>
        <v>1.2706225772828077</v>
      </c>
      <c r="I22" s="30">
        <f t="shared" si="5"/>
        <v>2.6077801571526038</v>
      </c>
      <c r="J22" s="11">
        <f t="shared" ref="J22" si="12">E22-D22</f>
        <v>-2.8367095942528309</v>
      </c>
      <c r="K22" s="11">
        <f t="shared" ref="K22" si="13">F22-E22</f>
        <v>2.8035827103082909</v>
      </c>
      <c r="L22" s="30">
        <f t="shared" si="4"/>
        <v>-3.3126883944539998E-2</v>
      </c>
    </row>
    <row r="23" spans="1:12" x14ac:dyDescent="0.2">
      <c r="A23" s="10"/>
      <c r="B23" s="31"/>
      <c r="C23" s="31"/>
      <c r="D23" s="31"/>
      <c r="E23" s="31"/>
      <c r="F23" s="31"/>
      <c r="H23" s="11"/>
      <c r="I23" s="30"/>
      <c r="J23" s="11"/>
      <c r="K23" s="11"/>
      <c r="L23" s="30"/>
    </row>
    <row r="24" spans="1:12" s="29" customFormat="1" x14ac:dyDescent="0.2">
      <c r="A24" s="29" t="str">
        <f>'Occ T1'!A11</f>
        <v>Administrative and secretarial occupations</v>
      </c>
      <c r="B24" s="30">
        <f>'Occ T1'!B11</f>
        <v>139.7507853057721</v>
      </c>
      <c r="C24" s="30">
        <f>'Occ T1'!C11</f>
        <v>127.01400722188826</v>
      </c>
      <c r="D24" s="30">
        <f>'Occ T1'!D11</f>
        <v>132.69109413528571</v>
      </c>
      <c r="E24" s="30">
        <f>'Occ T1'!E11</f>
        <v>125.40307184476946</v>
      </c>
      <c r="F24" s="30">
        <f>'Occ T1'!F11</f>
        <v>117.22320077750355</v>
      </c>
      <c r="H24" s="30">
        <f t="shared" ref="H24:K26" si="14">C24-B24</f>
        <v>-12.736778083883834</v>
      </c>
      <c r="I24" s="30">
        <f t="shared" si="5"/>
        <v>5.6770869133974458</v>
      </c>
      <c r="J24" s="30">
        <f t="shared" si="14"/>
        <v>-7.2880222905162526</v>
      </c>
      <c r="K24" s="30">
        <f t="shared" si="14"/>
        <v>-8.179871067265907</v>
      </c>
      <c r="L24" s="30">
        <f t="shared" si="4"/>
        <v>-15.46789335778216</v>
      </c>
    </row>
    <row r="25" spans="1:12" x14ac:dyDescent="0.2">
      <c r="A25" t="str">
        <f>'Occ T2'!A19</f>
        <v>41 Administrative occupations</v>
      </c>
      <c r="B25" s="31">
        <f>'Occ T2'!B19</f>
        <v>114.57040469271979</v>
      </c>
      <c r="C25" s="31">
        <f>'Occ T2'!C19</f>
        <v>105.53980785630196</v>
      </c>
      <c r="D25" s="31">
        <f>'Occ T2'!D19</f>
        <v>110.91865106364448</v>
      </c>
      <c r="E25" s="31">
        <f>'Occ T2'!E19</f>
        <v>101.70991395703572</v>
      </c>
      <c r="F25" s="31">
        <f>'Occ T2'!F19</f>
        <v>97.055349402964936</v>
      </c>
      <c r="H25" s="11">
        <f t="shared" si="14"/>
        <v>-9.0305968364178284</v>
      </c>
      <c r="I25" s="30">
        <f t="shared" si="5"/>
        <v>5.3788432073425128</v>
      </c>
      <c r="J25" s="11">
        <f t="shared" si="14"/>
        <v>-9.2087371066087513</v>
      </c>
      <c r="K25" s="11">
        <f t="shared" si="14"/>
        <v>-4.6545645540707881</v>
      </c>
      <c r="L25" s="30">
        <f t="shared" si="4"/>
        <v>-13.863301660679539</v>
      </c>
    </row>
    <row r="26" spans="1:12" x14ac:dyDescent="0.2">
      <c r="A26" t="str">
        <f>'Occ T2'!A20</f>
        <v>42 Secretarial and related occupations</v>
      </c>
      <c r="B26" s="31">
        <f>'Occ T2'!B20</f>
        <v>25.1803806130523</v>
      </c>
      <c r="C26" s="31">
        <f>'Occ T2'!C20</f>
        <v>21.474199365586301</v>
      </c>
      <c r="D26" s="31">
        <f>'Occ T2'!D20</f>
        <v>21.772443071641227</v>
      </c>
      <c r="E26" s="31">
        <f>'Occ T2'!E20</f>
        <v>23.693157887733729</v>
      </c>
      <c r="F26" s="31">
        <f>'Occ T2'!F20</f>
        <v>20.167851374538614</v>
      </c>
      <c r="H26" s="11">
        <f t="shared" si="14"/>
        <v>-3.7061812474659988</v>
      </c>
      <c r="I26" s="30">
        <f t="shared" si="5"/>
        <v>0.29824370605492589</v>
      </c>
      <c r="J26" s="11">
        <f t="shared" si="14"/>
        <v>1.9207148160925023</v>
      </c>
      <c r="K26" s="11">
        <f t="shared" si="14"/>
        <v>-3.5253065131951153</v>
      </c>
      <c r="L26" s="30">
        <f t="shared" si="4"/>
        <v>-1.6045916971026131</v>
      </c>
    </row>
    <row r="27" spans="1:12" x14ac:dyDescent="0.2">
      <c r="B27" s="31"/>
      <c r="C27" s="31"/>
      <c r="D27" s="31"/>
      <c r="E27" s="31"/>
      <c r="F27" s="31"/>
      <c r="H27" s="11"/>
      <c r="I27" s="30"/>
      <c r="J27" s="11"/>
      <c r="K27" s="11"/>
      <c r="L27" s="30"/>
    </row>
    <row r="28" spans="1:12" s="29" customFormat="1" x14ac:dyDescent="0.2">
      <c r="A28" s="29" t="str">
        <f>'Occ T1'!A12</f>
        <v>Skilled trades occupations</v>
      </c>
      <c r="B28" s="30">
        <f>'Occ T1'!B12</f>
        <v>131.09623299099439</v>
      </c>
      <c r="C28" s="30">
        <f>'Occ T1'!C12</f>
        <v>127.42869301830061</v>
      </c>
      <c r="D28" s="30">
        <f>'Occ T1'!D12</f>
        <v>110.0423243300321</v>
      </c>
      <c r="E28" s="30">
        <f>'Occ T1'!E12</f>
        <v>107.00085229603154</v>
      </c>
      <c r="F28" s="30">
        <f>'Occ T1'!F12</f>
        <v>100.02736420050142</v>
      </c>
      <c r="H28" s="30">
        <f t="shared" ref="H28:K30" si="15">C28-B28</f>
        <v>-3.6675399726937883</v>
      </c>
      <c r="I28" s="30">
        <f t="shared" si="5"/>
        <v>-17.386368688268504</v>
      </c>
      <c r="J28" s="30">
        <f t="shared" si="15"/>
        <v>-3.041472034000563</v>
      </c>
      <c r="K28" s="30">
        <f t="shared" si="15"/>
        <v>-6.9734880955301151</v>
      </c>
      <c r="L28" s="30">
        <f t="shared" si="4"/>
        <v>-10.014960129530678</v>
      </c>
    </row>
    <row r="29" spans="1:12" x14ac:dyDescent="0.2">
      <c r="A29" s="10" t="str">
        <f>'Occ T2'!A21</f>
        <v>51 Skilled agricultural and related trades</v>
      </c>
      <c r="B29" s="10">
        <f>'Occ T2'!B21</f>
        <v>12.543419718462415</v>
      </c>
      <c r="C29" s="10">
        <f>'Occ T2'!C21</f>
        <v>10.264940340113577</v>
      </c>
      <c r="D29" s="10">
        <f>'Occ T2'!D21</f>
        <v>10.301868360565633</v>
      </c>
      <c r="E29" s="10">
        <f>'Occ T2'!E21</f>
        <v>10.465035897964432</v>
      </c>
      <c r="F29" s="10">
        <f>'Occ T2'!F21</f>
        <v>11.586104938365459</v>
      </c>
      <c r="H29" s="11">
        <f t="shared" si="15"/>
        <v>-2.2784793783488375</v>
      </c>
      <c r="I29" s="30">
        <f t="shared" si="5"/>
        <v>3.6928020452055677E-2</v>
      </c>
      <c r="J29" s="11">
        <f t="shared" si="15"/>
        <v>0.16316753739879886</v>
      </c>
      <c r="K29" s="11">
        <f t="shared" si="15"/>
        <v>1.1210690404010268</v>
      </c>
      <c r="L29" s="30">
        <f t="shared" si="4"/>
        <v>1.2842365777998257</v>
      </c>
    </row>
    <row r="30" spans="1:12" x14ac:dyDescent="0.2">
      <c r="A30" s="10" t="str">
        <f>'Occ T2'!A22</f>
        <v>52 Skilled metal, electrical and electronic trades</v>
      </c>
      <c r="B30" s="10">
        <f>'Occ T2'!B22</f>
        <v>51.747021542468346</v>
      </c>
      <c r="C30" s="10">
        <f>'Occ T2'!C22</f>
        <v>50.143502229845936</v>
      </c>
      <c r="D30" s="10">
        <f>'Occ T2'!D22</f>
        <v>42.60775024378303</v>
      </c>
      <c r="E30" s="10">
        <f>'Occ T2'!E22</f>
        <v>40.397944693805357</v>
      </c>
      <c r="F30" s="10">
        <f>'Occ T2'!F22</f>
        <v>36.473047170903065</v>
      </c>
      <c r="H30" s="11">
        <f t="shared" si="15"/>
        <v>-1.6035193126224101</v>
      </c>
      <c r="I30" s="30">
        <f t="shared" si="5"/>
        <v>-7.5357519860629054</v>
      </c>
      <c r="J30" s="11">
        <f t="shared" si="15"/>
        <v>-2.2098055499776734</v>
      </c>
      <c r="K30" s="11">
        <f t="shared" si="15"/>
        <v>-3.9248975229022918</v>
      </c>
      <c r="L30" s="30">
        <f t="shared" si="4"/>
        <v>-6.1347030728799652</v>
      </c>
    </row>
    <row r="31" spans="1:12" x14ac:dyDescent="0.2">
      <c r="A31" s="10" t="str">
        <f>'Occ T2'!A23</f>
        <v>53 Skilled construction and building trades</v>
      </c>
      <c r="B31" s="10">
        <f>'Occ T2'!B23</f>
        <v>41.419150338928858</v>
      </c>
      <c r="C31" s="10">
        <f>'Occ T2'!C23</f>
        <v>44.669193195030559</v>
      </c>
      <c r="D31" s="10">
        <f>'Occ T2'!D23</f>
        <v>36.039102763857159</v>
      </c>
      <c r="E31" s="10">
        <f>'Occ T2'!E23</f>
        <v>35.488642210875369</v>
      </c>
      <c r="F31" s="10">
        <f>'Occ T2'!F23</f>
        <v>31.960757016792254</v>
      </c>
      <c r="H31" s="11">
        <f t="shared" ref="H31:H32" si="16">C31-B31</f>
        <v>3.2500428561017003</v>
      </c>
      <c r="I31" s="30">
        <f t="shared" si="5"/>
        <v>-8.6300904311734001</v>
      </c>
      <c r="J31" s="11">
        <f t="shared" ref="J31:J32" si="17">E31-D31</f>
        <v>-0.55046055298178942</v>
      </c>
      <c r="K31" s="11">
        <f t="shared" ref="K31:K32" si="18">F31-E31</f>
        <v>-3.5278851940831153</v>
      </c>
      <c r="L31" s="30">
        <f t="shared" si="4"/>
        <v>-4.0783457470649047</v>
      </c>
    </row>
    <row r="32" spans="1:12" x14ac:dyDescent="0.2">
      <c r="A32" s="10" t="str">
        <f>'Occ T2'!A24</f>
        <v>54 Textiles, printing and other skilled trades</v>
      </c>
      <c r="B32" s="10">
        <f>'Occ T2'!B24</f>
        <v>25.386641391134777</v>
      </c>
      <c r="C32" s="10">
        <f>'Occ T2'!C24</f>
        <v>22.351057253310533</v>
      </c>
      <c r="D32" s="10">
        <f>'Occ T2'!D24</f>
        <v>21.093602961826281</v>
      </c>
      <c r="E32" s="10">
        <f>'Occ T2'!E24</f>
        <v>20.64922949338639</v>
      </c>
      <c r="F32" s="10">
        <f>'Occ T2'!F24</f>
        <v>20.007455074440646</v>
      </c>
      <c r="H32" s="11">
        <f t="shared" si="16"/>
        <v>-3.0355841378242445</v>
      </c>
      <c r="I32" s="30">
        <f t="shared" si="5"/>
        <v>-1.257454291484251</v>
      </c>
      <c r="J32" s="11">
        <f t="shared" si="17"/>
        <v>-0.44437346843989189</v>
      </c>
      <c r="K32" s="11">
        <f t="shared" si="18"/>
        <v>-0.64177441894574372</v>
      </c>
      <c r="L32" s="30">
        <f t="shared" si="4"/>
        <v>-1.0861478873856356</v>
      </c>
    </row>
    <row r="33" spans="1:12" x14ac:dyDescent="0.2">
      <c r="A33" s="10"/>
      <c r="B33" s="31"/>
      <c r="C33" s="31"/>
      <c r="D33" s="31"/>
      <c r="E33" s="31"/>
      <c r="F33" s="31"/>
      <c r="H33" s="11"/>
      <c r="I33" s="30"/>
      <c r="J33" s="11"/>
      <c r="K33" s="11"/>
      <c r="L33" s="30"/>
    </row>
    <row r="34" spans="1:12" s="29" customFormat="1" x14ac:dyDescent="0.2">
      <c r="A34" s="29" t="str">
        <f>'Occ T1'!A13</f>
        <v>Caring, leisure and other service occupations</v>
      </c>
      <c r="B34" s="30">
        <f>'Occ T1'!B13</f>
        <v>117.47035830653246</v>
      </c>
      <c r="C34" s="30">
        <f>'Occ T1'!C13</f>
        <v>112.76379624437124</v>
      </c>
      <c r="D34" s="30">
        <f>'Occ T1'!D13</f>
        <v>113.43549604886647</v>
      </c>
      <c r="E34" s="30">
        <f>'Occ T1'!E13</f>
        <v>119.33219216526747</v>
      </c>
      <c r="F34" s="30">
        <f>'Occ T1'!F13</f>
        <v>124.77661745115446</v>
      </c>
      <c r="H34" s="30">
        <f t="shared" ref="H34:K36" si="19">C34-B34</f>
        <v>-4.7065620621612254</v>
      </c>
      <c r="I34" s="30">
        <f t="shared" si="5"/>
        <v>0.67169980449523337</v>
      </c>
      <c r="J34" s="30">
        <f t="shared" si="19"/>
        <v>5.896696116401003</v>
      </c>
      <c r="K34" s="30">
        <f t="shared" si="19"/>
        <v>5.444425285886993</v>
      </c>
      <c r="L34" s="30">
        <f t="shared" si="4"/>
        <v>11.341121402287996</v>
      </c>
    </row>
    <row r="35" spans="1:12" x14ac:dyDescent="0.2">
      <c r="A35" s="10" t="str">
        <f>'Occ T2'!A25</f>
        <v>61 Caring personal service occupations</v>
      </c>
      <c r="B35" s="10">
        <f>'Occ T2'!B25</f>
        <v>88.684911099512362</v>
      </c>
      <c r="C35" s="10">
        <f>'Occ T2'!C25</f>
        <v>82.941204653813969</v>
      </c>
      <c r="D35" s="10">
        <f>'Occ T2'!D25</f>
        <v>85.269437786949581</v>
      </c>
      <c r="E35" s="10">
        <f>'Occ T2'!E25</f>
        <v>91.561079770055386</v>
      </c>
      <c r="F35" s="10">
        <f>'Occ T2'!F25</f>
        <v>96.070574814222852</v>
      </c>
      <c r="G35" s="10"/>
      <c r="H35" s="11">
        <f t="shared" si="19"/>
        <v>-5.7437064456983933</v>
      </c>
      <c r="I35" s="30">
        <f t="shared" si="5"/>
        <v>2.3282331331356119</v>
      </c>
      <c r="J35" s="11">
        <f t="shared" si="19"/>
        <v>6.291641983105805</v>
      </c>
      <c r="K35" s="11">
        <f t="shared" si="19"/>
        <v>4.5094950441674655</v>
      </c>
      <c r="L35" s="30">
        <f t="shared" si="4"/>
        <v>10.801137027273271</v>
      </c>
    </row>
    <row r="36" spans="1:12" x14ac:dyDescent="0.2">
      <c r="A36" s="10" t="str">
        <f>'Occ T2'!A26</f>
        <v>62 Leisure, travel and related personal service occupations</v>
      </c>
      <c r="B36" s="10">
        <f>'Occ T2'!B26</f>
        <v>27.405172717445431</v>
      </c>
      <c r="C36" s="10">
        <f>'Occ T2'!C26</f>
        <v>28.56716875139217</v>
      </c>
      <c r="D36" s="10">
        <f>'Occ T2'!D26</f>
        <v>26.609234004473503</v>
      </c>
      <c r="E36" s="10">
        <f>'Occ T2'!E26</f>
        <v>26.493861943034343</v>
      </c>
      <c r="F36" s="10">
        <f>'Occ T2'!F26</f>
        <v>27.345758662070583</v>
      </c>
      <c r="G36" s="10"/>
      <c r="H36" s="11">
        <f t="shared" si="19"/>
        <v>1.161996033946739</v>
      </c>
      <c r="I36" s="30">
        <f t="shared" si="5"/>
        <v>-1.9579347469186672</v>
      </c>
      <c r="J36" s="11">
        <f t="shared" si="19"/>
        <v>-0.11537206143916023</v>
      </c>
      <c r="K36" s="11">
        <f t="shared" si="19"/>
        <v>0.85189671903624031</v>
      </c>
      <c r="L36" s="30">
        <f t="shared" si="4"/>
        <v>0.73652465759708008</v>
      </c>
    </row>
    <row r="37" spans="1:12" x14ac:dyDescent="0.2">
      <c r="A37" s="10" t="str">
        <f>'Occ T2'!A27</f>
        <v>63 Community and civil enforcement occupations</v>
      </c>
      <c r="B37" s="10">
        <f>'Occ T2'!B27</f>
        <v>1.3802744895746679</v>
      </c>
      <c r="C37" s="10">
        <f>'Occ T2'!C27</f>
        <v>1.2554228391650974</v>
      </c>
      <c r="D37" s="10">
        <f>'Occ T2'!D27</f>
        <v>1.5568242574433744</v>
      </c>
      <c r="E37" s="10">
        <f>'Occ T2'!E27</f>
        <v>1.277250452177739</v>
      </c>
      <c r="F37" s="10">
        <f>'Occ T2'!F27</f>
        <v>1.3602839748610343</v>
      </c>
      <c r="G37" s="10"/>
      <c r="H37" s="11">
        <f t="shared" ref="H37" si="20">C37-B37</f>
        <v>-0.12485165040957047</v>
      </c>
      <c r="I37" s="30">
        <f t="shared" ref="I37" si="21">D37-C37</f>
        <v>0.30140141827827693</v>
      </c>
      <c r="J37" s="11">
        <f t="shared" ref="J37" si="22">E37-D37</f>
        <v>-0.27957380526563536</v>
      </c>
      <c r="K37" s="11">
        <f>F37-E37</f>
        <v>8.3033522683295224E-2</v>
      </c>
      <c r="L37" s="30">
        <f t="shared" ref="L37" si="23">F37-D37</f>
        <v>-0.19654028258234013</v>
      </c>
    </row>
    <row r="38" spans="1:12" x14ac:dyDescent="0.2">
      <c r="I38" s="30"/>
      <c r="L38" s="30"/>
    </row>
    <row r="39" spans="1:12" s="29" customFormat="1" x14ac:dyDescent="0.2">
      <c r="A39" s="29" t="str">
        <f>'Occ T1'!A14</f>
        <v>Sales and customer service occupations</v>
      </c>
      <c r="B39" s="30">
        <f>'Occ T1'!B14</f>
        <v>135.78940443127954</v>
      </c>
      <c r="C39" s="30">
        <f>'Occ T1'!C14</f>
        <v>124.79456462617762</v>
      </c>
      <c r="D39" s="30">
        <f>'Occ T1'!D14</f>
        <v>125.9627236836462</v>
      </c>
      <c r="E39" s="30">
        <f>'Occ T1'!E14</f>
        <v>126.52753004348526</v>
      </c>
      <c r="F39" s="30">
        <f>'Occ T1'!F14</f>
        <v>128.69100271062041</v>
      </c>
      <c r="H39" s="30">
        <f>C39-B39</f>
        <v>-10.994839805101918</v>
      </c>
      <c r="I39" s="30">
        <f t="shared" si="5"/>
        <v>1.1681590574685856</v>
      </c>
      <c r="J39" s="30">
        <f>E39-D39</f>
        <v>0.56480635983905358</v>
      </c>
      <c r="K39" s="30">
        <f>F39-E39</f>
        <v>2.163472667135153</v>
      </c>
      <c r="L39" s="30">
        <f t="shared" si="4"/>
        <v>2.7282790269742065</v>
      </c>
    </row>
    <row r="40" spans="1:12" s="29" customFormat="1" x14ac:dyDescent="0.2">
      <c r="A40" s="125" t="str">
        <f>'Occ T2'!A28</f>
        <v>71 Sales occupations</v>
      </c>
      <c r="B40" s="125">
        <f>'Occ T2'!B28</f>
        <v>115.11953582269213</v>
      </c>
      <c r="C40" s="125">
        <f>'Occ T2'!C28</f>
        <v>103.36021529507335</v>
      </c>
      <c r="D40" s="125">
        <f>'Occ T2'!D28</f>
        <v>103.628321303587</v>
      </c>
      <c r="E40" s="125">
        <f>'Occ T2'!E28</f>
        <v>97.846712688119439</v>
      </c>
      <c r="F40" s="125">
        <f>'Occ T2'!F28</f>
        <v>95.173047322350257</v>
      </c>
      <c r="G40"/>
      <c r="H40" s="11">
        <f t="shared" ref="H40" si="24">C40-B40</f>
        <v>-11.759320527618783</v>
      </c>
      <c r="I40" s="30">
        <f t="shared" si="5"/>
        <v>0.26810600851365507</v>
      </c>
      <c r="J40" s="11">
        <f t="shared" ref="J40" si="25">E40-D40</f>
        <v>-5.7816086154675617</v>
      </c>
      <c r="K40" s="11">
        <f t="shared" ref="K40" si="26">F40-E40</f>
        <v>-2.6736653657691818</v>
      </c>
      <c r="L40" s="30">
        <f t="shared" si="4"/>
        <v>-8.4552739812367435</v>
      </c>
    </row>
    <row r="41" spans="1:12" s="29" customFormat="1" x14ac:dyDescent="0.2">
      <c r="A41" s="125" t="str">
        <f>'Occ T2'!A29</f>
        <v>72 Customer service occupations</v>
      </c>
      <c r="B41" s="125">
        <f>'Occ T2'!B29</f>
        <v>20.669868608587418</v>
      </c>
      <c r="C41" s="125">
        <f>'Occ T2'!C29</f>
        <v>21.434349331104272</v>
      </c>
      <c r="D41" s="125">
        <f>'Occ T2'!D29</f>
        <v>22.33440238005921</v>
      </c>
      <c r="E41" s="125">
        <f>'Occ T2'!E29</f>
        <v>28.680817355365821</v>
      </c>
      <c r="F41" s="125">
        <f>'Occ T2'!F29</f>
        <v>33.517955388270146</v>
      </c>
      <c r="G41"/>
      <c r="H41" s="11">
        <f t="shared" ref="H41" si="27">C41-B41</f>
        <v>0.76448072251685417</v>
      </c>
      <c r="I41" s="30">
        <f t="shared" si="5"/>
        <v>0.90005304895493765</v>
      </c>
      <c r="J41" s="11">
        <f t="shared" ref="J41" si="28">E41-D41</f>
        <v>6.3464149753066117</v>
      </c>
      <c r="K41" s="11">
        <f t="shared" ref="K41" si="29">F41-E41</f>
        <v>4.8371380329043241</v>
      </c>
      <c r="L41" s="30">
        <f t="shared" si="4"/>
        <v>11.183553008210936</v>
      </c>
    </row>
    <row r="42" spans="1:12" x14ac:dyDescent="0.2">
      <c r="B42" s="31"/>
      <c r="C42" s="31"/>
      <c r="D42" s="31"/>
      <c r="E42" s="31"/>
      <c r="F42" s="31"/>
      <c r="H42" s="11"/>
      <c r="I42" s="30"/>
      <c r="J42" s="11"/>
      <c r="K42" s="11"/>
      <c r="L42" s="30"/>
    </row>
    <row r="43" spans="1:12" s="29" customFormat="1" x14ac:dyDescent="0.2">
      <c r="A43" s="29" t="str">
        <f>'Occ T1'!A15</f>
        <v>Process, plant and machine operatives</v>
      </c>
      <c r="B43" s="30">
        <f>'Occ T1'!B15</f>
        <v>84.817279410842787</v>
      </c>
      <c r="C43" s="30">
        <f>'Occ T1'!C15</f>
        <v>88.949306042931028</v>
      </c>
      <c r="D43" s="30">
        <f>'Occ T1'!D15</f>
        <v>78.634537803995443</v>
      </c>
      <c r="E43" s="30">
        <f>'Occ T1'!E15</f>
        <v>84.78395961297386</v>
      </c>
      <c r="F43" s="30">
        <f>'Occ T1'!F15</f>
        <v>80.469926760747029</v>
      </c>
      <c r="H43" s="30">
        <f t="shared" ref="H43:K45" si="30">C43-B43</f>
        <v>4.1320266320882411</v>
      </c>
      <c r="I43" s="30">
        <f t="shared" si="5"/>
        <v>-10.314768238935585</v>
      </c>
      <c r="J43" s="30">
        <f t="shared" si="30"/>
        <v>6.1494218089784169</v>
      </c>
      <c r="K43" s="30">
        <f t="shared" si="30"/>
        <v>-4.3140328522268305</v>
      </c>
      <c r="L43" s="30">
        <f t="shared" si="4"/>
        <v>1.8353889567515864</v>
      </c>
    </row>
    <row r="44" spans="1:12" x14ac:dyDescent="0.2">
      <c r="A44" s="10" t="str">
        <f>'Occ T2'!A30</f>
        <v>81 Process, plant and machine operatives</v>
      </c>
      <c r="B44" s="10">
        <f>'Occ T2'!B30</f>
        <v>43.708317600696866</v>
      </c>
      <c r="C44" s="10">
        <f>'Occ T2'!C30</f>
        <v>39.937105686071149</v>
      </c>
      <c r="D44" s="10">
        <f>'Occ T2'!D30</f>
        <v>34.877203113995151</v>
      </c>
      <c r="E44" s="10">
        <f>'Occ T2'!E30</f>
        <v>40.8444444640147</v>
      </c>
      <c r="F44" s="10">
        <f>'Occ T2'!F30</f>
        <v>38.843978717677466</v>
      </c>
      <c r="H44" s="11">
        <f t="shared" si="30"/>
        <v>-3.7712119146257166</v>
      </c>
      <c r="I44" s="30">
        <f t="shared" si="5"/>
        <v>-5.0599025720759983</v>
      </c>
      <c r="J44" s="11">
        <f t="shared" si="30"/>
        <v>5.9672413500195489</v>
      </c>
      <c r="K44" s="11">
        <f t="shared" si="30"/>
        <v>-2.000465746337234</v>
      </c>
      <c r="L44" s="30">
        <f t="shared" si="4"/>
        <v>3.966775603682315</v>
      </c>
    </row>
    <row r="45" spans="1:12" x14ac:dyDescent="0.2">
      <c r="A45" s="10" t="str">
        <f>'Occ T2'!A31</f>
        <v>82 Transport and mobile machine drivers and operatives</v>
      </c>
      <c r="B45" s="10">
        <f>'Occ T2'!B31</f>
        <v>41.108961810145928</v>
      </c>
      <c r="C45" s="10">
        <f>'Occ T2'!C31</f>
        <v>49.012200356859871</v>
      </c>
      <c r="D45" s="10">
        <f>'Occ T2'!D31</f>
        <v>43.757334690000292</v>
      </c>
      <c r="E45" s="10">
        <f>'Occ T2'!E31</f>
        <v>43.939515148959167</v>
      </c>
      <c r="F45" s="10">
        <f>'Occ T2'!F31</f>
        <v>41.62594804306957</v>
      </c>
      <c r="H45" s="11">
        <f t="shared" si="30"/>
        <v>7.9032385467139434</v>
      </c>
      <c r="I45" s="30">
        <f t="shared" si="5"/>
        <v>-5.2548656668595797</v>
      </c>
      <c r="J45" s="11">
        <f t="shared" si="30"/>
        <v>0.18218045895887514</v>
      </c>
      <c r="K45" s="11">
        <f t="shared" si="30"/>
        <v>-2.3135671058895966</v>
      </c>
      <c r="L45" s="30">
        <f t="shared" si="4"/>
        <v>-2.1313866469307214</v>
      </c>
    </row>
    <row r="46" spans="1:12" x14ac:dyDescent="0.2">
      <c r="B46" s="31"/>
      <c r="C46" s="31"/>
      <c r="D46" s="31"/>
      <c r="E46" s="31"/>
      <c r="F46" s="31"/>
      <c r="H46" s="11"/>
      <c r="I46" s="30"/>
      <c r="J46" s="11"/>
      <c r="K46" s="11"/>
      <c r="L46" s="30"/>
    </row>
    <row r="47" spans="1:12" s="29" customFormat="1" x14ac:dyDescent="0.2">
      <c r="A47" s="29" t="str">
        <f>'Occ T1'!A16</f>
        <v>Elementary occupations</v>
      </c>
      <c r="B47" s="30">
        <f>'Occ T1'!B16</f>
        <v>149.64446770585877</v>
      </c>
      <c r="C47" s="30">
        <f>'Occ T1'!C16</f>
        <v>143.17585623854376</v>
      </c>
      <c r="D47" s="30">
        <f>'Occ T1'!D16</f>
        <v>133.81868649587605</v>
      </c>
      <c r="E47" s="30">
        <f>'Occ T1'!E16</f>
        <v>131.22981971569683</v>
      </c>
      <c r="F47" s="30">
        <f>'Occ T1'!F16</f>
        <v>130.05371150291043</v>
      </c>
      <c r="H47" s="30">
        <f t="shared" ref="H47:K49" si="31">C47-B47</f>
        <v>-6.4686114673150144</v>
      </c>
      <c r="I47" s="30">
        <f t="shared" si="5"/>
        <v>-9.3571697426677076</v>
      </c>
      <c r="J47" s="30">
        <f t="shared" si="31"/>
        <v>-2.5888667801792167</v>
      </c>
      <c r="K47" s="30">
        <f t="shared" si="31"/>
        <v>-1.1761082127864029</v>
      </c>
      <c r="L47" s="30">
        <f t="shared" si="4"/>
        <v>-3.7649749929656195</v>
      </c>
    </row>
    <row r="48" spans="1:12" x14ac:dyDescent="0.2">
      <c r="A48" s="10" t="str">
        <f>'Occ T2'!A32</f>
        <v>91 Elementary trades and related occupations</v>
      </c>
      <c r="B48" s="10">
        <f>'Occ T2'!B32</f>
        <v>20.317502556909954</v>
      </c>
      <c r="C48" s="10">
        <f>'Occ T2'!C32</f>
        <v>17.904540418703959</v>
      </c>
      <c r="D48" s="10">
        <f>'Occ T2'!D32</f>
        <v>15.637941740926959</v>
      </c>
      <c r="E48" s="10">
        <f>'Occ T2'!E32</f>
        <v>12.63088442456316</v>
      </c>
      <c r="F48" s="10">
        <f>'Occ T2'!F32</f>
        <v>11.728541244332119</v>
      </c>
      <c r="H48" s="11">
        <f>C48-B48</f>
        <v>-2.4129621382059945</v>
      </c>
      <c r="I48" s="30">
        <f t="shared" si="5"/>
        <v>-2.2665986777770009</v>
      </c>
      <c r="J48" s="11">
        <f t="shared" si="31"/>
        <v>-3.0070573163637988</v>
      </c>
      <c r="K48" s="11">
        <f t="shared" si="31"/>
        <v>-0.90234318023104088</v>
      </c>
      <c r="L48" s="30">
        <f t="shared" si="4"/>
        <v>-3.9094004965948397</v>
      </c>
    </row>
    <row r="49" spans="1:12" x14ac:dyDescent="0.2">
      <c r="A49" s="10" t="str">
        <f>'Occ T2'!A33</f>
        <v>92 Elementary administration and service occupations</v>
      </c>
      <c r="B49" s="10">
        <f>'Occ T2'!B33</f>
        <v>129.32696514894883</v>
      </c>
      <c r="C49" s="10">
        <f>'Occ T2'!C33</f>
        <v>125.2713158198398</v>
      </c>
      <c r="D49" s="10">
        <f>'Occ T2'!D33</f>
        <v>118.1807447549491</v>
      </c>
      <c r="E49" s="10">
        <f>'Occ T2'!E33</f>
        <v>118.59893529113367</v>
      </c>
      <c r="F49" s="10">
        <f>'Occ T2'!F33</f>
        <v>118.32517025857831</v>
      </c>
      <c r="H49" s="11">
        <f t="shared" si="31"/>
        <v>-4.0556493291090305</v>
      </c>
      <c r="I49" s="30">
        <f t="shared" si="5"/>
        <v>-7.0905710648906961</v>
      </c>
      <c r="J49" s="11">
        <f t="shared" si="31"/>
        <v>0.41819053618456792</v>
      </c>
      <c r="K49" s="11">
        <f t="shared" si="31"/>
        <v>-0.27376503255536022</v>
      </c>
      <c r="L49" s="30">
        <f t="shared" si="4"/>
        <v>0.1444255036292077</v>
      </c>
    </row>
    <row r="50" spans="1:12" x14ac:dyDescent="0.2">
      <c r="B50" s="31"/>
      <c r="C50" s="31"/>
      <c r="D50" s="31"/>
      <c r="E50" s="31"/>
      <c r="F50" s="31"/>
      <c r="H50" s="11"/>
      <c r="I50" s="30"/>
      <c r="J50" s="11"/>
      <c r="K50" s="11"/>
      <c r="L50" s="30"/>
    </row>
    <row r="51" spans="1:12" x14ac:dyDescent="0.2">
      <c r="A51" s="38" t="str">
        <f>'Occ T1'!A18</f>
        <v>All occupations</v>
      </c>
      <c r="B51" s="33">
        <f>'Occ T1'!B18</f>
        <v>1207.7030000016521</v>
      </c>
      <c r="C51" s="33">
        <f>'Occ T1'!C18</f>
        <v>1194.8680000007776</v>
      </c>
      <c r="D51" s="33">
        <f>'Occ T1'!D18</f>
        <v>1189.3390000002908</v>
      </c>
      <c r="E51" s="33">
        <f>'Occ T1'!E18</f>
        <v>1208.7760000004321</v>
      </c>
      <c r="F51" s="33">
        <f>'Occ T1'!F18</f>
        <v>1250.9970000002124</v>
      </c>
      <c r="G51" s="23"/>
      <c r="H51" s="33">
        <f>C51-B51</f>
        <v>-12.835000000874516</v>
      </c>
      <c r="I51" s="205">
        <f>D51-C51</f>
        <v>-5.5290000004868034</v>
      </c>
      <c r="J51" s="33">
        <f>E51-D51</f>
        <v>19.437000000141325</v>
      </c>
      <c r="K51" s="33">
        <f>F51-E51</f>
        <v>42.220999999780361</v>
      </c>
      <c r="L51" s="205">
        <f>F51-D51</f>
        <v>61.657999999921685</v>
      </c>
    </row>
    <row r="53" spans="1:12" ht="15.75" x14ac:dyDescent="0.25">
      <c r="A53" s="18" t="str">
        <f>CONCATENATE(A1," (Continued)")</f>
        <v>Occupation Table 3  Employment Change by Occupation in Occupation Group (SOC 2020), 2015-2035, North East (Continued)</v>
      </c>
    </row>
    <row r="55" spans="1:12" x14ac:dyDescent="0.2">
      <c r="L55" s="15" t="s">
        <v>21</v>
      </c>
    </row>
    <row r="56" spans="1:12" x14ac:dyDescent="0.2">
      <c r="A56" s="35"/>
      <c r="B56" s="27" t="s">
        <v>14</v>
      </c>
      <c r="C56" s="27"/>
      <c r="D56" s="27"/>
      <c r="E56" s="27"/>
      <c r="F56" s="27"/>
      <c r="G56" s="27"/>
      <c r="H56" s="27" t="s">
        <v>463</v>
      </c>
      <c r="I56" s="27"/>
      <c r="J56" s="27"/>
      <c r="K56" s="27"/>
      <c r="L56" s="27"/>
    </row>
    <row r="57" spans="1:12" x14ac:dyDescent="0.2">
      <c r="A57" s="23"/>
      <c r="B57" s="36" t="str">
        <f>H5</f>
        <v>2015-2019</v>
      </c>
      <c r="C57" s="36" t="str">
        <f>I5</f>
        <v>2019-2020</v>
      </c>
      <c r="D57" s="36" t="str">
        <f>J5</f>
        <v>2020-2025</v>
      </c>
      <c r="E57" s="36" t="str">
        <f>K5</f>
        <v>2025-2035</v>
      </c>
      <c r="F57" s="36" t="str">
        <f>L5</f>
        <v>2020-2035</v>
      </c>
      <c r="G57" s="1"/>
      <c r="H57" s="41">
        <f>B5</f>
        <v>2015</v>
      </c>
      <c r="I57" s="41">
        <f>C5</f>
        <v>2019</v>
      </c>
      <c r="J57" s="41">
        <f>D5</f>
        <v>2020</v>
      </c>
      <c r="K57" s="41">
        <f>E5</f>
        <v>2025</v>
      </c>
      <c r="L57" s="41">
        <f>F5</f>
        <v>2035</v>
      </c>
    </row>
    <row r="59" spans="1:12" s="29" customFormat="1" x14ac:dyDescent="0.2">
      <c r="A59" s="29" t="str">
        <f>A7</f>
        <v>Managers, directors and senior officials</v>
      </c>
      <c r="B59" s="43">
        <f>IF(AND(C$5-B$5 &lt;&gt; 0,C7 &lt;&gt; 0,B7 &lt;&gt; 0),(EXP(LN(C7/B7)/(C$5-B$5))-1)*100,0)</f>
        <v>3.0017606686911558</v>
      </c>
      <c r="C59" s="43">
        <f>IF(AND(D$5-C$5 &lt;&gt; 0,D7 &lt;&gt; 0,C7 &lt;&gt; 0),(EXP(LN(D7/C7)/(D$5-C$5))-1)*100,0)</f>
        <v>2.7277117701496323E-2</v>
      </c>
      <c r="D59" s="43">
        <f>IF(AND(E$5-D$5 &lt;&gt; 0,E7 &lt;&gt; 0,D7 &lt;&gt; 0),(EXP(LN(E7/D7)/(E$5-D$5))-1)*100,0)</f>
        <v>0.4908447036449326</v>
      </c>
      <c r="E59" s="43">
        <f>IF(AND(F$5-E$5 &lt;&gt; 0,F7 &lt;&gt; 0,E7 &lt;&gt; 0),(EXP(LN(F7/E7)/(F$5-E$5))-1)*100,0)</f>
        <v>1.2842856653683343</v>
      </c>
      <c r="F59" s="43">
        <f>IF(AND(F$5-D$5 &lt;&gt; 0,F7 &lt;&gt; 0,D7 &lt;&gt; 0),(EXP(LN(F7/D7)/(F$5-D$5))-1)*100,0)</f>
        <v>1.0191116945586387</v>
      </c>
      <c r="H59" s="43">
        <f>(B7/B$51)*100</f>
        <v>7.3343026451269235</v>
      </c>
      <c r="I59" s="43">
        <f>(C7/C$51)*100</f>
        <v>8.3440641683514585</v>
      </c>
      <c r="J59" s="43">
        <f>(D7/D$51)*100</f>
        <v>8.3851406608404186</v>
      </c>
      <c r="K59" s="43">
        <f>(E7/E$51)*100</f>
        <v>8.4547869429251854</v>
      </c>
      <c r="L59" s="43">
        <f>(F7/F$51)*100</f>
        <v>9.2813878870148407</v>
      </c>
    </row>
    <row r="60" spans="1:12" s="29" customFormat="1" x14ac:dyDescent="0.2">
      <c r="A60" s="29" t="str">
        <f>A8</f>
        <v>11 Corporate managers and directors</v>
      </c>
      <c r="B60" s="43">
        <f t="shared" ref="B60:E60" si="32">IF(AND(C$5-B$5 &lt;&gt; 0,C8 &lt;&gt; 0,B8 &lt;&gt; 0),(EXP(LN(C8/B8)/(C$5-B$5))-1)*100,0)</f>
        <v>3.3844702339223431</v>
      </c>
      <c r="C60" s="43">
        <f t="shared" si="32"/>
        <v>2.4228437151931237</v>
      </c>
      <c r="D60" s="43">
        <f t="shared" si="32"/>
        <v>-1.6620939385781464</v>
      </c>
      <c r="E60" s="43">
        <f t="shared" si="32"/>
        <v>0.96754668593357351</v>
      </c>
      <c r="F60" s="43">
        <f>IF(AND(F$5-D$5 &lt;&gt; 0,F8 &lt;&gt; 0,D8 &lt;&gt; 0),(EXP(LN(F8/D8)/(F$5-D$5))-1)*100,0)</f>
        <v>8.3278039491885281E-2</v>
      </c>
      <c r="H60" s="43">
        <f t="shared" ref="H60:L60" si="33">(B8/B$51)*100</f>
        <v>4.3710731500617506</v>
      </c>
      <c r="I60" s="43">
        <f t="shared" si="33"/>
        <v>5.0471883959369519</v>
      </c>
      <c r="J60" s="43">
        <f t="shared" si="33"/>
        <v>5.1935057366943429</v>
      </c>
      <c r="K60" s="43">
        <f t="shared" si="33"/>
        <v>4.69921407251727</v>
      </c>
      <c r="L60" s="43">
        <f t="shared" si="33"/>
        <v>4.9995720205179923</v>
      </c>
    </row>
    <row r="61" spans="1:12" s="29" customFormat="1" x14ac:dyDescent="0.2">
      <c r="A61" s="29" t="str">
        <f>A9</f>
        <v>12 Other managers and proprietors</v>
      </c>
      <c r="B61" s="43">
        <f t="shared" ref="B61:E61" si="34">IF(AND(C$5-B$5 &lt;&gt; 0,C9 &lt;&gt; 0,B9 &lt;&gt; 0),(EXP(LN(C9/B9)/(C$5-B$5))-1)*100,0)</f>
        <v>2.4293154120807126</v>
      </c>
      <c r="C61" s="43">
        <f>IF(AND(D$5-C$5 &lt;&gt; 0,D9 &lt;&gt; 0,C9 &lt;&gt; 0),(EXP(LN(D9/C9)/(D$5-C$5))-1)*100,0)</f>
        <v>-3.640096713523866</v>
      </c>
      <c r="D61" s="43">
        <f t="shared" si="34"/>
        <v>3.6431563613732676</v>
      </c>
      <c r="E61" s="43">
        <f t="shared" si="34"/>
        <v>1.6684548810723898</v>
      </c>
      <c r="F61" s="43">
        <f>IF(AND(F$5-D$5 &lt;&gt; 0,F9 &lt;&gt; 0,D9 &lt;&gt; 0),(EXP(LN(F9/D9)/(F$5-D$5))-1)*100,0)</f>
        <v>2.322472491234584</v>
      </c>
      <c r="H61" s="43">
        <f t="shared" ref="H61:L61" si="35">(B9/B$51)*100</f>
        <v>2.963229495065173</v>
      </c>
      <c r="I61" s="43">
        <f t="shared" si="35"/>
        <v>3.2968757724145079</v>
      </c>
      <c r="J61" s="43">
        <f t="shared" si="35"/>
        <v>3.1916349241460766</v>
      </c>
      <c r="K61" s="43">
        <f t="shared" si="35"/>
        <v>3.7555728704079145</v>
      </c>
      <c r="L61" s="43">
        <f t="shared" si="35"/>
        <v>4.2818158664968484</v>
      </c>
    </row>
    <row r="62" spans="1:12" x14ac:dyDescent="0.2">
      <c r="B62" s="39"/>
      <c r="C62" s="43"/>
      <c r="D62" s="39"/>
      <c r="E62" s="39"/>
      <c r="F62" s="43"/>
      <c r="H62" s="39"/>
      <c r="I62" s="39"/>
      <c r="J62" s="39"/>
      <c r="K62" s="39"/>
      <c r="L62" s="39"/>
    </row>
    <row r="63" spans="1:12" s="29" customFormat="1" x14ac:dyDescent="0.2">
      <c r="A63" s="29" t="str">
        <f>A11</f>
        <v>Professional occupations</v>
      </c>
      <c r="B63" s="43">
        <f t="shared" ref="B63:E67" si="36">IF(AND(C$5-B$5 &lt;&gt; 0,C11 &lt;&gt; 0,B11 &lt;&gt; 0),(EXP(LN(C11/B11)/(C$5-B$5))-1)*100,0)</f>
        <v>0.66106025192997908</v>
      </c>
      <c r="C63" s="43">
        <f t="shared" si="36"/>
        <v>7.1869266492549766</v>
      </c>
      <c r="D63" s="43">
        <f t="shared" si="36"/>
        <v>1.6398518341697477</v>
      </c>
      <c r="E63" s="43">
        <f t="shared" si="36"/>
        <v>1.0507535796797418</v>
      </c>
      <c r="F63" s="43">
        <f>IF(AND(F$5-D$5 &lt;&gt; 0,F11 &lt;&gt; 0,D11 &lt;&gt; 0),(EXP(LN(F11/D11)/(F$5-D$5))-1)*100,0)</f>
        <v>1.2467393087312928</v>
      </c>
      <c r="H63" s="43">
        <f>(B11/B$51)*100</f>
        <v>19.167852128166945</v>
      </c>
      <c r="I63" s="43">
        <f>(C11/C$51)*100</f>
        <v>19.891139671424753</v>
      </c>
      <c r="J63" s="43">
        <f>(D11/D$51)*100</f>
        <v>21.419816980832795</v>
      </c>
      <c r="K63" s="43">
        <f>(E11/E$51)*100</f>
        <v>22.861025273333013</v>
      </c>
      <c r="L63" s="43">
        <f>(F11/F$51)*100</f>
        <v>24.523408360955422</v>
      </c>
    </row>
    <row r="64" spans="1:12" x14ac:dyDescent="0.2">
      <c r="A64" t="str">
        <f>A12</f>
        <v>21 Science, research, engineering and technology professionals</v>
      </c>
      <c r="B64" s="48">
        <f t="shared" si="36"/>
        <v>1.203545578356735</v>
      </c>
      <c r="C64" s="43">
        <f t="shared" si="36"/>
        <v>3.6034440501195419</v>
      </c>
      <c r="D64" s="48">
        <f t="shared" si="36"/>
        <v>0.8233413945010648</v>
      </c>
      <c r="E64" s="48">
        <f t="shared" si="36"/>
        <v>0.99021948152455685</v>
      </c>
      <c r="F64" s="43">
        <f>IF(AND(F$5-D$5 &lt;&gt; 0,F12 &lt;&gt; 0,D12 &lt;&gt; 0),(EXP(LN(F12/D12)/(F$5-D$5))-1)*100,0)</f>
        <v>0.93456278520251956</v>
      </c>
      <c r="H64" s="39">
        <f t="shared" ref="H64:L67" si="37">(B12/B$11)*100</f>
        <v>22.931780657518029</v>
      </c>
      <c r="I64" s="39">
        <f t="shared" si="37"/>
        <v>23.430129493067195</v>
      </c>
      <c r="J64" s="39">
        <f t="shared" si="37"/>
        <v>22.646811378082507</v>
      </c>
      <c r="K64" s="39">
        <f t="shared" si="37"/>
        <v>21.751658596397423</v>
      </c>
      <c r="L64" s="39">
        <f t="shared" si="37"/>
        <v>21.621706748634363</v>
      </c>
    </row>
    <row r="65" spans="1:12" x14ac:dyDescent="0.2">
      <c r="A65" t="str">
        <f>A13</f>
        <v>22 Health professionals</v>
      </c>
      <c r="B65" s="48">
        <f t="shared" si="36"/>
        <v>0.31405247124516311</v>
      </c>
      <c r="C65" s="43">
        <f t="shared" si="36"/>
        <v>6.9185526375159068</v>
      </c>
      <c r="D65" s="48">
        <f t="shared" si="36"/>
        <v>1.9523342224145868</v>
      </c>
      <c r="E65" s="48">
        <f t="shared" si="36"/>
        <v>1.0838990641183877</v>
      </c>
      <c r="F65" s="43">
        <f>IF(AND(F$5-D$5 &lt;&gt; 0,F13 &lt;&gt; 0,D13 &lt;&gt; 0),(EXP(LN(F13/D13)/(F$5-D$5))-1)*100,0)</f>
        <v>1.3725523924732919</v>
      </c>
      <c r="H65" s="39">
        <f t="shared" si="37"/>
        <v>32.159136388636419</v>
      </c>
      <c r="I65" s="39">
        <f t="shared" si="37"/>
        <v>31.717976792691488</v>
      </c>
      <c r="J65" s="39">
        <f t="shared" si="37"/>
        <v>31.63856150444504</v>
      </c>
      <c r="K65" s="39">
        <f t="shared" si="37"/>
        <v>32.127910440530115</v>
      </c>
      <c r="L65" s="39">
        <f t="shared" si="37"/>
        <v>32.233448332962887</v>
      </c>
    </row>
    <row r="66" spans="1:12" x14ac:dyDescent="0.2">
      <c r="A66" t="str">
        <f>A14</f>
        <v>23 Teaching and other educational professionals</v>
      </c>
      <c r="B66" s="48">
        <f t="shared" si="36"/>
        <v>-0.23541040465705487</v>
      </c>
      <c r="C66" s="43">
        <f t="shared" si="36"/>
        <v>4.7879141635689182</v>
      </c>
      <c r="D66" s="48">
        <f t="shared" si="36"/>
        <v>1.7986795427486824</v>
      </c>
      <c r="E66" s="48">
        <f t="shared" si="36"/>
        <v>0.72868998139345997</v>
      </c>
      <c r="F66" s="43">
        <f>IF(AND(F$5-D$5 &lt;&gt; 0,F14 &lt;&gt; 0,D14 &lt;&gt; 0),(EXP(LN(F14/D14)/(F$5-D$5))-1)*100,0)</f>
        <v>1.0840976851205664</v>
      </c>
      <c r="H66" s="39">
        <f t="shared" si="37"/>
        <v>22.350804455092195</v>
      </c>
      <c r="I66" s="39">
        <f t="shared" si="37"/>
        <v>21.565167633601174</v>
      </c>
      <c r="J66" s="39">
        <f t="shared" si="37"/>
        <v>21.08250516695341</v>
      </c>
      <c r="K66" s="39">
        <f t="shared" si="37"/>
        <v>21.247743866547601</v>
      </c>
      <c r="L66" s="39">
        <f t="shared" si="37"/>
        <v>20.580177429489691</v>
      </c>
    </row>
    <row r="67" spans="1:12" x14ac:dyDescent="0.2">
      <c r="A67" t="str">
        <f>A15</f>
        <v>24 Business, media and public service professionals</v>
      </c>
      <c r="B67" s="48">
        <f t="shared" si="36"/>
        <v>1.4640329808991437</v>
      </c>
      <c r="C67" s="43">
        <f t="shared" si="36"/>
        <v>13.379675596424899</v>
      </c>
      <c r="D67" s="48">
        <f t="shared" si="36"/>
        <v>1.8376102184659127</v>
      </c>
      <c r="E67" s="48">
        <f t="shared" si="36"/>
        <v>1.3284269938692361</v>
      </c>
      <c r="F67" s="43">
        <f>IF(AND(F$5-D$5 &lt;&gt; 0,F15 &lt;&gt; 0,D15 &lt;&gt; 0),(EXP(LN(F15/D15)/(F$5-D$5))-1)*100,0)</f>
        <v>1.4978712280647066</v>
      </c>
      <c r="H67" s="39">
        <f t="shared" si="37"/>
        <v>22.558278498753353</v>
      </c>
      <c r="I67" s="39">
        <f t="shared" si="37"/>
        <v>23.286726080640154</v>
      </c>
      <c r="J67" s="39">
        <f t="shared" si="37"/>
        <v>24.632121950519039</v>
      </c>
      <c r="K67" s="39">
        <f t="shared" si="37"/>
        <v>24.872687096524874</v>
      </c>
      <c r="L67" s="39">
        <f t="shared" si="37"/>
        <v>25.564667488913056</v>
      </c>
    </row>
    <row r="68" spans="1:12" x14ac:dyDescent="0.2">
      <c r="B68" s="39"/>
      <c r="C68" s="43"/>
      <c r="D68" s="39"/>
      <c r="E68" s="39"/>
      <c r="F68" s="43"/>
      <c r="H68" s="39"/>
      <c r="I68" s="39"/>
      <c r="J68" s="39"/>
      <c r="K68" s="39"/>
      <c r="L68" s="39"/>
    </row>
    <row r="69" spans="1:12" s="29" customFormat="1" x14ac:dyDescent="0.2">
      <c r="A69" s="29" t="str">
        <f t="shared" ref="A69:A74" si="38">A17</f>
        <v>Associate professional occupations</v>
      </c>
      <c r="B69" s="43">
        <f t="shared" ref="B69:E74" si="39">IF(AND(C$5-B$5 &lt;&gt; 0,C17 &lt;&gt; 0,B17 &lt;&gt; 0),(EXP(LN(C17/B17)/(C$5-B$5))-1)*100,0)</f>
        <v>0.82291986130971218</v>
      </c>
      <c r="C69" s="43">
        <f t="shared" si="39"/>
        <v>5.1764834499019807</v>
      </c>
      <c r="D69" s="43">
        <f t="shared" si="39"/>
        <v>-0.62244862550667746</v>
      </c>
      <c r="E69" s="43">
        <f t="shared" si="39"/>
        <v>0.7740064617721254</v>
      </c>
      <c r="F69" s="43">
        <f t="shared" ref="F69:F74" si="40">IF(AND(F$5-D$5 &lt;&gt; 0,F17 &lt;&gt; 0,D17 &lt;&gt; 0),(EXP(LN(F17/D17)/(F$5-D$5))-1)*100,0)</f>
        <v>0.30635460444361495</v>
      </c>
      <c r="H69" s="43">
        <f>(B17/B$51)*100</f>
        <v>10.686994533262281</v>
      </c>
      <c r="I69" s="43">
        <f>(C17/C$51)*100</f>
        <v>11.161765248713795</v>
      </c>
      <c r="J69" s="43">
        <f>(D17/D$51)*100</f>
        <v>11.794127018164543</v>
      </c>
      <c r="K69" s="43">
        <f>(E17/E$51)*100</f>
        <v>11.247787186941718</v>
      </c>
      <c r="L69" s="43">
        <f>(F17/F$51)*100</f>
        <v>11.739291915045207</v>
      </c>
    </row>
    <row r="70" spans="1:12" x14ac:dyDescent="0.2">
      <c r="A70" t="str">
        <f t="shared" si="38"/>
        <v>31 Science, engineering and technology associate professionals</v>
      </c>
      <c r="B70" s="48">
        <f t="shared" si="39"/>
        <v>1.7769210040031291</v>
      </c>
      <c r="C70" s="43">
        <f t="shared" si="39"/>
        <v>7.9116855488854387</v>
      </c>
      <c r="D70" s="48">
        <f t="shared" si="39"/>
        <v>-2.9047193619990974</v>
      </c>
      <c r="E70" s="48">
        <f t="shared" si="39"/>
        <v>0.44546678153445374</v>
      </c>
      <c r="F70" s="43">
        <f t="shared" si="40"/>
        <v>-0.6839127547068613</v>
      </c>
      <c r="H70" s="39">
        <f t="shared" ref="H70:L74" si="41">(B18/B$17)*100</f>
        <v>17.179971617389974</v>
      </c>
      <c r="I70" s="39">
        <f t="shared" si="41"/>
        <v>17.839496504156386</v>
      </c>
      <c r="J70" s="39">
        <f t="shared" si="41"/>
        <v>18.303427476960003</v>
      </c>
      <c r="K70" s="39">
        <f t="shared" si="41"/>
        <v>16.296020825810068</v>
      </c>
      <c r="L70" s="39">
        <f t="shared" si="41"/>
        <v>15.772470840246999</v>
      </c>
    </row>
    <row r="71" spans="1:12" x14ac:dyDescent="0.2">
      <c r="A71" t="str">
        <f t="shared" si="38"/>
        <v>32 Health and social care associate professionals</v>
      </c>
      <c r="B71" s="48">
        <f t="shared" si="39"/>
        <v>0.26153337090675244</v>
      </c>
      <c r="C71" s="43">
        <f t="shared" si="39"/>
        <v>9.3856114651134313</v>
      </c>
      <c r="D71" s="48">
        <f t="shared" si="39"/>
        <v>0.32797868034448729</v>
      </c>
      <c r="E71" s="48">
        <f t="shared" si="39"/>
        <v>0.89326093728698819</v>
      </c>
      <c r="F71" s="43">
        <f t="shared" si="40"/>
        <v>0.70448051335030293</v>
      </c>
      <c r="H71" s="39">
        <f t="shared" si="41"/>
        <v>20.114807699553232</v>
      </c>
      <c r="I71" s="39">
        <f t="shared" si="41"/>
        <v>19.670534993669744</v>
      </c>
      <c r="J71" s="39">
        <f t="shared" si="41"/>
        <v>20.45774328586835</v>
      </c>
      <c r="K71" s="39">
        <f t="shared" si="41"/>
        <v>21.454904160853015</v>
      </c>
      <c r="L71" s="39">
        <f t="shared" si="41"/>
        <v>21.710154659140002</v>
      </c>
    </row>
    <row r="72" spans="1:12" x14ac:dyDescent="0.2">
      <c r="A72" t="str">
        <f t="shared" si="38"/>
        <v>33 Protective service occupations</v>
      </c>
      <c r="B72" s="48">
        <f t="shared" si="39"/>
        <v>1.5792714270628894</v>
      </c>
      <c r="C72" s="43">
        <f t="shared" si="39"/>
        <v>5.4576870335021788</v>
      </c>
      <c r="D72" s="48">
        <f t="shared" si="39"/>
        <v>2.792174129163616</v>
      </c>
      <c r="E72" s="48">
        <f t="shared" si="39"/>
        <v>1.3129683182343976</v>
      </c>
      <c r="F72" s="43">
        <f t="shared" si="40"/>
        <v>1.803656539104348</v>
      </c>
      <c r="H72" s="39">
        <f t="shared" si="41"/>
        <v>11.379682241150284</v>
      </c>
      <c r="I72" s="39">
        <f t="shared" si="41"/>
        <v>11.725015543913461</v>
      </c>
      <c r="J72" s="39">
        <f t="shared" si="41"/>
        <v>11.756363962120343</v>
      </c>
      <c r="K72" s="39">
        <f t="shared" si="41"/>
        <v>13.91976243590779</v>
      </c>
      <c r="L72" s="39">
        <f t="shared" si="41"/>
        <v>14.682397224870464</v>
      </c>
    </row>
    <row r="73" spans="1:12" x14ac:dyDescent="0.2">
      <c r="A73" t="str">
        <f t="shared" si="38"/>
        <v>34 Culture, media and sports occupations</v>
      </c>
      <c r="B73" s="48">
        <f t="shared" si="39"/>
        <v>0.30237988454884235</v>
      </c>
      <c r="C73" s="43">
        <f t="shared" si="39"/>
        <v>-5.7186978798228765</v>
      </c>
      <c r="D73" s="48">
        <f t="shared" si="39"/>
        <v>-1.1907900031823293</v>
      </c>
      <c r="E73" s="48">
        <f t="shared" si="39"/>
        <v>1.1760100153130892</v>
      </c>
      <c r="F73" s="43">
        <f t="shared" si="40"/>
        <v>0.38084364570027951</v>
      </c>
      <c r="H73" s="39">
        <f t="shared" si="41"/>
        <v>12.074559205195797</v>
      </c>
      <c r="I73" s="39">
        <f t="shared" si="41"/>
        <v>11.827124098825019</v>
      </c>
      <c r="J73" s="39">
        <f t="shared" si="41"/>
        <v>10.601958002382599</v>
      </c>
      <c r="K73" s="39">
        <f t="shared" si="41"/>
        <v>10.302242211692832</v>
      </c>
      <c r="L73" s="39">
        <f t="shared" si="41"/>
        <v>10.720671545741482</v>
      </c>
    </row>
    <row r="74" spans="1:12" x14ac:dyDescent="0.2">
      <c r="A74" t="str">
        <f t="shared" si="38"/>
        <v>35 Business and public service associate professionals</v>
      </c>
      <c r="B74" s="48">
        <f t="shared" si="39"/>
        <v>0.62122019927410843</v>
      </c>
      <c r="C74" s="43">
        <f t="shared" si="39"/>
        <v>5.021649883201329</v>
      </c>
      <c r="D74" s="48">
        <f t="shared" si="39"/>
        <v>-1.0626028243102548</v>
      </c>
      <c r="E74" s="48">
        <f t="shared" si="39"/>
        <v>0.52946524163814956</v>
      </c>
      <c r="F74" s="43">
        <f t="shared" si="40"/>
        <v>-4.0505041124405672E-3</v>
      </c>
      <c r="H74" s="39">
        <f t="shared" si="41"/>
        <v>39.250979236710705</v>
      </c>
      <c r="I74" s="39">
        <f t="shared" si="41"/>
        <v>38.937828859435378</v>
      </c>
      <c r="J74" s="39">
        <f t="shared" si="41"/>
        <v>38.880507272668716</v>
      </c>
      <c r="K74" s="39">
        <f t="shared" si="41"/>
        <v>38.0270703657363</v>
      </c>
      <c r="L74" s="39">
        <f t="shared" si="41"/>
        <v>37.114305730001064</v>
      </c>
    </row>
    <row r="75" spans="1:12" x14ac:dyDescent="0.2">
      <c r="A75" s="29"/>
      <c r="B75" s="39"/>
      <c r="C75" s="43"/>
      <c r="D75" s="39"/>
      <c r="E75" s="39"/>
      <c r="F75" s="43"/>
      <c r="H75" s="39"/>
      <c r="I75" s="39"/>
      <c r="J75" s="39"/>
      <c r="K75" s="39"/>
      <c r="L75" s="39"/>
    </row>
    <row r="76" spans="1:12" s="29" customFormat="1" x14ac:dyDescent="0.2">
      <c r="A76" s="29" t="str">
        <f>A24</f>
        <v>Administrative and secretarial occupations</v>
      </c>
      <c r="B76" s="43">
        <f t="shared" ref="B76:E78" si="42">IF(AND(C$5-B$5 &lt;&gt; 0,C24 &lt;&gt; 0,B24 &lt;&gt; 0),(EXP(LN(C24/B24)/(C$5-B$5))-1)*100,0)</f>
        <v>-2.3607712569034711</v>
      </c>
      <c r="C76" s="43">
        <f t="shared" si="42"/>
        <v>4.4696542039491804</v>
      </c>
      <c r="D76" s="43">
        <f t="shared" si="42"/>
        <v>-1.1234556107671212</v>
      </c>
      <c r="E76" s="43">
        <f t="shared" si="42"/>
        <v>-0.67226321081138574</v>
      </c>
      <c r="F76" s="43">
        <f>IF(AND(F$5-D$5 &lt;&gt; 0,F24 &lt;&gt; 0,D24 &lt;&gt; 0),(EXP(LN(F24/D24)/(F$5-D$5))-1)*100,0)</f>
        <v>-0.8228889787840088</v>
      </c>
      <c r="H76" s="43">
        <f>(B24/B$51)*100</f>
        <v>11.571618626895928</v>
      </c>
      <c r="I76" s="43">
        <f>(C24/C$51)*100</f>
        <v>10.62996140341909</v>
      </c>
      <c r="J76" s="43">
        <f>(D24/D$51)*100</f>
        <v>11.156709242297888</v>
      </c>
      <c r="K76" s="43">
        <f>(E24/E$51)*100</f>
        <v>10.374384653957774</v>
      </c>
      <c r="L76" s="43">
        <f>(F24/F$51)*100</f>
        <v>9.3703822453198242</v>
      </c>
    </row>
    <row r="77" spans="1:12" x14ac:dyDescent="0.2">
      <c r="A77" t="str">
        <f>A25</f>
        <v>41 Administrative occupations</v>
      </c>
      <c r="B77" s="48">
        <f t="shared" si="42"/>
        <v>-2.0316117952810964</v>
      </c>
      <c r="C77" s="43">
        <f t="shared" si="42"/>
        <v>5.0965065377663876</v>
      </c>
      <c r="D77" s="48">
        <f t="shared" si="42"/>
        <v>-1.7185078423488709</v>
      </c>
      <c r="E77" s="48">
        <f t="shared" si="42"/>
        <v>-0.46733808635540663</v>
      </c>
      <c r="F77" s="43">
        <f>IF(AND(F$5-D$5 &lt;&gt; 0,F25 &lt;&gt; 0,D25 &lt;&gt; 0),(EXP(LN(F25/D25)/(F$5-D$5))-1)*100,0)</f>
        <v>-0.88615450774064408</v>
      </c>
      <c r="H77" s="39">
        <f t="shared" ref="H77:L78" si="43">(B25/B$24)*100</f>
        <v>81.98193980952729</v>
      </c>
      <c r="I77" s="39">
        <f t="shared" si="43"/>
        <v>83.093046321992077</v>
      </c>
      <c r="J77" s="39">
        <f t="shared" si="43"/>
        <v>83.591631967822153</v>
      </c>
      <c r="K77" s="39">
        <f t="shared" si="43"/>
        <v>81.10639752344953</v>
      </c>
      <c r="L77" s="39">
        <f t="shared" si="43"/>
        <v>82.795341501706332</v>
      </c>
    </row>
    <row r="78" spans="1:12" x14ac:dyDescent="0.2">
      <c r="A78" t="str">
        <f>A26</f>
        <v>42 Secretarial and related occupations</v>
      </c>
      <c r="B78" s="48">
        <f t="shared" si="42"/>
        <v>-3.9021497120461768</v>
      </c>
      <c r="C78" s="43">
        <f t="shared" si="42"/>
        <v>1.3888466851661896</v>
      </c>
      <c r="D78" s="48">
        <f t="shared" si="42"/>
        <v>1.7051997186684487</v>
      </c>
      <c r="E78" s="48">
        <f t="shared" si="42"/>
        <v>-1.5980582531805787</v>
      </c>
      <c r="F78" s="43">
        <f>IF(AND(F$5-D$5 &lt;&gt; 0,F26 &lt;&gt; 0,D26 &lt;&gt; 0),(EXP(LN(F26/D26)/(F$5-D$5))-1)*100,0)</f>
        <v>-0.50906830229731082</v>
      </c>
      <c r="H78" s="39">
        <f t="shared" si="43"/>
        <v>18.018060190472703</v>
      </c>
      <c r="I78" s="39">
        <f t="shared" si="43"/>
        <v>16.906953678007934</v>
      </c>
      <c r="J78" s="39">
        <f t="shared" si="43"/>
        <v>16.40836803217784</v>
      </c>
      <c r="K78" s="39">
        <f t="shared" si="43"/>
        <v>18.893602476550473</v>
      </c>
      <c r="L78" s="39">
        <f t="shared" si="43"/>
        <v>17.204658498293668</v>
      </c>
    </row>
    <row r="79" spans="1:12" x14ac:dyDescent="0.2">
      <c r="B79" s="39"/>
      <c r="C79" s="43"/>
      <c r="D79" s="39"/>
      <c r="E79" s="39"/>
      <c r="F79" s="43"/>
      <c r="H79" s="39"/>
      <c r="I79" s="39"/>
      <c r="J79" s="39"/>
      <c r="K79" s="39"/>
      <c r="L79" s="39"/>
    </row>
    <row r="80" spans="1:12" s="29" customFormat="1" x14ac:dyDescent="0.2">
      <c r="A80" s="29" t="str">
        <f>A28</f>
        <v>Skilled trades occupations</v>
      </c>
      <c r="B80" s="43">
        <f t="shared" ref="B80:E84" si="44">IF(AND(C$5-B$5 &lt;&gt; 0,C28 &lt;&gt; 0,B28 &lt;&gt; 0),(EXP(LN(C28/B28)/(C$5-B$5))-1)*100,0)</f>
        <v>-0.70685789398362564</v>
      </c>
      <c r="C80" s="43">
        <f t="shared" si="44"/>
        <v>-13.643998283629555</v>
      </c>
      <c r="D80" s="43">
        <f t="shared" si="44"/>
        <v>-0.55899693736722877</v>
      </c>
      <c r="E80" s="43">
        <f t="shared" si="44"/>
        <v>-0.67166427655136474</v>
      </c>
      <c r="F80" s="43">
        <f>IF(AND(F$5-D$5 &lt;&gt; 0,F28 &lt;&gt; 0,D28 &lt;&gt; 0),(EXP(LN(F28/D28)/(F$5-D$5))-1)*100,0)</f>
        <v>-0.6341226876224404</v>
      </c>
      <c r="H80" s="43">
        <f>(B28/B$51)*100</f>
        <v>10.855005989950763</v>
      </c>
      <c r="I80" s="43">
        <f>(C28/C$51)*100</f>
        <v>10.664666977291022</v>
      </c>
      <c r="J80" s="43">
        <f>(D28/D$51)*100</f>
        <v>9.2523935000874609</v>
      </c>
      <c r="K80" s="43">
        <f>(E28/E$51)*100</f>
        <v>8.8520000641966163</v>
      </c>
      <c r="L80" s="43">
        <f>(F28/F$51)*100</f>
        <v>7.995811676645463</v>
      </c>
    </row>
    <row r="81" spans="1:12" x14ac:dyDescent="0.2">
      <c r="A81" t="str">
        <f>A29</f>
        <v>51 Skilled agricultural and related trades</v>
      </c>
      <c r="B81" s="48">
        <f t="shared" si="44"/>
        <v>-4.8880427680318412</v>
      </c>
      <c r="C81" s="43">
        <f t="shared" si="44"/>
        <v>0.35974900222017769</v>
      </c>
      <c r="D81" s="48">
        <f t="shared" si="44"/>
        <v>0.31478467296899293</v>
      </c>
      <c r="E81" s="48">
        <f t="shared" si="44"/>
        <v>1.02286328354384</v>
      </c>
      <c r="F81" s="43">
        <f>IF(AND(F$5-D$5 &lt;&gt; 0,F29 &lt;&gt; 0,D29 &lt;&gt; 0),(EXP(LN(F29/D29)/(F$5-D$5))-1)*100,0)</f>
        <v>0.78628347946878563</v>
      </c>
      <c r="H81" s="39">
        <f t="shared" ref="H81:L84" si="45">(B29/B$28)*100</f>
        <v>9.5681008006721893</v>
      </c>
      <c r="I81" s="39">
        <f t="shared" si="45"/>
        <v>8.0554387689116318</v>
      </c>
      <c r="J81" s="39">
        <f t="shared" si="45"/>
        <v>9.3617327908023</v>
      </c>
      <c r="K81" s="39">
        <f t="shared" si="45"/>
        <v>9.7803294772003984</v>
      </c>
      <c r="L81" s="39">
        <f t="shared" si="45"/>
        <v>11.582935360709405</v>
      </c>
    </row>
    <row r="82" spans="1:12" x14ac:dyDescent="0.2">
      <c r="A82" t="str">
        <f>A30</f>
        <v>52 Skilled metal, electrical and electronic trades</v>
      </c>
      <c r="B82" s="48">
        <f t="shared" si="44"/>
        <v>-0.78386007858950446</v>
      </c>
      <c r="C82" s="43">
        <f t="shared" si="44"/>
        <v>-15.028371874626556</v>
      </c>
      <c r="D82" s="48">
        <f t="shared" si="44"/>
        <v>-1.0594925677580469</v>
      </c>
      <c r="E82" s="48">
        <f t="shared" si="44"/>
        <v>-1.0168483373012682</v>
      </c>
      <c r="F82" s="43">
        <f>IF(AND(F$5-D$5 &lt;&gt; 0,F30 &lt;&gt; 0,D30 &lt;&gt; 0),(EXP(LN(F30/D30)/(F$5-D$5))-1)*100,0)</f>
        <v>-1.0310651226223211</v>
      </c>
      <c r="H82" s="39">
        <f t="shared" si="45"/>
        <v>39.472546511708764</v>
      </c>
      <c r="I82" s="39">
        <f t="shared" si="45"/>
        <v>39.350244471741227</v>
      </c>
      <c r="J82" s="39">
        <f t="shared" si="45"/>
        <v>38.719420462254604</v>
      </c>
      <c r="K82" s="39">
        <f t="shared" si="45"/>
        <v>37.754787767521023</v>
      </c>
      <c r="L82" s="39">
        <f t="shared" si="45"/>
        <v>36.463069343498937</v>
      </c>
    </row>
    <row r="83" spans="1:12" x14ac:dyDescent="0.2">
      <c r="A83" t="str">
        <f>A31</f>
        <v>53 Skilled construction and building trades</v>
      </c>
      <c r="B83" s="48">
        <f t="shared" si="44"/>
        <v>1.9064635776963712</v>
      </c>
      <c r="C83" s="43">
        <f t="shared" si="44"/>
        <v>-19.320005162156129</v>
      </c>
      <c r="D83" s="48">
        <f t="shared" si="44"/>
        <v>-0.30736325494622463</v>
      </c>
      <c r="E83" s="48">
        <f t="shared" si="44"/>
        <v>-1.0415766332980581</v>
      </c>
      <c r="F83" s="43">
        <f>IF(AND(F$5-D$5 &lt;&gt; 0,F31 &lt;&gt; 0,D31 &lt;&gt; 0),(EXP(LN(F31/D31)/(F$5-D$5))-1)*100,0)</f>
        <v>-0.79744162815216235</v>
      </c>
      <c r="H83" s="39">
        <f t="shared" si="45"/>
        <v>31.594462627903376</v>
      </c>
      <c r="I83" s="39">
        <f t="shared" si="45"/>
        <v>35.054266144451013</v>
      </c>
      <c r="J83" s="39">
        <f t="shared" si="45"/>
        <v>32.750219502607855</v>
      </c>
      <c r="K83" s="39">
        <f t="shared" si="45"/>
        <v>33.166691151853165</v>
      </c>
      <c r="L83" s="39">
        <f t="shared" si="45"/>
        <v>31.952013603725486</v>
      </c>
    </row>
    <row r="84" spans="1:12" x14ac:dyDescent="0.2">
      <c r="A84" t="str">
        <f>A32</f>
        <v>54 Textiles, printing and other skilled trades</v>
      </c>
      <c r="B84" s="48">
        <f t="shared" si="44"/>
        <v>-3.1335897335555307</v>
      </c>
      <c r="C84" s="43">
        <f t="shared" si="44"/>
        <v>-5.6259275667955411</v>
      </c>
      <c r="D84" s="48">
        <f t="shared" si="44"/>
        <v>-0.42493082932631987</v>
      </c>
      <c r="E84" s="48">
        <f t="shared" si="44"/>
        <v>-0.31523257767650525</v>
      </c>
      <c r="F84" s="43">
        <f>IF(AND(F$5-D$5 &lt;&gt; 0,F32 &lt;&gt; 0,D32 &lt;&gt; 0),(EXP(LN(F32/D32)/(F$5-D$5))-1)*100,0)</f>
        <v>-0.35181208283330268</v>
      </c>
      <c r="H84" s="39">
        <f t="shared" si="45"/>
        <v>19.364890059715677</v>
      </c>
      <c r="I84" s="39">
        <f t="shared" si="45"/>
        <v>17.540050614896128</v>
      </c>
      <c r="J84" s="39">
        <f t="shared" si="45"/>
        <v>19.168627244335241</v>
      </c>
      <c r="K84" s="39">
        <f t="shared" si="45"/>
        <v>19.298191603425416</v>
      </c>
      <c r="L84" s="39">
        <f t="shared" si="45"/>
        <v>20.00198169206617</v>
      </c>
    </row>
    <row r="85" spans="1:12" x14ac:dyDescent="0.2">
      <c r="A85" s="29"/>
      <c r="B85" s="39"/>
      <c r="C85" s="43"/>
      <c r="D85" s="39"/>
      <c r="E85" s="39"/>
      <c r="F85" s="43"/>
      <c r="H85" s="39"/>
      <c r="I85" s="39"/>
      <c r="J85" s="39"/>
      <c r="K85" s="39"/>
      <c r="L85" s="39"/>
    </row>
    <row r="86" spans="1:12" s="29" customFormat="1" x14ac:dyDescent="0.2">
      <c r="A86" s="29" t="str">
        <f>A34</f>
        <v>Caring, leisure and other service occupations</v>
      </c>
      <c r="B86" s="43">
        <f t="shared" ref="B86:E89" si="46">IF(AND(C$5-B$5 &lt;&gt; 0,C34 &lt;&gt; 0,B34 &lt;&gt; 0),(EXP(LN(C34/B34)/(C$5-B$5))-1)*100,0)</f>
        <v>-1.0170600994804824</v>
      </c>
      <c r="C86" s="43">
        <f t="shared" si="46"/>
        <v>0.59566973343074814</v>
      </c>
      <c r="D86" s="43">
        <f t="shared" si="46"/>
        <v>1.0186891921518892</v>
      </c>
      <c r="E86" s="43">
        <f t="shared" si="46"/>
        <v>0.4471361175027333</v>
      </c>
      <c r="F86" s="43">
        <f>IF(AND(F$5-D$5 &lt;&gt; 0,F34 &lt;&gt; 0,D34 &lt;&gt; 0),(EXP(LN(F34/D34)/(F$5-D$5))-1)*100,0)</f>
        <v>0.63729359287270082</v>
      </c>
      <c r="H86" s="43">
        <f>(B34/B$51)*100</f>
        <v>9.7267588394143072</v>
      </c>
      <c r="I86" s="43">
        <f>(C34/C$51)*100</f>
        <v>9.4373433922657437</v>
      </c>
      <c r="J86" s="43">
        <f>(D34/D$51)*100</f>
        <v>9.5376924534416787</v>
      </c>
      <c r="K86" s="43">
        <f>(E34/E$51)*100</f>
        <v>9.8721510160050183</v>
      </c>
      <c r="L86" s="43">
        <f>(F34/F$51)*100</f>
        <v>9.97417399491232</v>
      </c>
    </row>
    <row r="87" spans="1:12" x14ac:dyDescent="0.2">
      <c r="A87" t="str">
        <f>A35</f>
        <v>61 Caring personal service occupations</v>
      </c>
      <c r="B87" s="48">
        <f t="shared" si="46"/>
        <v>-1.660011999847999</v>
      </c>
      <c r="C87" s="43">
        <f t="shared" si="46"/>
        <v>2.8070886392997929</v>
      </c>
      <c r="D87" s="48">
        <f t="shared" si="46"/>
        <v>1.4339881364871854</v>
      </c>
      <c r="E87" s="48">
        <f t="shared" si="46"/>
        <v>0.48192541946088241</v>
      </c>
      <c r="F87" s="43">
        <f>IF(AND(F$5-D$5 &lt;&gt; 0,F35 &lt;&gt; 0,D35 &lt;&gt; 0),(EXP(LN(F35/D35)/(F$5-D$5))-1)*100,0)</f>
        <v>0.79828259462559892</v>
      </c>
      <c r="H87" s="39">
        <f t="shared" ref="H87:L89" si="47">(B35/B$34)*100</f>
        <v>75.495565330697261</v>
      </c>
      <c r="I87" s="39">
        <f t="shared" si="47"/>
        <v>73.553043987692192</v>
      </c>
      <c r="J87" s="39">
        <f t="shared" si="47"/>
        <v>75.169978319852078</v>
      </c>
      <c r="K87" s="39">
        <f t="shared" si="47"/>
        <v>76.727895556673531</v>
      </c>
      <c r="L87" s="39">
        <f t="shared" si="47"/>
        <v>76.994052873593091</v>
      </c>
    </row>
    <row r="88" spans="1:12" x14ac:dyDescent="0.2">
      <c r="A88" t="str">
        <f>A36</f>
        <v>62 Leisure, travel and related personal service occupations</v>
      </c>
      <c r="B88" s="48">
        <f t="shared" si="46"/>
        <v>1.0435658548189952</v>
      </c>
      <c r="C88" s="43">
        <f t="shared" si="46"/>
        <v>-6.8537934716517928</v>
      </c>
      <c r="D88" s="48">
        <f t="shared" si="46"/>
        <v>-8.6866593129852898E-2</v>
      </c>
      <c r="E88" s="48">
        <f t="shared" si="46"/>
        <v>0.31698492935694489</v>
      </c>
      <c r="F88" s="43">
        <f>IF(AND(F$5-D$5 &lt;&gt; 0,F36 &lt;&gt; 0,D36 &lt;&gt; 0),(EXP(LN(F36/D36)/(F$5-D$5))-1)*100,0)</f>
        <v>0.1821867048710013</v>
      </c>
      <c r="H88" s="39">
        <f t="shared" si="47"/>
        <v>23.329436559589897</v>
      </c>
      <c r="I88" s="39">
        <f t="shared" si="47"/>
        <v>25.333635176208553</v>
      </c>
      <c r="J88" s="39">
        <f t="shared" si="47"/>
        <v>23.457590376305674</v>
      </c>
      <c r="K88" s="39">
        <f t="shared" si="47"/>
        <v>22.201772599921767</v>
      </c>
      <c r="L88" s="39">
        <f t="shared" si="47"/>
        <v>21.91577173726116</v>
      </c>
    </row>
    <row r="89" spans="1:12" x14ac:dyDescent="0.2">
      <c r="A89" t="str">
        <f>A37</f>
        <v>63 Community and civil enforcement occupations</v>
      </c>
      <c r="B89" s="48">
        <f t="shared" si="46"/>
        <v>-2.3423788706092075</v>
      </c>
      <c r="C89" s="43">
        <f t="shared" si="46"/>
        <v>24.007960415848405</v>
      </c>
      <c r="D89" s="48">
        <f t="shared" si="46"/>
        <v>-3.8814313138276879</v>
      </c>
      <c r="E89" s="48">
        <f t="shared" si="46"/>
        <v>0.63182564774550976</v>
      </c>
      <c r="F89" s="43">
        <f>IF(AND(F$5-D$5 &lt;&gt; 0,F37 &lt;&gt; 0,D37 &lt;&gt; 0),(EXP(LN(F37/D37)/(F$5-D$5))-1)*100,0)</f>
        <v>-0.89566171107728909</v>
      </c>
      <c r="H89" s="39">
        <f t="shared" si="47"/>
        <v>1.1749981097128497</v>
      </c>
      <c r="I89" s="39">
        <f t="shared" si="47"/>
        <v>1.1133208360992579</v>
      </c>
      <c r="J89" s="39">
        <f t="shared" si="47"/>
        <v>1.3724313038422431</v>
      </c>
      <c r="K89" s="39">
        <f t="shared" si="47"/>
        <v>1.0703318434046938</v>
      </c>
      <c r="L89" s="39">
        <f t="shared" si="47"/>
        <v>1.090175389145756</v>
      </c>
    </row>
    <row r="90" spans="1:12" x14ac:dyDescent="0.2">
      <c r="B90" s="39"/>
      <c r="C90" s="43"/>
      <c r="D90" s="39"/>
      <c r="E90" s="39"/>
      <c r="F90" s="43"/>
      <c r="H90" s="39"/>
      <c r="I90" s="39"/>
      <c r="J90" s="39"/>
      <c r="K90" s="39"/>
      <c r="L90" s="39"/>
    </row>
    <row r="91" spans="1:12" s="29" customFormat="1" x14ac:dyDescent="0.2">
      <c r="A91" s="29" t="str">
        <f>A39</f>
        <v>Sales and customer service occupations</v>
      </c>
      <c r="B91" s="43">
        <f t="shared" ref="B91:E93" si="48">IF(AND(C$5-B$5 &lt;&gt; 0,C39 &lt;&gt; 0,B39 &lt;&gt; 0),(EXP(LN(C39/B39)/(C$5-B$5))-1)*100,0)</f>
        <v>-2.0887834593807164</v>
      </c>
      <c r="C91" s="43">
        <f t="shared" si="48"/>
        <v>0.93606565395520924</v>
      </c>
      <c r="D91" s="43">
        <f t="shared" si="48"/>
        <v>8.9517921228132735E-2</v>
      </c>
      <c r="E91" s="43">
        <f t="shared" si="48"/>
        <v>0.16968670380959061</v>
      </c>
      <c r="F91" s="43">
        <f t="shared" ref="F91:F103" si="49">IF(AND(F$5-D$5 &lt;&gt; 0,F39 &lt;&gt; 0,D39 &lt;&gt; 0),(EXP(LN(F39/D39)/(F$5-D$5))-1)*100,0)</f>
        <v>0.14295664405947761</v>
      </c>
      <c r="H91" s="43">
        <f>(B39/B$51)*100</f>
        <v>11.243609101831641</v>
      </c>
      <c r="I91" s="43">
        <f>(C39/C$51)*100</f>
        <v>10.444213471789052</v>
      </c>
      <c r="J91" s="43">
        <f>(D39/D$51)*100</f>
        <v>10.590985722625375</v>
      </c>
      <c r="K91" s="43">
        <f>(E39/E$51)*100</f>
        <v>10.46740918445105</v>
      </c>
      <c r="L91" s="43">
        <f>(F39/F$51)*100</f>
        <v>10.287075245631968</v>
      </c>
    </row>
    <row r="92" spans="1:12" s="29" customFormat="1" x14ac:dyDescent="0.2">
      <c r="A92" s="10" t="str">
        <f>A40</f>
        <v>71 Sales occupations</v>
      </c>
      <c r="B92" s="48">
        <f t="shared" si="48"/>
        <v>-2.6578142331990628</v>
      </c>
      <c r="C92" s="43">
        <f t="shared" si="48"/>
        <v>0.25938994781333768</v>
      </c>
      <c r="D92" s="48">
        <f t="shared" si="48"/>
        <v>-1.1416049932796879</v>
      </c>
      <c r="E92" s="48">
        <f t="shared" si="48"/>
        <v>-0.27666968708969231</v>
      </c>
      <c r="F92" s="43">
        <f t="shared" si="49"/>
        <v>-0.56581903856246507</v>
      </c>
      <c r="G92"/>
      <c r="H92" s="39">
        <f t="shared" ref="H92:L93" si="50">(B40/B$34)*100</f>
        <v>97.998795170347577</v>
      </c>
      <c r="I92" s="39">
        <f t="shared" si="50"/>
        <v>91.660815560945352</v>
      </c>
      <c r="J92" s="39">
        <f t="shared" si="50"/>
        <v>91.354403968000753</v>
      </c>
      <c r="K92" s="39">
        <f t="shared" si="50"/>
        <v>81.995236082320517</v>
      </c>
      <c r="L92" s="39">
        <f t="shared" si="50"/>
        <v>76.274745434261405</v>
      </c>
    </row>
    <row r="93" spans="1:12" s="29" customFormat="1" x14ac:dyDescent="0.2">
      <c r="A93" t="str">
        <f>A41</f>
        <v>72 Customer service occupations</v>
      </c>
      <c r="B93" s="48">
        <f t="shared" si="48"/>
        <v>0.91207748442128089</v>
      </c>
      <c r="C93" s="43">
        <f t="shared" si="48"/>
        <v>4.1991153314312912</v>
      </c>
      <c r="D93" s="48">
        <f t="shared" si="48"/>
        <v>5.1292188686479001</v>
      </c>
      <c r="E93" s="48">
        <f t="shared" si="48"/>
        <v>1.5707360081788524</v>
      </c>
      <c r="F93" s="43">
        <f t="shared" si="49"/>
        <v>2.7433082393231389</v>
      </c>
      <c r="G93"/>
      <c r="H93" s="39">
        <f t="shared" si="50"/>
        <v>17.595816431112375</v>
      </c>
      <c r="I93" s="39">
        <f t="shared" si="50"/>
        <v>19.008183517211268</v>
      </c>
      <c r="J93" s="39">
        <f t="shared" si="50"/>
        <v>19.689077191885204</v>
      </c>
      <c r="K93" s="39">
        <f t="shared" si="50"/>
        <v>24.034434325688679</v>
      </c>
      <c r="L93" s="39">
        <f t="shared" si="50"/>
        <v>26.862368986233509</v>
      </c>
    </row>
    <row r="94" spans="1:12" x14ac:dyDescent="0.2">
      <c r="C94" s="43"/>
      <c r="F94" s="43"/>
    </row>
    <row r="95" spans="1:12" s="29" customFormat="1" x14ac:dyDescent="0.2">
      <c r="A95" s="29" t="str">
        <f>A43</f>
        <v>Process, plant and machine operatives</v>
      </c>
      <c r="B95" s="43">
        <f t="shared" ref="B95:E97" si="51">IF(AND(C$5-B$5 &lt;&gt; 0,C43 &lt;&gt; 0,B43 &lt;&gt; 0),(EXP(LN(C43/B43)/(C$5-B$5))-1)*100,0)</f>
        <v>1.1962819876213171</v>
      </c>
      <c r="C95" s="43">
        <f t="shared" si="51"/>
        <v>-11.596232391017425</v>
      </c>
      <c r="D95" s="43">
        <f t="shared" si="51"/>
        <v>1.5173029970636742</v>
      </c>
      <c r="E95" s="43">
        <f t="shared" si="51"/>
        <v>-0.52086711220223902</v>
      </c>
      <c r="F95" s="43">
        <f t="shared" si="49"/>
        <v>0.1539351508893505</v>
      </c>
      <c r="H95" s="43">
        <f>(B43/B$51)*100</f>
        <v>7.0230246518164456</v>
      </c>
      <c r="I95" s="43">
        <f>(C43/C$51)*100</f>
        <v>7.4442788695381541</v>
      </c>
      <c r="J95" s="43">
        <f>(D43/D$51)*100</f>
        <v>6.6116168564199285</v>
      </c>
      <c r="K95" s="43">
        <f>(E43/E$51)*100</f>
        <v>7.0140339990985554</v>
      </c>
      <c r="L95" s="43">
        <f>(F43/F$51)*100</f>
        <v>6.432463607885019</v>
      </c>
    </row>
    <row r="96" spans="1:12" x14ac:dyDescent="0.2">
      <c r="A96" t="str">
        <f>A44</f>
        <v>81 Process, plant and machine operatives</v>
      </c>
      <c r="B96" s="48">
        <f t="shared" si="51"/>
        <v>-2.2305607437207664</v>
      </c>
      <c r="C96" s="43">
        <f t="shared" si="51"/>
        <v>-12.669677697351855</v>
      </c>
      <c r="D96" s="48">
        <f t="shared" si="51"/>
        <v>3.209165979913875</v>
      </c>
      <c r="E96" s="48">
        <f t="shared" si="51"/>
        <v>-0.50091856532450407</v>
      </c>
      <c r="F96" s="43">
        <f t="shared" si="49"/>
        <v>0.7207158581668649</v>
      </c>
      <c r="H96" s="39">
        <f t="shared" ref="H96:L97" si="52">(B44/B$43)*100</f>
        <v>51.532326790370178</v>
      </c>
      <c r="I96" s="39">
        <f t="shared" si="52"/>
        <v>44.898726547451268</v>
      </c>
      <c r="J96" s="39">
        <f t="shared" si="52"/>
        <v>44.353542461113101</v>
      </c>
      <c r="K96" s="39">
        <f t="shared" si="52"/>
        <v>48.174730987398448</v>
      </c>
      <c r="L96" s="39">
        <f t="shared" si="52"/>
        <v>48.271422979131422</v>
      </c>
    </row>
    <row r="97" spans="1:12" x14ac:dyDescent="0.2">
      <c r="A97" t="str">
        <f>A45</f>
        <v>82 Transport and mobile machine drivers and operatives</v>
      </c>
      <c r="B97" s="48">
        <f t="shared" si="51"/>
        <v>4.4941368179963082</v>
      </c>
      <c r="C97" s="43">
        <f t="shared" si="51"/>
        <v>-10.721546122391334</v>
      </c>
      <c r="D97" s="48">
        <f t="shared" si="51"/>
        <v>8.3130207975545822E-2</v>
      </c>
      <c r="E97" s="48">
        <f t="shared" si="51"/>
        <v>-0.53944283984225239</v>
      </c>
      <c r="F97" s="43">
        <f t="shared" si="49"/>
        <v>-0.33234999040935298</v>
      </c>
      <c r="H97" s="39">
        <f t="shared" si="52"/>
        <v>48.46767320962983</v>
      </c>
      <c r="I97" s="39">
        <f t="shared" si="52"/>
        <v>55.101273452548725</v>
      </c>
      <c r="J97" s="39">
        <f t="shared" si="52"/>
        <v>55.646457538886892</v>
      </c>
      <c r="K97" s="39">
        <f t="shared" si="52"/>
        <v>51.825269012601559</v>
      </c>
      <c r="L97" s="39">
        <f t="shared" si="52"/>
        <v>51.728577020868592</v>
      </c>
    </row>
    <row r="98" spans="1:12" x14ac:dyDescent="0.2">
      <c r="C98" s="43"/>
      <c r="F98" s="43"/>
    </row>
    <row r="99" spans="1:12" s="29" customFormat="1" x14ac:dyDescent="0.2">
      <c r="A99" s="29" t="str">
        <f>A47</f>
        <v>Elementary occupations</v>
      </c>
      <c r="B99" s="43">
        <f t="shared" ref="B99:E101" si="53">IF(AND(C$5-B$5 &lt;&gt; 0,C47 &lt;&gt; 0,B47 &lt;&gt; 0),(EXP(LN(C47/B47)/(C$5-B$5))-1)*100,0)</f>
        <v>-1.098636093629346</v>
      </c>
      <c r="C99" s="43">
        <f t="shared" si="53"/>
        <v>-6.5354382983942694</v>
      </c>
      <c r="D99" s="43">
        <f t="shared" si="53"/>
        <v>-0.3899509638511045</v>
      </c>
      <c r="E99" s="43">
        <f t="shared" si="53"/>
        <v>-8.9985534412873047E-2</v>
      </c>
      <c r="F99" s="43">
        <f t="shared" si="49"/>
        <v>-0.19007424513651783</v>
      </c>
      <c r="H99" s="43">
        <f>(B47/B$51)*100</f>
        <v>12.390833483534781</v>
      </c>
      <c r="I99" s="43">
        <f>(C47/C$51)*100</f>
        <v>11.982566797206937</v>
      </c>
      <c r="J99" s="43">
        <f>(D47/D$51)*100</f>
        <v>11.251517565289907</v>
      </c>
      <c r="K99" s="43">
        <f>(E47/E$51)*100</f>
        <v>10.856421679091074</v>
      </c>
      <c r="L99" s="43">
        <f>(F47/F$51)*100</f>
        <v>10.396005066589955</v>
      </c>
    </row>
    <row r="100" spans="1:12" x14ac:dyDescent="0.2">
      <c r="A100" t="str">
        <f>A48</f>
        <v>91 Elementary trades and related occupations</v>
      </c>
      <c r="B100" s="48">
        <f t="shared" si="53"/>
        <v>-3.1112810655437584</v>
      </c>
      <c r="C100" s="43">
        <f t="shared" si="53"/>
        <v>-12.659351342016024</v>
      </c>
      <c r="D100" s="48">
        <f t="shared" si="53"/>
        <v>-4.1811765079195702</v>
      </c>
      <c r="E100" s="48">
        <f t="shared" si="53"/>
        <v>-0.73845656930298098</v>
      </c>
      <c r="F100" s="43">
        <f t="shared" si="49"/>
        <v>-1.8995588049037226</v>
      </c>
      <c r="H100" s="39">
        <f t="shared" ref="H100:L101" si="54">(B48/B$47)*100</f>
        <v>13.577182550340613</v>
      </c>
      <c r="I100" s="39">
        <f t="shared" si="54"/>
        <v>12.505279094593572</v>
      </c>
      <c r="J100" s="39">
        <f t="shared" si="54"/>
        <v>11.685917826886516</v>
      </c>
      <c r="K100" s="39">
        <f t="shared" si="54"/>
        <v>9.625010879331672</v>
      </c>
      <c r="L100" s="39">
        <f t="shared" si="54"/>
        <v>9.0182287831667534</v>
      </c>
    </row>
    <row r="101" spans="1:12" x14ac:dyDescent="0.2">
      <c r="A101" t="str">
        <f>A49</f>
        <v>92 Elementary administration and service occupations</v>
      </c>
      <c r="B101" s="48">
        <f t="shared" si="53"/>
        <v>-0.79338345539005095</v>
      </c>
      <c r="C101" s="43">
        <f t="shared" si="53"/>
        <v>-5.6601712997794928</v>
      </c>
      <c r="D101" s="48">
        <f t="shared" si="53"/>
        <v>7.0671389405130292E-2</v>
      </c>
      <c r="E101" s="48">
        <f t="shared" si="53"/>
        <v>-2.310727502460308E-2</v>
      </c>
      <c r="F101" s="43">
        <f t="shared" si="49"/>
        <v>8.1425110192601124E-3</v>
      </c>
      <c r="H101" s="39">
        <f t="shared" si="54"/>
        <v>86.422817449659391</v>
      </c>
      <c r="I101" s="39">
        <f t="shared" si="54"/>
        <v>87.494720905406425</v>
      </c>
      <c r="J101" s="39">
        <f t="shared" si="54"/>
        <v>88.314082173113491</v>
      </c>
      <c r="K101" s="39">
        <f t="shared" si="54"/>
        <v>90.374989120668332</v>
      </c>
      <c r="L101" s="39">
        <f t="shared" si="54"/>
        <v>90.981771216833238</v>
      </c>
    </row>
    <row r="102" spans="1:12" x14ac:dyDescent="0.2">
      <c r="A102" s="13"/>
      <c r="C102" s="43"/>
      <c r="F102" s="43"/>
    </row>
    <row r="103" spans="1:12" x14ac:dyDescent="0.2">
      <c r="A103" s="38" t="str">
        <f t="shared" ref="A103" si="55">A51</f>
        <v>All occupations</v>
      </c>
      <c r="B103" s="49">
        <f>IF(AND(C$5-B$5 &lt;&gt; 0,C51 &lt;&gt; 0,B51 &lt;&gt; 0),(EXP(LN(C51/B51)/(C$5-B$5))-1)*100,0)</f>
        <v>-0.26675580585352465</v>
      </c>
      <c r="C103" s="206">
        <f t="shared" ref="C103" si="56">IF(AND(D$5-C$5 &lt;&gt; 0,D51 &lt;&gt; 0,C51 &lt;&gt; 0),(EXP(LN(D51/C51)/(D$5-C$5))-1)*100,0)</f>
        <v>-0.46272893746281962</v>
      </c>
      <c r="D103" s="49">
        <f>IF(AND(E$5-D$5 &lt;&gt; 0,E51 &lt;&gt; 0,D51 &lt;&gt; 0),(EXP(LN(E51/D51)/(E$5-D$5))-1)*100,0)</f>
        <v>0.32473787001079391</v>
      </c>
      <c r="E103" s="49">
        <f>IF(AND(F$5-E$5 &lt;&gt; 0,F51 &lt;&gt; 0,E51 &lt;&gt; 0),(EXP(LN(F51/E51)/(F$5-E$5))-1)*100,0)</f>
        <v>0.34391559747728451</v>
      </c>
      <c r="F103" s="206">
        <f t="shared" si="49"/>
        <v>0.33752261436219566</v>
      </c>
      <c r="G103" s="23"/>
      <c r="H103" s="42">
        <f>(B51/B$51)*100</f>
        <v>100</v>
      </c>
      <c r="I103" s="42">
        <f>(C51/C$51)*100</f>
        <v>100</v>
      </c>
      <c r="J103" s="42">
        <f>(D51/D$51)*100</f>
        <v>100</v>
      </c>
      <c r="K103" s="42">
        <f>(E51/E$51)*100</f>
        <v>100</v>
      </c>
      <c r="L103" s="42">
        <f>(F51/F$51)*100</f>
        <v>100</v>
      </c>
    </row>
  </sheetData>
  <phoneticPr fontId="4" type="noConversion"/>
  <pageMargins left="0.55118110236220474" right="0.55118110236220474" top="0.59055118110236227" bottom="0.59055118110236227" header="0.51181102362204722" footer="0.51181102362204722"/>
  <pageSetup paperSize="9" scale="77" orientation="landscape" r:id="rId1"/>
  <headerFooter alignWithMargins="0"/>
  <rowBreaks count="1" manualBreakCount="1">
    <brk id="52" max="11" man="1"/>
  </rowBreaks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40"/>
  <dimension ref="A1:Y1312"/>
  <sheetViews>
    <sheetView showGridLines="0" zoomScale="85" zoomScaleNormal="85" workbookViewId="0"/>
  </sheetViews>
  <sheetFormatPr defaultRowHeight="12.75" x14ac:dyDescent="0.2"/>
  <cols>
    <col min="1" max="1" width="35.5703125" style="90" customWidth="1"/>
    <col min="2" max="3" width="4.140625" style="90" bestFit="1" customWidth="1"/>
    <col min="4" max="4" width="5.7109375" style="90" bestFit="1" customWidth="1"/>
    <col min="5" max="5" width="5" style="90" customWidth="1"/>
    <col min="6" max="7" width="4.140625" style="90" bestFit="1" customWidth="1"/>
    <col min="8" max="8" width="5.7109375" style="90" bestFit="1" customWidth="1"/>
    <col min="9" max="9" width="5" style="90" customWidth="1"/>
    <col min="10" max="11" width="4.140625" style="90" bestFit="1" customWidth="1"/>
    <col min="12" max="12" width="5.7109375" style="90" bestFit="1" customWidth="1"/>
    <col min="13" max="13" width="5" style="90" customWidth="1"/>
    <col min="14" max="14" width="8.85546875" style="90" customWidth="1"/>
    <col min="15" max="15" width="7.140625" style="90" customWidth="1"/>
    <col min="16" max="16" width="2.85546875" style="90" customWidth="1"/>
    <col min="17" max="17" width="7.42578125" style="90" customWidth="1"/>
    <col min="18" max="18" width="7.28515625" style="90" customWidth="1"/>
    <col min="19" max="19" width="2.7109375" style="90" customWidth="1"/>
    <col min="20" max="20" width="8.140625" style="90" customWidth="1"/>
    <col min="21" max="21" width="7.42578125" style="90" customWidth="1"/>
    <col min="22" max="254" width="9.140625" style="90"/>
    <col min="255" max="255" width="33.140625" style="90" bestFit="1" customWidth="1"/>
    <col min="256" max="258" width="7.140625" style="90" customWidth="1"/>
    <col min="259" max="259" width="5" style="90" customWidth="1"/>
    <col min="260" max="262" width="7.140625" style="90" customWidth="1"/>
    <col min="263" max="263" width="5" style="90" customWidth="1"/>
    <col min="264" max="266" width="7.140625" style="90" customWidth="1"/>
    <col min="267" max="510" width="9.140625" style="90"/>
    <col min="511" max="511" width="33.140625" style="90" bestFit="1" customWidth="1"/>
    <col min="512" max="514" width="7.140625" style="90" customWidth="1"/>
    <col min="515" max="515" width="5" style="90" customWidth="1"/>
    <col min="516" max="518" width="7.140625" style="90" customWidth="1"/>
    <col min="519" max="519" width="5" style="90" customWidth="1"/>
    <col min="520" max="522" width="7.140625" style="90" customWidth="1"/>
    <col min="523" max="766" width="9.140625" style="90"/>
    <col min="767" max="767" width="33.140625" style="90" bestFit="1" customWidth="1"/>
    <col min="768" max="770" width="7.140625" style="90" customWidth="1"/>
    <col min="771" max="771" width="5" style="90" customWidth="1"/>
    <col min="772" max="774" width="7.140625" style="90" customWidth="1"/>
    <col min="775" max="775" width="5" style="90" customWidth="1"/>
    <col min="776" max="778" width="7.140625" style="90" customWidth="1"/>
    <col min="779" max="1022" width="9.140625" style="90"/>
    <col min="1023" max="1023" width="33.140625" style="90" bestFit="1" customWidth="1"/>
    <col min="1024" max="1026" width="7.140625" style="90" customWidth="1"/>
    <col min="1027" max="1027" width="5" style="90" customWidth="1"/>
    <col min="1028" max="1030" width="7.140625" style="90" customWidth="1"/>
    <col min="1031" max="1031" width="5" style="90" customWidth="1"/>
    <col min="1032" max="1034" width="7.140625" style="90" customWidth="1"/>
    <col min="1035" max="1278" width="9.140625" style="90"/>
    <col min="1279" max="1279" width="33.140625" style="90" bestFit="1" customWidth="1"/>
    <col min="1280" max="1282" width="7.140625" style="90" customWidth="1"/>
    <col min="1283" max="1283" width="5" style="90" customWidth="1"/>
    <col min="1284" max="1286" width="7.140625" style="90" customWidth="1"/>
    <col min="1287" max="1287" width="5" style="90" customWidth="1"/>
    <col min="1288" max="1290" width="7.140625" style="90" customWidth="1"/>
    <col min="1291" max="1534" width="9.140625" style="90"/>
    <col min="1535" max="1535" width="33.140625" style="90" bestFit="1" customWidth="1"/>
    <col min="1536" max="1538" width="7.140625" style="90" customWidth="1"/>
    <col min="1539" max="1539" width="5" style="90" customWidth="1"/>
    <col min="1540" max="1542" width="7.140625" style="90" customWidth="1"/>
    <col min="1543" max="1543" width="5" style="90" customWidth="1"/>
    <col min="1544" max="1546" width="7.140625" style="90" customWidth="1"/>
    <col min="1547" max="1790" width="9.140625" style="90"/>
    <col min="1791" max="1791" width="33.140625" style="90" bestFit="1" customWidth="1"/>
    <col min="1792" max="1794" width="7.140625" style="90" customWidth="1"/>
    <col min="1795" max="1795" width="5" style="90" customWidth="1"/>
    <col min="1796" max="1798" width="7.140625" style="90" customWidth="1"/>
    <col min="1799" max="1799" width="5" style="90" customWidth="1"/>
    <col min="1800" max="1802" width="7.140625" style="90" customWidth="1"/>
    <col min="1803" max="2046" width="9.140625" style="90"/>
    <col min="2047" max="2047" width="33.140625" style="90" bestFit="1" customWidth="1"/>
    <col min="2048" max="2050" width="7.140625" style="90" customWidth="1"/>
    <col min="2051" max="2051" width="5" style="90" customWidth="1"/>
    <col min="2052" max="2054" width="7.140625" style="90" customWidth="1"/>
    <col min="2055" max="2055" width="5" style="90" customWidth="1"/>
    <col min="2056" max="2058" width="7.140625" style="90" customWidth="1"/>
    <col min="2059" max="2302" width="9.140625" style="90"/>
    <col min="2303" max="2303" width="33.140625" style="90" bestFit="1" customWidth="1"/>
    <col min="2304" max="2306" width="7.140625" style="90" customWidth="1"/>
    <col min="2307" max="2307" width="5" style="90" customWidth="1"/>
    <col min="2308" max="2310" width="7.140625" style="90" customWidth="1"/>
    <col min="2311" max="2311" width="5" style="90" customWidth="1"/>
    <col min="2312" max="2314" width="7.140625" style="90" customWidth="1"/>
    <col min="2315" max="2558" width="9.140625" style="90"/>
    <col min="2559" max="2559" width="33.140625" style="90" bestFit="1" customWidth="1"/>
    <col min="2560" max="2562" width="7.140625" style="90" customWidth="1"/>
    <col min="2563" max="2563" width="5" style="90" customWidth="1"/>
    <col min="2564" max="2566" width="7.140625" style="90" customWidth="1"/>
    <col min="2567" max="2567" width="5" style="90" customWidth="1"/>
    <col min="2568" max="2570" width="7.140625" style="90" customWidth="1"/>
    <col min="2571" max="2814" width="9.140625" style="90"/>
    <col min="2815" max="2815" width="33.140625" style="90" bestFit="1" customWidth="1"/>
    <col min="2816" max="2818" width="7.140625" style="90" customWidth="1"/>
    <col min="2819" max="2819" width="5" style="90" customWidth="1"/>
    <col min="2820" max="2822" width="7.140625" style="90" customWidth="1"/>
    <col min="2823" max="2823" width="5" style="90" customWidth="1"/>
    <col min="2824" max="2826" width="7.140625" style="90" customWidth="1"/>
    <col min="2827" max="3070" width="9.140625" style="90"/>
    <col min="3071" max="3071" width="33.140625" style="90" bestFit="1" customWidth="1"/>
    <col min="3072" max="3074" width="7.140625" style="90" customWidth="1"/>
    <col min="3075" max="3075" width="5" style="90" customWidth="1"/>
    <col min="3076" max="3078" width="7.140625" style="90" customWidth="1"/>
    <col min="3079" max="3079" width="5" style="90" customWidth="1"/>
    <col min="3080" max="3082" width="7.140625" style="90" customWidth="1"/>
    <col min="3083" max="3326" width="9.140625" style="90"/>
    <col min="3327" max="3327" width="33.140625" style="90" bestFit="1" customWidth="1"/>
    <col min="3328" max="3330" width="7.140625" style="90" customWidth="1"/>
    <col min="3331" max="3331" width="5" style="90" customWidth="1"/>
    <col min="3332" max="3334" width="7.140625" style="90" customWidth="1"/>
    <col min="3335" max="3335" width="5" style="90" customWidth="1"/>
    <col min="3336" max="3338" width="7.140625" style="90" customWidth="1"/>
    <col min="3339" max="3582" width="9.140625" style="90"/>
    <col min="3583" max="3583" width="33.140625" style="90" bestFit="1" customWidth="1"/>
    <col min="3584" max="3586" width="7.140625" style="90" customWidth="1"/>
    <col min="3587" max="3587" width="5" style="90" customWidth="1"/>
    <col min="3588" max="3590" width="7.140625" style="90" customWidth="1"/>
    <col min="3591" max="3591" width="5" style="90" customWidth="1"/>
    <col min="3592" max="3594" width="7.140625" style="90" customWidth="1"/>
    <col min="3595" max="3838" width="9.140625" style="90"/>
    <col min="3839" max="3839" width="33.140625" style="90" bestFit="1" customWidth="1"/>
    <col min="3840" max="3842" width="7.140625" style="90" customWidth="1"/>
    <col min="3843" max="3843" width="5" style="90" customWidth="1"/>
    <col min="3844" max="3846" width="7.140625" style="90" customWidth="1"/>
    <col min="3847" max="3847" width="5" style="90" customWidth="1"/>
    <col min="3848" max="3850" width="7.140625" style="90" customWidth="1"/>
    <col min="3851" max="4094" width="9.140625" style="90"/>
    <col min="4095" max="4095" width="33.140625" style="90" bestFit="1" customWidth="1"/>
    <col min="4096" max="4098" width="7.140625" style="90" customWidth="1"/>
    <col min="4099" max="4099" width="5" style="90" customWidth="1"/>
    <col min="4100" max="4102" width="7.140625" style="90" customWidth="1"/>
    <col min="4103" max="4103" width="5" style="90" customWidth="1"/>
    <col min="4104" max="4106" width="7.140625" style="90" customWidth="1"/>
    <col min="4107" max="4350" width="9.140625" style="90"/>
    <col min="4351" max="4351" width="33.140625" style="90" bestFit="1" customWidth="1"/>
    <col min="4352" max="4354" width="7.140625" style="90" customWidth="1"/>
    <col min="4355" max="4355" width="5" style="90" customWidth="1"/>
    <col min="4356" max="4358" width="7.140625" style="90" customWidth="1"/>
    <col min="4359" max="4359" width="5" style="90" customWidth="1"/>
    <col min="4360" max="4362" width="7.140625" style="90" customWidth="1"/>
    <col min="4363" max="4606" width="9.140625" style="90"/>
    <col min="4607" max="4607" width="33.140625" style="90" bestFit="1" customWidth="1"/>
    <col min="4608" max="4610" width="7.140625" style="90" customWidth="1"/>
    <col min="4611" max="4611" width="5" style="90" customWidth="1"/>
    <col min="4612" max="4614" width="7.140625" style="90" customWidth="1"/>
    <col min="4615" max="4615" width="5" style="90" customWidth="1"/>
    <col min="4616" max="4618" width="7.140625" style="90" customWidth="1"/>
    <col min="4619" max="4862" width="9.140625" style="90"/>
    <col min="4863" max="4863" width="33.140625" style="90" bestFit="1" customWidth="1"/>
    <col min="4864" max="4866" width="7.140625" style="90" customWidth="1"/>
    <col min="4867" max="4867" width="5" style="90" customWidth="1"/>
    <col min="4868" max="4870" width="7.140625" style="90" customWidth="1"/>
    <col min="4871" max="4871" width="5" style="90" customWidth="1"/>
    <col min="4872" max="4874" width="7.140625" style="90" customWidth="1"/>
    <col min="4875" max="5118" width="9.140625" style="90"/>
    <col min="5119" max="5119" width="33.140625" style="90" bestFit="1" customWidth="1"/>
    <col min="5120" max="5122" width="7.140625" style="90" customWidth="1"/>
    <col min="5123" max="5123" width="5" style="90" customWidth="1"/>
    <col min="5124" max="5126" width="7.140625" style="90" customWidth="1"/>
    <col min="5127" max="5127" width="5" style="90" customWidth="1"/>
    <col min="5128" max="5130" width="7.140625" style="90" customWidth="1"/>
    <col min="5131" max="5374" width="9.140625" style="90"/>
    <col min="5375" max="5375" width="33.140625" style="90" bestFit="1" customWidth="1"/>
    <col min="5376" max="5378" width="7.140625" style="90" customWidth="1"/>
    <col min="5379" max="5379" width="5" style="90" customWidth="1"/>
    <col min="5380" max="5382" width="7.140625" style="90" customWidth="1"/>
    <col min="5383" max="5383" width="5" style="90" customWidth="1"/>
    <col min="5384" max="5386" width="7.140625" style="90" customWidth="1"/>
    <col min="5387" max="5630" width="9.140625" style="90"/>
    <col min="5631" max="5631" width="33.140625" style="90" bestFit="1" customWidth="1"/>
    <col min="5632" max="5634" width="7.140625" style="90" customWidth="1"/>
    <col min="5635" max="5635" width="5" style="90" customWidth="1"/>
    <col min="5636" max="5638" width="7.140625" style="90" customWidth="1"/>
    <col min="5639" max="5639" width="5" style="90" customWidth="1"/>
    <col min="5640" max="5642" width="7.140625" style="90" customWidth="1"/>
    <col min="5643" max="5886" width="9.140625" style="90"/>
    <col min="5887" max="5887" width="33.140625" style="90" bestFit="1" customWidth="1"/>
    <col min="5888" max="5890" width="7.140625" style="90" customWidth="1"/>
    <col min="5891" max="5891" width="5" style="90" customWidth="1"/>
    <col min="5892" max="5894" width="7.140625" style="90" customWidth="1"/>
    <col min="5895" max="5895" width="5" style="90" customWidth="1"/>
    <col min="5896" max="5898" width="7.140625" style="90" customWidth="1"/>
    <col min="5899" max="6142" width="9.140625" style="90"/>
    <col min="6143" max="6143" width="33.140625" style="90" bestFit="1" customWidth="1"/>
    <col min="6144" max="6146" width="7.140625" style="90" customWidth="1"/>
    <col min="6147" max="6147" width="5" style="90" customWidth="1"/>
    <col min="6148" max="6150" width="7.140625" style="90" customWidth="1"/>
    <col min="6151" max="6151" width="5" style="90" customWidth="1"/>
    <col min="6152" max="6154" width="7.140625" style="90" customWidth="1"/>
    <col min="6155" max="6398" width="9.140625" style="90"/>
    <col min="6399" max="6399" width="33.140625" style="90" bestFit="1" customWidth="1"/>
    <col min="6400" max="6402" width="7.140625" style="90" customWidth="1"/>
    <col min="6403" max="6403" width="5" style="90" customWidth="1"/>
    <col min="6404" max="6406" width="7.140625" style="90" customWidth="1"/>
    <col min="6407" max="6407" width="5" style="90" customWidth="1"/>
    <col min="6408" max="6410" width="7.140625" style="90" customWidth="1"/>
    <col min="6411" max="6654" width="9.140625" style="90"/>
    <col min="6655" max="6655" width="33.140625" style="90" bestFit="1" customWidth="1"/>
    <col min="6656" max="6658" width="7.140625" style="90" customWidth="1"/>
    <col min="6659" max="6659" width="5" style="90" customWidth="1"/>
    <col min="6660" max="6662" width="7.140625" style="90" customWidth="1"/>
    <col min="6663" max="6663" width="5" style="90" customWidth="1"/>
    <col min="6664" max="6666" width="7.140625" style="90" customWidth="1"/>
    <col min="6667" max="6910" width="9.140625" style="90"/>
    <col min="6911" max="6911" width="33.140625" style="90" bestFit="1" customWidth="1"/>
    <col min="6912" max="6914" width="7.140625" style="90" customWidth="1"/>
    <col min="6915" max="6915" width="5" style="90" customWidth="1"/>
    <col min="6916" max="6918" width="7.140625" style="90" customWidth="1"/>
    <col min="6919" max="6919" width="5" style="90" customWidth="1"/>
    <col min="6920" max="6922" width="7.140625" style="90" customWidth="1"/>
    <col min="6923" max="7166" width="9.140625" style="90"/>
    <col min="7167" max="7167" width="33.140625" style="90" bestFit="1" customWidth="1"/>
    <col min="7168" max="7170" width="7.140625" style="90" customWidth="1"/>
    <col min="7171" max="7171" width="5" style="90" customWidth="1"/>
    <col min="7172" max="7174" width="7.140625" style="90" customWidth="1"/>
    <col min="7175" max="7175" width="5" style="90" customWidth="1"/>
    <col min="7176" max="7178" width="7.140625" style="90" customWidth="1"/>
    <col min="7179" max="7422" width="9.140625" style="90"/>
    <col min="7423" max="7423" width="33.140625" style="90" bestFit="1" customWidth="1"/>
    <col min="7424" max="7426" width="7.140625" style="90" customWidth="1"/>
    <col min="7427" max="7427" width="5" style="90" customWidth="1"/>
    <col min="7428" max="7430" width="7.140625" style="90" customWidth="1"/>
    <col min="7431" max="7431" width="5" style="90" customWidth="1"/>
    <col min="7432" max="7434" width="7.140625" style="90" customWidth="1"/>
    <col min="7435" max="7678" width="9.140625" style="90"/>
    <col min="7679" max="7679" width="33.140625" style="90" bestFit="1" customWidth="1"/>
    <col min="7680" max="7682" width="7.140625" style="90" customWidth="1"/>
    <col min="7683" max="7683" width="5" style="90" customWidth="1"/>
    <col min="7684" max="7686" width="7.140625" style="90" customWidth="1"/>
    <col min="7687" max="7687" width="5" style="90" customWidth="1"/>
    <col min="7688" max="7690" width="7.140625" style="90" customWidth="1"/>
    <col min="7691" max="7934" width="9.140625" style="90"/>
    <col min="7935" max="7935" width="33.140625" style="90" bestFit="1" customWidth="1"/>
    <col min="7936" max="7938" width="7.140625" style="90" customWidth="1"/>
    <col min="7939" max="7939" width="5" style="90" customWidth="1"/>
    <col min="7940" max="7942" width="7.140625" style="90" customWidth="1"/>
    <col min="7943" max="7943" width="5" style="90" customWidth="1"/>
    <col min="7944" max="7946" width="7.140625" style="90" customWidth="1"/>
    <col min="7947" max="8190" width="9.140625" style="90"/>
    <col min="8191" max="8191" width="33.140625" style="90" bestFit="1" customWidth="1"/>
    <col min="8192" max="8194" width="7.140625" style="90" customWidth="1"/>
    <col min="8195" max="8195" width="5" style="90" customWidth="1"/>
    <col min="8196" max="8198" width="7.140625" style="90" customWidth="1"/>
    <col min="8199" max="8199" width="5" style="90" customWidth="1"/>
    <col min="8200" max="8202" width="7.140625" style="90" customWidth="1"/>
    <col min="8203" max="8446" width="9.140625" style="90"/>
    <col min="8447" max="8447" width="33.140625" style="90" bestFit="1" customWidth="1"/>
    <col min="8448" max="8450" width="7.140625" style="90" customWidth="1"/>
    <col min="8451" max="8451" width="5" style="90" customWidth="1"/>
    <col min="8452" max="8454" width="7.140625" style="90" customWidth="1"/>
    <col min="8455" max="8455" width="5" style="90" customWidth="1"/>
    <col min="8456" max="8458" width="7.140625" style="90" customWidth="1"/>
    <col min="8459" max="8702" width="9.140625" style="90"/>
    <col min="8703" max="8703" width="33.140625" style="90" bestFit="1" customWidth="1"/>
    <col min="8704" max="8706" width="7.140625" style="90" customWidth="1"/>
    <col min="8707" max="8707" width="5" style="90" customWidth="1"/>
    <col min="8708" max="8710" width="7.140625" style="90" customWidth="1"/>
    <col min="8711" max="8711" width="5" style="90" customWidth="1"/>
    <col min="8712" max="8714" width="7.140625" style="90" customWidth="1"/>
    <col min="8715" max="8958" width="9.140625" style="90"/>
    <col min="8959" max="8959" width="33.140625" style="90" bestFit="1" customWidth="1"/>
    <col min="8960" max="8962" width="7.140625" style="90" customWidth="1"/>
    <col min="8963" max="8963" width="5" style="90" customWidth="1"/>
    <col min="8964" max="8966" width="7.140625" style="90" customWidth="1"/>
    <col min="8967" max="8967" width="5" style="90" customWidth="1"/>
    <col min="8968" max="8970" width="7.140625" style="90" customWidth="1"/>
    <col min="8971" max="9214" width="9.140625" style="90"/>
    <col min="9215" max="9215" width="33.140625" style="90" bestFit="1" customWidth="1"/>
    <col min="9216" max="9218" width="7.140625" style="90" customWidth="1"/>
    <col min="9219" max="9219" width="5" style="90" customWidth="1"/>
    <col min="9220" max="9222" width="7.140625" style="90" customWidth="1"/>
    <col min="9223" max="9223" width="5" style="90" customWidth="1"/>
    <col min="9224" max="9226" width="7.140625" style="90" customWidth="1"/>
    <col min="9227" max="9470" width="9.140625" style="90"/>
    <col min="9471" max="9471" width="33.140625" style="90" bestFit="1" customWidth="1"/>
    <col min="9472" max="9474" width="7.140625" style="90" customWidth="1"/>
    <col min="9475" max="9475" width="5" style="90" customWidth="1"/>
    <col min="9476" max="9478" width="7.140625" style="90" customWidth="1"/>
    <col min="9479" max="9479" width="5" style="90" customWidth="1"/>
    <col min="9480" max="9482" width="7.140625" style="90" customWidth="1"/>
    <col min="9483" max="9726" width="9.140625" style="90"/>
    <col min="9727" max="9727" width="33.140625" style="90" bestFit="1" customWidth="1"/>
    <col min="9728" max="9730" width="7.140625" style="90" customWidth="1"/>
    <col min="9731" max="9731" width="5" style="90" customWidth="1"/>
    <col min="9732" max="9734" width="7.140625" style="90" customWidth="1"/>
    <col min="9735" max="9735" width="5" style="90" customWidth="1"/>
    <col min="9736" max="9738" width="7.140625" style="90" customWidth="1"/>
    <col min="9739" max="9982" width="9.140625" style="90"/>
    <col min="9983" max="9983" width="33.140625" style="90" bestFit="1" customWidth="1"/>
    <col min="9984" max="9986" width="7.140625" style="90" customWidth="1"/>
    <col min="9987" max="9987" width="5" style="90" customWidth="1"/>
    <col min="9988" max="9990" width="7.140625" style="90" customWidth="1"/>
    <col min="9991" max="9991" width="5" style="90" customWidth="1"/>
    <col min="9992" max="9994" width="7.140625" style="90" customWidth="1"/>
    <col min="9995" max="10238" width="9.140625" style="90"/>
    <col min="10239" max="10239" width="33.140625" style="90" bestFit="1" customWidth="1"/>
    <col min="10240" max="10242" width="7.140625" style="90" customWidth="1"/>
    <col min="10243" max="10243" width="5" style="90" customWidth="1"/>
    <col min="10244" max="10246" width="7.140625" style="90" customWidth="1"/>
    <col min="10247" max="10247" width="5" style="90" customWidth="1"/>
    <col min="10248" max="10250" width="7.140625" style="90" customWidth="1"/>
    <col min="10251" max="10494" width="9.140625" style="90"/>
    <col min="10495" max="10495" width="33.140625" style="90" bestFit="1" customWidth="1"/>
    <col min="10496" max="10498" width="7.140625" style="90" customWidth="1"/>
    <col min="10499" max="10499" width="5" style="90" customWidth="1"/>
    <col min="10500" max="10502" width="7.140625" style="90" customWidth="1"/>
    <col min="10503" max="10503" width="5" style="90" customWidth="1"/>
    <col min="10504" max="10506" width="7.140625" style="90" customWidth="1"/>
    <col min="10507" max="10750" width="9.140625" style="90"/>
    <col min="10751" max="10751" width="33.140625" style="90" bestFit="1" customWidth="1"/>
    <col min="10752" max="10754" width="7.140625" style="90" customWidth="1"/>
    <col min="10755" max="10755" width="5" style="90" customWidth="1"/>
    <col min="10756" max="10758" width="7.140625" style="90" customWidth="1"/>
    <col min="10759" max="10759" width="5" style="90" customWidth="1"/>
    <col min="10760" max="10762" width="7.140625" style="90" customWidth="1"/>
    <col min="10763" max="11006" width="9.140625" style="90"/>
    <col min="11007" max="11007" width="33.140625" style="90" bestFit="1" customWidth="1"/>
    <col min="11008" max="11010" width="7.140625" style="90" customWidth="1"/>
    <col min="11011" max="11011" width="5" style="90" customWidth="1"/>
    <col min="11012" max="11014" width="7.140625" style="90" customWidth="1"/>
    <col min="11015" max="11015" width="5" style="90" customWidth="1"/>
    <col min="11016" max="11018" width="7.140625" style="90" customWidth="1"/>
    <col min="11019" max="11262" width="9.140625" style="90"/>
    <col min="11263" max="11263" width="33.140625" style="90" bestFit="1" customWidth="1"/>
    <col min="11264" max="11266" width="7.140625" style="90" customWidth="1"/>
    <col min="11267" max="11267" width="5" style="90" customWidth="1"/>
    <col min="11268" max="11270" width="7.140625" style="90" customWidth="1"/>
    <col min="11271" max="11271" width="5" style="90" customWidth="1"/>
    <col min="11272" max="11274" width="7.140625" style="90" customWidth="1"/>
    <col min="11275" max="11518" width="9.140625" style="90"/>
    <col min="11519" max="11519" width="33.140625" style="90" bestFit="1" customWidth="1"/>
    <col min="11520" max="11522" width="7.140625" style="90" customWidth="1"/>
    <col min="11523" max="11523" width="5" style="90" customWidth="1"/>
    <col min="11524" max="11526" width="7.140625" style="90" customWidth="1"/>
    <col min="11527" max="11527" width="5" style="90" customWidth="1"/>
    <col min="11528" max="11530" width="7.140625" style="90" customWidth="1"/>
    <col min="11531" max="11774" width="9.140625" style="90"/>
    <col min="11775" max="11775" width="33.140625" style="90" bestFit="1" customWidth="1"/>
    <col min="11776" max="11778" width="7.140625" style="90" customWidth="1"/>
    <col min="11779" max="11779" width="5" style="90" customWidth="1"/>
    <col min="11780" max="11782" width="7.140625" style="90" customWidth="1"/>
    <col min="11783" max="11783" width="5" style="90" customWidth="1"/>
    <col min="11784" max="11786" width="7.140625" style="90" customWidth="1"/>
    <col min="11787" max="12030" width="9.140625" style="90"/>
    <col min="12031" max="12031" width="33.140625" style="90" bestFit="1" customWidth="1"/>
    <col min="12032" max="12034" width="7.140625" style="90" customWidth="1"/>
    <col min="12035" max="12035" width="5" style="90" customWidth="1"/>
    <col min="12036" max="12038" width="7.140625" style="90" customWidth="1"/>
    <col min="12039" max="12039" width="5" style="90" customWidth="1"/>
    <col min="12040" max="12042" width="7.140625" style="90" customWidth="1"/>
    <col min="12043" max="12286" width="9.140625" style="90"/>
    <col min="12287" max="12287" width="33.140625" style="90" bestFit="1" customWidth="1"/>
    <col min="12288" max="12290" width="7.140625" style="90" customWidth="1"/>
    <col min="12291" max="12291" width="5" style="90" customWidth="1"/>
    <col min="12292" max="12294" width="7.140625" style="90" customWidth="1"/>
    <col min="12295" max="12295" width="5" style="90" customWidth="1"/>
    <col min="12296" max="12298" width="7.140625" style="90" customWidth="1"/>
    <col min="12299" max="12542" width="9.140625" style="90"/>
    <col min="12543" max="12543" width="33.140625" style="90" bestFit="1" customWidth="1"/>
    <col min="12544" max="12546" width="7.140625" style="90" customWidth="1"/>
    <col min="12547" max="12547" width="5" style="90" customWidth="1"/>
    <col min="12548" max="12550" width="7.140625" style="90" customWidth="1"/>
    <col min="12551" max="12551" width="5" style="90" customWidth="1"/>
    <col min="12552" max="12554" width="7.140625" style="90" customWidth="1"/>
    <col min="12555" max="12798" width="9.140625" style="90"/>
    <col min="12799" max="12799" width="33.140625" style="90" bestFit="1" customWidth="1"/>
    <col min="12800" max="12802" width="7.140625" style="90" customWidth="1"/>
    <col min="12803" max="12803" width="5" style="90" customWidth="1"/>
    <col min="12804" max="12806" width="7.140625" style="90" customWidth="1"/>
    <col min="12807" max="12807" width="5" style="90" customWidth="1"/>
    <col min="12808" max="12810" width="7.140625" style="90" customWidth="1"/>
    <col min="12811" max="13054" width="9.140625" style="90"/>
    <col min="13055" max="13055" width="33.140625" style="90" bestFit="1" customWidth="1"/>
    <col min="13056" max="13058" width="7.140625" style="90" customWidth="1"/>
    <col min="13059" max="13059" width="5" style="90" customWidth="1"/>
    <col min="13060" max="13062" width="7.140625" style="90" customWidth="1"/>
    <col min="13063" max="13063" width="5" style="90" customWidth="1"/>
    <col min="13064" max="13066" width="7.140625" style="90" customWidth="1"/>
    <col min="13067" max="13310" width="9.140625" style="90"/>
    <col min="13311" max="13311" width="33.140625" style="90" bestFit="1" customWidth="1"/>
    <col min="13312" max="13314" width="7.140625" style="90" customWidth="1"/>
    <col min="13315" max="13315" width="5" style="90" customWidth="1"/>
    <col min="13316" max="13318" width="7.140625" style="90" customWidth="1"/>
    <col min="13319" max="13319" width="5" style="90" customWidth="1"/>
    <col min="13320" max="13322" width="7.140625" style="90" customWidth="1"/>
    <col min="13323" max="13566" width="9.140625" style="90"/>
    <col min="13567" max="13567" width="33.140625" style="90" bestFit="1" customWidth="1"/>
    <col min="13568" max="13570" width="7.140625" style="90" customWidth="1"/>
    <col min="13571" max="13571" width="5" style="90" customWidth="1"/>
    <col min="13572" max="13574" width="7.140625" style="90" customWidth="1"/>
    <col min="13575" max="13575" width="5" style="90" customWidth="1"/>
    <col min="13576" max="13578" width="7.140625" style="90" customWidth="1"/>
    <col min="13579" max="13822" width="9.140625" style="90"/>
    <col min="13823" max="13823" width="33.140625" style="90" bestFit="1" customWidth="1"/>
    <col min="13824" max="13826" width="7.140625" style="90" customWidth="1"/>
    <col min="13827" max="13827" width="5" style="90" customWidth="1"/>
    <col min="13828" max="13830" width="7.140625" style="90" customWidth="1"/>
    <col min="13831" max="13831" width="5" style="90" customWidth="1"/>
    <col min="13832" max="13834" width="7.140625" style="90" customWidth="1"/>
    <col min="13835" max="14078" width="9.140625" style="90"/>
    <col min="14079" max="14079" width="33.140625" style="90" bestFit="1" customWidth="1"/>
    <col min="14080" max="14082" width="7.140625" style="90" customWidth="1"/>
    <col min="14083" max="14083" width="5" style="90" customWidth="1"/>
    <col min="14084" max="14086" width="7.140625" style="90" customWidth="1"/>
    <col min="14087" max="14087" width="5" style="90" customWidth="1"/>
    <col min="14088" max="14090" width="7.140625" style="90" customWidth="1"/>
    <col min="14091" max="14334" width="9.140625" style="90"/>
    <col min="14335" max="14335" width="33.140625" style="90" bestFit="1" customWidth="1"/>
    <col min="14336" max="14338" width="7.140625" style="90" customWidth="1"/>
    <col min="14339" max="14339" width="5" style="90" customWidth="1"/>
    <col min="14340" max="14342" width="7.140625" style="90" customWidth="1"/>
    <col min="14343" max="14343" width="5" style="90" customWidth="1"/>
    <col min="14344" max="14346" width="7.140625" style="90" customWidth="1"/>
    <col min="14347" max="14590" width="9.140625" style="90"/>
    <col min="14591" max="14591" width="33.140625" style="90" bestFit="1" customWidth="1"/>
    <col min="14592" max="14594" width="7.140625" style="90" customWidth="1"/>
    <col min="14595" max="14595" width="5" style="90" customWidth="1"/>
    <col min="14596" max="14598" width="7.140625" style="90" customWidth="1"/>
    <col min="14599" max="14599" width="5" style="90" customWidth="1"/>
    <col min="14600" max="14602" width="7.140625" style="90" customWidth="1"/>
    <col min="14603" max="14846" width="9.140625" style="90"/>
    <col min="14847" max="14847" width="33.140625" style="90" bestFit="1" customWidth="1"/>
    <col min="14848" max="14850" width="7.140625" style="90" customWidth="1"/>
    <col min="14851" max="14851" width="5" style="90" customWidth="1"/>
    <col min="14852" max="14854" width="7.140625" style="90" customWidth="1"/>
    <col min="14855" max="14855" width="5" style="90" customWidth="1"/>
    <col min="14856" max="14858" width="7.140625" style="90" customWidth="1"/>
    <col min="14859" max="15102" width="9.140625" style="90"/>
    <col min="15103" max="15103" width="33.140625" style="90" bestFit="1" customWidth="1"/>
    <col min="15104" max="15106" width="7.140625" style="90" customWidth="1"/>
    <col min="15107" max="15107" width="5" style="90" customWidth="1"/>
    <col min="15108" max="15110" width="7.140625" style="90" customWidth="1"/>
    <col min="15111" max="15111" width="5" style="90" customWidth="1"/>
    <col min="15112" max="15114" width="7.140625" style="90" customWidth="1"/>
    <col min="15115" max="15358" width="9.140625" style="90"/>
    <col min="15359" max="15359" width="33.140625" style="90" bestFit="1" customWidth="1"/>
    <col min="15360" max="15362" width="7.140625" style="90" customWidth="1"/>
    <col min="15363" max="15363" width="5" style="90" customWidth="1"/>
    <col min="15364" max="15366" width="7.140625" style="90" customWidth="1"/>
    <col min="15367" max="15367" width="5" style="90" customWidth="1"/>
    <col min="15368" max="15370" width="7.140625" style="90" customWidth="1"/>
    <col min="15371" max="15614" width="9.140625" style="90"/>
    <col min="15615" max="15615" width="33.140625" style="90" bestFit="1" customWidth="1"/>
    <col min="15616" max="15618" width="7.140625" style="90" customWidth="1"/>
    <col min="15619" max="15619" width="5" style="90" customWidth="1"/>
    <col min="15620" max="15622" width="7.140625" style="90" customWidth="1"/>
    <col min="15623" max="15623" width="5" style="90" customWidth="1"/>
    <col min="15624" max="15626" width="7.140625" style="90" customWidth="1"/>
    <col min="15627" max="15870" width="9.140625" style="90"/>
    <col min="15871" max="15871" width="33.140625" style="90" bestFit="1" customWidth="1"/>
    <col min="15872" max="15874" width="7.140625" style="90" customWidth="1"/>
    <col min="15875" max="15875" width="5" style="90" customWidth="1"/>
    <col min="15876" max="15878" width="7.140625" style="90" customWidth="1"/>
    <col min="15879" max="15879" width="5" style="90" customWidth="1"/>
    <col min="15880" max="15882" width="7.140625" style="90" customWidth="1"/>
    <col min="15883" max="16126" width="9.140625" style="90"/>
    <col min="16127" max="16127" width="33.140625" style="90" bestFit="1" customWidth="1"/>
    <col min="16128" max="16130" width="7.140625" style="90" customWidth="1"/>
    <col min="16131" max="16131" width="5" style="90" customWidth="1"/>
    <col min="16132" max="16134" width="7.140625" style="90" customWidth="1"/>
    <col min="16135" max="16135" width="5" style="90" customWidth="1"/>
    <col min="16136" max="16138" width="7.140625" style="90" customWidth="1"/>
    <col min="16139" max="16384" width="9.140625" style="90"/>
  </cols>
  <sheetData>
    <row r="1" spans="1:25" ht="15.75" x14ac:dyDescent="0.25">
      <c r="A1" s="18" t="str">
        <f>CONCATENATE("Occupation Table 4  Occuptation composition (SOC2020) by gender, ",B$6,"-",J$6,", ",Info!B5)</f>
        <v>Occupation Table 4  Occuptation composition (SOC2020) by gender, 2015-2035, North East</v>
      </c>
      <c r="B1" s="236"/>
      <c r="C1" s="236"/>
      <c r="D1" s="236"/>
      <c r="E1" s="236"/>
      <c r="F1" s="236"/>
      <c r="G1" s="236"/>
      <c r="H1" s="236"/>
      <c r="I1" s="236"/>
      <c r="J1" s="236"/>
      <c r="K1" s="236"/>
      <c r="L1" s="248"/>
      <c r="M1" s="236"/>
    </row>
    <row r="2" spans="1:25" x14ac:dyDescent="0.2">
      <c r="A2" s="181" t="s">
        <v>537</v>
      </c>
      <c r="B2" s="236"/>
      <c r="C2" s="236"/>
      <c r="D2" s="236"/>
      <c r="E2" s="236"/>
      <c r="F2" s="236"/>
      <c r="G2" s="236"/>
      <c r="H2" s="236"/>
      <c r="I2" s="236"/>
      <c r="J2" s="236"/>
      <c r="K2" s="236"/>
      <c r="L2" s="248"/>
      <c r="M2" s="236"/>
    </row>
    <row r="3" spans="1:25" x14ac:dyDescent="0.2">
      <c r="B3" s="121"/>
      <c r="D3" s="121"/>
      <c r="F3" s="121"/>
      <c r="H3" s="121"/>
      <c r="J3" s="121"/>
      <c r="K3" s="236"/>
      <c r="L3" s="248"/>
      <c r="M3" s="236"/>
    </row>
    <row r="4" spans="1:25" x14ac:dyDescent="0.2">
      <c r="A4" s="236"/>
      <c r="B4" s="236"/>
      <c r="C4" s="236"/>
      <c r="D4" s="236"/>
      <c r="E4" s="236"/>
      <c r="F4" s="236"/>
      <c r="G4" s="236"/>
      <c r="H4" s="236"/>
      <c r="I4" s="236"/>
      <c r="J4" s="236"/>
      <c r="K4" s="236"/>
      <c r="L4" s="251" t="s">
        <v>35</v>
      </c>
      <c r="M4" s="236"/>
      <c r="N4" s="91"/>
      <c r="O4" s="91"/>
      <c r="P4" s="91"/>
      <c r="Q4" s="91"/>
      <c r="R4" s="91"/>
      <c r="S4" s="91"/>
      <c r="T4" s="91" t="s">
        <v>380</v>
      </c>
      <c r="U4" s="91"/>
    </row>
    <row r="5" spans="1:25" x14ac:dyDescent="0.2">
      <c r="A5" s="242"/>
      <c r="B5" s="242"/>
      <c r="C5" s="243"/>
      <c r="D5" s="243"/>
      <c r="E5" s="243"/>
      <c r="F5" s="243"/>
      <c r="G5" s="243"/>
      <c r="H5" s="243"/>
      <c r="I5" s="243"/>
      <c r="J5" s="243"/>
      <c r="K5" s="243"/>
      <c r="L5" s="236"/>
      <c r="M5" s="236"/>
    </row>
    <row r="6" spans="1:25" ht="14.25" customHeight="1" x14ac:dyDescent="0.2">
      <c r="A6" s="241" t="s">
        <v>0</v>
      </c>
      <c r="B6" s="372">
        <v>2015</v>
      </c>
      <c r="C6" s="373"/>
      <c r="D6" s="373"/>
      <c r="E6" s="325"/>
      <c r="F6" s="372">
        <v>2020</v>
      </c>
      <c r="G6" s="373"/>
      <c r="H6" s="373"/>
      <c r="I6" s="325"/>
      <c r="J6" s="372">
        <v>2035</v>
      </c>
      <c r="K6" s="373"/>
      <c r="L6" s="373"/>
      <c r="M6" s="324"/>
      <c r="N6" s="373" t="s">
        <v>99</v>
      </c>
      <c r="O6" s="373"/>
      <c r="P6" s="326"/>
      <c r="Q6" s="373" t="s">
        <v>98</v>
      </c>
      <c r="R6" s="373"/>
      <c r="S6" s="326"/>
      <c r="T6" s="373" t="s">
        <v>32</v>
      </c>
      <c r="U6" s="373"/>
    </row>
    <row r="7" spans="1:25" ht="15" customHeight="1" x14ac:dyDescent="0.2">
      <c r="A7" s="252"/>
      <c r="B7" s="245" t="s">
        <v>352</v>
      </c>
      <c r="C7" s="245" t="s">
        <v>353</v>
      </c>
      <c r="D7" s="245" t="s">
        <v>32</v>
      </c>
      <c r="E7" s="245"/>
      <c r="F7" s="245" t="s">
        <v>352</v>
      </c>
      <c r="G7" s="245" t="s">
        <v>353</v>
      </c>
      <c r="H7" s="245" t="s">
        <v>32</v>
      </c>
      <c r="I7" s="245"/>
      <c r="J7" s="245" t="s">
        <v>352</v>
      </c>
      <c r="K7" s="245" t="s">
        <v>353</v>
      </c>
      <c r="L7" s="245" t="s">
        <v>32</v>
      </c>
      <c r="M7" s="236"/>
      <c r="N7" s="321" t="str">
        <f>CONCATENATE(B6,"-",RIGHT(F6,2))</f>
        <v>2015-20</v>
      </c>
      <c r="O7" s="321" t="str">
        <f>CONCATENATE(F6,"-",RIGHT(J6,2))</f>
        <v>2020-35</v>
      </c>
      <c r="P7" s="296"/>
      <c r="Q7" s="321" t="str">
        <f>CONCATENATE(B6,"-",RIGHT(F6,2))</f>
        <v>2015-20</v>
      </c>
      <c r="R7" s="321" t="str">
        <f>CONCATENATE(F6,"-",RIGHT(J6,2))</f>
        <v>2020-35</v>
      </c>
      <c r="S7" s="179"/>
      <c r="T7" s="321" t="str">
        <f>CONCATENATE(B6,"-",RIGHT(F6,2))</f>
        <v>2015-20</v>
      </c>
      <c r="U7" s="321" t="str">
        <f>CONCATENATE(F6,"-",RIGHT(J6,2))</f>
        <v>2020-35</v>
      </c>
    </row>
    <row r="8" spans="1:25" x14ac:dyDescent="0.2">
      <c r="A8" s="236"/>
      <c r="B8" s="257"/>
      <c r="C8" s="257"/>
      <c r="D8" s="257"/>
      <c r="E8" s="257"/>
      <c r="F8" s="257"/>
      <c r="G8" s="257"/>
      <c r="H8" s="257"/>
      <c r="I8" s="257"/>
      <c r="J8" s="257"/>
      <c r="K8" s="257"/>
      <c r="L8" s="257"/>
      <c r="M8" s="236"/>
      <c r="N8" s="327"/>
      <c r="O8" s="327"/>
      <c r="P8" s="327"/>
      <c r="Q8" s="327"/>
      <c r="R8" s="327"/>
      <c r="S8" s="327"/>
      <c r="T8" s="327"/>
      <c r="U8" s="327"/>
    </row>
    <row r="9" spans="1:25" x14ac:dyDescent="0.2">
      <c r="A9" s="329" t="str">
        <f>name!D4</f>
        <v>11 Corporate managers and directors</v>
      </c>
      <c r="B9" s="330">
        <v>17.420425024312813</v>
      </c>
      <c r="C9" s="330">
        <v>35.369156541249737</v>
      </c>
      <c r="D9" s="330">
        <f>SUM(B9:C9)</f>
        <v>52.78958156556255</v>
      </c>
      <c r="E9" s="331"/>
      <c r="F9" s="330">
        <v>22.032973289578493</v>
      </c>
      <c r="G9" s="330">
        <v>39.735415904179817</v>
      </c>
      <c r="H9" s="330">
        <f>SUM(F9:G9)</f>
        <v>61.76838919375831</v>
      </c>
      <c r="I9" s="331"/>
      <c r="J9" s="330">
        <v>25.797692115077673</v>
      </c>
      <c r="K9" s="330">
        <v>36.746803874452283</v>
      </c>
      <c r="L9" s="330">
        <f>SUM(J9:K9)</f>
        <v>62.544495989529956</v>
      </c>
      <c r="M9" s="236"/>
      <c r="N9" s="328">
        <f>IF(B9&gt;0,(EXP(LN(F9/B9)/($F$6-$B$6))-1)*100,0)</f>
        <v>4.8100365043392657</v>
      </c>
      <c r="O9" s="328">
        <f>IF(F9&gt;0,(EXP(LN(J9/F9)/($J$6-$F$6))-1)*100,0)</f>
        <v>1.0571818780966025</v>
      </c>
      <c r="P9" s="328"/>
      <c r="Q9" s="328">
        <f>IF(C9&gt;0,(EXP(LN(G9/C9)/($F$6-$B$6))-1)*100,0)</f>
        <v>2.3553651532875142</v>
      </c>
      <c r="R9" s="328">
        <f>IF(G9&gt;0,(EXP(LN(K9/G9)/($J$6-$F$6))-1)*100,0)</f>
        <v>-0.51992121192784291</v>
      </c>
      <c r="S9" s="327"/>
      <c r="T9" s="328">
        <f>IF(D9&gt;0,(EXP(LN(H9/D9)/($F$6-$B$6))-1)*100,0)</f>
        <v>3.1914253480733734</v>
      </c>
      <c r="U9" s="328">
        <f>IF(H9&gt;0,(EXP(LN(L9/H9)/($J$6-$F$6))-1)*100,0)</f>
        <v>8.3278039491863076E-2</v>
      </c>
      <c r="W9" s="93"/>
      <c r="X9" s="93"/>
      <c r="Y9" s="93"/>
    </row>
    <row r="10" spans="1:25" x14ac:dyDescent="0.2">
      <c r="A10" s="329" t="str">
        <f>name!D5</f>
        <v>12 Other managers and proprietors</v>
      </c>
      <c r="B10" s="330">
        <v>13.681556408005987</v>
      </c>
      <c r="C10" s="330">
        <v>22.105455100829843</v>
      </c>
      <c r="D10" s="330">
        <f t="shared" ref="D10:D34" si="0">SUM(B10:C10)</f>
        <v>35.787011508835832</v>
      </c>
      <c r="E10" s="331"/>
      <c r="F10" s="330">
        <v>16.352347854948217</v>
      </c>
      <c r="G10" s="330">
        <v>21.607011035550773</v>
      </c>
      <c r="H10" s="330">
        <f t="shared" ref="H10:H34" si="1">SUM(F10:G10)</f>
        <v>37.95935889049899</v>
      </c>
      <c r="I10" s="331"/>
      <c r="J10" s="330">
        <v>21.726042804313742</v>
      </c>
      <c r="K10" s="330">
        <v>31.839345231094963</v>
      </c>
      <c r="L10" s="330">
        <f t="shared" ref="L10:L34" si="2">SUM(J10:K10)</f>
        <v>53.565388035408702</v>
      </c>
      <c r="M10" s="236"/>
      <c r="N10" s="328">
        <f t="shared" ref="N10:N36" si="3">IF(B10&gt;0,(EXP(LN(F10/B10)/($F$6-$B$6))-1)*100,0)</f>
        <v>3.6308170728535316</v>
      </c>
      <c r="O10" s="328">
        <f t="shared" ref="O10:O36" si="4">IF(F10&gt;0,(EXP(LN(J10/F10)/($J$6-$F$6))-1)*100,0)</f>
        <v>1.9123229676724085</v>
      </c>
      <c r="P10" s="328"/>
      <c r="Q10" s="328">
        <f t="shared" ref="Q10:Q36" si="5">IF(C10&gt;0,(EXP(LN(G10/C10)/($F$6-$B$6))-1)*100,0)</f>
        <v>-0.45509266483217958</v>
      </c>
      <c r="R10" s="328">
        <f t="shared" ref="R10:R36" si="6">IF(G10&gt;0,(EXP(LN(K10/G10)/($J$6-$F$6))-1)*100,0)</f>
        <v>2.6182558615336138</v>
      </c>
      <c r="S10" s="327"/>
      <c r="T10" s="328">
        <f t="shared" ref="T10:T36" si="7">IF(D10&gt;0,(EXP(LN(H10/D10)/($F$6-$B$6))-1)*100,0)</f>
        <v>1.1855943883452902</v>
      </c>
      <c r="U10" s="328">
        <f t="shared" ref="U10:U36" si="8">IF(H10&gt;0,(EXP(LN(L10/H10)/($J$6-$F$6))-1)*100,0)</f>
        <v>2.322472491234584</v>
      </c>
    </row>
    <row r="11" spans="1:25" x14ac:dyDescent="0.2">
      <c r="A11" s="329" t="str">
        <f>name!D6</f>
        <v>21 Science, research, engineering and technology professionals</v>
      </c>
      <c r="B11" s="330">
        <v>9.0646004393546598</v>
      </c>
      <c r="C11" s="330">
        <v>44.020344903198726</v>
      </c>
      <c r="D11" s="330">
        <f t="shared" si="0"/>
        <v>53.084945342553382</v>
      </c>
      <c r="E11" s="331"/>
      <c r="F11" s="330">
        <v>11.208295948906075</v>
      </c>
      <c r="G11" s="330">
        <v>46.485415600666066</v>
      </c>
      <c r="H11" s="330">
        <f t="shared" si="1"/>
        <v>57.693711549572143</v>
      </c>
      <c r="I11" s="331"/>
      <c r="J11" s="330">
        <v>16.303269831653395</v>
      </c>
      <c r="K11" s="330">
        <v>50.029337898578653</v>
      </c>
      <c r="L11" s="330">
        <f t="shared" si="2"/>
        <v>66.332607730232041</v>
      </c>
      <c r="M11" s="236"/>
      <c r="N11" s="328">
        <f t="shared" si="3"/>
        <v>4.3369614518400157</v>
      </c>
      <c r="O11" s="328">
        <f t="shared" si="4"/>
        <v>2.5295398916432177</v>
      </c>
      <c r="P11" s="328"/>
      <c r="Q11" s="328">
        <f t="shared" si="5"/>
        <v>1.0956934135798235</v>
      </c>
      <c r="R11" s="328">
        <f t="shared" si="6"/>
        <v>0.49100798562522474</v>
      </c>
      <c r="S11" s="327"/>
      <c r="T11" s="328">
        <f t="shared" si="7"/>
        <v>1.6790361796332309</v>
      </c>
      <c r="U11" s="328">
        <f t="shared" si="8"/>
        <v>0.93456278520254177</v>
      </c>
    </row>
    <row r="12" spans="1:25" x14ac:dyDescent="0.2">
      <c r="A12" s="329" t="str">
        <f>name!D7</f>
        <v>22 Health professionals</v>
      </c>
      <c r="B12" s="330">
        <v>56.310881972985008</v>
      </c>
      <c r="C12" s="330">
        <v>18.134536067187859</v>
      </c>
      <c r="D12" s="330">
        <f t="shared" si="0"/>
        <v>74.445418040172868</v>
      </c>
      <c r="E12" s="331"/>
      <c r="F12" s="330">
        <v>59.504757431488315</v>
      </c>
      <c r="G12" s="330">
        <v>21.095818552794629</v>
      </c>
      <c r="H12" s="330">
        <f t="shared" si="1"/>
        <v>80.600575984282941</v>
      </c>
      <c r="I12" s="331"/>
      <c r="J12" s="330">
        <v>73.044652402030962</v>
      </c>
      <c r="K12" s="330">
        <v>25.843409901291938</v>
      </c>
      <c r="L12" s="330">
        <f t="shared" si="2"/>
        <v>98.888062303322897</v>
      </c>
      <c r="M12" s="236"/>
      <c r="N12" s="328">
        <f t="shared" si="3"/>
        <v>1.1094788531895494</v>
      </c>
      <c r="O12" s="328">
        <f t="shared" si="4"/>
        <v>1.3761473551676451</v>
      </c>
      <c r="P12" s="328"/>
      <c r="Q12" s="328">
        <f t="shared" si="5"/>
        <v>3.0713552239375996</v>
      </c>
      <c r="R12" s="328">
        <f t="shared" si="6"/>
        <v>1.3624024900236842</v>
      </c>
      <c r="S12" s="327"/>
      <c r="T12" s="328">
        <f t="shared" si="7"/>
        <v>1.6014800545101293</v>
      </c>
      <c r="U12" s="328">
        <f t="shared" si="8"/>
        <v>1.3725523924732697</v>
      </c>
    </row>
    <row r="13" spans="1:25" x14ac:dyDescent="0.2">
      <c r="A13" s="329" t="str">
        <f>name!D8</f>
        <v>23 Teaching and other educational professionals</v>
      </c>
      <c r="B13" s="330">
        <v>29.785119987716982</v>
      </c>
      <c r="C13" s="330">
        <v>21.954919330672428</v>
      </c>
      <c r="D13" s="330">
        <f t="shared" si="0"/>
        <v>51.740039318389407</v>
      </c>
      <c r="E13" s="331"/>
      <c r="F13" s="330">
        <v>36.014930485846712</v>
      </c>
      <c r="G13" s="330">
        <v>17.693644709941591</v>
      </c>
      <c r="H13" s="330">
        <f t="shared" si="1"/>
        <v>53.708575195788299</v>
      </c>
      <c r="I13" s="331"/>
      <c r="J13" s="330">
        <v>42.459005636721024</v>
      </c>
      <c r="K13" s="330">
        <v>20.678324469522309</v>
      </c>
      <c r="L13" s="330">
        <f t="shared" si="2"/>
        <v>63.137330106243333</v>
      </c>
      <c r="M13" s="236"/>
      <c r="N13" s="328">
        <f t="shared" si="3"/>
        <v>3.8715579038651304</v>
      </c>
      <c r="O13" s="328">
        <f t="shared" si="4"/>
        <v>1.1034128458631276</v>
      </c>
      <c r="P13" s="328"/>
      <c r="Q13" s="328">
        <f t="shared" si="5"/>
        <v>-4.2239126320665177</v>
      </c>
      <c r="R13" s="328">
        <f t="shared" si="6"/>
        <v>1.0446218409703834</v>
      </c>
      <c r="S13" s="327"/>
      <c r="T13" s="328">
        <f t="shared" si="7"/>
        <v>0.74961039979841715</v>
      </c>
      <c r="U13" s="328">
        <f t="shared" si="8"/>
        <v>1.0840976851205664</v>
      </c>
    </row>
    <row r="14" spans="1:25" x14ac:dyDescent="0.2">
      <c r="A14" s="329" t="str">
        <f>name!D9</f>
        <v>24 Business, media and public service professionals</v>
      </c>
      <c r="B14" s="330">
        <v>23.945091350799704</v>
      </c>
      <c r="C14" s="330">
        <v>28.275231135837455</v>
      </c>
      <c r="D14" s="330">
        <f t="shared" si="0"/>
        <v>52.220322486637158</v>
      </c>
      <c r="E14" s="331"/>
      <c r="F14" s="330">
        <v>31.888954082362034</v>
      </c>
      <c r="G14" s="330">
        <v>30.862420269723909</v>
      </c>
      <c r="H14" s="330">
        <f t="shared" si="1"/>
        <v>62.751374352085946</v>
      </c>
      <c r="I14" s="331"/>
      <c r="J14" s="330">
        <v>41.624674459351105</v>
      </c>
      <c r="K14" s="330">
        <v>36.804428294204449</v>
      </c>
      <c r="L14" s="330">
        <f t="shared" si="2"/>
        <v>78.429102753555554</v>
      </c>
      <c r="M14" s="236"/>
      <c r="N14" s="328">
        <f t="shared" si="3"/>
        <v>5.8972678344383356</v>
      </c>
      <c r="O14" s="328">
        <f t="shared" si="4"/>
        <v>1.7920916194786196</v>
      </c>
      <c r="P14" s="328"/>
      <c r="Q14" s="328">
        <f t="shared" si="5"/>
        <v>1.766482455073537</v>
      </c>
      <c r="R14" s="328">
        <f t="shared" si="6"/>
        <v>1.1807761049527521</v>
      </c>
      <c r="S14" s="327"/>
      <c r="T14" s="328">
        <f t="shared" si="7"/>
        <v>3.7425069350011553</v>
      </c>
      <c r="U14" s="328">
        <f t="shared" si="8"/>
        <v>1.4978712280647066</v>
      </c>
    </row>
    <row r="15" spans="1:25" x14ac:dyDescent="0.2">
      <c r="A15" s="329" t="str">
        <f>name!D10</f>
        <v>31 Science, engineering and technology associate professionals</v>
      </c>
      <c r="B15" s="330">
        <v>4.3862041415354707</v>
      </c>
      <c r="C15" s="330">
        <v>17.787496212294091</v>
      </c>
      <c r="D15" s="330">
        <f t="shared" si="0"/>
        <v>22.17370035382956</v>
      </c>
      <c r="E15" s="331"/>
      <c r="F15" s="330">
        <v>5.2458671813908486</v>
      </c>
      <c r="G15" s="330">
        <v>20.428744491910066</v>
      </c>
      <c r="H15" s="330">
        <f t="shared" si="1"/>
        <v>25.674611673300916</v>
      </c>
      <c r="I15" s="331"/>
      <c r="J15" s="330">
        <v>6.5316015425868352</v>
      </c>
      <c r="K15" s="330">
        <v>16.631563600966476</v>
      </c>
      <c r="L15" s="330">
        <f t="shared" si="2"/>
        <v>23.163165143553311</v>
      </c>
      <c r="M15" s="236"/>
      <c r="N15" s="328">
        <f t="shared" si="3"/>
        <v>3.6443637859155498</v>
      </c>
      <c r="O15" s="328">
        <f t="shared" si="4"/>
        <v>1.4721415457570108</v>
      </c>
      <c r="P15" s="328"/>
      <c r="Q15" s="328">
        <f t="shared" si="5"/>
        <v>2.8076355924051777</v>
      </c>
      <c r="R15" s="328">
        <f t="shared" si="6"/>
        <v>-1.3615830549178254</v>
      </c>
      <c r="S15" s="327"/>
      <c r="T15" s="328">
        <f t="shared" si="7"/>
        <v>2.9753180176036231</v>
      </c>
      <c r="U15" s="328">
        <f t="shared" si="8"/>
        <v>-0.68391275470689461</v>
      </c>
    </row>
    <row r="16" spans="1:25" x14ac:dyDescent="0.2">
      <c r="A16" s="329" t="str">
        <f>name!D11</f>
        <v>32 Health and social care associate professionals</v>
      </c>
      <c r="B16" s="330">
        <v>19.962621358456222</v>
      </c>
      <c r="C16" s="330">
        <v>5.9989883891014966</v>
      </c>
      <c r="D16" s="330">
        <f t="shared" si="0"/>
        <v>25.961609747557716</v>
      </c>
      <c r="E16" s="331"/>
      <c r="F16" s="330">
        <v>22.134269614687419</v>
      </c>
      <c r="G16" s="330">
        <v>6.5622472118968682</v>
      </c>
      <c r="H16" s="330">
        <f t="shared" si="1"/>
        <v>28.696516826584286</v>
      </c>
      <c r="I16" s="331"/>
      <c r="J16" s="330">
        <v>25.433347676569465</v>
      </c>
      <c r="K16" s="330">
        <v>6.4497924322423712</v>
      </c>
      <c r="L16" s="330">
        <f t="shared" si="2"/>
        <v>31.883140108811837</v>
      </c>
      <c r="M16" s="236"/>
      <c r="N16" s="328">
        <f t="shared" si="3"/>
        <v>2.0867846235801624</v>
      </c>
      <c r="O16" s="328">
        <f t="shared" si="4"/>
        <v>0.93053039425117223</v>
      </c>
      <c r="P16" s="328"/>
      <c r="Q16" s="328">
        <f t="shared" si="5"/>
        <v>1.8110492232684683</v>
      </c>
      <c r="R16" s="328">
        <f t="shared" si="6"/>
        <v>-0.11516801628942419</v>
      </c>
      <c r="S16" s="327"/>
      <c r="T16" s="328">
        <f t="shared" si="7"/>
        <v>2.0233344610784521</v>
      </c>
      <c r="U16" s="328">
        <f t="shared" si="8"/>
        <v>0.70448051335030293</v>
      </c>
    </row>
    <row r="17" spans="1:21" x14ac:dyDescent="0.2">
      <c r="A17" s="329" t="str">
        <f>name!D12</f>
        <v>33 Protective service occupations</v>
      </c>
      <c r="B17" s="330">
        <v>3.5759903319731263</v>
      </c>
      <c r="C17" s="330">
        <v>11.111441624063808</v>
      </c>
      <c r="D17" s="330">
        <f t="shared" si="0"/>
        <v>14.687431956036935</v>
      </c>
      <c r="E17" s="331"/>
      <c r="F17" s="330">
        <v>4.5021309700189773</v>
      </c>
      <c r="G17" s="330">
        <v>11.988773796171809</v>
      </c>
      <c r="H17" s="330">
        <f t="shared" si="1"/>
        <v>16.490904766190788</v>
      </c>
      <c r="I17" s="331"/>
      <c r="J17" s="330">
        <v>7.60078901144432</v>
      </c>
      <c r="K17" s="330">
        <v>13.961513754404317</v>
      </c>
      <c r="L17" s="330">
        <f t="shared" si="2"/>
        <v>21.562302765848635</v>
      </c>
      <c r="M17" s="236"/>
      <c r="N17" s="328">
        <f t="shared" si="3"/>
        <v>4.7139055108827987</v>
      </c>
      <c r="O17" s="328">
        <f t="shared" si="4"/>
        <v>3.5530043591721405</v>
      </c>
      <c r="P17" s="328"/>
      <c r="Q17" s="328">
        <f t="shared" si="5"/>
        <v>1.5315161371391994</v>
      </c>
      <c r="R17" s="328">
        <f t="shared" si="6"/>
        <v>1.0207331780360152</v>
      </c>
      <c r="S17" s="327"/>
      <c r="T17" s="328">
        <f t="shared" si="7"/>
        <v>2.3433722931692325</v>
      </c>
      <c r="U17" s="328">
        <f t="shared" si="8"/>
        <v>1.8036565391043924</v>
      </c>
    </row>
    <row r="18" spans="1:21" x14ac:dyDescent="0.2">
      <c r="A18" s="329" t="str">
        <f>name!D13</f>
        <v>34 Culture, media and sports occupations</v>
      </c>
      <c r="B18" s="330">
        <v>8.8416805324020267</v>
      </c>
      <c r="C18" s="330">
        <v>6.7426093420687456</v>
      </c>
      <c r="D18" s="330">
        <f t="shared" si="0"/>
        <v>15.584289874470773</v>
      </c>
      <c r="E18" s="331"/>
      <c r="F18" s="330">
        <v>8.5736853509075157</v>
      </c>
      <c r="G18" s="330">
        <v>6.2979093288572043</v>
      </c>
      <c r="H18" s="330">
        <f t="shared" si="1"/>
        <v>14.871594679764719</v>
      </c>
      <c r="I18" s="331"/>
      <c r="J18" s="330">
        <v>9.261195109516013</v>
      </c>
      <c r="K18" s="330">
        <v>6.4829890439361764</v>
      </c>
      <c r="L18" s="330">
        <f t="shared" si="2"/>
        <v>15.744184153452188</v>
      </c>
      <c r="M18" s="236"/>
      <c r="N18" s="328">
        <f t="shared" si="3"/>
        <v>-0.61369504409023445</v>
      </c>
      <c r="O18" s="328">
        <f t="shared" si="4"/>
        <v>0.51556067962719165</v>
      </c>
      <c r="P18" s="328"/>
      <c r="Q18" s="328">
        <f t="shared" si="5"/>
        <v>-1.3553170796042013</v>
      </c>
      <c r="R18" s="328">
        <f t="shared" si="6"/>
        <v>0.1932795476770055</v>
      </c>
      <c r="S18" s="327"/>
      <c r="T18" s="328">
        <f t="shared" si="7"/>
        <v>-0.93183825362355144</v>
      </c>
      <c r="U18" s="328">
        <f t="shared" si="8"/>
        <v>0.38084364570027951</v>
      </c>
    </row>
    <row r="19" spans="1:21" x14ac:dyDescent="0.2">
      <c r="A19" s="329" t="str">
        <f>name!D14</f>
        <v>35 Business and public service associate professionals</v>
      </c>
      <c r="B19" s="330">
        <v>25.5779491065332</v>
      </c>
      <c r="C19" s="330">
        <v>25.082172549793022</v>
      </c>
      <c r="D19" s="330">
        <f t="shared" si="0"/>
        <v>50.660121656326226</v>
      </c>
      <c r="E19" s="331"/>
      <c r="F19" s="330">
        <v>27.974010356236636</v>
      </c>
      <c r="G19" s="330">
        <v>26.564514034525022</v>
      </c>
      <c r="H19" s="330">
        <f t="shared" si="1"/>
        <v>54.538524390761658</v>
      </c>
      <c r="I19" s="331"/>
      <c r="J19" s="330">
        <v>30.36966702975106</v>
      </c>
      <c r="K19" s="330">
        <v>24.135730477065955</v>
      </c>
      <c r="L19" s="330">
        <f t="shared" si="2"/>
        <v>54.505397506817019</v>
      </c>
      <c r="M19" s="236"/>
      <c r="N19" s="328">
        <f t="shared" si="3"/>
        <v>1.8070380773882677</v>
      </c>
      <c r="O19" s="328">
        <f t="shared" si="4"/>
        <v>0.54929269480357146</v>
      </c>
      <c r="P19" s="328"/>
      <c r="Q19" s="328">
        <f t="shared" si="5"/>
        <v>1.1549977700313629</v>
      </c>
      <c r="R19" s="328">
        <f t="shared" si="6"/>
        <v>-0.63718088027593378</v>
      </c>
      <c r="S19" s="327"/>
      <c r="T19" s="328">
        <f t="shared" si="7"/>
        <v>1.4863027490615632</v>
      </c>
      <c r="U19" s="328">
        <f t="shared" si="8"/>
        <v>-4.0505041124516694E-3</v>
      </c>
    </row>
    <row r="20" spans="1:21" x14ac:dyDescent="0.2">
      <c r="A20" s="329" t="str">
        <f>name!D15</f>
        <v>41 Administrative occupations</v>
      </c>
      <c r="B20" s="330">
        <v>79.804366865327268</v>
      </c>
      <c r="C20" s="330">
        <v>34.766037827392644</v>
      </c>
      <c r="D20" s="330">
        <f t="shared" si="0"/>
        <v>114.5704046927199</v>
      </c>
      <c r="E20" s="331"/>
      <c r="F20" s="330">
        <v>73.685272441329062</v>
      </c>
      <c r="G20" s="330">
        <v>37.233378622315428</v>
      </c>
      <c r="H20" s="330">
        <f t="shared" si="1"/>
        <v>110.91865106364449</v>
      </c>
      <c r="I20" s="331"/>
      <c r="J20" s="330">
        <v>58.097392373345521</v>
      </c>
      <c r="K20" s="330">
        <v>38.957957029619536</v>
      </c>
      <c r="L20" s="330">
        <f t="shared" si="2"/>
        <v>97.055349402965049</v>
      </c>
      <c r="M20" s="236"/>
      <c r="N20" s="328">
        <f t="shared" si="3"/>
        <v>-1.5828447849223215</v>
      </c>
      <c r="O20" s="328">
        <f t="shared" si="4"/>
        <v>-1.5720598668875985</v>
      </c>
      <c r="P20" s="328"/>
      <c r="Q20" s="328">
        <f t="shared" si="5"/>
        <v>1.3807383071153589</v>
      </c>
      <c r="R20" s="328">
        <f t="shared" si="6"/>
        <v>0.3023053972685652</v>
      </c>
      <c r="S20" s="327"/>
      <c r="T20" s="328">
        <f t="shared" si="7"/>
        <v>-0.64575523807333113</v>
      </c>
      <c r="U20" s="328">
        <f t="shared" si="8"/>
        <v>-0.88615450774064408</v>
      </c>
    </row>
    <row r="21" spans="1:21" x14ac:dyDescent="0.2">
      <c r="A21" s="329" t="str">
        <f>name!D16</f>
        <v>42 Secretarial and related occupations</v>
      </c>
      <c r="B21" s="330">
        <v>23.501445799920564</v>
      </c>
      <c r="C21" s="330">
        <v>1.6789348131317414</v>
      </c>
      <c r="D21" s="330">
        <f t="shared" si="0"/>
        <v>25.180380613052307</v>
      </c>
      <c r="E21" s="331"/>
      <c r="F21" s="330">
        <v>20.605767120703554</v>
      </c>
      <c r="G21" s="330">
        <v>1.1666759509376754</v>
      </c>
      <c r="H21" s="330">
        <f t="shared" si="1"/>
        <v>21.772443071641231</v>
      </c>
      <c r="I21" s="331"/>
      <c r="J21" s="330">
        <v>18.124321056930512</v>
      </c>
      <c r="K21" s="330">
        <v>2.0435303176081177</v>
      </c>
      <c r="L21" s="330">
        <f t="shared" si="2"/>
        <v>20.167851374538628</v>
      </c>
      <c r="M21" s="236"/>
      <c r="N21" s="328">
        <f t="shared" si="3"/>
        <v>-2.5955403810517752</v>
      </c>
      <c r="O21" s="328">
        <f t="shared" si="4"/>
        <v>-0.85179319406040177</v>
      </c>
      <c r="P21" s="328"/>
      <c r="Q21" s="328">
        <f t="shared" si="5"/>
        <v>-7.0213401325411535</v>
      </c>
      <c r="R21" s="328">
        <f t="shared" si="6"/>
        <v>3.8074977526187048</v>
      </c>
      <c r="S21" s="327"/>
      <c r="T21" s="328">
        <f t="shared" si="7"/>
        <v>-2.8665141443915521</v>
      </c>
      <c r="U21" s="328">
        <f t="shared" si="8"/>
        <v>-0.50906830229729971</v>
      </c>
    </row>
    <row r="22" spans="1:21" x14ac:dyDescent="0.2">
      <c r="A22" s="329" t="str">
        <f>name!D17</f>
        <v>51 Skilled agricultural and related trades</v>
      </c>
      <c r="B22" s="330">
        <v>0.90696752652206036</v>
      </c>
      <c r="C22" s="330">
        <v>11.636452191940384</v>
      </c>
      <c r="D22" s="330">
        <f t="shared" si="0"/>
        <v>12.543419718462443</v>
      </c>
      <c r="E22" s="331"/>
      <c r="F22" s="330">
        <v>2.1652223337410623</v>
      </c>
      <c r="G22" s="330">
        <v>8.1366460268245948</v>
      </c>
      <c r="H22" s="330">
        <f t="shared" si="1"/>
        <v>10.301868360565656</v>
      </c>
      <c r="I22" s="331"/>
      <c r="J22" s="330">
        <v>2.8159842436720797</v>
      </c>
      <c r="K22" s="330">
        <v>8.7701206946933734</v>
      </c>
      <c r="L22" s="330">
        <f t="shared" si="2"/>
        <v>11.586104938365454</v>
      </c>
      <c r="M22" s="236"/>
      <c r="N22" s="328">
        <f t="shared" si="3"/>
        <v>19.009642908651546</v>
      </c>
      <c r="O22" s="328">
        <f t="shared" si="4"/>
        <v>1.7673615045206814</v>
      </c>
      <c r="P22" s="328"/>
      <c r="Q22" s="328">
        <f t="shared" si="5"/>
        <v>-6.9052978672003444</v>
      </c>
      <c r="R22" s="328">
        <f t="shared" si="6"/>
        <v>0.50106789695818499</v>
      </c>
      <c r="S22" s="327"/>
      <c r="T22" s="328">
        <f t="shared" si="7"/>
        <v>-3.8609097151089067</v>
      </c>
      <c r="U22" s="328">
        <f t="shared" si="8"/>
        <v>0.78628347946876342</v>
      </c>
    </row>
    <row r="23" spans="1:21" x14ac:dyDescent="0.2">
      <c r="A23" s="329" t="str">
        <f>name!D18</f>
        <v>52 Skilled metal, electrical and electronic trades</v>
      </c>
      <c r="B23" s="330">
        <v>0.47532273963869587</v>
      </c>
      <c r="C23" s="330">
        <v>51.271698802829619</v>
      </c>
      <c r="D23" s="330">
        <f t="shared" si="0"/>
        <v>51.747021542468318</v>
      </c>
      <c r="E23" s="331"/>
      <c r="F23" s="330">
        <v>0.6004918560369934</v>
      </c>
      <c r="G23" s="330">
        <v>42.007258387746035</v>
      </c>
      <c r="H23" s="330">
        <f t="shared" si="1"/>
        <v>42.60775024378303</v>
      </c>
      <c r="I23" s="331"/>
      <c r="J23" s="330">
        <v>1.9015998087777757</v>
      </c>
      <c r="K23" s="330">
        <v>34.571447362125326</v>
      </c>
      <c r="L23" s="330">
        <f t="shared" si="2"/>
        <v>36.473047170903101</v>
      </c>
      <c r="M23" s="236"/>
      <c r="N23" s="328">
        <f t="shared" si="3"/>
        <v>4.7861070563615105</v>
      </c>
      <c r="O23" s="328">
        <f t="shared" si="4"/>
        <v>7.9876607616557349</v>
      </c>
      <c r="P23" s="328"/>
      <c r="Q23" s="328">
        <f t="shared" si="5"/>
        <v>-3.9075367798052429</v>
      </c>
      <c r="R23" s="328">
        <f t="shared" si="6"/>
        <v>-1.2903644899477373</v>
      </c>
      <c r="S23" s="327"/>
      <c r="T23" s="328">
        <f t="shared" si="7"/>
        <v>-3.8120543906761672</v>
      </c>
      <c r="U23" s="328">
        <f t="shared" si="8"/>
        <v>-1.03106512262231</v>
      </c>
    </row>
    <row r="24" spans="1:21" x14ac:dyDescent="0.2">
      <c r="A24" s="329" t="str">
        <f>name!D19</f>
        <v>53 Skilled construction and building trades</v>
      </c>
      <c r="B24" s="330">
        <v>1.5240577044984849</v>
      </c>
      <c r="C24" s="330">
        <v>39.895092634430256</v>
      </c>
      <c r="D24" s="330">
        <f t="shared" si="0"/>
        <v>41.419150338928738</v>
      </c>
      <c r="E24" s="331"/>
      <c r="F24" s="330">
        <v>1.0288033492352988</v>
      </c>
      <c r="G24" s="330">
        <v>35.010299414621841</v>
      </c>
      <c r="H24" s="330">
        <f t="shared" si="1"/>
        <v>36.039102763857137</v>
      </c>
      <c r="I24" s="331"/>
      <c r="J24" s="330">
        <v>1.2431869114223111</v>
      </c>
      <c r="K24" s="330">
        <v>30.71757010536988</v>
      </c>
      <c r="L24" s="330">
        <f t="shared" si="2"/>
        <v>31.96075701679219</v>
      </c>
      <c r="M24" s="236"/>
      <c r="N24" s="328">
        <f t="shared" si="3"/>
        <v>-7.5586686234745182</v>
      </c>
      <c r="O24" s="328">
        <f t="shared" si="4"/>
        <v>1.2698742370888638</v>
      </c>
      <c r="P24" s="328"/>
      <c r="Q24" s="328">
        <f t="shared" si="5"/>
        <v>-2.5783974175892843</v>
      </c>
      <c r="R24" s="328">
        <f t="shared" si="6"/>
        <v>-0.86825854170540229</v>
      </c>
      <c r="S24" s="327"/>
      <c r="T24" s="328">
        <f t="shared" si="7"/>
        <v>-2.7444135688581173</v>
      </c>
      <c r="U24" s="328">
        <f t="shared" si="8"/>
        <v>-0.79744162815217345</v>
      </c>
    </row>
    <row r="25" spans="1:21" x14ac:dyDescent="0.2">
      <c r="A25" s="329" t="str">
        <f>name!D20</f>
        <v>54 Textiles, printing and other skilled trades</v>
      </c>
      <c r="B25" s="330">
        <v>10.757953249341664</v>
      </c>
      <c r="C25" s="330">
        <v>14.628688141793107</v>
      </c>
      <c r="D25" s="330">
        <f t="shared" si="0"/>
        <v>25.386641391134773</v>
      </c>
      <c r="E25" s="331"/>
      <c r="F25" s="330">
        <v>10.146009094354905</v>
      </c>
      <c r="G25" s="330">
        <v>10.94759386747138</v>
      </c>
      <c r="H25" s="330">
        <f t="shared" si="1"/>
        <v>21.093602961826285</v>
      </c>
      <c r="I25" s="331"/>
      <c r="J25" s="330">
        <v>9.7460296738197343</v>
      </c>
      <c r="K25" s="330">
        <v>10.261425400620922</v>
      </c>
      <c r="L25" s="330">
        <f t="shared" si="2"/>
        <v>20.007455074440657</v>
      </c>
      <c r="M25" s="236"/>
      <c r="N25" s="328">
        <f t="shared" si="3"/>
        <v>-1.1644646669415115</v>
      </c>
      <c r="O25" s="328">
        <f t="shared" si="4"/>
        <v>-0.26777714474325309</v>
      </c>
      <c r="P25" s="328"/>
      <c r="Q25" s="328">
        <f t="shared" si="5"/>
        <v>-5.6324544978219144</v>
      </c>
      <c r="R25" s="328">
        <f t="shared" si="6"/>
        <v>-0.43058986511029795</v>
      </c>
      <c r="S25" s="327"/>
      <c r="T25" s="328">
        <f t="shared" si="7"/>
        <v>-3.6372681097002091</v>
      </c>
      <c r="U25" s="328">
        <f t="shared" si="8"/>
        <v>-0.35181208283330268</v>
      </c>
    </row>
    <row r="26" spans="1:21" x14ac:dyDescent="0.2">
      <c r="A26" s="329" t="str">
        <f>name!D21</f>
        <v>61 Caring personal service occupations</v>
      </c>
      <c r="B26" s="330">
        <v>77.568513875179136</v>
      </c>
      <c r="C26" s="330">
        <v>11.116397224333236</v>
      </c>
      <c r="D26" s="330">
        <f t="shared" si="0"/>
        <v>88.684911099512377</v>
      </c>
      <c r="E26" s="331"/>
      <c r="F26" s="330">
        <v>74.325326191513227</v>
      </c>
      <c r="G26" s="330">
        <v>10.944111595436329</v>
      </c>
      <c r="H26" s="330">
        <f t="shared" si="1"/>
        <v>85.269437786949553</v>
      </c>
      <c r="I26" s="331"/>
      <c r="J26" s="330">
        <v>80.888387117485095</v>
      </c>
      <c r="K26" s="330">
        <v>15.182187696737737</v>
      </c>
      <c r="L26" s="330">
        <f t="shared" si="2"/>
        <v>96.070574814222837</v>
      </c>
      <c r="M26" s="236"/>
      <c r="N26" s="328">
        <f t="shared" si="3"/>
        <v>-0.85055886959454208</v>
      </c>
      <c r="O26" s="328">
        <f t="shared" si="4"/>
        <v>0.56571757254424426</v>
      </c>
      <c r="P26" s="328"/>
      <c r="Q26" s="328">
        <f t="shared" si="5"/>
        <v>-0.31190631698909677</v>
      </c>
      <c r="R26" s="328">
        <f t="shared" si="6"/>
        <v>2.2061249895104273</v>
      </c>
      <c r="S26" s="327"/>
      <c r="T26" s="328">
        <f t="shared" si="7"/>
        <v>-0.78239649614619822</v>
      </c>
      <c r="U26" s="328">
        <f t="shared" si="8"/>
        <v>0.79828259462559892</v>
      </c>
    </row>
    <row r="27" spans="1:21" x14ac:dyDescent="0.2">
      <c r="A27" s="329" t="str">
        <f>name!D22</f>
        <v>62 Leisure, travel and related personal service occupations</v>
      </c>
      <c r="B27" s="330">
        <v>19.413413239785708</v>
      </c>
      <c r="C27" s="330">
        <v>7.9917594776597687</v>
      </c>
      <c r="D27" s="330">
        <f t="shared" si="0"/>
        <v>27.405172717445478</v>
      </c>
      <c r="E27" s="331"/>
      <c r="F27" s="330">
        <v>18.195077238659177</v>
      </c>
      <c r="G27" s="330">
        <v>8.4141567658143206</v>
      </c>
      <c r="H27" s="330">
        <f t="shared" si="1"/>
        <v>26.6092340044735</v>
      </c>
      <c r="I27" s="331"/>
      <c r="J27" s="330">
        <v>18.442639950508816</v>
      </c>
      <c r="K27" s="330">
        <v>8.9031187115617278</v>
      </c>
      <c r="L27" s="330">
        <f t="shared" si="2"/>
        <v>27.345758662070544</v>
      </c>
      <c r="M27" s="236"/>
      <c r="N27" s="328">
        <f t="shared" si="3"/>
        <v>-1.2878977976731654</v>
      </c>
      <c r="O27" s="328">
        <f t="shared" si="4"/>
        <v>9.0135905493538004E-2</v>
      </c>
      <c r="P27" s="328"/>
      <c r="Q27" s="328">
        <f t="shared" si="5"/>
        <v>1.0354171470326801</v>
      </c>
      <c r="R27" s="328">
        <f t="shared" si="6"/>
        <v>0.37728336760696202</v>
      </c>
      <c r="S27" s="327"/>
      <c r="T27" s="328">
        <f t="shared" si="7"/>
        <v>-0.587735682652335</v>
      </c>
      <c r="U27" s="328">
        <f t="shared" si="8"/>
        <v>0.1821867048710013</v>
      </c>
    </row>
    <row r="28" spans="1:21" x14ac:dyDescent="0.2">
      <c r="A28" s="329" t="str">
        <f>name!D23</f>
        <v>63 Community and civil enforcement occupations</v>
      </c>
      <c r="B28" s="330">
        <v>0.35953190934968643</v>
      </c>
      <c r="C28" s="330">
        <v>1.0207425802249825</v>
      </c>
      <c r="D28" s="330">
        <f t="shared" si="0"/>
        <v>1.380274489574669</v>
      </c>
      <c r="E28" s="331"/>
      <c r="F28" s="330">
        <v>0.36795173105862278</v>
      </c>
      <c r="G28" s="330">
        <v>1.1888725263847495</v>
      </c>
      <c r="H28" s="330">
        <f t="shared" si="1"/>
        <v>1.5568242574433722</v>
      </c>
      <c r="I28" s="331"/>
      <c r="J28" s="330">
        <v>0.48008572495506774</v>
      </c>
      <c r="K28" s="330">
        <v>0.88019824990596762</v>
      </c>
      <c r="L28" s="330">
        <f>SUM(J28:K28)</f>
        <v>1.3602839748610354</v>
      </c>
      <c r="M28" s="236"/>
      <c r="N28" s="328">
        <f t="shared" si="3"/>
        <v>0.46405000020617315</v>
      </c>
      <c r="O28" s="328">
        <f t="shared" si="4"/>
        <v>1.7892379045540308</v>
      </c>
      <c r="P28" s="328"/>
      <c r="Q28" s="328">
        <f t="shared" si="5"/>
        <v>3.0964739116744022</v>
      </c>
      <c r="R28" s="328">
        <f t="shared" si="6"/>
        <v>-1.9841416919287314</v>
      </c>
      <c r="S28" s="327"/>
      <c r="T28" s="328">
        <f t="shared" si="7"/>
        <v>2.4365222689466393</v>
      </c>
      <c r="U28" s="328">
        <f t="shared" si="8"/>
        <v>-0.89566171107727799</v>
      </c>
    </row>
    <row r="29" spans="1:21" x14ac:dyDescent="0.2">
      <c r="A29" s="329" t="str">
        <f>name!D24</f>
        <v>71 Sales occupations</v>
      </c>
      <c r="B29" s="330">
        <v>79.779089582503744</v>
      </c>
      <c r="C29" s="330">
        <v>35.340446240188413</v>
      </c>
      <c r="D29" s="330">
        <f t="shared" si="0"/>
        <v>115.11953582269216</v>
      </c>
      <c r="E29" s="331"/>
      <c r="F29" s="330">
        <v>70.48050828654759</v>
      </c>
      <c r="G29" s="330">
        <v>33.147813017039283</v>
      </c>
      <c r="H29" s="330">
        <f t="shared" si="1"/>
        <v>103.62832130358687</v>
      </c>
      <c r="I29" s="331"/>
      <c r="J29" s="330">
        <v>63.782779447821653</v>
      </c>
      <c r="K29" s="330">
        <v>31.390267874528671</v>
      </c>
      <c r="L29" s="330">
        <f t="shared" si="2"/>
        <v>95.173047322350328</v>
      </c>
      <c r="M29" s="236"/>
      <c r="N29" s="328">
        <f t="shared" si="3"/>
        <v>-2.4480420900169775</v>
      </c>
      <c r="O29" s="328">
        <f t="shared" si="4"/>
        <v>-0.66347557722669093</v>
      </c>
      <c r="P29" s="328"/>
      <c r="Q29" s="328">
        <f t="shared" si="5"/>
        <v>-1.2728568084876435</v>
      </c>
      <c r="R29" s="328">
        <f t="shared" si="6"/>
        <v>-0.36253350501034287</v>
      </c>
      <c r="S29" s="327"/>
      <c r="T29" s="328">
        <f t="shared" si="7"/>
        <v>-2.0812441677521498</v>
      </c>
      <c r="U29" s="328">
        <f t="shared" si="8"/>
        <v>-0.56581903856244287</v>
      </c>
    </row>
    <row r="30" spans="1:21" x14ac:dyDescent="0.2">
      <c r="A30" s="329" t="str">
        <f>name!D25</f>
        <v>72 Customer service occupations</v>
      </c>
      <c r="B30" s="330">
        <v>12.523709349393531</v>
      </c>
      <c r="C30" s="330">
        <v>8.1461592591938441</v>
      </c>
      <c r="D30" s="330">
        <f t="shared" si="0"/>
        <v>20.669868608587375</v>
      </c>
      <c r="E30" s="331"/>
      <c r="F30" s="330">
        <v>13.224516620172782</v>
      </c>
      <c r="G30" s="330">
        <v>9.1098857598864456</v>
      </c>
      <c r="H30" s="330">
        <f t="shared" si="1"/>
        <v>22.334402380059228</v>
      </c>
      <c r="I30" s="331"/>
      <c r="J30" s="330">
        <v>18.329575772950804</v>
      </c>
      <c r="K30" s="330">
        <v>15.188379615319265</v>
      </c>
      <c r="L30" s="330">
        <f t="shared" si="2"/>
        <v>33.517955388270067</v>
      </c>
      <c r="M30" s="236"/>
      <c r="N30" s="328">
        <f t="shared" si="3"/>
        <v>1.0949275504208877</v>
      </c>
      <c r="O30" s="328">
        <f t="shared" si="4"/>
        <v>2.2001438594037914</v>
      </c>
      <c r="P30" s="328"/>
      <c r="Q30" s="328">
        <f t="shared" si="5"/>
        <v>2.2614642337958513</v>
      </c>
      <c r="R30" s="328">
        <f t="shared" si="6"/>
        <v>3.4665339574655896</v>
      </c>
      <c r="S30" s="327"/>
      <c r="T30" s="328">
        <f t="shared" si="7"/>
        <v>1.5610831644916612</v>
      </c>
      <c r="U30" s="328">
        <f t="shared" si="8"/>
        <v>2.7433082393231167</v>
      </c>
    </row>
    <row r="31" spans="1:21" x14ac:dyDescent="0.2">
      <c r="A31" s="329" t="str">
        <f>name!D26</f>
        <v>81 Process, plant and machine operatives</v>
      </c>
      <c r="B31" s="330">
        <v>7.6829057650143824</v>
      </c>
      <c r="C31" s="330">
        <v>36.025411835682554</v>
      </c>
      <c r="D31" s="330">
        <f t="shared" si="0"/>
        <v>43.708317600696937</v>
      </c>
      <c r="E31" s="331"/>
      <c r="F31" s="330">
        <v>6.3318263479225232</v>
      </c>
      <c r="G31" s="330">
        <v>28.545376766072533</v>
      </c>
      <c r="H31" s="330">
        <f t="shared" si="1"/>
        <v>34.877203113995058</v>
      </c>
      <c r="I31" s="331"/>
      <c r="J31" s="330">
        <v>6.8926683159439364</v>
      </c>
      <c r="K31" s="330">
        <v>31.951310401733533</v>
      </c>
      <c r="L31" s="330">
        <f t="shared" si="2"/>
        <v>38.843978717677473</v>
      </c>
      <c r="M31" s="236"/>
      <c r="N31" s="328">
        <f t="shared" si="3"/>
        <v>-3.7943234883987098</v>
      </c>
      <c r="O31" s="328">
        <f t="shared" si="4"/>
        <v>0.56740076594754552</v>
      </c>
      <c r="P31" s="328"/>
      <c r="Q31" s="328">
        <f t="shared" si="5"/>
        <v>-4.5479269243091869</v>
      </c>
      <c r="R31" s="328">
        <f t="shared" si="6"/>
        <v>0.75428521155520567</v>
      </c>
      <c r="S31" s="327"/>
      <c r="T31" s="328">
        <f t="shared" si="7"/>
        <v>-4.4137305882279598</v>
      </c>
      <c r="U31" s="328">
        <f t="shared" si="8"/>
        <v>0.7207158581668649</v>
      </c>
    </row>
    <row r="32" spans="1:21" x14ac:dyDescent="0.2">
      <c r="A32" s="329" t="str">
        <f>name!D27</f>
        <v>82 Transport and mobile machine drivers and operatives</v>
      </c>
      <c r="B32" s="330">
        <v>1.4694426347399576</v>
      </c>
      <c r="C32" s="330">
        <v>39.639519175405994</v>
      </c>
      <c r="D32" s="330">
        <f t="shared" si="0"/>
        <v>41.108961810145949</v>
      </c>
      <c r="E32" s="331"/>
      <c r="F32" s="330">
        <v>1.1938967286367974</v>
      </c>
      <c r="G32" s="330">
        <v>42.563437961363526</v>
      </c>
      <c r="H32" s="330">
        <f t="shared" si="1"/>
        <v>43.75733469000032</v>
      </c>
      <c r="I32" s="331"/>
      <c r="J32" s="330">
        <v>1.8382995789300103</v>
      </c>
      <c r="K32" s="330">
        <v>39.787648464139579</v>
      </c>
      <c r="L32" s="330">
        <f t="shared" si="2"/>
        <v>41.625948043069592</v>
      </c>
      <c r="M32" s="236"/>
      <c r="N32" s="328">
        <f t="shared" si="3"/>
        <v>-4.0681487971089503</v>
      </c>
      <c r="O32" s="328">
        <f t="shared" si="4"/>
        <v>2.9192552857194576</v>
      </c>
      <c r="P32" s="328"/>
      <c r="Q32" s="328">
        <f t="shared" si="5"/>
        <v>1.4335591262002678</v>
      </c>
      <c r="R32" s="328">
        <f t="shared" si="6"/>
        <v>-0.44858481861267396</v>
      </c>
      <c r="S32" s="327"/>
      <c r="T32" s="328">
        <f t="shared" si="7"/>
        <v>1.256490377052355</v>
      </c>
      <c r="U32" s="328">
        <f t="shared" si="8"/>
        <v>-0.33234999040935298</v>
      </c>
    </row>
    <row r="33" spans="1:21" x14ac:dyDescent="0.2">
      <c r="A33" s="329" t="str">
        <f>name!D28</f>
        <v>91 Elementary trades and related occupations</v>
      </c>
      <c r="B33" s="330">
        <v>4.3169726714941064</v>
      </c>
      <c r="C33" s="330">
        <v>16.000529885415887</v>
      </c>
      <c r="D33" s="330">
        <f t="shared" si="0"/>
        <v>20.317502556909993</v>
      </c>
      <c r="E33" s="331"/>
      <c r="F33" s="330">
        <v>2.7005736074758078</v>
      </c>
      <c r="G33" s="330">
        <v>12.937368133451121</v>
      </c>
      <c r="H33" s="330">
        <f t="shared" si="1"/>
        <v>15.63794174092693</v>
      </c>
      <c r="I33" s="331"/>
      <c r="J33" s="330">
        <v>2.1002660115287179</v>
      </c>
      <c r="K33" s="330">
        <v>9.6282752328034249</v>
      </c>
      <c r="L33" s="330">
        <f t="shared" si="2"/>
        <v>11.728541244332142</v>
      </c>
      <c r="M33" s="236"/>
      <c r="N33" s="328">
        <f t="shared" si="3"/>
        <v>-8.9551585535072142</v>
      </c>
      <c r="O33" s="328">
        <f t="shared" si="4"/>
        <v>-1.662034494119502</v>
      </c>
      <c r="P33" s="328"/>
      <c r="Q33" s="328">
        <f t="shared" si="5"/>
        <v>-4.160991038650419</v>
      </c>
      <c r="R33" s="328">
        <f t="shared" si="6"/>
        <v>-1.9501717310652977</v>
      </c>
      <c r="S33" s="327"/>
      <c r="T33" s="328">
        <f t="shared" si="7"/>
        <v>-5.1009524764848653</v>
      </c>
      <c r="U33" s="328">
        <f t="shared" si="8"/>
        <v>-1.8995588049036893</v>
      </c>
    </row>
    <row r="34" spans="1:21" x14ac:dyDescent="0.2">
      <c r="A34" s="329" t="str">
        <f>name!D29</f>
        <v>92 Elementary administration and service occupations</v>
      </c>
      <c r="B34" s="330">
        <v>67.916186434160679</v>
      </c>
      <c r="C34" s="330">
        <v>61.410778714788108</v>
      </c>
      <c r="D34" s="330">
        <f t="shared" si="0"/>
        <v>129.32696514894877</v>
      </c>
      <c r="E34" s="331"/>
      <c r="F34" s="330">
        <v>57.429534487064402</v>
      </c>
      <c r="G34" s="330">
        <v>60.751210267884822</v>
      </c>
      <c r="H34" s="330">
        <f t="shared" si="1"/>
        <v>118.18074475494922</v>
      </c>
      <c r="I34" s="331"/>
      <c r="J34" s="330">
        <v>57.058846393255962</v>
      </c>
      <c r="K34" s="330">
        <v>61.266323865322299</v>
      </c>
      <c r="L34" s="330">
        <f t="shared" si="2"/>
        <v>118.32517025857825</v>
      </c>
      <c r="M34" s="236"/>
      <c r="N34" s="328">
        <f t="shared" si="3"/>
        <v>-3.2986803411271914</v>
      </c>
      <c r="O34" s="328">
        <f t="shared" si="4"/>
        <v>-4.3161222534449095E-2</v>
      </c>
      <c r="P34" s="328"/>
      <c r="Q34" s="328">
        <f t="shared" si="5"/>
        <v>-0.21573425282597203</v>
      </c>
      <c r="R34" s="328">
        <f t="shared" si="6"/>
        <v>5.6304657634131949E-2</v>
      </c>
      <c r="S34" s="327"/>
      <c r="T34" s="328">
        <f t="shared" si="7"/>
        <v>-1.786423310217633</v>
      </c>
      <c r="U34" s="328">
        <f t="shared" si="8"/>
        <v>8.1425110192601124E-3</v>
      </c>
    </row>
    <row r="35" spans="1:21" x14ac:dyDescent="0.2">
      <c r="A35" s="329"/>
      <c r="B35" s="330"/>
      <c r="C35" s="330"/>
      <c r="D35" s="330"/>
      <c r="E35" s="331"/>
      <c r="F35" s="330"/>
      <c r="G35" s="330"/>
      <c r="H35" s="330"/>
      <c r="I35" s="331"/>
      <c r="J35" s="330"/>
      <c r="K35" s="330"/>
      <c r="L35" s="330"/>
      <c r="M35" s="236"/>
      <c r="N35" s="327"/>
      <c r="O35" s="328"/>
      <c r="P35" s="328"/>
      <c r="Q35" s="328"/>
      <c r="R35" s="328"/>
      <c r="S35" s="327"/>
      <c r="T35" s="328"/>
      <c r="U35" s="328"/>
    </row>
    <row r="36" spans="1:21" x14ac:dyDescent="0.2">
      <c r="A36" s="332" t="str">
        <f>name!D3</f>
        <v>All occupations</v>
      </c>
      <c r="B36" s="333">
        <f>SUM(B9:B34)</f>
        <v>600.55200000094487</v>
      </c>
      <c r="C36" s="333">
        <f t="shared" ref="C36:D36" si="9">SUM(C9:C34)</f>
        <v>607.15100000070777</v>
      </c>
      <c r="D36" s="333">
        <f t="shared" si="9"/>
        <v>1207.7030000016525</v>
      </c>
      <c r="E36" s="333"/>
      <c r="F36" s="333">
        <f>SUM(F9:F34)</f>
        <v>597.91300000082299</v>
      </c>
      <c r="G36" s="333">
        <f t="shared" ref="G36:H36" si="10">SUM(G9:G34)</f>
        <v>591.42599999946799</v>
      </c>
      <c r="H36" s="333">
        <f t="shared" si="10"/>
        <v>1189.3390000002908</v>
      </c>
      <c r="I36" s="333"/>
      <c r="J36" s="333">
        <f>SUM(J9:J34)</f>
        <v>641.89400000036346</v>
      </c>
      <c r="K36" s="333">
        <f t="shared" ref="K36:L36" si="11">SUM(K9:K34)</f>
        <v>609.1029999998492</v>
      </c>
      <c r="L36" s="333">
        <f t="shared" si="11"/>
        <v>1250.9970000002129</v>
      </c>
      <c r="M36" s="258"/>
      <c r="N36" s="334">
        <f t="shared" si="3"/>
        <v>-8.8040698592461997E-2</v>
      </c>
      <c r="O36" s="334">
        <f t="shared" si="4"/>
        <v>0.4743074442774331</v>
      </c>
      <c r="P36" s="334"/>
      <c r="Q36" s="334">
        <f t="shared" si="5"/>
        <v>-0.52344432290043486</v>
      </c>
      <c r="R36" s="334">
        <f t="shared" si="6"/>
        <v>0.19653162541946045</v>
      </c>
      <c r="S36" s="334"/>
      <c r="T36" s="334">
        <f t="shared" si="7"/>
        <v>-0.3059812750987656</v>
      </c>
      <c r="U36" s="334">
        <f t="shared" si="8"/>
        <v>0.33752261436219566</v>
      </c>
    </row>
    <row r="37" spans="1:21" x14ac:dyDescent="0.2">
      <c r="A37" s="237"/>
      <c r="B37" s="238"/>
      <c r="C37" s="238"/>
      <c r="D37" s="238"/>
      <c r="E37" s="238"/>
      <c r="F37" s="238"/>
      <c r="G37" s="238"/>
      <c r="H37" s="238"/>
      <c r="I37" s="238"/>
      <c r="J37" s="238"/>
      <c r="K37" s="238"/>
      <c r="L37" s="239"/>
      <c r="M37" s="236"/>
    </row>
    <row r="38" spans="1:21" x14ac:dyDescent="0.2">
      <c r="A38" s="237"/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84"/>
      <c r="M38" s="236"/>
    </row>
    <row r="39" spans="1:21" x14ac:dyDescent="0.2">
      <c r="A39" s="258"/>
      <c r="B39" s="241"/>
      <c r="C39" s="241"/>
      <c r="D39" s="241"/>
      <c r="E39" s="241"/>
      <c r="F39" s="241"/>
      <c r="G39" s="241"/>
      <c r="H39" s="241"/>
      <c r="I39" s="241"/>
      <c r="J39" s="241"/>
      <c r="K39" s="241"/>
      <c r="L39" s="236"/>
      <c r="M39" s="236"/>
    </row>
    <row r="40" spans="1:21" x14ac:dyDescent="0.2">
      <c r="A40" s="241"/>
      <c r="B40" s="372"/>
      <c r="C40" s="372"/>
      <c r="D40" s="372"/>
      <c r="E40" s="253"/>
      <c r="F40" s="372"/>
      <c r="G40" s="372"/>
      <c r="H40" s="372"/>
      <c r="I40" s="253"/>
      <c r="J40" s="372"/>
      <c r="K40" s="372"/>
      <c r="L40" s="372"/>
      <c r="M40" s="236"/>
    </row>
    <row r="41" spans="1:21" x14ac:dyDescent="0.2">
      <c r="A41" s="258"/>
      <c r="B41" s="259"/>
      <c r="C41" s="259"/>
      <c r="D41" s="259"/>
      <c r="E41" s="259"/>
      <c r="F41" s="259"/>
      <c r="G41" s="259"/>
      <c r="H41" s="259"/>
      <c r="I41" s="259"/>
      <c r="J41" s="259"/>
      <c r="K41" s="259"/>
      <c r="L41" s="259"/>
      <c r="M41" s="236"/>
    </row>
    <row r="42" spans="1:21" x14ac:dyDescent="0.2">
      <c r="A42" s="258"/>
      <c r="B42" s="259"/>
      <c r="C42" s="259"/>
      <c r="D42" s="259"/>
      <c r="E42" s="259"/>
      <c r="F42" s="259"/>
      <c r="G42" s="259"/>
      <c r="H42" s="259"/>
      <c r="I42" s="259"/>
      <c r="J42" s="259"/>
      <c r="K42" s="259"/>
      <c r="L42" s="259"/>
      <c r="M42" s="236"/>
    </row>
    <row r="43" spans="1:21" x14ac:dyDescent="0.2">
      <c r="A43" s="237"/>
      <c r="B43" s="322"/>
      <c r="C43" s="322"/>
      <c r="D43" s="322"/>
      <c r="E43" s="323"/>
      <c r="F43" s="322"/>
      <c r="G43" s="322"/>
      <c r="H43" s="322"/>
      <c r="I43" s="323"/>
      <c r="J43" s="322"/>
      <c r="K43" s="322"/>
      <c r="L43" s="322"/>
      <c r="M43" s="236"/>
    </row>
    <row r="44" spans="1:21" x14ac:dyDescent="0.2">
      <c r="A44" s="237"/>
      <c r="B44" s="322"/>
      <c r="C44" s="322"/>
      <c r="D44" s="322"/>
      <c r="E44" s="323"/>
      <c r="F44" s="322"/>
      <c r="G44" s="322"/>
      <c r="H44" s="322"/>
      <c r="I44" s="323"/>
      <c r="J44" s="322"/>
      <c r="K44" s="322"/>
      <c r="L44" s="322"/>
      <c r="M44" s="236"/>
    </row>
    <row r="45" spans="1:21" x14ac:dyDescent="0.2">
      <c r="A45" s="237"/>
      <c r="B45" s="322"/>
      <c r="C45" s="322"/>
      <c r="D45" s="322"/>
      <c r="E45" s="323"/>
      <c r="F45" s="322"/>
      <c r="G45" s="322"/>
      <c r="H45" s="322"/>
      <c r="I45" s="323"/>
      <c r="J45" s="322"/>
      <c r="K45" s="322"/>
      <c r="L45" s="322"/>
      <c r="M45" s="236"/>
    </row>
    <row r="46" spans="1:21" x14ac:dyDescent="0.2">
      <c r="A46" s="237"/>
      <c r="B46" s="322"/>
      <c r="C46" s="322"/>
      <c r="D46" s="322"/>
      <c r="E46" s="323"/>
      <c r="F46" s="322"/>
      <c r="G46" s="322"/>
      <c r="H46" s="322"/>
      <c r="I46" s="323"/>
      <c r="J46" s="322"/>
      <c r="K46" s="322"/>
      <c r="L46" s="322"/>
      <c r="M46" s="236"/>
    </row>
    <row r="47" spans="1:21" x14ac:dyDescent="0.2">
      <c r="A47" s="237"/>
      <c r="B47" s="322"/>
      <c r="C47" s="322"/>
      <c r="D47" s="322"/>
      <c r="E47" s="323"/>
      <c r="F47" s="322"/>
      <c r="G47" s="322"/>
      <c r="H47" s="322"/>
      <c r="I47" s="323"/>
      <c r="J47" s="322"/>
      <c r="K47" s="322"/>
      <c r="L47" s="322"/>
      <c r="M47" s="236"/>
    </row>
    <row r="48" spans="1:21" x14ac:dyDescent="0.2">
      <c r="A48" s="237"/>
      <c r="B48" s="322"/>
      <c r="C48" s="322"/>
      <c r="D48" s="322"/>
      <c r="E48" s="323"/>
      <c r="F48" s="322"/>
      <c r="G48" s="322"/>
      <c r="H48" s="322"/>
      <c r="I48" s="323"/>
      <c r="J48" s="322"/>
      <c r="K48" s="322"/>
      <c r="L48" s="322"/>
      <c r="M48" s="236"/>
    </row>
    <row r="49" spans="1:13" x14ac:dyDescent="0.2">
      <c r="A49" s="237"/>
      <c r="B49" s="322"/>
      <c r="C49" s="322"/>
      <c r="D49" s="322"/>
      <c r="E49" s="323"/>
      <c r="F49" s="322"/>
      <c r="G49" s="322"/>
      <c r="H49" s="322"/>
      <c r="I49" s="323"/>
      <c r="J49" s="322"/>
      <c r="K49" s="322"/>
      <c r="L49" s="322"/>
      <c r="M49" s="236"/>
    </row>
    <row r="50" spans="1:13" x14ac:dyDescent="0.2">
      <c r="A50" s="237"/>
      <c r="B50" s="322"/>
      <c r="C50" s="322"/>
      <c r="D50" s="322"/>
      <c r="E50" s="323"/>
      <c r="F50" s="322"/>
      <c r="G50" s="322"/>
      <c r="H50" s="322"/>
      <c r="I50" s="323"/>
      <c r="J50" s="322"/>
      <c r="K50" s="322"/>
      <c r="L50" s="322"/>
      <c r="M50" s="236"/>
    </row>
    <row r="51" spans="1:13" x14ac:dyDescent="0.2">
      <c r="A51" s="237"/>
      <c r="B51" s="322"/>
      <c r="C51" s="322"/>
      <c r="D51" s="322"/>
      <c r="E51" s="323"/>
      <c r="F51" s="322"/>
      <c r="G51" s="322"/>
      <c r="H51" s="322"/>
      <c r="I51" s="323"/>
      <c r="J51" s="322"/>
      <c r="K51" s="322"/>
      <c r="L51" s="322"/>
      <c r="M51" s="236"/>
    </row>
    <row r="52" spans="1:13" x14ac:dyDescent="0.2">
      <c r="A52" s="237"/>
      <c r="B52" s="322"/>
      <c r="C52" s="322"/>
      <c r="D52" s="322"/>
      <c r="E52" s="323"/>
      <c r="F52" s="322"/>
      <c r="G52" s="322"/>
      <c r="H52" s="322"/>
      <c r="I52" s="323"/>
      <c r="J52" s="322"/>
      <c r="K52" s="322"/>
      <c r="L52" s="322"/>
      <c r="M52" s="236"/>
    </row>
    <row r="53" spans="1:13" x14ac:dyDescent="0.2">
      <c r="A53" s="237"/>
      <c r="B53" s="323"/>
      <c r="C53" s="323"/>
      <c r="D53" s="323"/>
      <c r="E53" s="323"/>
      <c r="F53" s="323"/>
      <c r="G53" s="323"/>
      <c r="H53" s="323"/>
      <c r="I53" s="323"/>
      <c r="J53" s="323"/>
      <c r="K53" s="323"/>
      <c r="L53" s="323"/>
      <c r="M53" s="236"/>
    </row>
    <row r="54" spans="1:13" x14ac:dyDescent="0.2">
      <c r="A54" s="237"/>
      <c r="B54" s="237"/>
      <c r="C54" s="237"/>
      <c r="D54" s="237"/>
      <c r="E54" s="237"/>
      <c r="F54" s="237"/>
      <c r="G54" s="237"/>
      <c r="H54" s="237"/>
      <c r="I54" s="237"/>
      <c r="J54" s="237"/>
      <c r="K54" s="237"/>
      <c r="L54" s="240"/>
      <c r="M54" s="236"/>
    </row>
    <row r="55" spans="1:13" x14ac:dyDescent="0.2">
      <c r="A55" s="237"/>
      <c r="B55" s="237"/>
      <c r="C55" s="237"/>
      <c r="D55" s="237"/>
      <c r="E55" s="237"/>
      <c r="F55" s="237"/>
      <c r="G55" s="237"/>
      <c r="H55" s="237"/>
      <c r="I55" s="237"/>
      <c r="J55" s="237"/>
      <c r="K55" s="237"/>
      <c r="L55" s="284"/>
      <c r="M55" s="236"/>
    </row>
    <row r="56" spans="1:13" x14ac:dyDescent="0.2">
      <c r="A56" s="258"/>
      <c r="B56" s="241"/>
      <c r="C56" s="241"/>
      <c r="D56" s="241"/>
      <c r="E56" s="241"/>
      <c r="F56" s="241"/>
      <c r="G56" s="241"/>
      <c r="H56" s="241"/>
      <c r="I56" s="241"/>
      <c r="J56" s="241"/>
      <c r="K56" s="241"/>
      <c r="L56" s="236"/>
      <c r="M56" s="236"/>
    </row>
    <row r="57" spans="1:13" x14ac:dyDescent="0.2">
      <c r="A57" s="241"/>
      <c r="B57" s="372"/>
      <c r="C57" s="372"/>
      <c r="D57" s="372"/>
      <c r="E57" s="253"/>
      <c r="F57" s="372"/>
      <c r="G57" s="372"/>
      <c r="H57" s="372"/>
      <c r="I57" s="253"/>
      <c r="J57" s="372"/>
      <c r="K57" s="372"/>
      <c r="L57" s="372"/>
      <c r="M57" s="236"/>
    </row>
    <row r="58" spans="1:13" x14ac:dyDescent="0.2">
      <c r="A58" s="258"/>
      <c r="B58" s="259"/>
      <c r="C58" s="259"/>
      <c r="D58" s="259"/>
      <c r="E58" s="259"/>
      <c r="F58" s="259"/>
      <c r="G58" s="259"/>
      <c r="H58" s="259"/>
      <c r="I58" s="259"/>
      <c r="J58" s="259"/>
      <c r="K58" s="259"/>
      <c r="L58" s="259"/>
      <c r="M58" s="236"/>
    </row>
    <row r="59" spans="1:13" x14ac:dyDescent="0.2">
      <c r="A59" s="258"/>
      <c r="B59" s="259"/>
      <c r="C59" s="259"/>
      <c r="D59" s="259"/>
      <c r="E59" s="259"/>
      <c r="F59" s="259"/>
      <c r="G59" s="259"/>
      <c r="H59" s="259"/>
      <c r="I59" s="259"/>
      <c r="J59" s="259"/>
      <c r="K59" s="259"/>
      <c r="L59" s="259"/>
      <c r="M59" s="236"/>
    </row>
    <row r="60" spans="1:13" x14ac:dyDescent="0.2">
      <c r="A60" s="237"/>
      <c r="B60" s="302"/>
      <c r="C60" s="302"/>
      <c r="D60" s="302"/>
      <c r="E60" s="303"/>
      <c r="F60" s="302"/>
      <c r="G60" s="302"/>
      <c r="H60" s="302"/>
      <c r="I60" s="303"/>
      <c r="J60" s="302"/>
      <c r="K60" s="302"/>
      <c r="L60" s="302"/>
      <c r="M60" s="236"/>
    </row>
    <row r="61" spans="1:13" x14ac:dyDescent="0.2">
      <c r="A61" s="237"/>
      <c r="B61" s="302"/>
      <c r="C61" s="302"/>
      <c r="D61" s="302"/>
      <c r="E61" s="303"/>
      <c r="F61" s="302"/>
      <c r="G61" s="302"/>
      <c r="H61" s="302"/>
      <c r="I61" s="303"/>
      <c r="J61" s="302"/>
      <c r="K61" s="302"/>
      <c r="L61" s="302"/>
      <c r="M61" s="236"/>
    </row>
    <row r="62" spans="1:13" x14ac:dyDescent="0.2">
      <c r="A62" s="237"/>
      <c r="B62" s="302"/>
      <c r="C62" s="302"/>
      <c r="D62" s="302"/>
      <c r="E62" s="303"/>
      <c r="F62" s="302"/>
      <c r="G62" s="302"/>
      <c r="H62" s="302"/>
      <c r="I62" s="303"/>
      <c r="J62" s="302"/>
      <c r="K62" s="302"/>
      <c r="L62" s="302"/>
      <c r="M62" s="236"/>
    </row>
    <row r="63" spans="1:13" x14ac:dyDescent="0.2">
      <c r="A63" s="237"/>
      <c r="B63" s="302"/>
      <c r="C63" s="302"/>
      <c r="D63" s="302"/>
      <c r="E63" s="303"/>
      <c r="F63" s="302"/>
      <c r="G63" s="302"/>
      <c r="H63" s="302"/>
      <c r="I63" s="303"/>
      <c r="J63" s="302"/>
      <c r="K63" s="302"/>
      <c r="L63" s="302"/>
      <c r="M63" s="236"/>
    </row>
    <row r="64" spans="1:13" x14ac:dyDescent="0.2">
      <c r="A64" s="237"/>
      <c r="B64" s="302"/>
      <c r="C64" s="302"/>
      <c r="D64" s="302"/>
      <c r="E64" s="303"/>
      <c r="F64" s="302"/>
      <c r="G64" s="302"/>
      <c r="H64" s="302"/>
      <c r="I64" s="303"/>
      <c r="J64" s="302"/>
      <c r="K64" s="302"/>
      <c r="L64" s="302"/>
      <c r="M64" s="236"/>
    </row>
    <row r="65" spans="1:13" x14ac:dyDescent="0.2">
      <c r="A65" s="237"/>
      <c r="B65" s="302"/>
      <c r="C65" s="302"/>
      <c r="D65" s="302"/>
      <c r="E65" s="303"/>
      <c r="F65" s="302"/>
      <c r="G65" s="302"/>
      <c r="H65" s="302"/>
      <c r="I65" s="303"/>
      <c r="J65" s="302"/>
      <c r="K65" s="302"/>
      <c r="L65" s="302"/>
      <c r="M65" s="236"/>
    </row>
    <row r="66" spans="1:13" x14ac:dyDescent="0.2">
      <c r="A66" s="237"/>
      <c r="B66" s="302"/>
      <c r="C66" s="302"/>
      <c r="D66" s="302"/>
      <c r="E66" s="303"/>
      <c r="F66" s="302"/>
      <c r="G66" s="302"/>
      <c r="H66" s="302"/>
      <c r="I66" s="303"/>
      <c r="J66" s="302"/>
      <c r="K66" s="302"/>
      <c r="L66" s="302"/>
      <c r="M66" s="236"/>
    </row>
    <row r="67" spans="1:13" x14ac:dyDescent="0.2">
      <c r="A67" s="237"/>
      <c r="B67" s="302"/>
      <c r="C67" s="302"/>
      <c r="D67" s="302"/>
      <c r="E67" s="303"/>
      <c r="F67" s="302"/>
      <c r="G67" s="302"/>
      <c r="H67" s="302"/>
      <c r="I67" s="303"/>
      <c r="J67" s="302"/>
      <c r="K67" s="302"/>
      <c r="L67" s="302"/>
      <c r="M67" s="236"/>
    </row>
    <row r="68" spans="1:13" x14ac:dyDescent="0.2">
      <c r="A68" s="237"/>
      <c r="B68" s="302"/>
      <c r="C68" s="302"/>
      <c r="D68" s="302"/>
      <c r="E68" s="303"/>
      <c r="F68" s="302"/>
      <c r="G68" s="302"/>
      <c r="H68" s="302"/>
      <c r="I68" s="303"/>
      <c r="J68" s="302"/>
      <c r="K68" s="302"/>
      <c r="L68" s="302"/>
      <c r="M68" s="236"/>
    </row>
    <row r="69" spans="1:13" x14ac:dyDescent="0.2">
      <c r="A69" s="237"/>
      <c r="B69" s="302"/>
      <c r="C69" s="302"/>
      <c r="D69" s="302"/>
      <c r="E69" s="303"/>
      <c r="F69" s="302"/>
      <c r="G69" s="302"/>
      <c r="H69" s="302"/>
      <c r="I69" s="303"/>
      <c r="J69" s="302"/>
      <c r="K69" s="302"/>
      <c r="L69" s="302"/>
      <c r="M69" s="236"/>
    </row>
    <row r="70" spans="1:13" x14ac:dyDescent="0.2">
      <c r="A70" s="237"/>
      <c r="B70" s="303"/>
      <c r="C70" s="303"/>
      <c r="D70" s="303"/>
      <c r="E70" s="303"/>
      <c r="F70" s="303"/>
      <c r="G70" s="303"/>
      <c r="H70" s="303"/>
      <c r="I70" s="303"/>
      <c r="J70" s="303"/>
      <c r="K70" s="303"/>
      <c r="L70" s="303"/>
      <c r="M70" s="236"/>
    </row>
    <row r="71" spans="1:13" x14ac:dyDescent="0.2">
      <c r="A71" s="237"/>
      <c r="B71" s="237"/>
      <c r="C71" s="237"/>
      <c r="D71" s="237"/>
      <c r="E71" s="237"/>
      <c r="F71" s="237"/>
      <c r="G71" s="237"/>
      <c r="H71" s="237"/>
      <c r="I71" s="237"/>
      <c r="J71" s="237"/>
      <c r="K71" s="237"/>
      <c r="L71" s="240"/>
      <c r="M71" s="236"/>
    </row>
    <row r="72" spans="1:13" x14ac:dyDescent="0.2">
      <c r="A72" s="237"/>
      <c r="B72" s="237"/>
      <c r="C72" s="237"/>
      <c r="D72" s="237"/>
      <c r="E72" s="237"/>
      <c r="F72" s="237"/>
      <c r="G72" s="237"/>
      <c r="H72" s="237"/>
      <c r="I72" s="237"/>
      <c r="J72" s="237"/>
      <c r="K72" s="237"/>
      <c r="L72" s="284"/>
      <c r="M72" s="236"/>
    </row>
    <row r="73" spans="1:13" x14ac:dyDescent="0.2">
      <c r="A73" s="258"/>
      <c r="B73" s="241"/>
      <c r="C73" s="241"/>
      <c r="D73" s="241"/>
      <c r="E73" s="241"/>
      <c r="F73" s="241"/>
      <c r="G73" s="241"/>
      <c r="H73" s="241"/>
      <c r="I73" s="241"/>
      <c r="J73" s="241"/>
      <c r="K73" s="241"/>
      <c r="L73" s="236"/>
      <c r="M73" s="236"/>
    </row>
    <row r="74" spans="1:13" x14ac:dyDescent="0.2">
      <c r="A74" s="241"/>
      <c r="B74" s="372"/>
      <c r="C74" s="372"/>
      <c r="D74" s="372"/>
      <c r="E74" s="253"/>
      <c r="F74" s="372"/>
      <c r="G74" s="372"/>
      <c r="H74" s="372"/>
      <c r="I74" s="253"/>
      <c r="J74" s="372"/>
      <c r="K74" s="372"/>
      <c r="L74" s="372"/>
      <c r="M74" s="236"/>
    </row>
    <row r="75" spans="1:13" x14ac:dyDescent="0.2">
      <c r="A75" s="258"/>
      <c r="B75" s="259"/>
      <c r="C75" s="259"/>
      <c r="D75" s="259"/>
      <c r="E75" s="259"/>
      <c r="F75" s="259"/>
      <c r="G75" s="259"/>
      <c r="H75" s="259"/>
      <c r="I75" s="259"/>
      <c r="J75" s="259"/>
      <c r="K75" s="259"/>
      <c r="L75" s="259"/>
      <c r="M75" s="236"/>
    </row>
    <row r="76" spans="1:13" x14ac:dyDescent="0.2">
      <c r="A76" s="258"/>
      <c r="B76" s="259"/>
      <c r="C76" s="259"/>
      <c r="D76" s="259"/>
      <c r="E76" s="259"/>
      <c r="F76" s="259"/>
      <c r="G76" s="259"/>
      <c r="H76" s="259"/>
      <c r="I76" s="259"/>
      <c r="J76" s="259"/>
      <c r="K76" s="259"/>
      <c r="L76" s="259"/>
      <c r="M76" s="236"/>
    </row>
    <row r="77" spans="1:13" x14ac:dyDescent="0.2">
      <c r="A77" s="237"/>
      <c r="B77" s="302"/>
      <c r="C77" s="302"/>
      <c r="D77" s="302"/>
      <c r="E77" s="303"/>
      <c r="F77" s="302"/>
      <c r="G77" s="302"/>
      <c r="H77" s="302"/>
      <c r="I77" s="303"/>
      <c r="J77" s="302"/>
      <c r="K77" s="302"/>
      <c r="L77" s="302"/>
      <c r="M77" s="236"/>
    </row>
    <row r="78" spans="1:13" x14ac:dyDescent="0.2">
      <c r="A78" s="237"/>
      <c r="B78" s="302"/>
      <c r="C78" s="302"/>
      <c r="D78" s="302"/>
      <c r="E78" s="303"/>
      <c r="F78" s="302"/>
      <c r="G78" s="302"/>
      <c r="H78" s="302"/>
      <c r="I78" s="303"/>
      <c r="J78" s="302"/>
      <c r="K78" s="302"/>
      <c r="L78" s="302"/>
      <c r="M78" s="236"/>
    </row>
    <row r="79" spans="1:13" x14ac:dyDescent="0.2">
      <c r="A79" s="237"/>
      <c r="B79" s="302"/>
      <c r="C79" s="302"/>
      <c r="D79" s="302"/>
      <c r="E79" s="303"/>
      <c r="F79" s="302"/>
      <c r="G79" s="302"/>
      <c r="H79" s="302"/>
      <c r="I79" s="303"/>
      <c r="J79" s="302"/>
      <c r="K79" s="302"/>
      <c r="L79" s="302"/>
      <c r="M79" s="236"/>
    </row>
    <row r="80" spans="1:13" x14ac:dyDescent="0.2">
      <c r="A80" s="237"/>
      <c r="B80" s="302"/>
      <c r="C80" s="302"/>
      <c r="D80" s="302"/>
      <c r="E80" s="303"/>
      <c r="F80" s="302"/>
      <c r="G80" s="302"/>
      <c r="H80" s="302"/>
      <c r="I80" s="303"/>
      <c r="J80" s="302"/>
      <c r="K80" s="302"/>
      <c r="L80" s="302"/>
      <c r="M80" s="236"/>
    </row>
    <row r="81" spans="1:13" x14ac:dyDescent="0.2">
      <c r="A81" s="237"/>
      <c r="B81" s="302"/>
      <c r="C81" s="302"/>
      <c r="D81" s="302"/>
      <c r="E81" s="303"/>
      <c r="F81" s="302"/>
      <c r="G81" s="302"/>
      <c r="H81" s="302"/>
      <c r="I81" s="303"/>
      <c r="J81" s="302"/>
      <c r="K81" s="302"/>
      <c r="L81" s="302"/>
      <c r="M81" s="236"/>
    </row>
    <row r="82" spans="1:13" x14ac:dyDescent="0.2">
      <c r="A82" s="237"/>
      <c r="B82" s="302"/>
      <c r="C82" s="302"/>
      <c r="D82" s="302"/>
      <c r="E82" s="303"/>
      <c r="F82" s="302"/>
      <c r="G82" s="302"/>
      <c r="H82" s="302"/>
      <c r="I82" s="303"/>
      <c r="J82" s="302"/>
      <c r="K82" s="302"/>
      <c r="L82" s="302"/>
      <c r="M82" s="236"/>
    </row>
    <row r="83" spans="1:13" x14ac:dyDescent="0.2">
      <c r="A83" s="237"/>
      <c r="B83" s="302"/>
      <c r="C83" s="302"/>
      <c r="D83" s="302"/>
      <c r="E83" s="303"/>
      <c r="F83" s="302"/>
      <c r="G83" s="302"/>
      <c r="H83" s="302"/>
      <c r="I83" s="303"/>
      <c r="J83" s="302"/>
      <c r="K83" s="302"/>
      <c r="L83" s="302"/>
      <c r="M83" s="236"/>
    </row>
    <row r="84" spans="1:13" x14ac:dyDescent="0.2">
      <c r="A84" s="237"/>
      <c r="B84" s="302"/>
      <c r="C84" s="302"/>
      <c r="D84" s="302"/>
      <c r="E84" s="303"/>
      <c r="F84" s="302"/>
      <c r="G84" s="302"/>
      <c r="H84" s="302"/>
      <c r="I84" s="303"/>
      <c r="J84" s="302"/>
      <c r="K84" s="302"/>
      <c r="L84" s="302"/>
      <c r="M84" s="236"/>
    </row>
    <row r="85" spans="1:13" x14ac:dyDescent="0.2">
      <c r="A85" s="237"/>
      <c r="B85" s="302"/>
      <c r="C85" s="302"/>
      <c r="D85" s="302"/>
      <c r="E85" s="303"/>
      <c r="F85" s="302"/>
      <c r="G85" s="302"/>
      <c r="H85" s="302"/>
      <c r="I85" s="303"/>
      <c r="J85" s="302"/>
      <c r="K85" s="302"/>
      <c r="L85" s="302"/>
      <c r="M85" s="236"/>
    </row>
    <row r="86" spans="1:13" x14ac:dyDescent="0.2">
      <c r="A86" s="237"/>
      <c r="B86" s="302"/>
      <c r="C86" s="302"/>
      <c r="D86" s="302"/>
      <c r="E86" s="303"/>
      <c r="F86" s="302"/>
      <c r="G86" s="302"/>
      <c r="H86" s="302"/>
      <c r="I86" s="303"/>
      <c r="J86" s="302"/>
      <c r="K86" s="302"/>
      <c r="L86" s="302"/>
      <c r="M86" s="236"/>
    </row>
    <row r="87" spans="1:13" x14ac:dyDescent="0.2">
      <c r="A87" s="237"/>
      <c r="B87" s="303"/>
      <c r="C87" s="303"/>
      <c r="D87" s="303"/>
      <c r="E87" s="303"/>
      <c r="F87" s="303"/>
      <c r="G87" s="303"/>
      <c r="H87" s="303"/>
      <c r="I87" s="303"/>
      <c r="J87" s="303"/>
      <c r="K87" s="303"/>
      <c r="L87" s="303"/>
      <c r="M87" s="236"/>
    </row>
    <row r="88" spans="1:13" x14ac:dyDescent="0.2">
      <c r="A88" s="237"/>
      <c r="B88" s="237"/>
      <c r="C88" s="237"/>
      <c r="D88" s="237"/>
      <c r="E88" s="237"/>
      <c r="F88" s="237"/>
      <c r="G88" s="237"/>
      <c r="H88" s="237"/>
      <c r="I88" s="237"/>
      <c r="J88" s="237"/>
      <c r="K88" s="237"/>
      <c r="L88" s="240"/>
      <c r="M88" s="236"/>
    </row>
    <row r="89" spans="1:13" x14ac:dyDescent="0.2">
      <c r="A89" s="237"/>
      <c r="B89" s="237"/>
      <c r="C89" s="237"/>
      <c r="D89" s="237"/>
      <c r="E89" s="237"/>
      <c r="F89" s="237"/>
      <c r="G89" s="237"/>
      <c r="H89" s="237"/>
      <c r="I89" s="237"/>
      <c r="J89" s="237"/>
      <c r="K89" s="237"/>
      <c r="L89" s="284"/>
      <c r="M89" s="236"/>
    </row>
    <row r="90" spans="1:13" x14ac:dyDescent="0.2">
      <c r="A90" s="258"/>
      <c r="B90" s="241"/>
      <c r="C90" s="241"/>
      <c r="D90" s="241"/>
      <c r="E90" s="241"/>
      <c r="F90" s="241"/>
      <c r="G90" s="241"/>
      <c r="H90" s="241"/>
      <c r="I90" s="241"/>
      <c r="J90" s="241"/>
      <c r="K90" s="241"/>
      <c r="L90" s="236"/>
      <c r="M90" s="236"/>
    </row>
    <row r="91" spans="1:13" x14ac:dyDescent="0.2">
      <c r="A91" s="241"/>
      <c r="B91" s="372"/>
      <c r="C91" s="372"/>
      <c r="D91" s="372"/>
      <c r="E91" s="253"/>
      <c r="F91" s="372"/>
      <c r="G91" s="372"/>
      <c r="H91" s="372"/>
      <c r="I91" s="253"/>
      <c r="J91" s="372"/>
      <c r="K91" s="372"/>
      <c r="L91" s="372"/>
      <c r="M91" s="236"/>
    </row>
    <row r="92" spans="1:13" x14ac:dyDescent="0.2">
      <c r="A92" s="258"/>
      <c r="B92" s="259"/>
      <c r="C92" s="259"/>
      <c r="D92" s="259"/>
      <c r="E92" s="259"/>
      <c r="F92" s="259"/>
      <c r="G92" s="259"/>
      <c r="H92" s="259"/>
      <c r="I92" s="259"/>
      <c r="J92" s="259"/>
      <c r="K92" s="259"/>
      <c r="L92" s="259"/>
      <c r="M92" s="236"/>
    </row>
    <row r="93" spans="1:13" x14ac:dyDescent="0.2">
      <c r="A93" s="258"/>
      <c r="B93" s="259"/>
      <c r="C93" s="259"/>
      <c r="D93" s="259"/>
      <c r="E93" s="259"/>
      <c r="F93" s="259"/>
      <c r="G93" s="259"/>
      <c r="H93" s="259"/>
      <c r="I93" s="259"/>
      <c r="J93" s="259"/>
      <c r="K93" s="259"/>
      <c r="L93" s="259"/>
      <c r="M93" s="236"/>
    </row>
    <row r="94" spans="1:13" x14ac:dyDescent="0.2">
      <c r="A94" s="237"/>
      <c r="B94" s="302"/>
      <c r="C94" s="302"/>
      <c r="D94" s="302"/>
      <c r="E94" s="303"/>
      <c r="F94" s="302"/>
      <c r="G94" s="302"/>
      <c r="H94" s="302"/>
      <c r="I94" s="303"/>
      <c r="J94" s="302"/>
      <c r="K94" s="302"/>
      <c r="L94" s="302"/>
      <c r="M94" s="236"/>
    </row>
    <row r="95" spans="1:13" x14ac:dyDescent="0.2">
      <c r="A95" s="237"/>
      <c r="B95" s="302"/>
      <c r="C95" s="302"/>
      <c r="D95" s="302"/>
      <c r="E95" s="303"/>
      <c r="F95" s="302"/>
      <c r="G95" s="302"/>
      <c r="H95" s="302"/>
      <c r="I95" s="303"/>
      <c r="J95" s="302"/>
      <c r="K95" s="302"/>
      <c r="L95" s="302"/>
      <c r="M95" s="236"/>
    </row>
    <row r="96" spans="1:13" x14ac:dyDescent="0.2">
      <c r="A96" s="237"/>
      <c r="B96" s="302"/>
      <c r="C96" s="302"/>
      <c r="D96" s="302"/>
      <c r="E96" s="303"/>
      <c r="F96" s="302"/>
      <c r="G96" s="302"/>
      <c r="H96" s="302"/>
      <c r="I96" s="303"/>
      <c r="J96" s="302"/>
      <c r="K96" s="302"/>
      <c r="L96" s="302"/>
      <c r="M96" s="236"/>
    </row>
    <row r="97" spans="1:13" x14ac:dyDescent="0.2">
      <c r="A97" s="237"/>
      <c r="B97" s="302"/>
      <c r="C97" s="302"/>
      <c r="D97" s="302"/>
      <c r="E97" s="303"/>
      <c r="F97" s="302"/>
      <c r="G97" s="302"/>
      <c r="H97" s="302"/>
      <c r="I97" s="303"/>
      <c r="J97" s="302"/>
      <c r="K97" s="302"/>
      <c r="L97" s="302"/>
      <c r="M97" s="236"/>
    </row>
    <row r="98" spans="1:13" x14ac:dyDescent="0.2">
      <c r="A98" s="237"/>
      <c r="B98" s="302"/>
      <c r="C98" s="302"/>
      <c r="D98" s="302"/>
      <c r="E98" s="303"/>
      <c r="F98" s="302"/>
      <c r="G98" s="302"/>
      <c r="H98" s="302"/>
      <c r="I98" s="303"/>
      <c r="J98" s="302"/>
      <c r="K98" s="302"/>
      <c r="L98" s="302"/>
      <c r="M98" s="236"/>
    </row>
    <row r="99" spans="1:13" x14ac:dyDescent="0.2">
      <c r="A99" s="237"/>
      <c r="B99" s="302"/>
      <c r="C99" s="302"/>
      <c r="D99" s="302"/>
      <c r="E99" s="303"/>
      <c r="F99" s="302"/>
      <c r="G99" s="302"/>
      <c r="H99" s="302"/>
      <c r="I99" s="303"/>
      <c r="J99" s="302"/>
      <c r="K99" s="302"/>
      <c r="L99" s="302"/>
      <c r="M99" s="236"/>
    </row>
    <row r="100" spans="1:13" x14ac:dyDescent="0.2">
      <c r="A100" s="237"/>
      <c r="B100" s="302"/>
      <c r="C100" s="302"/>
      <c r="D100" s="302"/>
      <c r="E100" s="303"/>
      <c r="F100" s="302"/>
      <c r="G100" s="302"/>
      <c r="H100" s="302"/>
      <c r="I100" s="303"/>
      <c r="J100" s="302"/>
      <c r="K100" s="302"/>
      <c r="L100" s="302"/>
      <c r="M100" s="236"/>
    </row>
    <row r="101" spans="1:13" x14ac:dyDescent="0.2">
      <c r="A101" s="237"/>
      <c r="B101" s="302"/>
      <c r="C101" s="302"/>
      <c r="D101" s="302"/>
      <c r="E101" s="303"/>
      <c r="F101" s="302"/>
      <c r="G101" s="302"/>
      <c r="H101" s="302"/>
      <c r="I101" s="303"/>
      <c r="J101" s="302"/>
      <c r="K101" s="302"/>
      <c r="L101" s="302"/>
      <c r="M101" s="236"/>
    </row>
    <row r="102" spans="1:13" x14ac:dyDescent="0.2">
      <c r="A102" s="237"/>
      <c r="B102" s="302"/>
      <c r="C102" s="302"/>
      <c r="D102" s="302"/>
      <c r="E102" s="303"/>
      <c r="F102" s="302"/>
      <c r="G102" s="302"/>
      <c r="H102" s="302"/>
      <c r="I102" s="303"/>
      <c r="J102" s="302"/>
      <c r="K102" s="302"/>
      <c r="L102" s="302"/>
      <c r="M102" s="236"/>
    </row>
    <row r="103" spans="1:13" x14ac:dyDescent="0.2">
      <c r="A103" s="237"/>
      <c r="B103" s="302"/>
      <c r="C103" s="302"/>
      <c r="D103" s="302"/>
      <c r="E103" s="303"/>
      <c r="F103" s="302"/>
      <c r="G103" s="302"/>
      <c r="H103" s="302"/>
      <c r="I103" s="303"/>
      <c r="J103" s="302"/>
      <c r="K103" s="302"/>
      <c r="L103" s="302"/>
      <c r="M103" s="236"/>
    </row>
    <row r="104" spans="1:13" x14ac:dyDescent="0.2">
      <c r="A104" s="237"/>
      <c r="B104" s="303"/>
      <c r="C104" s="303"/>
      <c r="D104" s="303"/>
      <c r="E104" s="303"/>
      <c r="F104" s="303"/>
      <c r="G104" s="303"/>
      <c r="H104" s="303"/>
      <c r="I104" s="303"/>
      <c r="J104" s="303"/>
      <c r="K104" s="303"/>
      <c r="L104" s="303"/>
      <c r="M104" s="236"/>
    </row>
    <row r="105" spans="1:13" x14ac:dyDescent="0.2">
      <c r="A105" s="237"/>
      <c r="B105" s="237"/>
      <c r="C105" s="237"/>
      <c r="D105" s="237"/>
      <c r="E105" s="237"/>
      <c r="F105" s="237"/>
      <c r="G105" s="237"/>
      <c r="H105" s="237"/>
      <c r="I105" s="237"/>
      <c r="J105" s="237"/>
      <c r="K105" s="237"/>
      <c r="L105" s="240"/>
      <c r="M105" s="236"/>
    </row>
    <row r="106" spans="1:13" x14ac:dyDescent="0.2">
      <c r="A106" s="237"/>
      <c r="B106" s="237"/>
      <c r="C106" s="237"/>
      <c r="D106" s="237"/>
      <c r="E106" s="237"/>
      <c r="F106" s="237"/>
      <c r="G106" s="237"/>
      <c r="H106" s="237"/>
      <c r="I106" s="237"/>
      <c r="J106" s="237"/>
      <c r="K106" s="237"/>
      <c r="L106" s="284"/>
      <c r="M106" s="236"/>
    </row>
    <row r="107" spans="1:13" x14ac:dyDescent="0.2">
      <c r="A107" s="258"/>
      <c r="B107" s="241"/>
      <c r="C107" s="241"/>
      <c r="D107" s="241"/>
      <c r="E107" s="241"/>
      <c r="F107" s="241"/>
      <c r="G107" s="241"/>
      <c r="H107" s="241"/>
      <c r="I107" s="241"/>
      <c r="J107" s="241"/>
      <c r="K107" s="241"/>
      <c r="L107" s="236"/>
      <c r="M107" s="236"/>
    </row>
    <row r="108" spans="1:13" x14ac:dyDescent="0.2">
      <c r="A108" s="241"/>
      <c r="B108" s="372"/>
      <c r="C108" s="372"/>
      <c r="D108" s="372"/>
      <c r="E108" s="253"/>
      <c r="F108" s="372"/>
      <c r="G108" s="372"/>
      <c r="H108" s="372"/>
      <c r="I108" s="253"/>
      <c r="J108" s="372"/>
      <c r="K108" s="372"/>
      <c r="L108" s="372"/>
      <c r="M108" s="236"/>
    </row>
    <row r="109" spans="1:13" x14ac:dyDescent="0.2">
      <c r="A109" s="258"/>
      <c r="B109" s="259"/>
      <c r="C109" s="259"/>
      <c r="D109" s="259"/>
      <c r="E109" s="259"/>
      <c r="F109" s="259"/>
      <c r="G109" s="259"/>
      <c r="H109" s="259"/>
      <c r="I109" s="259"/>
      <c r="J109" s="259"/>
      <c r="K109" s="259"/>
      <c r="L109" s="259"/>
      <c r="M109" s="236"/>
    </row>
    <row r="110" spans="1:13" x14ac:dyDescent="0.2">
      <c r="A110" s="258"/>
      <c r="B110" s="259"/>
      <c r="C110" s="259"/>
      <c r="D110" s="259"/>
      <c r="E110" s="259"/>
      <c r="F110" s="259"/>
      <c r="G110" s="259"/>
      <c r="H110" s="259"/>
      <c r="I110" s="259"/>
      <c r="J110" s="259"/>
      <c r="K110" s="259"/>
      <c r="L110" s="259"/>
      <c r="M110" s="236"/>
    </row>
    <row r="111" spans="1:13" x14ac:dyDescent="0.2">
      <c r="A111" s="237"/>
      <c r="B111" s="302"/>
      <c r="C111" s="302"/>
      <c r="D111" s="302"/>
      <c r="E111" s="303"/>
      <c r="F111" s="302"/>
      <c r="G111" s="302"/>
      <c r="H111" s="302"/>
      <c r="I111" s="303"/>
      <c r="J111" s="302"/>
      <c r="K111" s="302"/>
      <c r="L111" s="302"/>
      <c r="M111" s="236"/>
    </row>
    <row r="112" spans="1:13" x14ac:dyDescent="0.2">
      <c r="A112" s="237"/>
      <c r="B112" s="302"/>
      <c r="C112" s="302"/>
      <c r="D112" s="302"/>
      <c r="E112" s="303"/>
      <c r="F112" s="302"/>
      <c r="G112" s="302"/>
      <c r="H112" s="302"/>
      <c r="I112" s="303"/>
      <c r="J112" s="302"/>
      <c r="K112" s="302"/>
      <c r="L112" s="302"/>
      <c r="M112" s="236"/>
    </row>
    <row r="113" spans="1:13" x14ac:dyDescent="0.2">
      <c r="A113" s="237"/>
      <c r="B113" s="302"/>
      <c r="C113" s="302"/>
      <c r="D113" s="302"/>
      <c r="E113" s="303"/>
      <c r="F113" s="302"/>
      <c r="G113" s="302"/>
      <c r="H113" s="302"/>
      <c r="I113" s="303"/>
      <c r="J113" s="302"/>
      <c r="K113" s="302"/>
      <c r="L113" s="302"/>
      <c r="M113" s="236"/>
    </row>
    <row r="114" spans="1:13" x14ac:dyDescent="0.2">
      <c r="A114" s="237"/>
      <c r="B114" s="302"/>
      <c r="C114" s="302"/>
      <c r="D114" s="302"/>
      <c r="E114" s="303"/>
      <c r="F114" s="302"/>
      <c r="G114" s="302"/>
      <c r="H114" s="302"/>
      <c r="I114" s="303"/>
      <c r="J114" s="302"/>
      <c r="K114" s="302"/>
      <c r="L114" s="302"/>
      <c r="M114" s="236"/>
    </row>
    <row r="115" spans="1:13" x14ac:dyDescent="0.2">
      <c r="A115" s="237"/>
      <c r="B115" s="302"/>
      <c r="C115" s="302"/>
      <c r="D115" s="302"/>
      <c r="E115" s="303"/>
      <c r="F115" s="302"/>
      <c r="G115" s="302"/>
      <c r="H115" s="302"/>
      <c r="I115" s="303"/>
      <c r="J115" s="302"/>
      <c r="K115" s="302"/>
      <c r="L115" s="302"/>
      <c r="M115" s="236"/>
    </row>
    <row r="116" spans="1:13" x14ac:dyDescent="0.2">
      <c r="A116" s="237"/>
      <c r="B116" s="302"/>
      <c r="C116" s="302"/>
      <c r="D116" s="302"/>
      <c r="E116" s="303"/>
      <c r="F116" s="302"/>
      <c r="G116" s="302"/>
      <c r="H116" s="302"/>
      <c r="I116" s="303"/>
      <c r="J116" s="302"/>
      <c r="K116" s="302"/>
      <c r="L116" s="302"/>
      <c r="M116" s="236"/>
    </row>
    <row r="117" spans="1:13" x14ac:dyDescent="0.2">
      <c r="A117" s="237"/>
      <c r="B117" s="302"/>
      <c r="C117" s="302"/>
      <c r="D117" s="302"/>
      <c r="E117" s="303"/>
      <c r="F117" s="302"/>
      <c r="G117" s="302"/>
      <c r="H117" s="302"/>
      <c r="I117" s="303"/>
      <c r="J117" s="302"/>
      <c r="K117" s="302"/>
      <c r="L117" s="302"/>
      <c r="M117" s="236"/>
    </row>
    <row r="118" spans="1:13" x14ac:dyDescent="0.2">
      <c r="A118" s="237"/>
      <c r="B118" s="302"/>
      <c r="C118" s="302"/>
      <c r="D118" s="302"/>
      <c r="E118" s="303"/>
      <c r="F118" s="302"/>
      <c r="G118" s="302"/>
      <c r="H118" s="302"/>
      <c r="I118" s="303"/>
      <c r="J118" s="302"/>
      <c r="K118" s="302"/>
      <c r="L118" s="302"/>
      <c r="M118" s="236"/>
    </row>
    <row r="119" spans="1:13" x14ac:dyDescent="0.2">
      <c r="A119" s="237"/>
      <c r="B119" s="302"/>
      <c r="C119" s="302"/>
      <c r="D119" s="302"/>
      <c r="E119" s="303"/>
      <c r="F119" s="302"/>
      <c r="G119" s="302"/>
      <c r="H119" s="302"/>
      <c r="I119" s="303"/>
      <c r="J119" s="302"/>
      <c r="K119" s="302"/>
      <c r="L119" s="302"/>
      <c r="M119" s="236"/>
    </row>
    <row r="120" spans="1:13" x14ac:dyDescent="0.2">
      <c r="A120" s="237"/>
      <c r="B120" s="302"/>
      <c r="C120" s="302"/>
      <c r="D120" s="302"/>
      <c r="E120" s="303"/>
      <c r="F120" s="302"/>
      <c r="G120" s="302"/>
      <c r="H120" s="302"/>
      <c r="I120" s="303"/>
      <c r="J120" s="302"/>
      <c r="K120" s="302"/>
      <c r="L120" s="302"/>
      <c r="M120" s="236"/>
    </row>
    <row r="121" spans="1:13" x14ac:dyDescent="0.2">
      <c r="A121" s="237"/>
      <c r="B121" s="303"/>
      <c r="C121" s="303"/>
      <c r="D121" s="303"/>
      <c r="E121" s="303"/>
      <c r="F121" s="303"/>
      <c r="G121" s="303"/>
      <c r="H121" s="303"/>
      <c r="I121" s="303"/>
      <c r="J121" s="303"/>
      <c r="K121" s="303"/>
      <c r="L121" s="303"/>
      <c r="M121" s="236"/>
    </row>
    <row r="122" spans="1:13" x14ac:dyDescent="0.2">
      <c r="A122" s="237"/>
      <c r="B122" s="237"/>
      <c r="C122" s="237"/>
      <c r="D122" s="237"/>
      <c r="E122" s="237"/>
      <c r="F122" s="237"/>
      <c r="G122" s="237"/>
      <c r="H122" s="237"/>
      <c r="I122" s="237"/>
      <c r="J122" s="237"/>
      <c r="K122" s="237"/>
      <c r="L122" s="240"/>
      <c r="M122" s="236"/>
    </row>
    <row r="123" spans="1:13" x14ac:dyDescent="0.2">
      <c r="A123" s="237"/>
      <c r="B123" s="237"/>
      <c r="C123" s="237"/>
      <c r="D123" s="237"/>
      <c r="E123" s="237"/>
      <c r="F123" s="237"/>
      <c r="G123" s="237"/>
      <c r="H123" s="237"/>
      <c r="I123" s="237"/>
      <c r="J123" s="237"/>
      <c r="K123" s="237"/>
      <c r="L123" s="284"/>
      <c r="M123" s="236"/>
    </row>
    <row r="124" spans="1:13" x14ac:dyDescent="0.2">
      <c r="A124" s="258"/>
      <c r="B124" s="241"/>
      <c r="C124" s="241"/>
      <c r="D124" s="241"/>
      <c r="E124" s="241"/>
      <c r="F124" s="241"/>
      <c r="G124" s="241"/>
      <c r="H124" s="241"/>
      <c r="I124" s="241"/>
      <c r="J124" s="241"/>
      <c r="K124" s="241"/>
      <c r="L124" s="236"/>
      <c r="M124" s="236"/>
    </row>
    <row r="125" spans="1:13" x14ac:dyDescent="0.2">
      <c r="A125" s="241"/>
      <c r="B125" s="372"/>
      <c r="C125" s="372"/>
      <c r="D125" s="372"/>
      <c r="E125" s="253"/>
      <c r="F125" s="372"/>
      <c r="G125" s="372"/>
      <c r="H125" s="372"/>
      <c r="I125" s="253"/>
      <c r="J125" s="372"/>
      <c r="K125" s="372"/>
      <c r="L125" s="372"/>
      <c r="M125" s="236"/>
    </row>
    <row r="126" spans="1:13" x14ac:dyDescent="0.2">
      <c r="A126" s="258"/>
      <c r="B126" s="259"/>
      <c r="C126" s="259"/>
      <c r="D126" s="259"/>
      <c r="E126" s="259"/>
      <c r="F126" s="259"/>
      <c r="G126" s="259"/>
      <c r="H126" s="259"/>
      <c r="I126" s="259"/>
      <c r="J126" s="259"/>
      <c r="K126" s="259"/>
      <c r="L126" s="259"/>
      <c r="M126" s="236"/>
    </row>
    <row r="127" spans="1:13" x14ac:dyDescent="0.2">
      <c r="A127" s="258"/>
      <c r="B127" s="259"/>
      <c r="C127" s="259"/>
      <c r="D127" s="259"/>
      <c r="E127" s="259"/>
      <c r="F127" s="259"/>
      <c r="G127" s="259"/>
      <c r="H127" s="259"/>
      <c r="I127" s="259"/>
      <c r="J127" s="259"/>
      <c r="K127" s="259"/>
      <c r="L127" s="259"/>
      <c r="M127" s="236"/>
    </row>
    <row r="128" spans="1:13" x14ac:dyDescent="0.2">
      <c r="A128" s="237"/>
      <c r="B128" s="302"/>
      <c r="C128" s="302"/>
      <c r="D128" s="302"/>
      <c r="E128" s="303"/>
      <c r="F128" s="302"/>
      <c r="G128" s="302"/>
      <c r="H128" s="302"/>
      <c r="I128" s="303"/>
      <c r="J128" s="302"/>
      <c r="K128" s="302"/>
      <c r="L128" s="302"/>
      <c r="M128" s="236"/>
    </row>
    <row r="129" spans="1:13" x14ac:dyDescent="0.2">
      <c r="A129" s="237"/>
      <c r="B129" s="302"/>
      <c r="C129" s="302"/>
      <c r="D129" s="302"/>
      <c r="E129" s="303"/>
      <c r="F129" s="302"/>
      <c r="G129" s="302"/>
      <c r="H129" s="302"/>
      <c r="I129" s="303"/>
      <c r="J129" s="302"/>
      <c r="K129" s="302"/>
      <c r="L129" s="302"/>
      <c r="M129" s="236"/>
    </row>
    <row r="130" spans="1:13" x14ac:dyDescent="0.2">
      <c r="A130" s="237"/>
      <c r="B130" s="302"/>
      <c r="C130" s="302"/>
      <c r="D130" s="302"/>
      <c r="E130" s="303"/>
      <c r="F130" s="302"/>
      <c r="G130" s="302"/>
      <c r="H130" s="302"/>
      <c r="I130" s="303"/>
      <c r="J130" s="302"/>
      <c r="K130" s="302"/>
      <c r="L130" s="302"/>
      <c r="M130" s="236"/>
    </row>
    <row r="131" spans="1:13" x14ac:dyDescent="0.2">
      <c r="A131" s="237"/>
      <c r="B131" s="302"/>
      <c r="C131" s="302"/>
      <c r="D131" s="302"/>
      <c r="E131" s="303"/>
      <c r="F131" s="302"/>
      <c r="G131" s="302"/>
      <c r="H131" s="302"/>
      <c r="I131" s="303"/>
      <c r="J131" s="302"/>
      <c r="K131" s="302"/>
      <c r="L131" s="302"/>
      <c r="M131" s="236"/>
    </row>
    <row r="132" spans="1:13" x14ac:dyDescent="0.2">
      <c r="A132" s="237"/>
      <c r="B132" s="302"/>
      <c r="C132" s="302"/>
      <c r="D132" s="302"/>
      <c r="E132" s="303"/>
      <c r="F132" s="302"/>
      <c r="G132" s="302"/>
      <c r="H132" s="302"/>
      <c r="I132" s="303"/>
      <c r="J132" s="302"/>
      <c r="K132" s="302"/>
      <c r="L132" s="302"/>
      <c r="M132" s="236"/>
    </row>
    <row r="133" spans="1:13" x14ac:dyDescent="0.2">
      <c r="A133" s="237"/>
      <c r="B133" s="302"/>
      <c r="C133" s="302"/>
      <c r="D133" s="302"/>
      <c r="E133" s="303"/>
      <c r="F133" s="302"/>
      <c r="G133" s="302"/>
      <c r="H133" s="302"/>
      <c r="I133" s="303"/>
      <c r="J133" s="302"/>
      <c r="K133" s="302"/>
      <c r="L133" s="302"/>
      <c r="M133" s="236"/>
    </row>
    <row r="134" spans="1:13" x14ac:dyDescent="0.2">
      <c r="A134" s="237"/>
      <c r="B134" s="302"/>
      <c r="C134" s="302"/>
      <c r="D134" s="302"/>
      <c r="E134" s="303"/>
      <c r="F134" s="302"/>
      <c r="G134" s="302"/>
      <c r="H134" s="302"/>
      <c r="I134" s="303"/>
      <c r="J134" s="302"/>
      <c r="K134" s="302"/>
      <c r="L134" s="302"/>
      <c r="M134" s="236"/>
    </row>
    <row r="135" spans="1:13" x14ac:dyDescent="0.2">
      <c r="A135" s="237"/>
      <c r="B135" s="302"/>
      <c r="C135" s="302"/>
      <c r="D135" s="302"/>
      <c r="E135" s="303"/>
      <c r="F135" s="302"/>
      <c r="G135" s="302"/>
      <c r="H135" s="302"/>
      <c r="I135" s="303"/>
      <c r="J135" s="302"/>
      <c r="K135" s="302"/>
      <c r="L135" s="302"/>
      <c r="M135" s="236"/>
    </row>
    <row r="136" spans="1:13" x14ac:dyDescent="0.2">
      <c r="A136" s="237"/>
      <c r="B136" s="302"/>
      <c r="C136" s="302"/>
      <c r="D136" s="302"/>
      <c r="E136" s="303"/>
      <c r="F136" s="302"/>
      <c r="G136" s="302"/>
      <c r="H136" s="302"/>
      <c r="I136" s="303"/>
      <c r="J136" s="302"/>
      <c r="K136" s="302"/>
      <c r="L136" s="302"/>
      <c r="M136" s="236"/>
    </row>
    <row r="137" spans="1:13" x14ac:dyDescent="0.2">
      <c r="A137" s="237"/>
      <c r="B137" s="302"/>
      <c r="C137" s="302"/>
      <c r="D137" s="302"/>
      <c r="E137" s="303"/>
      <c r="F137" s="302"/>
      <c r="G137" s="302"/>
      <c r="H137" s="302"/>
      <c r="I137" s="303"/>
      <c r="J137" s="302"/>
      <c r="K137" s="302"/>
      <c r="L137" s="302"/>
      <c r="M137" s="236"/>
    </row>
    <row r="138" spans="1:13" x14ac:dyDescent="0.2">
      <c r="A138" s="237"/>
      <c r="B138" s="303"/>
      <c r="C138" s="303"/>
      <c r="D138" s="303"/>
      <c r="E138" s="303"/>
      <c r="F138" s="303"/>
      <c r="G138" s="303"/>
      <c r="H138" s="303"/>
      <c r="I138" s="303"/>
      <c r="J138" s="303"/>
      <c r="K138" s="303"/>
      <c r="L138" s="303"/>
      <c r="M138" s="236"/>
    </row>
    <row r="139" spans="1:13" x14ac:dyDescent="0.2">
      <c r="A139" s="237"/>
      <c r="B139" s="237"/>
      <c r="C139" s="237"/>
      <c r="D139" s="237"/>
      <c r="E139" s="237"/>
      <c r="F139" s="237"/>
      <c r="G139" s="237"/>
      <c r="H139" s="237"/>
      <c r="I139" s="237"/>
      <c r="J139" s="237"/>
      <c r="K139" s="237"/>
      <c r="L139" s="240"/>
      <c r="M139" s="236"/>
    </row>
    <row r="140" spans="1:13" x14ac:dyDescent="0.2">
      <c r="A140" s="237"/>
      <c r="B140" s="237"/>
      <c r="C140" s="237"/>
      <c r="D140" s="237"/>
      <c r="E140" s="237"/>
      <c r="F140" s="237"/>
      <c r="G140" s="237"/>
      <c r="H140" s="237"/>
      <c r="I140" s="237"/>
      <c r="J140" s="237"/>
      <c r="K140" s="237"/>
      <c r="L140" s="284"/>
      <c r="M140" s="236"/>
    </row>
    <row r="141" spans="1:13" x14ac:dyDescent="0.2">
      <c r="A141" s="258"/>
      <c r="B141" s="241"/>
      <c r="C141" s="241"/>
      <c r="D141" s="241"/>
      <c r="E141" s="241"/>
      <c r="F141" s="241"/>
      <c r="G141" s="241"/>
      <c r="H141" s="241"/>
      <c r="I141" s="241"/>
      <c r="J141" s="241"/>
      <c r="K141" s="241"/>
      <c r="L141" s="236"/>
      <c r="M141" s="236"/>
    </row>
    <row r="142" spans="1:13" x14ac:dyDescent="0.2">
      <c r="A142" s="241"/>
      <c r="B142" s="372"/>
      <c r="C142" s="372"/>
      <c r="D142" s="372"/>
      <c r="E142" s="253"/>
      <c r="F142" s="372"/>
      <c r="G142" s="372"/>
      <c r="H142" s="372"/>
      <c r="I142" s="253"/>
      <c r="J142" s="372"/>
      <c r="K142" s="372"/>
      <c r="L142" s="372"/>
      <c r="M142" s="236"/>
    </row>
    <row r="143" spans="1:13" x14ac:dyDescent="0.2">
      <c r="A143" s="258"/>
      <c r="B143" s="259"/>
      <c r="C143" s="259"/>
      <c r="D143" s="259"/>
      <c r="E143" s="259"/>
      <c r="F143" s="259"/>
      <c r="G143" s="259"/>
      <c r="H143" s="259"/>
      <c r="I143" s="259"/>
      <c r="J143" s="259"/>
      <c r="K143" s="259"/>
      <c r="L143" s="259"/>
      <c r="M143" s="236"/>
    </row>
    <row r="144" spans="1:13" x14ac:dyDescent="0.2">
      <c r="A144" s="258"/>
      <c r="B144" s="259"/>
      <c r="C144" s="259"/>
      <c r="D144" s="259"/>
      <c r="E144" s="259"/>
      <c r="F144" s="259"/>
      <c r="G144" s="259"/>
      <c r="H144" s="259"/>
      <c r="I144" s="259"/>
      <c r="J144" s="259"/>
      <c r="K144" s="259"/>
      <c r="L144" s="259"/>
      <c r="M144" s="236"/>
    </row>
    <row r="145" spans="1:13" x14ac:dyDescent="0.2">
      <c r="A145" s="237"/>
      <c r="B145" s="302"/>
      <c r="C145" s="302"/>
      <c r="D145" s="302"/>
      <c r="E145" s="303"/>
      <c r="F145" s="302"/>
      <c r="G145" s="302"/>
      <c r="H145" s="302"/>
      <c r="I145" s="303"/>
      <c r="J145" s="302"/>
      <c r="K145" s="302"/>
      <c r="L145" s="302"/>
      <c r="M145" s="236"/>
    </row>
    <row r="146" spans="1:13" x14ac:dyDescent="0.2">
      <c r="A146" s="237"/>
      <c r="B146" s="302"/>
      <c r="C146" s="302"/>
      <c r="D146" s="302"/>
      <c r="E146" s="303"/>
      <c r="F146" s="302"/>
      <c r="G146" s="302"/>
      <c r="H146" s="302"/>
      <c r="I146" s="303"/>
      <c r="J146" s="302"/>
      <c r="K146" s="302"/>
      <c r="L146" s="302"/>
      <c r="M146" s="236"/>
    </row>
    <row r="147" spans="1:13" x14ac:dyDescent="0.2">
      <c r="A147" s="237"/>
      <c r="B147" s="302"/>
      <c r="C147" s="302"/>
      <c r="D147" s="302"/>
      <c r="E147" s="303"/>
      <c r="F147" s="302"/>
      <c r="G147" s="302"/>
      <c r="H147" s="302"/>
      <c r="I147" s="303"/>
      <c r="J147" s="302"/>
      <c r="K147" s="302"/>
      <c r="L147" s="302"/>
      <c r="M147" s="236"/>
    </row>
    <row r="148" spans="1:13" x14ac:dyDescent="0.2">
      <c r="A148" s="237"/>
      <c r="B148" s="302"/>
      <c r="C148" s="302"/>
      <c r="D148" s="302"/>
      <c r="E148" s="303"/>
      <c r="F148" s="302"/>
      <c r="G148" s="302"/>
      <c r="H148" s="302"/>
      <c r="I148" s="303"/>
      <c r="J148" s="302"/>
      <c r="K148" s="302"/>
      <c r="L148" s="302"/>
      <c r="M148" s="236"/>
    </row>
    <row r="149" spans="1:13" x14ac:dyDescent="0.2">
      <c r="A149" s="237"/>
      <c r="B149" s="302"/>
      <c r="C149" s="302"/>
      <c r="D149" s="302"/>
      <c r="E149" s="303"/>
      <c r="F149" s="302"/>
      <c r="G149" s="302"/>
      <c r="H149" s="302"/>
      <c r="I149" s="303"/>
      <c r="J149" s="302"/>
      <c r="K149" s="302"/>
      <c r="L149" s="302"/>
      <c r="M149" s="236"/>
    </row>
    <row r="150" spans="1:13" x14ac:dyDescent="0.2">
      <c r="A150" s="237"/>
      <c r="B150" s="302"/>
      <c r="C150" s="302"/>
      <c r="D150" s="302"/>
      <c r="E150" s="303"/>
      <c r="F150" s="302"/>
      <c r="G150" s="302"/>
      <c r="H150" s="302"/>
      <c r="I150" s="303"/>
      <c r="J150" s="302"/>
      <c r="K150" s="302"/>
      <c r="L150" s="302"/>
      <c r="M150" s="236"/>
    </row>
    <row r="151" spans="1:13" x14ac:dyDescent="0.2">
      <c r="A151" s="237"/>
      <c r="B151" s="302"/>
      <c r="C151" s="302"/>
      <c r="D151" s="302"/>
      <c r="E151" s="303"/>
      <c r="F151" s="302"/>
      <c r="G151" s="302"/>
      <c r="H151" s="302"/>
      <c r="I151" s="303"/>
      <c r="J151" s="302"/>
      <c r="K151" s="302"/>
      <c r="L151" s="302"/>
      <c r="M151" s="236"/>
    </row>
    <row r="152" spans="1:13" x14ac:dyDescent="0.2">
      <c r="A152" s="237"/>
      <c r="B152" s="302"/>
      <c r="C152" s="302"/>
      <c r="D152" s="302"/>
      <c r="E152" s="303"/>
      <c r="F152" s="302"/>
      <c r="G152" s="302"/>
      <c r="H152" s="302"/>
      <c r="I152" s="303"/>
      <c r="J152" s="302"/>
      <c r="K152" s="302"/>
      <c r="L152" s="302"/>
      <c r="M152" s="236"/>
    </row>
    <row r="153" spans="1:13" x14ac:dyDescent="0.2">
      <c r="A153" s="237"/>
      <c r="B153" s="302"/>
      <c r="C153" s="302"/>
      <c r="D153" s="302"/>
      <c r="E153" s="303"/>
      <c r="F153" s="302"/>
      <c r="G153" s="302"/>
      <c r="H153" s="302"/>
      <c r="I153" s="303"/>
      <c r="J153" s="302"/>
      <c r="K153" s="302"/>
      <c r="L153" s="302"/>
      <c r="M153" s="236"/>
    </row>
    <row r="154" spans="1:13" x14ac:dyDescent="0.2">
      <c r="A154" s="237"/>
      <c r="B154" s="302"/>
      <c r="C154" s="302"/>
      <c r="D154" s="302"/>
      <c r="E154" s="303"/>
      <c r="F154" s="302"/>
      <c r="G154" s="302"/>
      <c r="H154" s="302"/>
      <c r="I154" s="303"/>
      <c r="J154" s="302"/>
      <c r="K154" s="302"/>
      <c r="L154" s="302"/>
      <c r="M154" s="236"/>
    </row>
    <row r="155" spans="1:13" x14ac:dyDescent="0.2">
      <c r="A155" s="237"/>
      <c r="B155" s="303"/>
      <c r="C155" s="303"/>
      <c r="D155" s="303"/>
      <c r="E155" s="303"/>
      <c r="F155" s="303"/>
      <c r="G155" s="303"/>
      <c r="H155" s="303"/>
      <c r="I155" s="303"/>
      <c r="J155" s="303"/>
      <c r="K155" s="303"/>
      <c r="L155" s="303"/>
      <c r="M155" s="236"/>
    </row>
    <row r="156" spans="1:13" x14ac:dyDescent="0.2">
      <c r="A156" s="237"/>
      <c r="B156" s="237"/>
      <c r="C156" s="237"/>
      <c r="D156" s="237"/>
      <c r="E156" s="237"/>
      <c r="F156" s="237"/>
      <c r="G156" s="237"/>
      <c r="H156" s="237"/>
      <c r="I156" s="237"/>
      <c r="J156" s="237"/>
      <c r="K156" s="237"/>
      <c r="L156" s="240"/>
      <c r="M156" s="236"/>
    </row>
    <row r="157" spans="1:13" x14ac:dyDescent="0.2">
      <c r="A157" s="237"/>
      <c r="B157" s="237"/>
      <c r="C157" s="237"/>
      <c r="D157" s="237"/>
      <c r="E157" s="237"/>
      <c r="F157" s="237"/>
      <c r="G157" s="237"/>
      <c r="H157" s="237"/>
      <c r="I157" s="237"/>
      <c r="J157" s="237"/>
      <c r="K157" s="237"/>
      <c r="L157" s="284"/>
      <c r="M157" s="236"/>
    </row>
    <row r="158" spans="1:13" x14ac:dyDescent="0.2">
      <c r="A158" s="258"/>
      <c r="B158" s="241"/>
      <c r="C158" s="241"/>
      <c r="D158" s="241"/>
      <c r="E158" s="241"/>
      <c r="F158" s="241"/>
      <c r="G158" s="241"/>
      <c r="H158" s="241"/>
      <c r="I158" s="241"/>
      <c r="J158" s="241"/>
      <c r="K158" s="241"/>
      <c r="L158" s="236"/>
      <c r="M158" s="236"/>
    </row>
    <row r="159" spans="1:13" x14ac:dyDescent="0.2">
      <c r="A159" s="241"/>
      <c r="B159" s="372"/>
      <c r="C159" s="372"/>
      <c r="D159" s="372"/>
      <c r="E159" s="253"/>
      <c r="F159" s="372"/>
      <c r="G159" s="372"/>
      <c r="H159" s="372"/>
      <c r="I159" s="253"/>
      <c r="J159" s="372"/>
      <c r="K159" s="372"/>
      <c r="L159" s="372"/>
      <c r="M159" s="236"/>
    </row>
    <row r="160" spans="1:13" x14ac:dyDescent="0.2">
      <c r="A160" s="258"/>
      <c r="B160" s="259"/>
      <c r="C160" s="259"/>
      <c r="D160" s="259"/>
      <c r="E160" s="259"/>
      <c r="F160" s="259"/>
      <c r="G160" s="259"/>
      <c r="H160" s="259"/>
      <c r="I160" s="259"/>
      <c r="J160" s="259"/>
      <c r="K160" s="259"/>
      <c r="L160" s="259"/>
      <c r="M160" s="236"/>
    </row>
    <row r="161" spans="1:13" x14ac:dyDescent="0.2">
      <c r="A161" s="258"/>
      <c r="B161" s="259"/>
      <c r="C161" s="259"/>
      <c r="D161" s="259"/>
      <c r="E161" s="259"/>
      <c r="F161" s="259"/>
      <c r="G161" s="259"/>
      <c r="H161" s="259"/>
      <c r="I161" s="259"/>
      <c r="J161" s="259"/>
      <c r="K161" s="259"/>
      <c r="L161" s="259"/>
      <c r="M161" s="236"/>
    </row>
    <row r="162" spans="1:13" x14ac:dyDescent="0.2">
      <c r="A162" s="237"/>
      <c r="B162" s="302"/>
      <c r="C162" s="302"/>
      <c r="D162" s="302"/>
      <c r="E162" s="303"/>
      <c r="F162" s="302"/>
      <c r="G162" s="302"/>
      <c r="H162" s="302"/>
      <c r="I162" s="303"/>
      <c r="J162" s="302"/>
      <c r="K162" s="302"/>
      <c r="L162" s="302"/>
      <c r="M162" s="236"/>
    </row>
    <row r="163" spans="1:13" x14ac:dyDescent="0.2">
      <c r="A163" s="237"/>
      <c r="B163" s="302"/>
      <c r="C163" s="302"/>
      <c r="D163" s="302"/>
      <c r="E163" s="303"/>
      <c r="F163" s="302"/>
      <c r="G163" s="302"/>
      <c r="H163" s="302"/>
      <c r="I163" s="303"/>
      <c r="J163" s="302"/>
      <c r="K163" s="302"/>
      <c r="L163" s="302"/>
      <c r="M163" s="236"/>
    </row>
    <row r="164" spans="1:13" x14ac:dyDescent="0.2">
      <c r="A164" s="237"/>
      <c r="B164" s="302"/>
      <c r="C164" s="302"/>
      <c r="D164" s="302"/>
      <c r="E164" s="303"/>
      <c r="F164" s="302"/>
      <c r="G164" s="302"/>
      <c r="H164" s="302"/>
      <c r="I164" s="303"/>
      <c r="J164" s="302"/>
      <c r="K164" s="302"/>
      <c r="L164" s="302"/>
      <c r="M164" s="236"/>
    </row>
    <row r="165" spans="1:13" x14ac:dyDescent="0.2">
      <c r="A165" s="237"/>
      <c r="B165" s="302"/>
      <c r="C165" s="302"/>
      <c r="D165" s="302"/>
      <c r="E165" s="303"/>
      <c r="F165" s="302"/>
      <c r="G165" s="302"/>
      <c r="H165" s="302"/>
      <c r="I165" s="303"/>
      <c r="J165" s="302"/>
      <c r="K165" s="302"/>
      <c r="L165" s="302"/>
      <c r="M165" s="236"/>
    </row>
    <row r="166" spans="1:13" x14ac:dyDescent="0.2">
      <c r="A166" s="237"/>
      <c r="B166" s="302"/>
      <c r="C166" s="302"/>
      <c r="D166" s="302"/>
      <c r="E166" s="303"/>
      <c r="F166" s="302"/>
      <c r="G166" s="302"/>
      <c r="H166" s="302"/>
      <c r="I166" s="303"/>
      <c r="J166" s="302"/>
      <c r="K166" s="302"/>
      <c r="L166" s="302"/>
      <c r="M166" s="236"/>
    </row>
    <row r="167" spans="1:13" x14ac:dyDescent="0.2">
      <c r="A167" s="237"/>
      <c r="B167" s="302"/>
      <c r="C167" s="302"/>
      <c r="D167" s="302"/>
      <c r="E167" s="303"/>
      <c r="F167" s="302"/>
      <c r="G167" s="302"/>
      <c r="H167" s="302"/>
      <c r="I167" s="303"/>
      <c r="J167" s="302"/>
      <c r="K167" s="302"/>
      <c r="L167" s="302"/>
      <c r="M167" s="236"/>
    </row>
    <row r="168" spans="1:13" x14ac:dyDescent="0.2">
      <c r="A168" s="237"/>
      <c r="B168" s="302"/>
      <c r="C168" s="302"/>
      <c r="D168" s="302"/>
      <c r="E168" s="303"/>
      <c r="F168" s="302"/>
      <c r="G168" s="302"/>
      <c r="H168" s="302"/>
      <c r="I168" s="303"/>
      <c r="J168" s="302"/>
      <c r="K168" s="302"/>
      <c r="L168" s="302"/>
      <c r="M168" s="236"/>
    </row>
    <row r="169" spans="1:13" x14ac:dyDescent="0.2">
      <c r="A169" s="237"/>
      <c r="B169" s="302"/>
      <c r="C169" s="302"/>
      <c r="D169" s="302"/>
      <c r="E169" s="303"/>
      <c r="F169" s="302"/>
      <c r="G169" s="302"/>
      <c r="H169" s="302"/>
      <c r="I169" s="303"/>
      <c r="J169" s="302"/>
      <c r="K169" s="302"/>
      <c r="L169" s="302"/>
      <c r="M169" s="236"/>
    </row>
    <row r="170" spans="1:13" x14ac:dyDescent="0.2">
      <c r="A170" s="237"/>
      <c r="B170" s="302"/>
      <c r="C170" s="302"/>
      <c r="D170" s="302"/>
      <c r="E170" s="303"/>
      <c r="F170" s="302"/>
      <c r="G170" s="302"/>
      <c r="H170" s="302"/>
      <c r="I170" s="303"/>
      <c r="J170" s="302"/>
      <c r="K170" s="302"/>
      <c r="L170" s="302"/>
      <c r="M170" s="236"/>
    </row>
    <row r="171" spans="1:13" x14ac:dyDescent="0.2">
      <c r="A171" s="237"/>
      <c r="B171" s="302"/>
      <c r="C171" s="302"/>
      <c r="D171" s="302"/>
      <c r="E171" s="303"/>
      <c r="F171" s="302"/>
      <c r="G171" s="302"/>
      <c r="H171" s="302"/>
      <c r="I171" s="303"/>
      <c r="J171" s="302"/>
      <c r="K171" s="302"/>
      <c r="L171" s="302"/>
      <c r="M171" s="236"/>
    </row>
    <row r="172" spans="1:13" x14ac:dyDescent="0.2">
      <c r="A172" s="237"/>
      <c r="B172" s="303"/>
      <c r="C172" s="303"/>
      <c r="D172" s="303"/>
      <c r="E172" s="303"/>
      <c r="F172" s="303"/>
      <c r="G172" s="303"/>
      <c r="H172" s="303"/>
      <c r="I172" s="303"/>
      <c r="J172" s="303"/>
      <c r="K172" s="303"/>
      <c r="L172" s="303"/>
      <c r="M172" s="236"/>
    </row>
    <row r="173" spans="1:13" x14ac:dyDescent="0.2">
      <c r="A173" s="237"/>
      <c r="B173" s="237"/>
      <c r="C173" s="237"/>
      <c r="D173" s="237"/>
      <c r="E173" s="237"/>
      <c r="F173" s="237"/>
      <c r="G173" s="237"/>
      <c r="H173" s="237"/>
      <c r="I173" s="237"/>
      <c r="J173" s="237"/>
      <c r="K173" s="237"/>
      <c r="L173" s="240"/>
      <c r="M173" s="236"/>
    </row>
    <row r="174" spans="1:13" x14ac:dyDescent="0.2">
      <c r="A174" s="237"/>
      <c r="B174" s="237"/>
      <c r="C174" s="237"/>
      <c r="D174" s="237"/>
      <c r="E174" s="237"/>
      <c r="F174" s="237"/>
      <c r="G174" s="237"/>
      <c r="H174" s="237"/>
      <c r="I174" s="237"/>
      <c r="J174" s="237"/>
      <c r="K174" s="237"/>
      <c r="L174" s="284"/>
      <c r="M174" s="236"/>
    </row>
    <row r="175" spans="1:13" x14ac:dyDescent="0.2">
      <c r="A175" s="258"/>
      <c r="B175" s="241"/>
      <c r="C175" s="241"/>
      <c r="D175" s="241"/>
      <c r="E175" s="241"/>
      <c r="F175" s="241"/>
      <c r="G175" s="241"/>
      <c r="H175" s="241"/>
      <c r="I175" s="241"/>
      <c r="J175" s="241"/>
      <c r="K175" s="241"/>
      <c r="L175" s="236"/>
      <c r="M175" s="236"/>
    </row>
    <row r="176" spans="1:13" x14ac:dyDescent="0.2">
      <c r="A176" s="241"/>
      <c r="B176" s="372"/>
      <c r="C176" s="372"/>
      <c r="D176" s="372"/>
      <c r="E176" s="253"/>
      <c r="F176" s="372"/>
      <c r="G176" s="372"/>
      <c r="H176" s="372"/>
      <c r="I176" s="253"/>
      <c r="J176" s="372"/>
      <c r="K176" s="372"/>
      <c r="L176" s="372"/>
      <c r="M176" s="236"/>
    </row>
    <row r="177" spans="1:13" x14ac:dyDescent="0.2">
      <c r="A177" s="258"/>
      <c r="B177" s="259"/>
      <c r="C177" s="259"/>
      <c r="D177" s="259"/>
      <c r="E177" s="259"/>
      <c r="F177" s="259"/>
      <c r="G177" s="259"/>
      <c r="H177" s="259"/>
      <c r="I177" s="259"/>
      <c r="J177" s="259"/>
      <c r="K177" s="259"/>
      <c r="L177" s="259"/>
      <c r="M177" s="236"/>
    </row>
    <row r="178" spans="1:13" x14ac:dyDescent="0.2">
      <c r="A178" s="258"/>
      <c r="B178" s="259"/>
      <c r="C178" s="259"/>
      <c r="D178" s="259"/>
      <c r="E178" s="259"/>
      <c r="F178" s="259"/>
      <c r="G178" s="259"/>
      <c r="H178" s="259"/>
      <c r="I178" s="259"/>
      <c r="J178" s="259"/>
      <c r="K178" s="259"/>
      <c r="L178" s="259"/>
      <c r="M178" s="236"/>
    </row>
    <row r="179" spans="1:13" x14ac:dyDescent="0.2">
      <c r="A179" s="237"/>
      <c r="B179" s="302"/>
      <c r="C179" s="302"/>
      <c r="D179" s="302"/>
      <c r="E179" s="303"/>
      <c r="F179" s="302"/>
      <c r="G179" s="302"/>
      <c r="H179" s="302"/>
      <c r="I179" s="303"/>
      <c r="J179" s="302"/>
      <c r="K179" s="302"/>
      <c r="L179" s="302"/>
      <c r="M179" s="236"/>
    </row>
    <row r="180" spans="1:13" x14ac:dyDescent="0.2">
      <c r="A180" s="237"/>
      <c r="B180" s="302"/>
      <c r="C180" s="302"/>
      <c r="D180" s="302"/>
      <c r="E180" s="303"/>
      <c r="F180" s="302"/>
      <c r="G180" s="302"/>
      <c r="H180" s="302"/>
      <c r="I180" s="303"/>
      <c r="J180" s="302"/>
      <c r="K180" s="302"/>
      <c r="L180" s="302"/>
      <c r="M180" s="236"/>
    </row>
    <row r="181" spans="1:13" x14ac:dyDescent="0.2">
      <c r="A181" s="237"/>
      <c r="B181" s="302"/>
      <c r="C181" s="302"/>
      <c r="D181" s="302"/>
      <c r="E181" s="303"/>
      <c r="F181" s="302"/>
      <c r="G181" s="302"/>
      <c r="H181" s="302"/>
      <c r="I181" s="303"/>
      <c r="J181" s="302"/>
      <c r="K181" s="302"/>
      <c r="L181" s="302"/>
      <c r="M181" s="236"/>
    </row>
    <row r="182" spans="1:13" x14ac:dyDescent="0.2">
      <c r="A182" s="237"/>
      <c r="B182" s="302"/>
      <c r="C182" s="302"/>
      <c r="D182" s="302"/>
      <c r="E182" s="303"/>
      <c r="F182" s="302"/>
      <c r="G182" s="302"/>
      <c r="H182" s="302"/>
      <c r="I182" s="303"/>
      <c r="J182" s="302"/>
      <c r="K182" s="302"/>
      <c r="L182" s="302"/>
      <c r="M182" s="236"/>
    </row>
    <row r="183" spans="1:13" x14ac:dyDescent="0.2">
      <c r="A183" s="237"/>
      <c r="B183" s="302"/>
      <c r="C183" s="302"/>
      <c r="D183" s="302"/>
      <c r="E183" s="303"/>
      <c r="F183" s="302"/>
      <c r="G183" s="302"/>
      <c r="H183" s="302"/>
      <c r="I183" s="303"/>
      <c r="J183" s="302"/>
      <c r="K183" s="302"/>
      <c r="L183" s="302"/>
      <c r="M183" s="236"/>
    </row>
    <row r="184" spans="1:13" x14ac:dyDescent="0.2">
      <c r="A184" s="237"/>
      <c r="B184" s="302"/>
      <c r="C184" s="302"/>
      <c r="D184" s="302"/>
      <c r="E184" s="303"/>
      <c r="F184" s="302"/>
      <c r="G184" s="302"/>
      <c r="H184" s="302"/>
      <c r="I184" s="303"/>
      <c r="J184" s="302"/>
      <c r="K184" s="302"/>
      <c r="L184" s="302"/>
      <c r="M184" s="236"/>
    </row>
    <row r="185" spans="1:13" x14ac:dyDescent="0.2">
      <c r="A185" s="237"/>
      <c r="B185" s="302"/>
      <c r="C185" s="302"/>
      <c r="D185" s="302"/>
      <c r="E185" s="303"/>
      <c r="F185" s="302"/>
      <c r="G185" s="302"/>
      <c r="H185" s="302"/>
      <c r="I185" s="303"/>
      <c r="J185" s="302"/>
      <c r="K185" s="302"/>
      <c r="L185" s="302"/>
      <c r="M185" s="236"/>
    </row>
    <row r="186" spans="1:13" x14ac:dyDescent="0.2">
      <c r="A186" s="237"/>
      <c r="B186" s="302"/>
      <c r="C186" s="302"/>
      <c r="D186" s="302"/>
      <c r="E186" s="303"/>
      <c r="F186" s="302"/>
      <c r="G186" s="302"/>
      <c r="H186" s="302"/>
      <c r="I186" s="303"/>
      <c r="J186" s="302"/>
      <c r="K186" s="302"/>
      <c r="L186" s="302"/>
      <c r="M186" s="236"/>
    </row>
    <row r="187" spans="1:13" x14ac:dyDescent="0.2">
      <c r="A187" s="237"/>
      <c r="B187" s="302"/>
      <c r="C187" s="302"/>
      <c r="D187" s="302"/>
      <c r="E187" s="303"/>
      <c r="F187" s="302"/>
      <c r="G187" s="302"/>
      <c r="H187" s="302"/>
      <c r="I187" s="303"/>
      <c r="J187" s="302"/>
      <c r="K187" s="302"/>
      <c r="L187" s="302"/>
      <c r="M187" s="236"/>
    </row>
    <row r="188" spans="1:13" x14ac:dyDescent="0.2">
      <c r="A188" s="237"/>
      <c r="B188" s="302"/>
      <c r="C188" s="302"/>
      <c r="D188" s="302"/>
      <c r="E188" s="303"/>
      <c r="F188" s="302"/>
      <c r="G188" s="302"/>
      <c r="H188" s="302"/>
      <c r="I188" s="303"/>
      <c r="J188" s="302"/>
      <c r="K188" s="302"/>
      <c r="L188" s="302"/>
      <c r="M188" s="236"/>
    </row>
    <row r="189" spans="1:13" x14ac:dyDescent="0.2">
      <c r="A189" s="237"/>
      <c r="B189" s="303"/>
      <c r="C189" s="303"/>
      <c r="D189" s="303"/>
      <c r="E189" s="303"/>
      <c r="F189" s="303"/>
      <c r="G189" s="303"/>
      <c r="H189" s="303"/>
      <c r="I189" s="303"/>
      <c r="J189" s="303"/>
      <c r="K189" s="303"/>
      <c r="L189" s="303"/>
      <c r="M189" s="236"/>
    </row>
    <row r="190" spans="1:13" x14ac:dyDescent="0.2">
      <c r="A190" s="237"/>
      <c r="B190" s="237"/>
      <c r="C190" s="237"/>
      <c r="D190" s="237"/>
      <c r="E190" s="237"/>
      <c r="F190" s="237"/>
      <c r="G190" s="237"/>
      <c r="H190" s="237"/>
      <c r="I190" s="237"/>
      <c r="J190" s="237"/>
      <c r="K190" s="237"/>
      <c r="L190" s="240"/>
      <c r="M190" s="236"/>
    </row>
    <row r="191" spans="1:13" x14ac:dyDescent="0.2">
      <c r="A191" s="237"/>
      <c r="B191" s="237"/>
      <c r="C191" s="237"/>
      <c r="D191" s="237"/>
      <c r="E191" s="237"/>
      <c r="F191" s="237"/>
      <c r="G191" s="237"/>
      <c r="H191" s="237"/>
      <c r="I191" s="237"/>
      <c r="J191" s="237"/>
      <c r="K191" s="237"/>
      <c r="L191" s="284"/>
      <c r="M191" s="236"/>
    </row>
    <row r="192" spans="1:13" x14ac:dyDescent="0.2">
      <c r="A192" s="258"/>
      <c r="B192" s="241"/>
      <c r="C192" s="241"/>
      <c r="D192" s="241"/>
      <c r="E192" s="241"/>
      <c r="F192" s="241"/>
      <c r="G192" s="241"/>
      <c r="H192" s="241"/>
      <c r="I192" s="241"/>
      <c r="J192" s="241"/>
      <c r="K192" s="241"/>
      <c r="L192" s="236"/>
      <c r="M192" s="236"/>
    </row>
    <row r="193" spans="1:13" x14ac:dyDescent="0.2">
      <c r="A193" s="241"/>
      <c r="B193" s="372"/>
      <c r="C193" s="372"/>
      <c r="D193" s="372"/>
      <c r="E193" s="253"/>
      <c r="F193" s="372"/>
      <c r="G193" s="372"/>
      <c r="H193" s="372"/>
      <c r="I193" s="253"/>
      <c r="J193" s="372"/>
      <c r="K193" s="372"/>
      <c r="L193" s="372"/>
      <c r="M193" s="236"/>
    </row>
    <row r="194" spans="1:13" x14ac:dyDescent="0.2">
      <c r="A194" s="258"/>
      <c r="B194" s="259"/>
      <c r="C194" s="259"/>
      <c r="D194" s="259"/>
      <c r="E194" s="259"/>
      <c r="F194" s="259"/>
      <c r="G194" s="259"/>
      <c r="H194" s="259"/>
      <c r="I194" s="259"/>
      <c r="J194" s="259"/>
      <c r="K194" s="259"/>
      <c r="L194" s="259"/>
      <c r="M194" s="236"/>
    </row>
    <row r="195" spans="1:13" x14ac:dyDescent="0.2">
      <c r="A195" s="258"/>
      <c r="B195" s="259"/>
      <c r="C195" s="259"/>
      <c r="D195" s="259"/>
      <c r="E195" s="259"/>
      <c r="F195" s="259"/>
      <c r="G195" s="259"/>
      <c r="H195" s="259"/>
      <c r="I195" s="259"/>
      <c r="J195" s="259"/>
      <c r="K195" s="259"/>
      <c r="L195" s="259"/>
      <c r="M195" s="236"/>
    </row>
    <row r="196" spans="1:13" x14ac:dyDescent="0.2">
      <c r="A196" s="237"/>
      <c r="B196" s="302"/>
      <c r="C196" s="302"/>
      <c r="D196" s="302"/>
      <c r="E196" s="303"/>
      <c r="F196" s="302"/>
      <c r="G196" s="302"/>
      <c r="H196" s="302"/>
      <c r="I196" s="303"/>
      <c r="J196" s="302"/>
      <c r="K196" s="302"/>
      <c r="L196" s="302"/>
      <c r="M196" s="236"/>
    </row>
    <row r="197" spans="1:13" x14ac:dyDescent="0.2">
      <c r="A197" s="237"/>
      <c r="B197" s="302"/>
      <c r="C197" s="302"/>
      <c r="D197" s="302"/>
      <c r="E197" s="303"/>
      <c r="F197" s="302"/>
      <c r="G197" s="302"/>
      <c r="H197" s="302"/>
      <c r="I197" s="303"/>
      <c r="J197" s="302"/>
      <c r="K197" s="302"/>
      <c r="L197" s="302"/>
      <c r="M197" s="236"/>
    </row>
    <row r="198" spans="1:13" x14ac:dyDescent="0.2">
      <c r="A198" s="237"/>
      <c r="B198" s="302"/>
      <c r="C198" s="302"/>
      <c r="D198" s="302"/>
      <c r="E198" s="303"/>
      <c r="F198" s="302"/>
      <c r="G198" s="302"/>
      <c r="H198" s="302"/>
      <c r="I198" s="303"/>
      <c r="J198" s="302"/>
      <c r="K198" s="302"/>
      <c r="L198" s="302"/>
      <c r="M198" s="236"/>
    </row>
    <row r="199" spans="1:13" x14ac:dyDescent="0.2">
      <c r="A199" s="237"/>
      <c r="B199" s="302"/>
      <c r="C199" s="302"/>
      <c r="D199" s="302"/>
      <c r="E199" s="303"/>
      <c r="F199" s="302"/>
      <c r="G199" s="302"/>
      <c r="H199" s="302"/>
      <c r="I199" s="303"/>
      <c r="J199" s="302"/>
      <c r="K199" s="302"/>
      <c r="L199" s="302"/>
      <c r="M199" s="236"/>
    </row>
    <row r="200" spans="1:13" x14ac:dyDescent="0.2">
      <c r="A200" s="237"/>
      <c r="B200" s="302"/>
      <c r="C200" s="302"/>
      <c r="D200" s="302"/>
      <c r="E200" s="303"/>
      <c r="F200" s="302"/>
      <c r="G200" s="302"/>
      <c r="H200" s="302"/>
      <c r="I200" s="303"/>
      <c r="J200" s="302"/>
      <c r="K200" s="302"/>
      <c r="L200" s="302"/>
      <c r="M200" s="236"/>
    </row>
    <row r="201" spans="1:13" x14ac:dyDescent="0.2">
      <c r="A201" s="237"/>
      <c r="B201" s="302"/>
      <c r="C201" s="302"/>
      <c r="D201" s="302"/>
      <c r="E201" s="303"/>
      <c r="F201" s="302"/>
      <c r="G201" s="302"/>
      <c r="H201" s="302"/>
      <c r="I201" s="303"/>
      <c r="J201" s="302"/>
      <c r="K201" s="302"/>
      <c r="L201" s="302"/>
      <c r="M201" s="236"/>
    </row>
    <row r="202" spans="1:13" x14ac:dyDescent="0.2">
      <c r="A202" s="237"/>
      <c r="B202" s="302"/>
      <c r="C202" s="302"/>
      <c r="D202" s="302"/>
      <c r="E202" s="303"/>
      <c r="F202" s="302"/>
      <c r="G202" s="302"/>
      <c r="H202" s="302"/>
      <c r="I202" s="303"/>
      <c r="J202" s="302"/>
      <c r="K202" s="302"/>
      <c r="L202" s="302"/>
      <c r="M202" s="236"/>
    </row>
    <row r="203" spans="1:13" x14ac:dyDescent="0.2">
      <c r="A203" s="237"/>
      <c r="B203" s="302"/>
      <c r="C203" s="302"/>
      <c r="D203" s="302"/>
      <c r="E203" s="303"/>
      <c r="F203" s="302"/>
      <c r="G203" s="302"/>
      <c r="H203" s="302"/>
      <c r="I203" s="303"/>
      <c r="J203" s="302"/>
      <c r="K203" s="302"/>
      <c r="L203" s="302"/>
      <c r="M203" s="236"/>
    </row>
    <row r="204" spans="1:13" x14ac:dyDescent="0.2">
      <c r="A204" s="237"/>
      <c r="B204" s="302"/>
      <c r="C204" s="302"/>
      <c r="D204" s="302"/>
      <c r="E204" s="303"/>
      <c r="F204" s="302"/>
      <c r="G204" s="302"/>
      <c r="H204" s="302"/>
      <c r="I204" s="303"/>
      <c r="J204" s="302"/>
      <c r="K204" s="302"/>
      <c r="L204" s="302"/>
      <c r="M204" s="236"/>
    </row>
    <row r="205" spans="1:13" x14ac:dyDescent="0.2">
      <c r="A205" s="237"/>
      <c r="B205" s="302"/>
      <c r="C205" s="302"/>
      <c r="D205" s="302"/>
      <c r="E205" s="303"/>
      <c r="F205" s="302"/>
      <c r="G205" s="302"/>
      <c r="H205" s="302"/>
      <c r="I205" s="303"/>
      <c r="J205" s="302"/>
      <c r="K205" s="302"/>
      <c r="L205" s="302"/>
      <c r="M205" s="236"/>
    </row>
    <row r="206" spans="1:13" x14ac:dyDescent="0.2">
      <c r="A206" s="237"/>
      <c r="B206" s="303"/>
      <c r="C206" s="303"/>
      <c r="D206" s="303"/>
      <c r="E206" s="303"/>
      <c r="F206" s="303"/>
      <c r="G206" s="303"/>
      <c r="H206" s="303"/>
      <c r="I206" s="303"/>
      <c r="J206" s="303"/>
      <c r="K206" s="303"/>
      <c r="L206" s="303"/>
      <c r="M206" s="236"/>
    </row>
    <row r="207" spans="1:13" x14ac:dyDescent="0.2">
      <c r="A207" s="237"/>
      <c r="B207" s="237"/>
      <c r="C207" s="237"/>
      <c r="D207" s="237"/>
      <c r="E207" s="237"/>
      <c r="F207" s="237"/>
      <c r="G207" s="237"/>
      <c r="H207" s="237"/>
      <c r="I207" s="237"/>
      <c r="J207" s="237"/>
      <c r="K207" s="237"/>
      <c r="L207" s="240"/>
      <c r="M207" s="236"/>
    </row>
    <row r="208" spans="1:13" x14ac:dyDescent="0.2">
      <c r="A208" s="237"/>
      <c r="B208" s="237"/>
      <c r="C208" s="237"/>
      <c r="D208" s="237"/>
      <c r="E208" s="237"/>
      <c r="F208" s="237"/>
      <c r="G208" s="237"/>
      <c r="H208" s="237"/>
      <c r="I208" s="237"/>
      <c r="J208" s="237"/>
      <c r="K208" s="237"/>
      <c r="L208" s="284"/>
      <c r="M208" s="236"/>
    </row>
    <row r="209" spans="1:13" x14ac:dyDescent="0.2">
      <c r="A209" s="258"/>
      <c r="B209" s="241"/>
      <c r="C209" s="241"/>
      <c r="D209" s="241"/>
      <c r="E209" s="241"/>
      <c r="F209" s="241"/>
      <c r="G209" s="241"/>
      <c r="H209" s="241"/>
      <c r="I209" s="241"/>
      <c r="J209" s="241"/>
      <c r="K209" s="241"/>
      <c r="L209" s="236"/>
      <c r="M209" s="236"/>
    </row>
    <row r="210" spans="1:13" x14ac:dyDescent="0.2">
      <c r="A210" s="241"/>
      <c r="B210" s="372"/>
      <c r="C210" s="372"/>
      <c r="D210" s="372"/>
      <c r="E210" s="253"/>
      <c r="F210" s="372"/>
      <c r="G210" s="372"/>
      <c r="H210" s="372"/>
      <c r="I210" s="253"/>
      <c r="J210" s="372"/>
      <c r="K210" s="372"/>
      <c r="L210" s="372"/>
      <c r="M210" s="236"/>
    </row>
    <row r="211" spans="1:13" x14ac:dyDescent="0.2">
      <c r="A211" s="258"/>
      <c r="B211" s="259"/>
      <c r="C211" s="259"/>
      <c r="D211" s="259"/>
      <c r="E211" s="259"/>
      <c r="F211" s="259"/>
      <c r="G211" s="259"/>
      <c r="H211" s="259"/>
      <c r="I211" s="259"/>
      <c r="J211" s="259"/>
      <c r="K211" s="259"/>
      <c r="L211" s="259"/>
      <c r="M211" s="236"/>
    </row>
    <row r="212" spans="1:13" x14ac:dyDescent="0.2">
      <c r="A212" s="258"/>
      <c r="B212" s="259"/>
      <c r="C212" s="259"/>
      <c r="D212" s="259"/>
      <c r="E212" s="259"/>
      <c r="F212" s="259"/>
      <c r="G212" s="259"/>
      <c r="H212" s="259"/>
      <c r="I212" s="259"/>
      <c r="J212" s="259"/>
      <c r="K212" s="259"/>
      <c r="L212" s="259"/>
      <c r="M212" s="236"/>
    </row>
    <row r="213" spans="1:13" x14ac:dyDescent="0.2">
      <c r="A213" s="237"/>
      <c r="B213" s="302"/>
      <c r="C213" s="302"/>
      <c r="D213" s="302"/>
      <c r="E213" s="303"/>
      <c r="F213" s="302"/>
      <c r="G213" s="302"/>
      <c r="H213" s="302"/>
      <c r="I213" s="303"/>
      <c r="J213" s="302"/>
      <c r="K213" s="302"/>
      <c r="L213" s="302"/>
      <c r="M213" s="236"/>
    </row>
    <row r="214" spans="1:13" x14ac:dyDescent="0.2">
      <c r="A214" s="237"/>
      <c r="B214" s="302"/>
      <c r="C214" s="302"/>
      <c r="D214" s="302"/>
      <c r="E214" s="303"/>
      <c r="F214" s="302"/>
      <c r="G214" s="302"/>
      <c r="H214" s="302"/>
      <c r="I214" s="303"/>
      <c r="J214" s="302"/>
      <c r="K214" s="302"/>
      <c r="L214" s="302"/>
      <c r="M214" s="236"/>
    </row>
    <row r="215" spans="1:13" x14ac:dyDescent="0.2">
      <c r="A215" s="237"/>
      <c r="B215" s="302"/>
      <c r="C215" s="302"/>
      <c r="D215" s="302"/>
      <c r="E215" s="303"/>
      <c r="F215" s="302"/>
      <c r="G215" s="302"/>
      <c r="H215" s="302"/>
      <c r="I215" s="303"/>
      <c r="J215" s="302"/>
      <c r="K215" s="302"/>
      <c r="L215" s="302"/>
      <c r="M215" s="236"/>
    </row>
    <row r="216" spans="1:13" x14ac:dyDescent="0.2">
      <c r="A216" s="237"/>
      <c r="B216" s="302"/>
      <c r="C216" s="302"/>
      <c r="D216" s="302"/>
      <c r="E216" s="303"/>
      <c r="F216" s="302"/>
      <c r="G216" s="302"/>
      <c r="H216" s="302"/>
      <c r="I216" s="303"/>
      <c r="J216" s="302"/>
      <c r="K216" s="302"/>
      <c r="L216" s="302"/>
      <c r="M216" s="236"/>
    </row>
    <row r="217" spans="1:13" x14ac:dyDescent="0.2">
      <c r="A217" s="237"/>
      <c r="B217" s="302"/>
      <c r="C217" s="302"/>
      <c r="D217" s="302"/>
      <c r="E217" s="303"/>
      <c r="F217" s="302"/>
      <c r="G217" s="302"/>
      <c r="H217" s="302"/>
      <c r="I217" s="303"/>
      <c r="J217" s="302"/>
      <c r="K217" s="302"/>
      <c r="L217" s="302"/>
      <c r="M217" s="236"/>
    </row>
    <row r="218" spans="1:13" x14ac:dyDescent="0.2">
      <c r="A218" s="237"/>
      <c r="B218" s="302"/>
      <c r="C218" s="302"/>
      <c r="D218" s="302"/>
      <c r="E218" s="303"/>
      <c r="F218" s="302"/>
      <c r="G218" s="302"/>
      <c r="H218" s="302"/>
      <c r="I218" s="303"/>
      <c r="J218" s="302"/>
      <c r="K218" s="302"/>
      <c r="L218" s="302"/>
      <c r="M218" s="236"/>
    </row>
    <row r="219" spans="1:13" x14ac:dyDescent="0.2">
      <c r="A219" s="237"/>
      <c r="B219" s="302"/>
      <c r="C219" s="302"/>
      <c r="D219" s="302"/>
      <c r="E219" s="303"/>
      <c r="F219" s="302"/>
      <c r="G219" s="302"/>
      <c r="H219" s="302"/>
      <c r="I219" s="303"/>
      <c r="J219" s="302"/>
      <c r="K219" s="302"/>
      <c r="L219" s="302"/>
      <c r="M219" s="236"/>
    </row>
    <row r="220" spans="1:13" x14ac:dyDescent="0.2">
      <c r="A220" s="237"/>
      <c r="B220" s="302"/>
      <c r="C220" s="302"/>
      <c r="D220" s="302"/>
      <c r="E220" s="303"/>
      <c r="F220" s="302"/>
      <c r="G220" s="302"/>
      <c r="H220" s="302"/>
      <c r="I220" s="303"/>
      <c r="J220" s="302"/>
      <c r="K220" s="302"/>
      <c r="L220" s="302"/>
      <c r="M220" s="236"/>
    </row>
    <row r="221" spans="1:13" x14ac:dyDescent="0.2">
      <c r="A221" s="237"/>
      <c r="B221" s="302"/>
      <c r="C221" s="302"/>
      <c r="D221" s="302"/>
      <c r="E221" s="303"/>
      <c r="F221" s="302"/>
      <c r="G221" s="302"/>
      <c r="H221" s="302"/>
      <c r="I221" s="303"/>
      <c r="J221" s="302"/>
      <c r="K221" s="302"/>
      <c r="L221" s="302"/>
      <c r="M221" s="236"/>
    </row>
    <row r="222" spans="1:13" x14ac:dyDescent="0.2">
      <c r="A222" s="237"/>
      <c r="B222" s="302"/>
      <c r="C222" s="302"/>
      <c r="D222" s="302"/>
      <c r="E222" s="303"/>
      <c r="F222" s="302"/>
      <c r="G222" s="302"/>
      <c r="H222" s="302"/>
      <c r="I222" s="303"/>
      <c r="J222" s="302"/>
      <c r="K222" s="302"/>
      <c r="L222" s="302"/>
      <c r="M222" s="236"/>
    </row>
    <row r="223" spans="1:13" x14ac:dyDescent="0.2">
      <c r="A223" s="237"/>
      <c r="B223" s="303"/>
      <c r="C223" s="303"/>
      <c r="D223" s="303"/>
      <c r="E223" s="303"/>
      <c r="F223" s="303"/>
      <c r="G223" s="303"/>
      <c r="H223" s="303"/>
      <c r="I223" s="303"/>
      <c r="J223" s="303"/>
      <c r="K223" s="303"/>
      <c r="L223" s="303"/>
      <c r="M223" s="236"/>
    </row>
    <row r="224" spans="1:13" x14ac:dyDescent="0.2">
      <c r="A224" s="237"/>
      <c r="B224" s="237"/>
      <c r="C224" s="237"/>
      <c r="D224" s="237"/>
      <c r="E224" s="237"/>
      <c r="F224" s="237"/>
      <c r="G224" s="237"/>
      <c r="H224" s="237"/>
      <c r="I224" s="237"/>
      <c r="J224" s="237"/>
      <c r="K224" s="237"/>
      <c r="L224" s="240"/>
      <c r="M224" s="236"/>
    </row>
    <row r="225" spans="1:13" x14ac:dyDescent="0.2">
      <c r="A225" s="237"/>
      <c r="B225" s="237"/>
      <c r="C225" s="237"/>
      <c r="D225" s="237"/>
      <c r="E225" s="237"/>
      <c r="F225" s="237"/>
      <c r="G225" s="237"/>
      <c r="H225" s="237"/>
      <c r="I225" s="237"/>
      <c r="J225" s="237"/>
      <c r="K225" s="237"/>
      <c r="L225" s="284"/>
      <c r="M225" s="236"/>
    </row>
    <row r="226" spans="1:13" x14ac:dyDescent="0.2">
      <c r="A226" s="258"/>
      <c r="B226" s="241"/>
      <c r="C226" s="241"/>
      <c r="D226" s="241"/>
      <c r="E226" s="241"/>
      <c r="F226" s="241"/>
      <c r="G226" s="241"/>
      <c r="H226" s="241"/>
      <c r="I226" s="241"/>
      <c r="J226" s="241"/>
      <c r="K226" s="241"/>
      <c r="L226" s="236"/>
      <c r="M226" s="236"/>
    </row>
    <row r="227" spans="1:13" x14ac:dyDescent="0.2">
      <c r="A227" s="241"/>
      <c r="B227" s="372"/>
      <c r="C227" s="372"/>
      <c r="D227" s="372"/>
      <c r="E227" s="253"/>
      <c r="F227" s="372"/>
      <c r="G227" s="372"/>
      <c r="H227" s="372"/>
      <c r="I227" s="253"/>
      <c r="J227" s="372"/>
      <c r="K227" s="372"/>
      <c r="L227" s="372"/>
      <c r="M227" s="236"/>
    </row>
    <row r="228" spans="1:13" x14ac:dyDescent="0.2">
      <c r="A228" s="258"/>
      <c r="B228" s="259"/>
      <c r="C228" s="259"/>
      <c r="D228" s="259"/>
      <c r="E228" s="259"/>
      <c r="F228" s="259"/>
      <c r="G228" s="259"/>
      <c r="H228" s="259"/>
      <c r="I228" s="259"/>
      <c r="J228" s="259"/>
      <c r="K228" s="259"/>
      <c r="L228" s="259"/>
      <c r="M228" s="236"/>
    </row>
    <row r="229" spans="1:13" x14ac:dyDescent="0.2">
      <c r="A229" s="258"/>
      <c r="B229" s="259"/>
      <c r="C229" s="259"/>
      <c r="D229" s="259"/>
      <c r="E229" s="259"/>
      <c r="F229" s="259"/>
      <c r="G229" s="259"/>
      <c r="H229" s="259"/>
      <c r="I229" s="259"/>
      <c r="J229" s="259"/>
      <c r="K229" s="259"/>
      <c r="L229" s="259"/>
      <c r="M229" s="236"/>
    </row>
    <row r="230" spans="1:13" x14ac:dyDescent="0.2">
      <c r="A230" s="237"/>
      <c r="B230" s="302"/>
      <c r="C230" s="302"/>
      <c r="D230" s="302"/>
      <c r="E230" s="303"/>
      <c r="F230" s="302"/>
      <c r="G230" s="302"/>
      <c r="H230" s="302"/>
      <c r="I230" s="303"/>
      <c r="J230" s="302"/>
      <c r="K230" s="302"/>
      <c r="L230" s="302"/>
      <c r="M230" s="236"/>
    </row>
    <row r="231" spans="1:13" x14ac:dyDescent="0.2">
      <c r="A231" s="237"/>
      <c r="B231" s="302"/>
      <c r="C231" s="302"/>
      <c r="D231" s="302"/>
      <c r="E231" s="303"/>
      <c r="F231" s="302"/>
      <c r="G231" s="302"/>
      <c r="H231" s="302"/>
      <c r="I231" s="303"/>
      <c r="J231" s="302"/>
      <c r="K231" s="302"/>
      <c r="L231" s="302"/>
      <c r="M231" s="236"/>
    </row>
    <row r="232" spans="1:13" x14ac:dyDescent="0.2">
      <c r="A232" s="237"/>
      <c r="B232" s="302"/>
      <c r="C232" s="302"/>
      <c r="D232" s="302"/>
      <c r="E232" s="303"/>
      <c r="F232" s="302"/>
      <c r="G232" s="302"/>
      <c r="H232" s="302"/>
      <c r="I232" s="303"/>
      <c r="J232" s="302"/>
      <c r="K232" s="302"/>
      <c r="L232" s="302"/>
      <c r="M232" s="236"/>
    </row>
    <row r="233" spans="1:13" x14ac:dyDescent="0.2">
      <c r="A233" s="237"/>
      <c r="B233" s="302"/>
      <c r="C233" s="302"/>
      <c r="D233" s="302"/>
      <c r="E233" s="303"/>
      <c r="F233" s="302"/>
      <c r="G233" s="302"/>
      <c r="H233" s="302"/>
      <c r="I233" s="303"/>
      <c r="J233" s="302"/>
      <c r="K233" s="302"/>
      <c r="L233" s="302"/>
      <c r="M233" s="236"/>
    </row>
    <row r="234" spans="1:13" x14ac:dyDescent="0.2">
      <c r="A234" s="237"/>
      <c r="B234" s="302"/>
      <c r="C234" s="302"/>
      <c r="D234" s="302"/>
      <c r="E234" s="303"/>
      <c r="F234" s="302"/>
      <c r="G234" s="302"/>
      <c r="H234" s="302"/>
      <c r="I234" s="303"/>
      <c r="J234" s="302"/>
      <c r="K234" s="302"/>
      <c r="L234" s="302"/>
      <c r="M234" s="236"/>
    </row>
    <row r="235" spans="1:13" x14ac:dyDescent="0.2">
      <c r="A235" s="237"/>
      <c r="B235" s="302"/>
      <c r="C235" s="302"/>
      <c r="D235" s="302"/>
      <c r="E235" s="303"/>
      <c r="F235" s="302"/>
      <c r="G235" s="302"/>
      <c r="H235" s="302"/>
      <c r="I235" s="303"/>
      <c r="J235" s="302"/>
      <c r="K235" s="302"/>
      <c r="L235" s="302"/>
      <c r="M235" s="236"/>
    </row>
    <row r="236" spans="1:13" x14ac:dyDescent="0.2">
      <c r="A236" s="237"/>
      <c r="B236" s="302"/>
      <c r="C236" s="302"/>
      <c r="D236" s="302"/>
      <c r="E236" s="303"/>
      <c r="F236" s="302"/>
      <c r="G236" s="302"/>
      <c r="H236" s="302"/>
      <c r="I236" s="303"/>
      <c r="J236" s="302"/>
      <c r="K236" s="302"/>
      <c r="L236" s="302"/>
      <c r="M236" s="236"/>
    </row>
    <row r="237" spans="1:13" x14ac:dyDescent="0.2">
      <c r="A237" s="237"/>
      <c r="B237" s="302"/>
      <c r="C237" s="302"/>
      <c r="D237" s="302"/>
      <c r="E237" s="303"/>
      <c r="F237" s="302"/>
      <c r="G237" s="302"/>
      <c r="H237" s="302"/>
      <c r="I237" s="303"/>
      <c r="J237" s="302"/>
      <c r="K237" s="302"/>
      <c r="L237" s="302"/>
      <c r="M237" s="236"/>
    </row>
    <row r="238" spans="1:13" x14ac:dyDescent="0.2">
      <c r="A238" s="237"/>
      <c r="B238" s="302"/>
      <c r="C238" s="302"/>
      <c r="D238" s="302"/>
      <c r="E238" s="303"/>
      <c r="F238" s="302"/>
      <c r="G238" s="302"/>
      <c r="H238" s="302"/>
      <c r="I238" s="303"/>
      <c r="J238" s="302"/>
      <c r="K238" s="302"/>
      <c r="L238" s="302"/>
      <c r="M238" s="236"/>
    </row>
    <row r="239" spans="1:13" x14ac:dyDescent="0.2">
      <c r="A239" s="237"/>
      <c r="B239" s="302"/>
      <c r="C239" s="302"/>
      <c r="D239" s="302"/>
      <c r="E239" s="303"/>
      <c r="F239" s="302"/>
      <c r="G239" s="302"/>
      <c r="H239" s="302"/>
      <c r="I239" s="303"/>
      <c r="J239" s="302"/>
      <c r="K239" s="302"/>
      <c r="L239" s="302"/>
      <c r="M239" s="236"/>
    </row>
    <row r="240" spans="1:13" x14ac:dyDescent="0.2">
      <c r="A240" s="237"/>
      <c r="B240" s="303"/>
      <c r="C240" s="303"/>
      <c r="D240" s="303"/>
      <c r="E240" s="303"/>
      <c r="F240" s="303"/>
      <c r="G240" s="303"/>
      <c r="H240" s="303"/>
      <c r="I240" s="303"/>
      <c r="J240" s="303"/>
      <c r="K240" s="303"/>
      <c r="L240" s="303"/>
      <c r="M240" s="236"/>
    </row>
    <row r="241" spans="1:13" x14ac:dyDescent="0.2">
      <c r="A241" s="237"/>
      <c r="B241" s="237"/>
      <c r="C241" s="237"/>
      <c r="D241" s="237"/>
      <c r="E241" s="237"/>
      <c r="F241" s="237"/>
      <c r="G241" s="237"/>
      <c r="H241" s="237"/>
      <c r="I241" s="237"/>
      <c r="J241" s="237"/>
      <c r="K241" s="237"/>
      <c r="L241" s="240"/>
      <c r="M241" s="236"/>
    </row>
    <row r="242" spans="1:13" x14ac:dyDescent="0.2">
      <c r="A242" s="237"/>
      <c r="B242" s="237"/>
      <c r="C242" s="237"/>
      <c r="D242" s="237"/>
      <c r="E242" s="237"/>
      <c r="F242" s="237"/>
      <c r="G242" s="237"/>
      <c r="H242" s="237"/>
      <c r="I242" s="237"/>
      <c r="J242" s="237"/>
      <c r="K242" s="237"/>
      <c r="L242" s="284"/>
      <c r="M242" s="236"/>
    </row>
    <row r="243" spans="1:13" x14ac:dyDescent="0.2">
      <c r="A243" s="258"/>
      <c r="B243" s="241"/>
      <c r="C243" s="241"/>
      <c r="D243" s="241"/>
      <c r="E243" s="241"/>
      <c r="F243" s="241"/>
      <c r="G243" s="241"/>
      <c r="H243" s="241"/>
      <c r="I243" s="241"/>
      <c r="J243" s="241"/>
      <c r="K243" s="241"/>
      <c r="L243" s="236"/>
      <c r="M243" s="236"/>
    </row>
    <row r="244" spans="1:13" x14ac:dyDescent="0.2">
      <c r="A244" s="241"/>
      <c r="B244" s="372"/>
      <c r="C244" s="372"/>
      <c r="D244" s="372"/>
      <c r="E244" s="253"/>
      <c r="F244" s="372"/>
      <c r="G244" s="372"/>
      <c r="H244" s="372"/>
      <c r="I244" s="253"/>
      <c r="J244" s="372"/>
      <c r="K244" s="372"/>
      <c r="L244" s="372"/>
      <c r="M244" s="236"/>
    </row>
    <row r="245" spans="1:13" x14ac:dyDescent="0.2">
      <c r="A245" s="258"/>
      <c r="B245" s="259"/>
      <c r="C245" s="259"/>
      <c r="D245" s="259"/>
      <c r="E245" s="259"/>
      <c r="F245" s="259"/>
      <c r="G245" s="259"/>
      <c r="H245" s="259"/>
      <c r="I245" s="259"/>
      <c r="J245" s="259"/>
      <c r="K245" s="259"/>
      <c r="L245" s="259"/>
      <c r="M245" s="236"/>
    </row>
    <row r="246" spans="1:13" x14ac:dyDescent="0.2">
      <c r="A246" s="258"/>
      <c r="B246" s="259"/>
      <c r="C246" s="259"/>
      <c r="D246" s="259"/>
      <c r="E246" s="259"/>
      <c r="F246" s="259"/>
      <c r="G246" s="259"/>
      <c r="H246" s="259"/>
      <c r="I246" s="259"/>
      <c r="J246" s="259"/>
      <c r="K246" s="259"/>
      <c r="L246" s="259"/>
      <c r="M246" s="236"/>
    </row>
    <row r="247" spans="1:13" x14ac:dyDescent="0.2">
      <c r="A247" s="237"/>
      <c r="B247" s="302"/>
      <c r="C247" s="302"/>
      <c r="D247" s="302"/>
      <c r="E247" s="303"/>
      <c r="F247" s="302"/>
      <c r="G247" s="302"/>
      <c r="H247" s="302"/>
      <c r="I247" s="303"/>
      <c r="J247" s="302"/>
      <c r="K247" s="302"/>
      <c r="L247" s="302"/>
      <c r="M247" s="236"/>
    </row>
    <row r="248" spans="1:13" x14ac:dyDescent="0.2">
      <c r="A248" s="237"/>
      <c r="B248" s="302"/>
      <c r="C248" s="302"/>
      <c r="D248" s="302"/>
      <c r="E248" s="303"/>
      <c r="F248" s="302"/>
      <c r="G248" s="302"/>
      <c r="H248" s="302"/>
      <c r="I248" s="303"/>
      <c r="J248" s="302"/>
      <c r="K248" s="302"/>
      <c r="L248" s="302"/>
      <c r="M248" s="236"/>
    </row>
    <row r="249" spans="1:13" x14ac:dyDescent="0.2">
      <c r="A249" s="237"/>
      <c r="B249" s="302"/>
      <c r="C249" s="302"/>
      <c r="D249" s="302"/>
      <c r="E249" s="303"/>
      <c r="F249" s="302"/>
      <c r="G249" s="302"/>
      <c r="H249" s="302"/>
      <c r="I249" s="303"/>
      <c r="J249" s="302"/>
      <c r="K249" s="302"/>
      <c r="L249" s="302"/>
      <c r="M249" s="236"/>
    </row>
    <row r="250" spans="1:13" x14ac:dyDescent="0.2">
      <c r="A250" s="237"/>
      <c r="B250" s="302"/>
      <c r="C250" s="302"/>
      <c r="D250" s="302"/>
      <c r="E250" s="303"/>
      <c r="F250" s="302"/>
      <c r="G250" s="302"/>
      <c r="H250" s="302"/>
      <c r="I250" s="303"/>
      <c r="J250" s="302"/>
      <c r="K250" s="302"/>
      <c r="L250" s="302"/>
      <c r="M250" s="236"/>
    </row>
    <row r="251" spans="1:13" x14ac:dyDescent="0.2">
      <c r="A251" s="237"/>
      <c r="B251" s="302"/>
      <c r="C251" s="302"/>
      <c r="D251" s="302"/>
      <c r="E251" s="303"/>
      <c r="F251" s="302"/>
      <c r="G251" s="302"/>
      <c r="H251" s="302"/>
      <c r="I251" s="303"/>
      <c r="J251" s="302"/>
      <c r="K251" s="302"/>
      <c r="L251" s="302"/>
      <c r="M251" s="236"/>
    </row>
    <row r="252" spans="1:13" x14ac:dyDescent="0.2">
      <c r="A252" s="237"/>
      <c r="B252" s="302"/>
      <c r="C252" s="302"/>
      <c r="D252" s="302"/>
      <c r="E252" s="303"/>
      <c r="F252" s="302"/>
      <c r="G252" s="302"/>
      <c r="H252" s="302"/>
      <c r="I252" s="303"/>
      <c r="J252" s="302"/>
      <c r="K252" s="302"/>
      <c r="L252" s="302"/>
      <c r="M252" s="236"/>
    </row>
    <row r="253" spans="1:13" x14ac:dyDescent="0.2">
      <c r="A253" s="237"/>
      <c r="B253" s="302"/>
      <c r="C253" s="302"/>
      <c r="D253" s="302"/>
      <c r="E253" s="303"/>
      <c r="F253" s="302"/>
      <c r="G253" s="302"/>
      <c r="H253" s="302"/>
      <c r="I253" s="303"/>
      <c r="J253" s="302"/>
      <c r="K253" s="302"/>
      <c r="L253" s="302"/>
      <c r="M253" s="236"/>
    </row>
    <row r="254" spans="1:13" x14ac:dyDescent="0.2">
      <c r="A254" s="237"/>
      <c r="B254" s="302"/>
      <c r="C254" s="302"/>
      <c r="D254" s="302"/>
      <c r="E254" s="303"/>
      <c r="F254" s="302"/>
      <c r="G254" s="302"/>
      <c r="H254" s="302"/>
      <c r="I254" s="303"/>
      <c r="J254" s="302"/>
      <c r="K254" s="302"/>
      <c r="L254" s="302"/>
      <c r="M254" s="236"/>
    </row>
    <row r="255" spans="1:13" x14ac:dyDescent="0.2">
      <c r="A255" s="237"/>
      <c r="B255" s="302"/>
      <c r="C255" s="302"/>
      <c r="D255" s="302"/>
      <c r="E255" s="303"/>
      <c r="F255" s="302"/>
      <c r="G255" s="302"/>
      <c r="H255" s="302"/>
      <c r="I255" s="303"/>
      <c r="J255" s="302"/>
      <c r="K255" s="302"/>
      <c r="L255" s="302"/>
      <c r="M255" s="236"/>
    </row>
    <row r="256" spans="1:13" x14ac:dyDescent="0.2">
      <c r="A256" s="237"/>
      <c r="B256" s="302"/>
      <c r="C256" s="302"/>
      <c r="D256" s="302"/>
      <c r="E256" s="303"/>
      <c r="F256" s="302"/>
      <c r="G256" s="302"/>
      <c r="H256" s="302"/>
      <c r="I256" s="303"/>
      <c r="J256" s="302"/>
      <c r="K256" s="302"/>
      <c r="L256" s="302"/>
      <c r="M256" s="236"/>
    </row>
    <row r="257" spans="1:13" x14ac:dyDescent="0.2">
      <c r="A257" s="237"/>
      <c r="B257" s="303"/>
      <c r="C257" s="303"/>
      <c r="D257" s="303"/>
      <c r="E257" s="303"/>
      <c r="F257" s="303"/>
      <c r="G257" s="303"/>
      <c r="H257" s="303"/>
      <c r="I257" s="303"/>
      <c r="J257" s="303"/>
      <c r="K257" s="303"/>
      <c r="L257" s="303"/>
      <c r="M257" s="236"/>
    </row>
    <row r="258" spans="1:13" x14ac:dyDescent="0.2">
      <c r="A258" s="237"/>
      <c r="B258" s="237"/>
      <c r="C258" s="237"/>
      <c r="D258" s="237"/>
      <c r="E258" s="237"/>
      <c r="F258" s="237"/>
      <c r="G258" s="237"/>
      <c r="H258" s="237"/>
      <c r="I258" s="237"/>
      <c r="J258" s="237"/>
      <c r="K258" s="237"/>
      <c r="L258" s="240"/>
      <c r="M258" s="236"/>
    </row>
    <row r="259" spans="1:13" x14ac:dyDescent="0.2">
      <c r="A259" s="237"/>
      <c r="B259" s="237"/>
      <c r="C259" s="237"/>
      <c r="D259" s="237"/>
      <c r="E259" s="237"/>
      <c r="F259" s="237"/>
      <c r="G259" s="237"/>
      <c r="H259" s="237"/>
      <c r="I259" s="237"/>
      <c r="J259" s="237"/>
      <c r="K259" s="237"/>
      <c r="L259" s="284"/>
      <c r="M259" s="236"/>
    </row>
    <row r="260" spans="1:13" x14ac:dyDescent="0.2">
      <c r="A260" s="258"/>
      <c r="B260" s="241"/>
      <c r="C260" s="241"/>
      <c r="D260" s="241"/>
      <c r="E260" s="241"/>
      <c r="F260" s="241"/>
      <c r="G260" s="241"/>
      <c r="H260" s="241"/>
      <c r="I260" s="241"/>
      <c r="J260" s="241"/>
      <c r="K260" s="241"/>
      <c r="L260" s="236"/>
      <c r="M260" s="236"/>
    </row>
    <row r="261" spans="1:13" x14ac:dyDescent="0.2">
      <c r="A261" s="241"/>
      <c r="B261" s="372"/>
      <c r="C261" s="372"/>
      <c r="D261" s="372"/>
      <c r="E261" s="253"/>
      <c r="F261" s="372"/>
      <c r="G261" s="372"/>
      <c r="H261" s="372"/>
      <c r="I261" s="253"/>
      <c r="J261" s="372"/>
      <c r="K261" s="372"/>
      <c r="L261" s="372"/>
      <c r="M261" s="236"/>
    </row>
    <row r="262" spans="1:13" x14ac:dyDescent="0.2">
      <c r="A262" s="258"/>
      <c r="B262" s="259"/>
      <c r="C262" s="259"/>
      <c r="D262" s="259"/>
      <c r="E262" s="259"/>
      <c r="F262" s="259"/>
      <c r="G262" s="259"/>
      <c r="H262" s="259"/>
      <c r="I262" s="259"/>
      <c r="J262" s="259"/>
      <c r="K262" s="259"/>
      <c r="L262" s="259"/>
      <c r="M262" s="236"/>
    </row>
    <row r="263" spans="1:13" x14ac:dyDescent="0.2">
      <c r="A263" s="258"/>
      <c r="B263" s="259"/>
      <c r="C263" s="259"/>
      <c r="D263" s="259"/>
      <c r="E263" s="259"/>
      <c r="F263" s="259"/>
      <c r="G263" s="259"/>
      <c r="H263" s="259"/>
      <c r="I263" s="259"/>
      <c r="J263" s="259"/>
      <c r="K263" s="259"/>
      <c r="L263" s="259"/>
      <c r="M263" s="236"/>
    </row>
    <row r="264" spans="1:13" x14ac:dyDescent="0.2">
      <c r="A264" s="237"/>
      <c r="B264" s="302"/>
      <c r="C264" s="302"/>
      <c r="D264" s="302"/>
      <c r="E264" s="303"/>
      <c r="F264" s="302"/>
      <c r="G264" s="302"/>
      <c r="H264" s="302"/>
      <c r="I264" s="303"/>
      <c r="J264" s="302"/>
      <c r="K264" s="302"/>
      <c r="L264" s="302"/>
      <c r="M264" s="236"/>
    </row>
    <row r="265" spans="1:13" x14ac:dyDescent="0.2">
      <c r="A265" s="237"/>
      <c r="B265" s="302"/>
      <c r="C265" s="302"/>
      <c r="D265" s="302"/>
      <c r="E265" s="303"/>
      <c r="F265" s="302"/>
      <c r="G265" s="302"/>
      <c r="H265" s="302"/>
      <c r="I265" s="303"/>
      <c r="J265" s="302"/>
      <c r="K265" s="302"/>
      <c r="L265" s="302"/>
      <c r="M265" s="236"/>
    </row>
    <row r="266" spans="1:13" x14ac:dyDescent="0.2">
      <c r="A266" s="237"/>
      <c r="B266" s="302"/>
      <c r="C266" s="302"/>
      <c r="D266" s="302"/>
      <c r="E266" s="303"/>
      <c r="F266" s="302"/>
      <c r="G266" s="302"/>
      <c r="H266" s="302"/>
      <c r="I266" s="303"/>
      <c r="J266" s="302"/>
      <c r="K266" s="302"/>
      <c r="L266" s="302"/>
      <c r="M266" s="236"/>
    </row>
    <row r="267" spans="1:13" x14ac:dyDescent="0.2">
      <c r="A267" s="237"/>
      <c r="B267" s="302"/>
      <c r="C267" s="302"/>
      <c r="D267" s="302"/>
      <c r="E267" s="303"/>
      <c r="F267" s="302"/>
      <c r="G267" s="302"/>
      <c r="H267" s="302"/>
      <c r="I267" s="303"/>
      <c r="J267" s="302"/>
      <c r="K267" s="302"/>
      <c r="L267" s="302"/>
      <c r="M267" s="236"/>
    </row>
    <row r="268" spans="1:13" x14ac:dyDescent="0.2">
      <c r="A268" s="237"/>
      <c r="B268" s="302"/>
      <c r="C268" s="302"/>
      <c r="D268" s="302"/>
      <c r="E268" s="303"/>
      <c r="F268" s="302"/>
      <c r="G268" s="302"/>
      <c r="H268" s="302"/>
      <c r="I268" s="303"/>
      <c r="J268" s="302"/>
      <c r="K268" s="302"/>
      <c r="L268" s="302"/>
      <c r="M268" s="236"/>
    </row>
    <row r="269" spans="1:13" x14ac:dyDescent="0.2">
      <c r="A269" s="237"/>
      <c r="B269" s="302"/>
      <c r="C269" s="302"/>
      <c r="D269" s="302"/>
      <c r="E269" s="303"/>
      <c r="F269" s="302"/>
      <c r="G269" s="302"/>
      <c r="H269" s="302"/>
      <c r="I269" s="303"/>
      <c r="J269" s="302"/>
      <c r="K269" s="302"/>
      <c r="L269" s="302"/>
      <c r="M269" s="236"/>
    </row>
    <row r="270" spans="1:13" x14ac:dyDescent="0.2">
      <c r="A270" s="237"/>
      <c r="B270" s="302"/>
      <c r="C270" s="302"/>
      <c r="D270" s="302"/>
      <c r="E270" s="303"/>
      <c r="F270" s="302"/>
      <c r="G270" s="302"/>
      <c r="H270" s="302"/>
      <c r="I270" s="303"/>
      <c r="J270" s="302"/>
      <c r="K270" s="302"/>
      <c r="L270" s="302"/>
      <c r="M270" s="236"/>
    </row>
    <row r="271" spans="1:13" x14ac:dyDescent="0.2">
      <c r="A271" s="237"/>
      <c r="B271" s="302"/>
      <c r="C271" s="302"/>
      <c r="D271" s="302"/>
      <c r="E271" s="303"/>
      <c r="F271" s="302"/>
      <c r="G271" s="302"/>
      <c r="H271" s="302"/>
      <c r="I271" s="303"/>
      <c r="J271" s="302"/>
      <c r="K271" s="302"/>
      <c r="L271" s="302"/>
      <c r="M271" s="236"/>
    </row>
    <row r="272" spans="1:13" x14ac:dyDescent="0.2">
      <c r="A272" s="237"/>
      <c r="B272" s="302"/>
      <c r="C272" s="302"/>
      <c r="D272" s="302"/>
      <c r="E272" s="303"/>
      <c r="F272" s="302"/>
      <c r="G272" s="302"/>
      <c r="H272" s="302"/>
      <c r="I272" s="303"/>
      <c r="J272" s="302"/>
      <c r="K272" s="302"/>
      <c r="L272" s="302"/>
      <c r="M272" s="236"/>
    </row>
    <row r="273" spans="1:13" x14ac:dyDescent="0.2">
      <c r="A273" s="237"/>
      <c r="B273" s="302"/>
      <c r="C273" s="302"/>
      <c r="D273" s="302"/>
      <c r="E273" s="303"/>
      <c r="F273" s="302"/>
      <c r="G273" s="302"/>
      <c r="H273" s="302"/>
      <c r="I273" s="303"/>
      <c r="J273" s="302"/>
      <c r="K273" s="302"/>
      <c r="L273" s="302"/>
      <c r="M273" s="236"/>
    </row>
    <row r="274" spans="1:13" x14ac:dyDescent="0.2">
      <c r="A274" s="237"/>
      <c r="B274" s="303"/>
      <c r="C274" s="303"/>
      <c r="D274" s="303"/>
      <c r="E274" s="303"/>
      <c r="F274" s="303"/>
      <c r="G274" s="303"/>
      <c r="H274" s="303"/>
      <c r="I274" s="303"/>
      <c r="J274" s="303"/>
      <c r="K274" s="303"/>
      <c r="L274" s="303"/>
      <c r="M274" s="236"/>
    </row>
    <row r="275" spans="1:13" x14ac:dyDescent="0.2">
      <c r="A275" s="237"/>
      <c r="B275" s="237"/>
      <c r="C275" s="237"/>
      <c r="D275" s="237"/>
      <c r="E275" s="237"/>
      <c r="F275" s="237"/>
      <c r="G275" s="237"/>
      <c r="H275" s="237"/>
      <c r="I275" s="237"/>
      <c r="J275" s="237"/>
      <c r="K275" s="237"/>
      <c r="L275" s="240"/>
      <c r="M275" s="236"/>
    </row>
    <row r="276" spans="1:13" x14ac:dyDescent="0.2">
      <c r="A276" s="237"/>
      <c r="B276" s="237"/>
      <c r="C276" s="237"/>
      <c r="D276" s="237"/>
      <c r="E276" s="237"/>
      <c r="F276" s="237"/>
      <c r="G276" s="237"/>
      <c r="H276" s="237"/>
      <c r="I276" s="237"/>
      <c r="J276" s="237"/>
      <c r="K276" s="237"/>
      <c r="L276" s="284"/>
      <c r="M276" s="236"/>
    </row>
    <row r="277" spans="1:13" x14ac:dyDescent="0.2">
      <c r="A277" s="258"/>
      <c r="B277" s="241"/>
      <c r="C277" s="241"/>
      <c r="D277" s="241"/>
      <c r="E277" s="241"/>
      <c r="F277" s="241"/>
      <c r="G277" s="241"/>
      <c r="H277" s="241"/>
      <c r="I277" s="241"/>
      <c r="J277" s="241"/>
      <c r="K277" s="241"/>
      <c r="L277" s="236"/>
      <c r="M277" s="236"/>
    </row>
    <row r="278" spans="1:13" x14ac:dyDescent="0.2">
      <c r="A278" s="241"/>
      <c r="B278" s="372"/>
      <c r="C278" s="372"/>
      <c r="D278" s="372"/>
      <c r="E278" s="253"/>
      <c r="F278" s="372"/>
      <c r="G278" s="372"/>
      <c r="H278" s="372"/>
      <c r="I278" s="253"/>
      <c r="J278" s="372"/>
      <c r="K278" s="372"/>
      <c r="L278" s="372"/>
      <c r="M278" s="236"/>
    </row>
    <row r="279" spans="1:13" x14ac:dyDescent="0.2">
      <c r="A279" s="258"/>
      <c r="B279" s="259"/>
      <c r="C279" s="259"/>
      <c r="D279" s="259"/>
      <c r="E279" s="259"/>
      <c r="F279" s="259"/>
      <c r="G279" s="259"/>
      <c r="H279" s="259"/>
      <c r="I279" s="259"/>
      <c r="J279" s="259"/>
      <c r="K279" s="259"/>
      <c r="L279" s="259"/>
      <c r="M279" s="236"/>
    </row>
    <row r="280" spans="1:13" x14ac:dyDescent="0.2">
      <c r="A280" s="258"/>
      <c r="B280" s="259"/>
      <c r="C280" s="259"/>
      <c r="D280" s="259"/>
      <c r="E280" s="259"/>
      <c r="F280" s="259"/>
      <c r="G280" s="259"/>
      <c r="H280" s="259"/>
      <c r="I280" s="259"/>
      <c r="J280" s="259"/>
      <c r="K280" s="259"/>
      <c r="L280" s="259"/>
      <c r="M280" s="236"/>
    </row>
    <row r="281" spans="1:13" x14ac:dyDescent="0.2">
      <c r="A281" s="237"/>
      <c r="B281" s="302"/>
      <c r="C281" s="302"/>
      <c r="D281" s="302"/>
      <c r="E281" s="303"/>
      <c r="F281" s="302"/>
      <c r="G281" s="302"/>
      <c r="H281" s="302"/>
      <c r="I281" s="303"/>
      <c r="J281" s="302"/>
      <c r="K281" s="302"/>
      <c r="L281" s="302"/>
      <c r="M281" s="236"/>
    </row>
    <row r="282" spans="1:13" x14ac:dyDescent="0.2">
      <c r="A282" s="237"/>
      <c r="B282" s="302"/>
      <c r="C282" s="302"/>
      <c r="D282" s="302"/>
      <c r="E282" s="303"/>
      <c r="F282" s="302"/>
      <c r="G282" s="302"/>
      <c r="H282" s="302"/>
      <c r="I282" s="303"/>
      <c r="J282" s="302"/>
      <c r="K282" s="302"/>
      <c r="L282" s="302"/>
      <c r="M282" s="236"/>
    </row>
    <row r="283" spans="1:13" x14ac:dyDescent="0.2">
      <c r="A283" s="237"/>
      <c r="B283" s="302"/>
      <c r="C283" s="302"/>
      <c r="D283" s="302"/>
      <c r="E283" s="303"/>
      <c r="F283" s="302"/>
      <c r="G283" s="302"/>
      <c r="H283" s="302"/>
      <c r="I283" s="303"/>
      <c r="J283" s="302"/>
      <c r="K283" s="302"/>
      <c r="L283" s="302"/>
      <c r="M283" s="236"/>
    </row>
    <row r="284" spans="1:13" x14ac:dyDescent="0.2">
      <c r="A284" s="237"/>
      <c r="B284" s="302"/>
      <c r="C284" s="302"/>
      <c r="D284" s="302"/>
      <c r="E284" s="303"/>
      <c r="F284" s="302"/>
      <c r="G284" s="302"/>
      <c r="H284" s="302"/>
      <c r="I284" s="303"/>
      <c r="J284" s="302"/>
      <c r="K284" s="302"/>
      <c r="L284" s="302"/>
      <c r="M284" s="236"/>
    </row>
    <row r="285" spans="1:13" x14ac:dyDescent="0.2">
      <c r="A285" s="237"/>
      <c r="B285" s="302"/>
      <c r="C285" s="302"/>
      <c r="D285" s="302"/>
      <c r="E285" s="303"/>
      <c r="F285" s="302"/>
      <c r="G285" s="302"/>
      <c r="H285" s="302"/>
      <c r="I285" s="303"/>
      <c r="J285" s="302"/>
      <c r="K285" s="302"/>
      <c r="L285" s="302"/>
      <c r="M285" s="236"/>
    </row>
    <row r="286" spans="1:13" x14ac:dyDescent="0.2">
      <c r="A286" s="237"/>
      <c r="B286" s="302"/>
      <c r="C286" s="302"/>
      <c r="D286" s="302"/>
      <c r="E286" s="303"/>
      <c r="F286" s="302"/>
      <c r="G286" s="302"/>
      <c r="H286" s="302"/>
      <c r="I286" s="303"/>
      <c r="J286" s="302"/>
      <c r="K286" s="302"/>
      <c r="L286" s="302"/>
      <c r="M286" s="236"/>
    </row>
    <row r="287" spans="1:13" x14ac:dyDescent="0.2">
      <c r="A287" s="237"/>
      <c r="B287" s="302"/>
      <c r="C287" s="302"/>
      <c r="D287" s="302"/>
      <c r="E287" s="303"/>
      <c r="F287" s="302"/>
      <c r="G287" s="302"/>
      <c r="H287" s="302"/>
      <c r="I287" s="303"/>
      <c r="J287" s="302"/>
      <c r="K287" s="302"/>
      <c r="L287" s="302"/>
      <c r="M287" s="236"/>
    </row>
    <row r="288" spans="1:13" x14ac:dyDescent="0.2">
      <c r="A288" s="237"/>
      <c r="B288" s="302"/>
      <c r="C288" s="302"/>
      <c r="D288" s="302"/>
      <c r="E288" s="303"/>
      <c r="F288" s="302"/>
      <c r="G288" s="302"/>
      <c r="H288" s="302"/>
      <c r="I288" s="303"/>
      <c r="J288" s="302"/>
      <c r="K288" s="302"/>
      <c r="L288" s="302"/>
      <c r="M288" s="236"/>
    </row>
    <row r="289" spans="1:13" x14ac:dyDescent="0.2">
      <c r="A289" s="237"/>
      <c r="B289" s="302"/>
      <c r="C289" s="302"/>
      <c r="D289" s="302"/>
      <c r="E289" s="303"/>
      <c r="F289" s="302"/>
      <c r="G289" s="302"/>
      <c r="H289" s="302"/>
      <c r="I289" s="303"/>
      <c r="J289" s="302"/>
      <c r="K289" s="302"/>
      <c r="L289" s="302"/>
      <c r="M289" s="236"/>
    </row>
    <row r="290" spans="1:13" x14ac:dyDescent="0.2">
      <c r="A290" s="237"/>
      <c r="B290" s="302"/>
      <c r="C290" s="302"/>
      <c r="D290" s="302"/>
      <c r="E290" s="303"/>
      <c r="F290" s="302"/>
      <c r="G290" s="302"/>
      <c r="H290" s="302"/>
      <c r="I290" s="303"/>
      <c r="J290" s="302"/>
      <c r="K290" s="302"/>
      <c r="L290" s="302"/>
      <c r="M290" s="236"/>
    </row>
    <row r="291" spans="1:13" x14ac:dyDescent="0.2">
      <c r="A291" s="237"/>
      <c r="B291" s="303"/>
      <c r="C291" s="303"/>
      <c r="D291" s="303"/>
      <c r="E291" s="303"/>
      <c r="F291" s="303"/>
      <c r="G291" s="303"/>
      <c r="H291" s="303"/>
      <c r="I291" s="303"/>
      <c r="J291" s="303"/>
      <c r="K291" s="303"/>
      <c r="L291" s="303"/>
      <c r="M291" s="236"/>
    </row>
    <row r="292" spans="1:13" x14ac:dyDescent="0.2">
      <c r="A292" s="237"/>
      <c r="B292" s="237"/>
      <c r="C292" s="237"/>
      <c r="D292" s="237"/>
      <c r="E292" s="237"/>
      <c r="F292" s="237"/>
      <c r="G292" s="237"/>
      <c r="H292" s="237"/>
      <c r="I292" s="237"/>
      <c r="J292" s="237"/>
      <c r="K292" s="237"/>
      <c r="L292" s="240"/>
      <c r="M292" s="236"/>
    </row>
    <row r="293" spans="1:13" x14ac:dyDescent="0.2">
      <c r="A293" s="237"/>
      <c r="B293" s="237"/>
      <c r="C293" s="237"/>
      <c r="D293" s="237"/>
      <c r="E293" s="237"/>
      <c r="F293" s="237"/>
      <c r="G293" s="237"/>
      <c r="H293" s="237"/>
      <c r="I293" s="237"/>
      <c r="J293" s="237"/>
      <c r="K293" s="237"/>
      <c r="L293" s="284"/>
      <c r="M293" s="236"/>
    </row>
    <row r="294" spans="1:13" x14ac:dyDescent="0.2">
      <c r="A294" s="258"/>
      <c r="B294" s="241"/>
      <c r="C294" s="241"/>
      <c r="D294" s="241"/>
      <c r="E294" s="241"/>
      <c r="F294" s="241"/>
      <c r="G294" s="241"/>
      <c r="H294" s="241"/>
      <c r="I294" s="241"/>
      <c r="J294" s="241"/>
      <c r="K294" s="241"/>
      <c r="L294" s="236"/>
      <c r="M294" s="236"/>
    </row>
    <row r="295" spans="1:13" x14ac:dyDescent="0.2">
      <c r="A295" s="241"/>
      <c r="B295" s="372"/>
      <c r="C295" s="372"/>
      <c r="D295" s="372"/>
      <c r="E295" s="253"/>
      <c r="F295" s="372"/>
      <c r="G295" s="372"/>
      <c r="H295" s="372"/>
      <c r="I295" s="253"/>
      <c r="J295" s="372"/>
      <c r="K295" s="372"/>
      <c r="L295" s="372"/>
      <c r="M295" s="236"/>
    </row>
    <row r="296" spans="1:13" x14ac:dyDescent="0.2">
      <c r="A296" s="258"/>
      <c r="B296" s="259"/>
      <c r="C296" s="259"/>
      <c r="D296" s="259"/>
      <c r="E296" s="259"/>
      <c r="F296" s="259"/>
      <c r="G296" s="259"/>
      <c r="H296" s="259"/>
      <c r="I296" s="259"/>
      <c r="J296" s="259"/>
      <c r="K296" s="259"/>
      <c r="L296" s="259"/>
      <c r="M296" s="236"/>
    </row>
    <row r="297" spans="1:13" x14ac:dyDescent="0.2">
      <c r="A297" s="258"/>
      <c r="B297" s="259"/>
      <c r="C297" s="259"/>
      <c r="D297" s="259"/>
      <c r="E297" s="259"/>
      <c r="F297" s="259"/>
      <c r="G297" s="259"/>
      <c r="H297" s="259"/>
      <c r="I297" s="259"/>
      <c r="J297" s="259"/>
      <c r="K297" s="259"/>
      <c r="L297" s="259"/>
      <c r="M297" s="236"/>
    </row>
    <row r="298" spans="1:13" x14ac:dyDescent="0.2">
      <c r="A298" s="237"/>
      <c r="B298" s="302"/>
      <c r="C298" s="302"/>
      <c r="D298" s="302"/>
      <c r="E298" s="303"/>
      <c r="F298" s="302"/>
      <c r="G298" s="302"/>
      <c r="H298" s="302"/>
      <c r="I298" s="303"/>
      <c r="J298" s="302"/>
      <c r="K298" s="302"/>
      <c r="L298" s="302"/>
      <c r="M298" s="236"/>
    </row>
    <row r="299" spans="1:13" x14ac:dyDescent="0.2">
      <c r="A299" s="237"/>
      <c r="B299" s="302"/>
      <c r="C299" s="302"/>
      <c r="D299" s="302"/>
      <c r="E299" s="303"/>
      <c r="F299" s="302"/>
      <c r="G299" s="302"/>
      <c r="H299" s="302"/>
      <c r="I299" s="303"/>
      <c r="J299" s="302"/>
      <c r="K299" s="302"/>
      <c r="L299" s="302"/>
      <c r="M299" s="236"/>
    </row>
    <row r="300" spans="1:13" x14ac:dyDescent="0.2">
      <c r="A300" s="237"/>
      <c r="B300" s="302"/>
      <c r="C300" s="302"/>
      <c r="D300" s="302"/>
      <c r="E300" s="303"/>
      <c r="F300" s="302"/>
      <c r="G300" s="302"/>
      <c r="H300" s="302"/>
      <c r="I300" s="303"/>
      <c r="J300" s="302"/>
      <c r="K300" s="302"/>
      <c r="L300" s="302"/>
      <c r="M300" s="236"/>
    </row>
    <row r="301" spans="1:13" x14ac:dyDescent="0.2">
      <c r="A301" s="237"/>
      <c r="B301" s="302"/>
      <c r="C301" s="302"/>
      <c r="D301" s="302"/>
      <c r="E301" s="303"/>
      <c r="F301" s="302"/>
      <c r="G301" s="302"/>
      <c r="H301" s="302"/>
      <c r="I301" s="303"/>
      <c r="J301" s="302"/>
      <c r="K301" s="302"/>
      <c r="L301" s="302"/>
      <c r="M301" s="236"/>
    </row>
    <row r="302" spans="1:13" x14ac:dyDescent="0.2">
      <c r="A302" s="237"/>
      <c r="B302" s="302"/>
      <c r="C302" s="302"/>
      <c r="D302" s="302"/>
      <c r="E302" s="303"/>
      <c r="F302" s="302"/>
      <c r="G302" s="302"/>
      <c r="H302" s="302"/>
      <c r="I302" s="303"/>
      <c r="J302" s="302"/>
      <c r="K302" s="302"/>
      <c r="L302" s="302"/>
      <c r="M302" s="236"/>
    </row>
    <row r="303" spans="1:13" x14ac:dyDescent="0.2">
      <c r="A303" s="237"/>
      <c r="B303" s="302"/>
      <c r="C303" s="302"/>
      <c r="D303" s="302"/>
      <c r="E303" s="303"/>
      <c r="F303" s="302"/>
      <c r="G303" s="302"/>
      <c r="H303" s="302"/>
      <c r="I303" s="303"/>
      <c r="J303" s="302"/>
      <c r="K303" s="302"/>
      <c r="L303" s="302"/>
      <c r="M303" s="236"/>
    </row>
    <row r="304" spans="1:13" x14ac:dyDescent="0.2">
      <c r="A304" s="237"/>
      <c r="B304" s="302"/>
      <c r="C304" s="302"/>
      <c r="D304" s="302"/>
      <c r="E304" s="303"/>
      <c r="F304" s="302"/>
      <c r="G304" s="302"/>
      <c r="H304" s="302"/>
      <c r="I304" s="303"/>
      <c r="J304" s="302"/>
      <c r="K304" s="302"/>
      <c r="L304" s="302"/>
      <c r="M304" s="236"/>
    </row>
    <row r="305" spans="1:13" x14ac:dyDescent="0.2">
      <c r="A305" s="237"/>
      <c r="B305" s="302"/>
      <c r="C305" s="302"/>
      <c r="D305" s="302"/>
      <c r="E305" s="303"/>
      <c r="F305" s="302"/>
      <c r="G305" s="302"/>
      <c r="H305" s="302"/>
      <c r="I305" s="303"/>
      <c r="J305" s="302"/>
      <c r="K305" s="302"/>
      <c r="L305" s="302"/>
      <c r="M305" s="236"/>
    </row>
    <row r="306" spans="1:13" x14ac:dyDescent="0.2">
      <c r="A306" s="237"/>
      <c r="B306" s="302"/>
      <c r="C306" s="302"/>
      <c r="D306" s="302"/>
      <c r="E306" s="303"/>
      <c r="F306" s="302"/>
      <c r="G306" s="302"/>
      <c r="H306" s="302"/>
      <c r="I306" s="303"/>
      <c r="J306" s="302"/>
      <c r="K306" s="302"/>
      <c r="L306" s="302"/>
      <c r="M306" s="236"/>
    </row>
    <row r="307" spans="1:13" x14ac:dyDescent="0.2">
      <c r="A307" s="237"/>
      <c r="B307" s="302"/>
      <c r="C307" s="302"/>
      <c r="D307" s="302"/>
      <c r="E307" s="303"/>
      <c r="F307" s="302"/>
      <c r="G307" s="302"/>
      <c r="H307" s="302"/>
      <c r="I307" s="303"/>
      <c r="J307" s="302"/>
      <c r="K307" s="302"/>
      <c r="L307" s="302"/>
      <c r="M307" s="236"/>
    </row>
    <row r="308" spans="1:13" x14ac:dyDescent="0.2">
      <c r="A308" s="237"/>
      <c r="B308" s="303"/>
      <c r="C308" s="303"/>
      <c r="D308" s="303"/>
      <c r="E308" s="303"/>
      <c r="F308" s="303"/>
      <c r="G308" s="303"/>
      <c r="H308" s="303"/>
      <c r="I308" s="303"/>
      <c r="J308" s="303"/>
      <c r="K308" s="303"/>
      <c r="L308" s="303"/>
      <c r="M308" s="236"/>
    </row>
    <row r="309" spans="1:13" x14ac:dyDescent="0.2">
      <c r="A309" s="237"/>
      <c r="B309" s="237"/>
      <c r="C309" s="237"/>
      <c r="D309" s="237"/>
      <c r="E309" s="237"/>
      <c r="F309" s="237"/>
      <c r="G309" s="237"/>
      <c r="H309" s="237"/>
      <c r="I309" s="237"/>
      <c r="J309" s="237"/>
      <c r="K309" s="237"/>
      <c r="L309" s="240"/>
      <c r="M309" s="236"/>
    </row>
    <row r="310" spans="1:13" x14ac:dyDescent="0.2">
      <c r="A310" s="237"/>
      <c r="B310" s="237"/>
      <c r="C310" s="237"/>
      <c r="D310" s="237"/>
      <c r="E310" s="237"/>
      <c r="F310" s="237"/>
      <c r="G310" s="237"/>
      <c r="H310" s="237"/>
      <c r="I310" s="237"/>
      <c r="J310" s="237"/>
      <c r="K310" s="237"/>
      <c r="L310" s="284"/>
      <c r="M310" s="236"/>
    </row>
    <row r="311" spans="1:13" x14ac:dyDescent="0.2">
      <c r="A311" s="258"/>
      <c r="B311" s="241"/>
      <c r="C311" s="241"/>
      <c r="D311" s="241"/>
      <c r="E311" s="241"/>
      <c r="F311" s="241"/>
      <c r="G311" s="241"/>
      <c r="H311" s="241"/>
      <c r="I311" s="241"/>
      <c r="J311" s="241"/>
      <c r="K311" s="241"/>
      <c r="L311" s="236"/>
      <c r="M311" s="236"/>
    </row>
    <row r="312" spans="1:13" x14ac:dyDescent="0.2">
      <c r="A312" s="241"/>
      <c r="B312" s="372"/>
      <c r="C312" s="372"/>
      <c r="D312" s="372"/>
      <c r="E312" s="253"/>
      <c r="F312" s="372"/>
      <c r="G312" s="372"/>
      <c r="H312" s="372"/>
      <c r="I312" s="253"/>
      <c r="J312" s="372"/>
      <c r="K312" s="372"/>
      <c r="L312" s="372"/>
      <c r="M312" s="236"/>
    </row>
    <row r="313" spans="1:13" x14ac:dyDescent="0.2">
      <c r="A313" s="258"/>
      <c r="B313" s="259"/>
      <c r="C313" s="259"/>
      <c r="D313" s="259"/>
      <c r="E313" s="259"/>
      <c r="F313" s="259"/>
      <c r="G313" s="259"/>
      <c r="H313" s="259"/>
      <c r="I313" s="259"/>
      <c r="J313" s="259"/>
      <c r="K313" s="259"/>
      <c r="L313" s="259"/>
      <c r="M313" s="236"/>
    </row>
    <row r="314" spans="1:13" x14ac:dyDescent="0.2">
      <c r="A314" s="258"/>
      <c r="B314" s="259"/>
      <c r="C314" s="259"/>
      <c r="D314" s="259"/>
      <c r="E314" s="259"/>
      <c r="F314" s="259"/>
      <c r="G314" s="259"/>
      <c r="H314" s="259"/>
      <c r="I314" s="259"/>
      <c r="J314" s="259"/>
      <c r="K314" s="259"/>
      <c r="L314" s="259"/>
      <c r="M314" s="236"/>
    </row>
    <row r="315" spans="1:13" x14ac:dyDescent="0.2">
      <c r="A315" s="237"/>
      <c r="B315" s="302"/>
      <c r="C315" s="302"/>
      <c r="D315" s="302"/>
      <c r="E315" s="303"/>
      <c r="F315" s="302"/>
      <c r="G315" s="302"/>
      <c r="H315" s="302"/>
      <c r="I315" s="303"/>
      <c r="J315" s="302"/>
      <c r="K315" s="302"/>
      <c r="L315" s="302"/>
      <c r="M315" s="236"/>
    </row>
    <row r="316" spans="1:13" x14ac:dyDescent="0.2">
      <c r="A316" s="237"/>
      <c r="B316" s="302"/>
      <c r="C316" s="302"/>
      <c r="D316" s="302"/>
      <c r="E316" s="303"/>
      <c r="F316" s="302"/>
      <c r="G316" s="302"/>
      <c r="H316" s="302"/>
      <c r="I316" s="303"/>
      <c r="J316" s="302"/>
      <c r="K316" s="302"/>
      <c r="L316" s="302"/>
      <c r="M316" s="236"/>
    </row>
    <row r="317" spans="1:13" x14ac:dyDescent="0.2">
      <c r="A317" s="237"/>
      <c r="B317" s="302"/>
      <c r="C317" s="302"/>
      <c r="D317" s="302"/>
      <c r="E317" s="303"/>
      <c r="F317" s="302"/>
      <c r="G317" s="302"/>
      <c r="H317" s="302"/>
      <c r="I317" s="303"/>
      <c r="J317" s="302"/>
      <c r="K317" s="302"/>
      <c r="L317" s="302"/>
      <c r="M317" s="236"/>
    </row>
    <row r="318" spans="1:13" x14ac:dyDescent="0.2">
      <c r="A318" s="237"/>
      <c r="B318" s="302"/>
      <c r="C318" s="302"/>
      <c r="D318" s="302"/>
      <c r="E318" s="303"/>
      <c r="F318" s="302"/>
      <c r="G318" s="302"/>
      <c r="H318" s="302"/>
      <c r="I318" s="303"/>
      <c r="J318" s="302"/>
      <c r="K318" s="302"/>
      <c r="L318" s="302"/>
      <c r="M318" s="236"/>
    </row>
    <row r="319" spans="1:13" x14ac:dyDescent="0.2">
      <c r="A319" s="237"/>
      <c r="B319" s="302"/>
      <c r="C319" s="302"/>
      <c r="D319" s="302"/>
      <c r="E319" s="303"/>
      <c r="F319" s="302"/>
      <c r="G319" s="302"/>
      <c r="H319" s="302"/>
      <c r="I319" s="303"/>
      <c r="J319" s="302"/>
      <c r="K319" s="302"/>
      <c r="L319" s="302"/>
      <c r="M319" s="236"/>
    </row>
    <row r="320" spans="1:13" x14ac:dyDescent="0.2">
      <c r="A320" s="237"/>
      <c r="B320" s="302"/>
      <c r="C320" s="302"/>
      <c r="D320" s="302"/>
      <c r="E320" s="303"/>
      <c r="F320" s="302"/>
      <c r="G320" s="302"/>
      <c r="H320" s="302"/>
      <c r="I320" s="303"/>
      <c r="J320" s="302"/>
      <c r="K320" s="302"/>
      <c r="L320" s="302"/>
      <c r="M320" s="236"/>
    </row>
    <row r="321" spans="1:13" x14ac:dyDescent="0.2">
      <c r="A321" s="237"/>
      <c r="B321" s="302"/>
      <c r="C321" s="302"/>
      <c r="D321" s="302"/>
      <c r="E321" s="303"/>
      <c r="F321" s="302"/>
      <c r="G321" s="302"/>
      <c r="H321" s="302"/>
      <c r="I321" s="303"/>
      <c r="J321" s="302"/>
      <c r="K321" s="302"/>
      <c r="L321" s="302"/>
      <c r="M321" s="236"/>
    </row>
    <row r="322" spans="1:13" x14ac:dyDescent="0.2">
      <c r="A322" s="237"/>
      <c r="B322" s="302"/>
      <c r="C322" s="302"/>
      <c r="D322" s="302"/>
      <c r="E322" s="303"/>
      <c r="F322" s="302"/>
      <c r="G322" s="302"/>
      <c r="H322" s="302"/>
      <c r="I322" s="303"/>
      <c r="J322" s="302"/>
      <c r="K322" s="302"/>
      <c r="L322" s="302"/>
      <c r="M322" s="236"/>
    </row>
    <row r="323" spans="1:13" x14ac:dyDescent="0.2">
      <c r="A323" s="237"/>
      <c r="B323" s="302"/>
      <c r="C323" s="302"/>
      <c r="D323" s="302"/>
      <c r="E323" s="303"/>
      <c r="F323" s="302"/>
      <c r="G323" s="302"/>
      <c r="H323" s="302"/>
      <c r="I323" s="303"/>
      <c r="J323" s="302"/>
      <c r="K323" s="302"/>
      <c r="L323" s="302"/>
      <c r="M323" s="236"/>
    </row>
    <row r="324" spans="1:13" x14ac:dyDescent="0.2">
      <c r="A324" s="237"/>
      <c r="B324" s="302"/>
      <c r="C324" s="302"/>
      <c r="D324" s="302"/>
      <c r="E324" s="303"/>
      <c r="F324" s="302"/>
      <c r="G324" s="302"/>
      <c r="H324" s="302"/>
      <c r="I324" s="303"/>
      <c r="J324" s="302"/>
      <c r="K324" s="302"/>
      <c r="L324" s="302"/>
      <c r="M324" s="236"/>
    </row>
    <row r="325" spans="1:13" x14ac:dyDescent="0.2">
      <c r="A325" s="237"/>
      <c r="B325" s="303"/>
      <c r="C325" s="303"/>
      <c r="D325" s="303"/>
      <c r="E325" s="303"/>
      <c r="F325" s="303"/>
      <c r="G325" s="303"/>
      <c r="H325" s="303"/>
      <c r="I325" s="303"/>
      <c r="J325" s="303"/>
      <c r="K325" s="303"/>
      <c r="L325" s="303"/>
      <c r="M325" s="236"/>
    </row>
    <row r="326" spans="1:13" x14ac:dyDescent="0.2">
      <c r="A326" s="237"/>
      <c r="B326" s="237"/>
      <c r="C326" s="237"/>
      <c r="D326" s="237"/>
      <c r="E326" s="237"/>
      <c r="F326" s="237"/>
      <c r="G326" s="237"/>
      <c r="H326" s="237"/>
      <c r="I326" s="237"/>
      <c r="J326" s="237"/>
      <c r="K326" s="237"/>
      <c r="L326" s="240"/>
      <c r="M326" s="236"/>
    </row>
    <row r="327" spans="1:13" x14ac:dyDescent="0.2">
      <c r="A327" s="237"/>
      <c r="B327" s="237"/>
      <c r="C327" s="237"/>
      <c r="D327" s="237"/>
      <c r="E327" s="237"/>
      <c r="F327" s="237"/>
      <c r="G327" s="237"/>
      <c r="H327" s="237"/>
      <c r="I327" s="237"/>
      <c r="J327" s="237"/>
      <c r="K327" s="237"/>
      <c r="L327" s="284"/>
      <c r="M327" s="236"/>
    </row>
    <row r="328" spans="1:13" x14ac:dyDescent="0.2">
      <c r="A328" s="258"/>
      <c r="B328" s="241"/>
      <c r="C328" s="241"/>
      <c r="D328" s="241"/>
      <c r="E328" s="241"/>
      <c r="F328" s="241"/>
      <c r="G328" s="241"/>
      <c r="H328" s="241"/>
      <c r="I328" s="241"/>
      <c r="J328" s="241"/>
      <c r="K328" s="241"/>
      <c r="L328" s="236"/>
      <c r="M328" s="236"/>
    </row>
    <row r="329" spans="1:13" x14ac:dyDescent="0.2">
      <c r="A329" s="241"/>
      <c r="B329" s="372"/>
      <c r="C329" s="372"/>
      <c r="D329" s="372"/>
      <c r="E329" s="253"/>
      <c r="F329" s="372"/>
      <c r="G329" s="372"/>
      <c r="H329" s="372"/>
      <c r="I329" s="253"/>
      <c r="J329" s="372"/>
      <c r="K329" s="372"/>
      <c r="L329" s="372"/>
      <c r="M329" s="236"/>
    </row>
    <row r="330" spans="1:13" x14ac:dyDescent="0.2">
      <c r="A330" s="258"/>
      <c r="B330" s="259"/>
      <c r="C330" s="259"/>
      <c r="D330" s="259"/>
      <c r="E330" s="259"/>
      <c r="F330" s="259"/>
      <c r="G330" s="259"/>
      <c r="H330" s="259"/>
      <c r="I330" s="259"/>
      <c r="J330" s="259"/>
      <c r="K330" s="259"/>
      <c r="L330" s="259"/>
      <c r="M330" s="236"/>
    </row>
    <row r="331" spans="1:13" x14ac:dyDescent="0.2">
      <c r="A331" s="258"/>
      <c r="B331" s="259"/>
      <c r="C331" s="259"/>
      <c r="D331" s="259"/>
      <c r="E331" s="259"/>
      <c r="F331" s="259"/>
      <c r="G331" s="259"/>
      <c r="H331" s="259"/>
      <c r="I331" s="259"/>
      <c r="J331" s="259"/>
      <c r="K331" s="259"/>
      <c r="L331" s="259"/>
      <c r="M331" s="236"/>
    </row>
    <row r="332" spans="1:13" x14ac:dyDescent="0.2">
      <c r="A332" s="237"/>
      <c r="B332" s="302"/>
      <c r="C332" s="302"/>
      <c r="D332" s="302"/>
      <c r="E332" s="303"/>
      <c r="F332" s="302"/>
      <c r="G332" s="302"/>
      <c r="H332" s="302"/>
      <c r="I332" s="303"/>
      <c r="J332" s="302"/>
      <c r="K332" s="302"/>
      <c r="L332" s="302"/>
      <c r="M332" s="236"/>
    </row>
    <row r="333" spans="1:13" x14ac:dyDescent="0.2">
      <c r="A333" s="237"/>
      <c r="B333" s="302"/>
      <c r="C333" s="302"/>
      <c r="D333" s="302"/>
      <c r="E333" s="303"/>
      <c r="F333" s="302"/>
      <c r="G333" s="302"/>
      <c r="H333" s="302"/>
      <c r="I333" s="303"/>
      <c r="J333" s="302"/>
      <c r="K333" s="302"/>
      <c r="L333" s="302"/>
      <c r="M333" s="236"/>
    </row>
    <row r="334" spans="1:13" x14ac:dyDescent="0.2">
      <c r="A334" s="237"/>
      <c r="B334" s="302"/>
      <c r="C334" s="302"/>
      <c r="D334" s="302"/>
      <c r="E334" s="303"/>
      <c r="F334" s="302"/>
      <c r="G334" s="302"/>
      <c r="H334" s="302"/>
      <c r="I334" s="303"/>
      <c r="J334" s="302"/>
      <c r="K334" s="302"/>
      <c r="L334" s="302"/>
      <c r="M334" s="236"/>
    </row>
    <row r="335" spans="1:13" x14ac:dyDescent="0.2">
      <c r="A335" s="237"/>
      <c r="B335" s="302"/>
      <c r="C335" s="302"/>
      <c r="D335" s="302"/>
      <c r="E335" s="303"/>
      <c r="F335" s="302"/>
      <c r="G335" s="302"/>
      <c r="H335" s="302"/>
      <c r="I335" s="303"/>
      <c r="J335" s="302"/>
      <c r="K335" s="302"/>
      <c r="L335" s="302"/>
      <c r="M335" s="236"/>
    </row>
    <row r="336" spans="1:13" x14ac:dyDescent="0.2">
      <c r="A336" s="237"/>
      <c r="B336" s="302"/>
      <c r="C336" s="302"/>
      <c r="D336" s="302"/>
      <c r="E336" s="303"/>
      <c r="F336" s="302"/>
      <c r="G336" s="302"/>
      <c r="H336" s="302"/>
      <c r="I336" s="303"/>
      <c r="J336" s="302"/>
      <c r="K336" s="302"/>
      <c r="L336" s="302"/>
      <c r="M336" s="236"/>
    </row>
    <row r="337" spans="1:13" x14ac:dyDescent="0.2">
      <c r="A337" s="237"/>
      <c r="B337" s="302"/>
      <c r="C337" s="302"/>
      <c r="D337" s="302"/>
      <c r="E337" s="303"/>
      <c r="F337" s="302"/>
      <c r="G337" s="302"/>
      <c r="H337" s="302"/>
      <c r="I337" s="303"/>
      <c r="J337" s="302"/>
      <c r="K337" s="302"/>
      <c r="L337" s="302"/>
      <c r="M337" s="236"/>
    </row>
    <row r="338" spans="1:13" x14ac:dyDescent="0.2">
      <c r="A338" s="237"/>
      <c r="B338" s="302"/>
      <c r="C338" s="302"/>
      <c r="D338" s="302"/>
      <c r="E338" s="303"/>
      <c r="F338" s="302"/>
      <c r="G338" s="302"/>
      <c r="H338" s="302"/>
      <c r="I338" s="303"/>
      <c r="J338" s="302"/>
      <c r="K338" s="302"/>
      <c r="L338" s="302"/>
      <c r="M338" s="236"/>
    </row>
    <row r="339" spans="1:13" x14ac:dyDescent="0.2">
      <c r="A339" s="237"/>
      <c r="B339" s="302"/>
      <c r="C339" s="302"/>
      <c r="D339" s="302"/>
      <c r="E339" s="303"/>
      <c r="F339" s="302"/>
      <c r="G339" s="302"/>
      <c r="H339" s="302"/>
      <c r="I339" s="303"/>
      <c r="J339" s="302"/>
      <c r="K339" s="302"/>
      <c r="L339" s="302"/>
      <c r="M339" s="236"/>
    </row>
    <row r="340" spans="1:13" x14ac:dyDescent="0.2">
      <c r="A340" s="237"/>
      <c r="B340" s="302"/>
      <c r="C340" s="302"/>
      <c r="D340" s="302"/>
      <c r="E340" s="303"/>
      <c r="F340" s="302"/>
      <c r="G340" s="302"/>
      <c r="H340" s="302"/>
      <c r="I340" s="303"/>
      <c r="J340" s="302"/>
      <c r="K340" s="302"/>
      <c r="L340" s="302"/>
      <c r="M340" s="236"/>
    </row>
    <row r="341" spans="1:13" x14ac:dyDescent="0.2">
      <c r="A341" s="237"/>
      <c r="B341" s="302"/>
      <c r="C341" s="302"/>
      <c r="D341" s="302"/>
      <c r="E341" s="303"/>
      <c r="F341" s="302"/>
      <c r="G341" s="302"/>
      <c r="H341" s="302"/>
      <c r="I341" s="303"/>
      <c r="J341" s="302"/>
      <c r="K341" s="302"/>
      <c r="L341" s="302"/>
      <c r="M341" s="236"/>
    </row>
    <row r="342" spans="1:13" x14ac:dyDescent="0.2">
      <c r="A342" s="237"/>
      <c r="B342" s="303"/>
      <c r="C342" s="303"/>
      <c r="D342" s="303"/>
      <c r="E342" s="303"/>
      <c r="F342" s="303"/>
      <c r="G342" s="303"/>
      <c r="H342" s="303"/>
      <c r="I342" s="303"/>
      <c r="J342" s="303"/>
      <c r="K342" s="303"/>
      <c r="L342" s="303"/>
      <c r="M342" s="236"/>
    </row>
    <row r="343" spans="1:13" x14ac:dyDescent="0.2">
      <c r="A343" s="237"/>
      <c r="B343" s="237"/>
      <c r="C343" s="237"/>
      <c r="D343" s="237"/>
      <c r="E343" s="237"/>
      <c r="F343" s="237"/>
      <c r="G343" s="237"/>
      <c r="H343" s="237"/>
      <c r="I343" s="237"/>
      <c r="J343" s="237"/>
      <c r="K343" s="237"/>
      <c r="L343" s="240"/>
      <c r="M343" s="236"/>
    </row>
    <row r="344" spans="1:13" x14ac:dyDescent="0.2">
      <c r="A344" s="237"/>
      <c r="B344" s="237"/>
      <c r="C344" s="237"/>
      <c r="D344" s="237"/>
      <c r="E344" s="237"/>
      <c r="F344" s="237"/>
      <c r="G344" s="237"/>
      <c r="H344" s="237"/>
      <c r="I344" s="237"/>
      <c r="J344" s="237"/>
      <c r="K344" s="237"/>
      <c r="L344" s="284"/>
      <c r="M344" s="236"/>
    </row>
    <row r="345" spans="1:13" x14ac:dyDescent="0.2">
      <c r="A345" s="258"/>
      <c r="B345" s="241"/>
      <c r="C345" s="241"/>
      <c r="D345" s="241"/>
      <c r="E345" s="241"/>
      <c r="F345" s="241"/>
      <c r="G345" s="241"/>
      <c r="H345" s="241"/>
      <c r="I345" s="241"/>
      <c r="J345" s="241"/>
      <c r="K345" s="241"/>
      <c r="L345" s="236"/>
      <c r="M345" s="236"/>
    </row>
    <row r="346" spans="1:13" x14ac:dyDescent="0.2">
      <c r="A346" s="241"/>
      <c r="B346" s="372"/>
      <c r="C346" s="372"/>
      <c r="D346" s="372"/>
      <c r="E346" s="253"/>
      <c r="F346" s="372"/>
      <c r="G346" s="372"/>
      <c r="H346" s="372"/>
      <c r="I346" s="253"/>
      <c r="J346" s="372"/>
      <c r="K346" s="372"/>
      <c r="L346" s="372"/>
      <c r="M346" s="236"/>
    </row>
    <row r="347" spans="1:13" x14ac:dyDescent="0.2">
      <c r="A347" s="258"/>
      <c r="B347" s="259"/>
      <c r="C347" s="259"/>
      <c r="D347" s="259"/>
      <c r="E347" s="259"/>
      <c r="F347" s="259"/>
      <c r="G347" s="259"/>
      <c r="H347" s="259"/>
      <c r="I347" s="259"/>
      <c r="J347" s="259"/>
      <c r="K347" s="259"/>
      <c r="L347" s="259"/>
      <c r="M347" s="236"/>
    </row>
    <row r="348" spans="1:13" x14ac:dyDescent="0.2">
      <c r="A348" s="258"/>
      <c r="B348" s="259"/>
      <c r="C348" s="259"/>
      <c r="D348" s="259"/>
      <c r="E348" s="259"/>
      <c r="F348" s="259"/>
      <c r="G348" s="259"/>
      <c r="H348" s="259"/>
      <c r="I348" s="259"/>
      <c r="J348" s="259"/>
      <c r="K348" s="259"/>
      <c r="L348" s="259"/>
      <c r="M348" s="236"/>
    </row>
    <row r="349" spans="1:13" x14ac:dyDescent="0.2">
      <c r="A349" s="237"/>
      <c r="B349" s="302"/>
      <c r="C349" s="302"/>
      <c r="D349" s="302"/>
      <c r="E349" s="303"/>
      <c r="F349" s="302"/>
      <c r="G349" s="302"/>
      <c r="H349" s="302"/>
      <c r="I349" s="303"/>
      <c r="J349" s="302"/>
      <c r="K349" s="302"/>
      <c r="L349" s="302"/>
      <c r="M349" s="236"/>
    </row>
    <row r="350" spans="1:13" x14ac:dyDescent="0.2">
      <c r="A350" s="237"/>
      <c r="B350" s="302"/>
      <c r="C350" s="302"/>
      <c r="D350" s="302"/>
      <c r="E350" s="303"/>
      <c r="F350" s="302"/>
      <c r="G350" s="302"/>
      <c r="H350" s="302"/>
      <c r="I350" s="303"/>
      <c r="J350" s="302"/>
      <c r="K350" s="302"/>
      <c r="L350" s="302"/>
      <c r="M350" s="236"/>
    </row>
    <row r="351" spans="1:13" x14ac:dyDescent="0.2">
      <c r="A351" s="237"/>
      <c r="B351" s="302"/>
      <c r="C351" s="302"/>
      <c r="D351" s="302"/>
      <c r="E351" s="303"/>
      <c r="F351" s="302"/>
      <c r="G351" s="302"/>
      <c r="H351" s="302"/>
      <c r="I351" s="303"/>
      <c r="J351" s="302"/>
      <c r="K351" s="302"/>
      <c r="L351" s="302"/>
      <c r="M351" s="236"/>
    </row>
    <row r="352" spans="1:13" x14ac:dyDescent="0.2">
      <c r="A352" s="237"/>
      <c r="B352" s="302"/>
      <c r="C352" s="302"/>
      <c r="D352" s="302"/>
      <c r="E352" s="303"/>
      <c r="F352" s="302"/>
      <c r="G352" s="302"/>
      <c r="H352" s="302"/>
      <c r="I352" s="303"/>
      <c r="J352" s="302"/>
      <c r="K352" s="302"/>
      <c r="L352" s="302"/>
      <c r="M352" s="236"/>
    </row>
    <row r="353" spans="1:13" x14ac:dyDescent="0.2">
      <c r="A353" s="237"/>
      <c r="B353" s="302"/>
      <c r="C353" s="302"/>
      <c r="D353" s="302"/>
      <c r="E353" s="303"/>
      <c r="F353" s="302"/>
      <c r="G353" s="302"/>
      <c r="H353" s="302"/>
      <c r="I353" s="303"/>
      <c r="J353" s="302"/>
      <c r="K353" s="302"/>
      <c r="L353" s="302"/>
      <c r="M353" s="236"/>
    </row>
    <row r="354" spans="1:13" x14ac:dyDescent="0.2">
      <c r="A354" s="237"/>
      <c r="B354" s="302"/>
      <c r="C354" s="302"/>
      <c r="D354" s="302"/>
      <c r="E354" s="303"/>
      <c r="F354" s="302"/>
      <c r="G354" s="302"/>
      <c r="H354" s="302"/>
      <c r="I354" s="303"/>
      <c r="J354" s="302"/>
      <c r="K354" s="302"/>
      <c r="L354" s="302"/>
      <c r="M354" s="236"/>
    </row>
    <row r="355" spans="1:13" x14ac:dyDescent="0.2">
      <c r="A355" s="237"/>
      <c r="B355" s="302"/>
      <c r="C355" s="302"/>
      <c r="D355" s="302"/>
      <c r="E355" s="303"/>
      <c r="F355" s="302"/>
      <c r="G355" s="302"/>
      <c r="H355" s="302"/>
      <c r="I355" s="303"/>
      <c r="J355" s="302"/>
      <c r="K355" s="302"/>
      <c r="L355" s="302"/>
      <c r="M355" s="236"/>
    </row>
    <row r="356" spans="1:13" x14ac:dyDescent="0.2">
      <c r="A356" s="237"/>
      <c r="B356" s="302"/>
      <c r="C356" s="302"/>
      <c r="D356" s="302"/>
      <c r="E356" s="303"/>
      <c r="F356" s="302"/>
      <c r="G356" s="302"/>
      <c r="H356" s="302"/>
      <c r="I356" s="303"/>
      <c r="J356" s="302"/>
      <c r="K356" s="302"/>
      <c r="L356" s="302"/>
      <c r="M356" s="236"/>
    </row>
    <row r="357" spans="1:13" x14ac:dyDescent="0.2">
      <c r="A357" s="237"/>
      <c r="B357" s="302"/>
      <c r="C357" s="302"/>
      <c r="D357" s="302"/>
      <c r="E357" s="303"/>
      <c r="F357" s="302"/>
      <c r="G357" s="302"/>
      <c r="H357" s="302"/>
      <c r="I357" s="303"/>
      <c r="J357" s="302"/>
      <c r="K357" s="302"/>
      <c r="L357" s="302"/>
      <c r="M357" s="236"/>
    </row>
    <row r="358" spans="1:13" x14ac:dyDescent="0.2">
      <c r="A358" s="237"/>
      <c r="B358" s="302"/>
      <c r="C358" s="302"/>
      <c r="D358" s="302"/>
      <c r="E358" s="303"/>
      <c r="F358" s="302"/>
      <c r="G358" s="302"/>
      <c r="H358" s="302"/>
      <c r="I358" s="303"/>
      <c r="J358" s="302"/>
      <c r="K358" s="302"/>
      <c r="L358" s="302"/>
      <c r="M358" s="236"/>
    </row>
    <row r="359" spans="1:13" x14ac:dyDescent="0.2">
      <c r="A359" s="237"/>
      <c r="B359" s="303"/>
      <c r="C359" s="303"/>
      <c r="D359" s="303"/>
      <c r="E359" s="303"/>
      <c r="F359" s="303"/>
      <c r="G359" s="303"/>
      <c r="H359" s="303"/>
      <c r="I359" s="303"/>
      <c r="J359" s="303"/>
      <c r="K359" s="303"/>
      <c r="L359" s="303"/>
      <c r="M359" s="236"/>
    </row>
    <row r="360" spans="1:13" x14ac:dyDescent="0.2">
      <c r="A360" s="237"/>
      <c r="B360" s="237"/>
      <c r="C360" s="237"/>
      <c r="D360" s="237"/>
      <c r="E360" s="237"/>
      <c r="F360" s="237"/>
      <c r="G360" s="237"/>
      <c r="H360" s="237"/>
      <c r="I360" s="237"/>
      <c r="J360" s="237"/>
      <c r="K360" s="237"/>
      <c r="L360" s="240"/>
      <c r="M360" s="236"/>
    </row>
    <row r="361" spans="1:13" x14ac:dyDescent="0.2">
      <c r="A361" s="237"/>
      <c r="B361" s="237"/>
      <c r="C361" s="237"/>
      <c r="D361" s="237"/>
      <c r="E361" s="237"/>
      <c r="F361" s="237"/>
      <c r="G361" s="237"/>
      <c r="H361" s="237"/>
      <c r="I361" s="237"/>
      <c r="J361" s="237"/>
      <c r="K361" s="237"/>
      <c r="L361" s="284"/>
      <c r="M361" s="236"/>
    </row>
    <row r="362" spans="1:13" x14ac:dyDescent="0.2">
      <c r="A362" s="258"/>
      <c r="B362" s="241"/>
      <c r="C362" s="241"/>
      <c r="D362" s="241"/>
      <c r="E362" s="241"/>
      <c r="F362" s="241"/>
      <c r="G362" s="241"/>
      <c r="H362" s="241"/>
      <c r="I362" s="241"/>
      <c r="J362" s="241"/>
      <c r="K362" s="241"/>
      <c r="L362" s="236"/>
      <c r="M362" s="236"/>
    </row>
    <row r="363" spans="1:13" x14ac:dyDescent="0.2">
      <c r="A363" s="241"/>
      <c r="B363" s="372"/>
      <c r="C363" s="372"/>
      <c r="D363" s="372"/>
      <c r="E363" s="253"/>
      <c r="F363" s="372"/>
      <c r="G363" s="372"/>
      <c r="H363" s="372"/>
      <c r="I363" s="253"/>
      <c r="J363" s="372"/>
      <c r="K363" s="372"/>
      <c r="L363" s="372"/>
      <c r="M363" s="236"/>
    </row>
    <row r="364" spans="1:13" x14ac:dyDescent="0.2">
      <c r="A364" s="258"/>
      <c r="B364" s="259"/>
      <c r="C364" s="259"/>
      <c r="D364" s="259"/>
      <c r="E364" s="259"/>
      <c r="F364" s="259"/>
      <c r="G364" s="259"/>
      <c r="H364" s="259"/>
      <c r="I364" s="259"/>
      <c r="J364" s="259"/>
      <c r="K364" s="259"/>
      <c r="L364" s="259"/>
      <c r="M364" s="236"/>
    </row>
    <row r="365" spans="1:13" x14ac:dyDescent="0.2">
      <c r="A365" s="258"/>
      <c r="B365" s="259"/>
      <c r="C365" s="259"/>
      <c r="D365" s="259"/>
      <c r="E365" s="259"/>
      <c r="F365" s="259"/>
      <c r="G365" s="259"/>
      <c r="H365" s="259"/>
      <c r="I365" s="259"/>
      <c r="J365" s="259"/>
      <c r="K365" s="259"/>
      <c r="L365" s="259"/>
      <c r="M365" s="236"/>
    </row>
    <row r="366" spans="1:13" x14ac:dyDescent="0.2">
      <c r="A366" s="237"/>
      <c r="B366" s="302"/>
      <c r="C366" s="302"/>
      <c r="D366" s="302"/>
      <c r="E366" s="303"/>
      <c r="F366" s="302"/>
      <c r="G366" s="302"/>
      <c r="H366" s="302"/>
      <c r="I366" s="303"/>
      <c r="J366" s="302"/>
      <c r="K366" s="302"/>
      <c r="L366" s="302"/>
      <c r="M366" s="236"/>
    </row>
    <row r="367" spans="1:13" x14ac:dyDescent="0.2">
      <c r="A367" s="237"/>
      <c r="B367" s="302"/>
      <c r="C367" s="302"/>
      <c r="D367" s="302"/>
      <c r="E367" s="303"/>
      <c r="F367" s="302"/>
      <c r="G367" s="302"/>
      <c r="H367" s="302"/>
      <c r="I367" s="303"/>
      <c r="J367" s="302"/>
      <c r="K367" s="302"/>
      <c r="L367" s="302"/>
      <c r="M367" s="236"/>
    </row>
    <row r="368" spans="1:13" x14ac:dyDescent="0.2">
      <c r="A368" s="237"/>
      <c r="B368" s="302"/>
      <c r="C368" s="302"/>
      <c r="D368" s="302"/>
      <c r="E368" s="303"/>
      <c r="F368" s="302"/>
      <c r="G368" s="302"/>
      <c r="H368" s="302"/>
      <c r="I368" s="303"/>
      <c r="J368" s="302"/>
      <c r="K368" s="302"/>
      <c r="L368" s="302"/>
      <c r="M368" s="236"/>
    </row>
    <row r="369" spans="1:13" x14ac:dyDescent="0.2">
      <c r="A369" s="237"/>
      <c r="B369" s="302"/>
      <c r="C369" s="302"/>
      <c r="D369" s="302"/>
      <c r="E369" s="303"/>
      <c r="F369" s="302"/>
      <c r="G369" s="302"/>
      <c r="H369" s="302"/>
      <c r="I369" s="303"/>
      <c r="J369" s="302"/>
      <c r="K369" s="302"/>
      <c r="L369" s="302"/>
      <c r="M369" s="236"/>
    </row>
    <row r="370" spans="1:13" x14ac:dyDescent="0.2">
      <c r="A370" s="237"/>
      <c r="B370" s="302"/>
      <c r="C370" s="302"/>
      <c r="D370" s="302"/>
      <c r="E370" s="303"/>
      <c r="F370" s="302"/>
      <c r="G370" s="302"/>
      <c r="H370" s="302"/>
      <c r="I370" s="303"/>
      <c r="J370" s="302"/>
      <c r="K370" s="302"/>
      <c r="L370" s="302"/>
      <c r="M370" s="236"/>
    </row>
    <row r="371" spans="1:13" x14ac:dyDescent="0.2">
      <c r="A371" s="237"/>
      <c r="B371" s="302"/>
      <c r="C371" s="302"/>
      <c r="D371" s="302"/>
      <c r="E371" s="303"/>
      <c r="F371" s="302"/>
      <c r="G371" s="302"/>
      <c r="H371" s="302"/>
      <c r="I371" s="303"/>
      <c r="J371" s="302"/>
      <c r="K371" s="302"/>
      <c r="L371" s="302"/>
      <c r="M371" s="236"/>
    </row>
    <row r="372" spans="1:13" x14ac:dyDescent="0.2">
      <c r="A372" s="237"/>
      <c r="B372" s="302"/>
      <c r="C372" s="302"/>
      <c r="D372" s="302"/>
      <c r="E372" s="303"/>
      <c r="F372" s="302"/>
      <c r="G372" s="302"/>
      <c r="H372" s="302"/>
      <c r="I372" s="303"/>
      <c r="J372" s="302"/>
      <c r="K372" s="302"/>
      <c r="L372" s="302"/>
      <c r="M372" s="236"/>
    </row>
    <row r="373" spans="1:13" x14ac:dyDescent="0.2">
      <c r="A373" s="237"/>
      <c r="B373" s="302"/>
      <c r="C373" s="302"/>
      <c r="D373" s="302"/>
      <c r="E373" s="303"/>
      <c r="F373" s="302"/>
      <c r="G373" s="302"/>
      <c r="H373" s="302"/>
      <c r="I373" s="303"/>
      <c r="J373" s="302"/>
      <c r="K373" s="302"/>
      <c r="L373" s="302"/>
      <c r="M373" s="236"/>
    </row>
    <row r="374" spans="1:13" x14ac:dyDescent="0.2">
      <c r="A374" s="237"/>
      <c r="B374" s="302"/>
      <c r="C374" s="302"/>
      <c r="D374" s="302"/>
      <c r="E374" s="303"/>
      <c r="F374" s="302"/>
      <c r="G374" s="302"/>
      <c r="H374" s="302"/>
      <c r="I374" s="303"/>
      <c r="J374" s="302"/>
      <c r="K374" s="302"/>
      <c r="L374" s="302"/>
      <c r="M374" s="236"/>
    </row>
    <row r="375" spans="1:13" x14ac:dyDescent="0.2">
      <c r="A375" s="237"/>
      <c r="B375" s="302"/>
      <c r="C375" s="302"/>
      <c r="D375" s="302"/>
      <c r="E375" s="303"/>
      <c r="F375" s="302"/>
      <c r="G375" s="302"/>
      <c r="H375" s="302"/>
      <c r="I375" s="303"/>
      <c r="J375" s="302"/>
      <c r="K375" s="302"/>
      <c r="L375" s="302"/>
      <c r="M375" s="236"/>
    </row>
    <row r="376" spans="1:13" x14ac:dyDescent="0.2">
      <c r="A376" s="237"/>
      <c r="B376" s="303"/>
      <c r="C376" s="303"/>
      <c r="D376" s="303"/>
      <c r="E376" s="303"/>
      <c r="F376" s="303"/>
      <c r="G376" s="303"/>
      <c r="H376" s="303"/>
      <c r="I376" s="303"/>
      <c r="J376" s="303"/>
      <c r="K376" s="303"/>
      <c r="L376" s="303"/>
      <c r="M376" s="236"/>
    </row>
    <row r="377" spans="1:13" x14ac:dyDescent="0.2">
      <c r="A377" s="237"/>
      <c r="B377" s="237"/>
      <c r="C377" s="237"/>
      <c r="D377" s="237"/>
      <c r="E377" s="237"/>
      <c r="F377" s="237"/>
      <c r="G377" s="237"/>
      <c r="H377" s="237"/>
      <c r="I377" s="237"/>
      <c r="J377" s="237"/>
      <c r="K377" s="237"/>
      <c r="L377" s="240"/>
      <c r="M377" s="236"/>
    </row>
    <row r="378" spans="1:13" x14ac:dyDescent="0.2">
      <c r="A378" s="237"/>
      <c r="B378" s="237"/>
      <c r="C378" s="237"/>
      <c r="D378" s="237"/>
      <c r="E378" s="237"/>
      <c r="F378" s="237"/>
      <c r="G378" s="237"/>
      <c r="H378" s="237"/>
      <c r="I378" s="237"/>
      <c r="J378" s="237"/>
      <c r="K378" s="237"/>
      <c r="L378" s="284"/>
      <c r="M378" s="236"/>
    </row>
    <row r="379" spans="1:13" x14ac:dyDescent="0.2">
      <c r="A379" s="258"/>
      <c r="B379" s="241"/>
      <c r="C379" s="241"/>
      <c r="D379" s="241"/>
      <c r="E379" s="241"/>
      <c r="F379" s="241"/>
      <c r="G379" s="241"/>
      <c r="H379" s="241"/>
      <c r="I379" s="241"/>
      <c r="J379" s="241"/>
      <c r="K379" s="241"/>
      <c r="L379" s="236"/>
      <c r="M379" s="236"/>
    </row>
    <row r="380" spans="1:13" x14ac:dyDescent="0.2">
      <c r="A380" s="241"/>
      <c r="B380" s="372"/>
      <c r="C380" s="372"/>
      <c r="D380" s="372"/>
      <c r="E380" s="253"/>
      <c r="F380" s="372"/>
      <c r="G380" s="372"/>
      <c r="H380" s="372"/>
      <c r="I380" s="253"/>
      <c r="J380" s="372"/>
      <c r="K380" s="372"/>
      <c r="L380" s="372"/>
      <c r="M380" s="236"/>
    </row>
    <row r="381" spans="1:13" x14ac:dyDescent="0.2">
      <c r="A381" s="258"/>
      <c r="B381" s="259"/>
      <c r="C381" s="259"/>
      <c r="D381" s="259"/>
      <c r="E381" s="259"/>
      <c r="F381" s="259"/>
      <c r="G381" s="259"/>
      <c r="H381" s="259"/>
      <c r="I381" s="259"/>
      <c r="J381" s="259"/>
      <c r="K381" s="259"/>
      <c r="L381" s="259"/>
      <c r="M381" s="236"/>
    </row>
    <row r="382" spans="1:13" x14ac:dyDescent="0.2">
      <c r="A382" s="258"/>
      <c r="B382" s="259"/>
      <c r="C382" s="259"/>
      <c r="D382" s="259"/>
      <c r="E382" s="259"/>
      <c r="F382" s="259"/>
      <c r="G382" s="259"/>
      <c r="H382" s="259"/>
      <c r="I382" s="259"/>
      <c r="J382" s="259"/>
      <c r="K382" s="259"/>
      <c r="L382" s="259"/>
      <c r="M382" s="236"/>
    </row>
    <row r="383" spans="1:13" x14ac:dyDescent="0.2">
      <c r="A383" s="237"/>
      <c r="B383" s="302"/>
      <c r="C383" s="302"/>
      <c r="D383" s="302"/>
      <c r="E383" s="303"/>
      <c r="F383" s="302"/>
      <c r="G383" s="302"/>
      <c r="H383" s="302"/>
      <c r="I383" s="303"/>
      <c r="J383" s="302"/>
      <c r="K383" s="302"/>
      <c r="L383" s="302"/>
      <c r="M383" s="236"/>
    </row>
    <row r="384" spans="1:13" x14ac:dyDescent="0.2">
      <c r="A384" s="237"/>
      <c r="B384" s="302"/>
      <c r="C384" s="302"/>
      <c r="D384" s="302"/>
      <c r="E384" s="303"/>
      <c r="F384" s="302"/>
      <c r="G384" s="302"/>
      <c r="H384" s="302"/>
      <c r="I384" s="303"/>
      <c r="J384" s="302"/>
      <c r="K384" s="302"/>
      <c r="L384" s="302"/>
      <c r="M384" s="236"/>
    </row>
    <row r="385" spans="1:13" x14ac:dyDescent="0.2">
      <c r="A385" s="237"/>
      <c r="B385" s="302"/>
      <c r="C385" s="302"/>
      <c r="D385" s="302"/>
      <c r="E385" s="303"/>
      <c r="F385" s="302"/>
      <c r="G385" s="302"/>
      <c r="H385" s="302"/>
      <c r="I385" s="303"/>
      <c r="J385" s="302"/>
      <c r="K385" s="302"/>
      <c r="L385" s="302"/>
      <c r="M385" s="236"/>
    </row>
    <row r="386" spans="1:13" x14ac:dyDescent="0.2">
      <c r="A386" s="237"/>
      <c r="B386" s="302"/>
      <c r="C386" s="302"/>
      <c r="D386" s="302"/>
      <c r="E386" s="303"/>
      <c r="F386" s="302"/>
      <c r="G386" s="302"/>
      <c r="H386" s="302"/>
      <c r="I386" s="303"/>
      <c r="J386" s="302"/>
      <c r="K386" s="302"/>
      <c r="L386" s="302"/>
      <c r="M386" s="236"/>
    </row>
    <row r="387" spans="1:13" x14ac:dyDescent="0.2">
      <c r="A387" s="237"/>
      <c r="B387" s="302"/>
      <c r="C387" s="302"/>
      <c r="D387" s="302"/>
      <c r="E387" s="303"/>
      <c r="F387" s="302"/>
      <c r="G387" s="302"/>
      <c r="H387" s="302"/>
      <c r="I387" s="303"/>
      <c r="J387" s="302"/>
      <c r="K387" s="302"/>
      <c r="L387" s="302"/>
      <c r="M387" s="236"/>
    </row>
    <row r="388" spans="1:13" x14ac:dyDescent="0.2">
      <c r="A388" s="237"/>
      <c r="B388" s="302"/>
      <c r="C388" s="302"/>
      <c r="D388" s="302"/>
      <c r="E388" s="303"/>
      <c r="F388" s="302"/>
      <c r="G388" s="302"/>
      <c r="H388" s="302"/>
      <c r="I388" s="303"/>
      <c r="J388" s="302"/>
      <c r="K388" s="302"/>
      <c r="L388" s="302"/>
      <c r="M388" s="236"/>
    </row>
    <row r="389" spans="1:13" x14ac:dyDescent="0.2">
      <c r="A389" s="237"/>
      <c r="B389" s="302"/>
      <c r="C389" s="302"/>
      <c r="D389" s="302"/>
      <c r="E389" s="303"/>
      <c r="F389" s="302"/>
      <c r="G389" s="302"/>
      <c r="H389" s="302"/>
      <c r="I389" s="303"/>
      <c r="J389" s="302"/>
      <c r="K389" s="302"/>
      <c r="L389" s="302"/>
      <c r="M389" s="236"/>
    </row>
    <row r="390" spans="1:13" x14ac:dyDescent="0.2">
      <c r="A390" s="237"/>
      <c r="B390" s="302"/>
      <c r="C390" s="302"/>
      <c r="D390" s="302"/>
      <c r="E390" s="303"/>
      <c r="F390" s="302"/>
      <c r="G390" s="302"/>
      <c r="H390" s="302"/>
      <c r="I390" s="303"/>
      <c r="J390" s="302"/>
      <c r="K390" s="302"/>
      <c r="L390" s="302"/>
      <c r="M390" s="236"/>
    </row>
    <row r="391" spans="1:13" x14ac:dyDescent="0.2">
      <c r="A391" s="237"/>
      <c r="B391" s="302"/>
      <c r="C391" s="302"/>
      <c r="D391" s="302"/>
      <c r="E391" s="303"/>
      <c r="F391" s="302"/>
      <c r="G391" s="302"/>
      <c r="H391" s="302"/>
      <c r="I391" s="303"/>
      <c r="J391" s="302"/>
      <c r="K391" s="302"/>
      <c r="L391" s="302"/>
      <c r="M391" s="236"/>
    </row>
    <row r="392" spans="1:13" x14ac:dyDescent="0.2">
      <c r="A392" s="237"/>
      <c r="B392" s="302"/>
      <c r="C392" s="302"/>
      <c r="D392" s="302"/>
      <c r="E392" s="303"/>
      <c r="F392" s="302"/>
      <c r="G392" s="302"/>
      <c r="H392" s="302"/>
      <c r="I392" s="303"/>
      <c r="J392" s="302"/>
      <c r="K392" s="302"/>
      <c r="L392" s="302"/>
      <c r="M392" s="236"/>
    </row>
    <row r="393" spans="1:13" x14ac:dyDescent="0.2">
      <c r="A393" s="237"/>
      <c r="B393" s="303"/>
      <c r="C393" s="303"/>
      <c r="D393" s="303"/>
      <c r="E393" s="303"/>
      <c r="F393" s="303"/>
      <c r="G393" s="303"/>
      <c r="H393" s="303"/>
      <c r="I393" s="303"/>
      <c r="J393" s="303"/>
      <c r="K393" s="303"/>
      <c r="L393" s="303"/>
      <c r="M393" s="236"/>
    </row>
    <row r="394" spans="1:13" x14ac:dyDescent="0.2">
      <c r="A394" s="237"/>
      <c r="B394" s="237"/>
      <c r="C394" s="237"/>
      <c r="D394" s="237"/>
      <c r="E394" s="237"/>
      <c r="F394" s="237"/>
      <c r="G394" s="237"/>
      <c r="H394" s="237"/>
      <c r="I394" s="237"/>
      <c r="J394" s="237"/>
      <c r="K394" s="237"/>
      <c r="L394" s="240"/>
      <c r="M394" s="236"/>
    </row>
    <row r="395" spans="1:13" x14ac:dyDescent="0.2">
      <c r="A395" s="237"/>
      <c r="B395" s="237"/>
      <c r="C395" s="237"/>
      <c r="D395" s="237"/>
      <c r="E395" s="237"/>
      <c r="F395" s="237"/>
      <c r="G395" s="237"/>
      <c r="H395" s="237"/>
      <c r="I395" s="237"/>
      <c r="J395" s="237"/>
      <c r="K395" s="237"/>
      <c r="L395" s="284"/>
      <c r="M395" s="236"/>
    </row>
    <row r="396" spans="1:13" x14ac:dyDescent="0.2">
      <c r="A396" s="258"/>
      <c r="B396" s="241"/>
      <c r="C396" s="241"/>
      <c r="D396" s="241"/>
      <c r="E396" s="241"/>
      <c r="F396" s="241"/>
      <c r="G396" s="241"/>
      <c r="H396" s="241"/>
      <c r="I396" s="241"/>
      <c r="J396" s="241"/>
      <c r="K396" s="241"/>
      <c r="L396" s="236"/>
      <c r="M396" s="236"/>
    </row>
    <row r="397" spans="1:13" x14ac:dyDescent="0.2">
      <c r="A397" s="241"/>
      <c r="B397" s="372"/>
      <c r="C397" s="372"/>
      <c r="D397" s="372"/>
      <c r="E397" s="253"/>
      <c r="F397" s="372"/>
      <c r="G397" s="372"/>
      <c r="H397" s="372"/>
      <c r="I397" s="253"/>
      <c r="J397" s="372"/>
      <c r="K397" s="372"/>
      <c r="L397" s="372"/>
      <c r="M397" s="236"/>
    </row>
    <row r="398" spans="1:13" x14ac:dyDescent="0.2">
      <c r="A398" s="258"/>
      <c r="B398" s="259"/>
      <c r="C398" s="259"/>
      <c r="D398" s="259"/>
      <c r="E398" s="259"/>
      <c r="F398" s="259"/>
      <c r="G398" s="259"/>
      <c r="H398" s="259"/>
      <c r="I398" s="259"/>
      <c r="J398" s="259"/>
      <c r="K398" s="259"/>
      <c r="L398" s="259"/>
      <c r="M398" s="236"/>
    </row>
    <row r="399" spans="1:13" x14ac:dyDescent="0.2">
      <c r="A399" s="258"/>
      <c r="B399" s="259"/>
      <c r="C399" s="259"/>
      <c r="D399" s="259"/>
      <c r="E399" s="259"/>
      <c r="F399" s="259"/>
      <c r="G399" s="259"/>
      <c r="H399" s="259"/>
      <c r="I399" s="259"/>
      <c r="J399" s="259"/>
      <c r="K399" s="259"/>
      <c r="L399" s="259"/>
      <c r="M399" s="236"/>
    </row>
    <row r="400" spans="1:13" x14ac:dyDescent="0.2">
      <c r="A400" s="237"/>
      <c r="B400" s="302"/>
      <c r="C400" s="302"/>
      <c r="D400" s="302"/>
      <c r="E400" s="303"/>
      <c r="F400" s="302"/>
      <c r="G400" s="302"/>
      <c r="H400" s="302"/>
      <c r="I400" s="303"/>
      <c r="J400" s="302"/>
      <c r="K400" s="302"/>
      <c r="L400" s="302"/>
      <c r="M400" s="236"/>
    </row>
    <row r="401" spans="1:13" x14ac:dyDescent="0.2">
      <c r="A401" s="237"/>
      <c r="B401" s="302"/>
      <c r="C401" s="302"/>
      <c r="D401" s="302"/>
      <c r="E401" s="303"/>
      <c r="F401" s="302"/>
      <c r="G401" s="302"/>
      <c r="H401" s="302"/>
      <c r="I401" s="303"/>
      <c r="J401" s="302"/>
      <c r="K401" s="302"/>
      <c r="L401" s="302"/>
      <c r="M401" s="236"/>
    </row>
    <row r="402" spans="1:13" x14ac:dyDescent="0.2">
      <c r="A402" s="237"/>
      <c r="B402" s="302"/>
      <c r="C402" s="302"/>
      <c r="D402" s="302"/>
      <c r="E402" s="303"/>
      <c r="F402" s="302"/>
      <c r="G402" s="302"/>
      <c r="H402" s="302"/>
      <c r="I402" s="303"/>
      <c r="J402" s="302"/>
      <c r="K402" s="302"/>
      <c r="L402" s="302"/>
      <c r="M402" s="236"/>
    </row>
    <row r="403" spans="1:13" x14ac:dyDescent="0.2">
      <c r="A403" s="237"/>
      <c r="B403" s="302"/>
      <c r="C403" s="302"/>
      <c r="D403" s="302"/>
      <c r="E403" s="303"/>
      <c r="F403" s="302"/>
      <c r="G403" s="302"/>
      <c r="H403" s="302"/>
      <c r="I403" s="303"/>
      <c r="J403" s="302"/>
      <c r="K403" s="302"/>
      <c r="L403" s="302"/>
      <c r="M403" s="236"/>
    </row>
    <row r="404" spans="1:13" x14ac:dyDescent="0.2">
      <c r="A404" s="237"/>
      <c r="B404" s="302"/>
      <c r="C404" s="302"/>
      <c r="D404" s="302"/>
      <c r="E404" s="303"/>
      <c r="F404" s="302"/>
      <c r="G404" s="302"/>
      <c r="H404" s="302"/>
      <c r="I404" s="303"/>
      <c r="J404" s="302"/>
      <c r="K404" s="302"/>
      <c r="L404" s="302"/>
      <c r="M404" s="236"/>
    </row>
    <row r="405" spans="1:13" x14ac:dyDescent="0.2">
      <c r="A405" s="237"/>
      <c r="B405" s="302"/>
      <c r="C405" s="302"/>
      <c r="D405" s="302"/>
      <c r="E405" s="303"/>
      <c r="F405" s="302"/>
      <c r="G405" s="302"/>
      <c r="H405" s="302"/>
      <c r="I405" s="303"/>
      <c r="J405" s="302"/>
      <c r="K405" s="302"/>
      <c r="L405" s="302"/>
      <c r="M405" s="236"/>
    </row>
    <row r="406" spans="1:13" x14ac:dyDescent="0.2">
      <c r="A406" s="237"/>
      <c r="B406" s="302"/>
      <c r="C406" s="302"/>
      <c r="D406" s="302"/>
      <c r="E406" s="303"/>
      <c r="F406" s="302"/>
      <c r="G406" s="302"/>
      <c r="H406" s="302"/>
      <c r="I406" s="303"/>
      <c r="J406" s="302"/>
      <c r="K406" s="302"/>
      <c r="L406" s="302"/>
      <c r="M406" s="236"/>
    </row>
    <row r="407" spans="1:13" x14ac:dyDescent="0.2">
      <c r="A407" s="237"/>
      <c r="B407" s="302"/>
      <c r="C407" s="302"/>
      <c r="D407" s="302"/>
      <c r="E407" s="303"/>
      <c r="F407" s="302"/>
      <c r="G407" s="302"/>
      <c r="H407" s="302"/>
      <c r="I407" s="303"/>
      <c r="J407" s="302"/>
      <c r="K407" s="302"/>
      <c r="L407" s="302"/>
      <c r="M407" s="236"/>
    </row>
    <row r="408" spans="1:13" x14ac:dyDescent="0.2">
      <c r="A408" s="237"/>
      <c r="B408" s="302"/>
      <c r="C408" s="302"/>
      <c r="D408" s="302"/>
      <c r="E408" s="303"/>
      <c r="F408" s="302"/>
      <c r="G408" s="302"/>
      <c r="H408" s="302"/>
      <c r="I408" s="303"/>
      <c r="J408" s="302"/>
      <c r="K408" s="302"/>
      <c r="L408" s="302"/>
      <c r="M408" s="236"/>
    </row>
    <row r="409" spans="1:13" x14ac:dyDescent="0.2">
      <c r="A409" s="237"/>
      <c r="B409" s="302"/>
      <c r="C409" s="302"/>
      <c r="D409" s="302"/>
      <c r="E409" s="303"/>
      <c r="F409" s="302"/>
      <c r="G409" s="302"/>
      <c r="H409" s="302"/>
      <c r="I409" s="303"/>
      <c r="J409" s="302"/>
      <c r="K409" s="302"/>
      <c r="L409" s="302"/>
      <c r="M409" s="236"/>
    </row>
    <row r="410" spans="1:13" x14ac:dyDescent="0.2">
      <c r="A410" s="237"/>
      <c r="B410" s="303"/>
      <c r="C410" s="303"/>
      <c r="D410" s="303"/>
      <c r="E410" s="303"/>
      <c r="F410" s="303"/>
      <c r="G410" s="303"/>
      <c r="H410" s="303"/>
      <c r="I410" s="303"/>
      <c r="J410" s="303"/>
      <c r="K410" s="303"/>
      <c r="L410" s="303"/>
      <c r="M410" s="236"/>
    </row>
    <row r="411" spans="1:13" x14ac:dyDescent="0.2">
      <c r="A411" s="237"/>
      <c r="B411" s="237"/>
      <c r="C411" s="237"/>
      <c r="D411" s="237"/>
      <c r="E411" s="237"/>
      <c r="F411" s="237"/>
      <c r="G411" s="237"/>
      <c r="H411" s="237"/>
      <c r="I411" s="237"/>
      <c r="J411" s="237"/>
      <c r="K411" s="237"/>
      <c r="L411" s="240"/>
      <c r="M411" s="236"/>
    </row>
    <row r="412" spans="1:13" x14ac:dyDescent="0.2">
      <c r="A412" s="237"/>
      <c r="B412" s="237"/>
      <c r="C412" s="237"/>
      <c r="D412" s="237"/>
      <c r="E412" s="237"/>
      <c r="F412" s="237"/>
      <c r="G412" s="237"/>
      <c r="H412" s="237"/>
      <c r="I412" s="237"/>
      <c r="J412" s="237"/>
      <c r="K412" s="237"/>
      <c r="L412" s="284"/>
      <c r="M412" s="236"/>
    </row>
    <row r="413" spans="1:13" x14ac:dyDescent="0.2">
      <c r="A413" s="258"/>
      <c r="B413" s="241"/>
      <c r="C413" s="241"/>
      <c r="D413" s="241"/>
      <c r="E413" s="241"/>
      <c r="F413" s="241"/>
      <c r="G413" s="241"/>
      <c r="H413" s="241"/>
      <c r="I413" s="241"/>
      <c r="J413" s="241"/>
      <c r="K413" s="241"/>
      <c r="L413" s="236"/>
      <c r="M413" s="236"/>
    </row>
    <row r="414" spans="1:13" x14ac:dyDescent="0.2">
      <c r="A414" s="241"/>
      <c r="B414" s="372"/>
      <c r="C414" s="372"/>
      <c r="D414" s="372"/>
      <c r="E414" s="253"/>
      <c r="F414" s="372"/>
      <c r="G414" s="372"/>
      <c r="H414" s="372"/>
      <c r="I414" s="253"/>
      <c r="J414" s="372"/>
      <c r="K414" s="372"/>
      <c r="L414" s="372"/>
      <c r="M414" s="236"/>
    </row>
    <row r="415" spans="1:13" x14ac:dyDescent="0.2">
      <c r="A415" s="258"/>
      <c r="B415" s="259"/>
      <c r="C415" s="259"/>
      <c r="D415" s="259"/>
      <c r="E415" s="259"/>
      <c r="F415" s="259"/>
      <c r="G415" s="259"/>
      <c r="H415" s="259"/>
      <c r="I415" s="259"/>
      <c r="J415" s="259"/>
      <c r="K415" s="259"/>
      <c r="L415" s="259"/>
      <c r="M415" s="236"/>
    </row>
    <row r="416" spans="1:13" x14ac:dyDescent="0.2">
      <c r="A416" s="258"/>
      <c r="B416" s="259"/>
      <c r="C416" s="259"/>
      <c r="D416" s="259"/>
      <c r="E416" s="259"/>
      <c r="F416" s="259"/>
      <c r="G416" s="259"/>
      <c r="H416" s="259"/>
      <c r="I416" s="259"/>
      <c r="J416" s="259"/>
      <c r="K416" s="259"/>
      <c r="L416" s="259"/>
      <c r="M416" s="236"/>
    </row>
    <row r="417" spans="1:13" x14ac:dyDescent="0.2">
      <c r="A417" s="237"/>
      <c r="B417" s="302"/>
      <c r="C417" s="302"/>
      <c r="D417" s="302"/>
      <c r="E417" s="303"/>
      <c r="F417" s="302"/>
      <c r="G417" s="302"/>
      <c r="H417" s="302"/>
      <c r="I417" s="303"/>
      <c r="J417" s="302"/>
      <c r="K417" s="302"/>
      <c r="L417" s="302"/>
      <c r="M417" s="236"/>
    </row>
    <row r="418" spans="1:13" x14ac:dyDescent="0.2">
      <c r="A418" s="237"/>
      <c r="B418" s="302"/>
      <c r="C418" s="302"/>
      <c r="D418" s="302"/>
      <c r="E418" s="303"/>
      <c r="F418" s="302"/>
      <c r="G418" s="302"/>
      <c r="H418" s="302"/>
      <c r="I418" s="303"/>
      <c r="J418" s="302"/>
      <c r="K418" s="302"/>
      <c r="L418" s="302"/>
      <c r="M418" s="236"/>
    </row>
    <row r="419" spans="1:13" x14ac:dyDescent="0.2">
      <c r="A419" s="237"/>
      <c r="B419" s="302"/>
      <c r="C419" s="302"/>
      <c r="D419" s="302"/>
      <c r="E419" s="303"/>
      <c r="F419" s="302"/>
      <c r="G419" s="302"/>
      <c r="H419" s="302"/>
      <c r="I419" s="303"/>
      <c r="J419" s="302"/>
      <c r="K419" s="302"/>
      <c r="L419" s="302"/>
      <c r="M419" s="236"/>
    </row>
    <row r="420" spans="1:13" x14ac:dyDescent="0.2">
      <c r="A420" s="237"/>
      <c r="B420" s="302"/>
      <c r="C420" s="302"/>
      <c r="D420" s="302"/>
      <c r="E420" s="303"/>
      <c r="F420" s="302"/>
      <c r="G420" s="302"/>
      <c r="H420" s="302"/>
      <c r="I420" s="303"/>
      <c r="J420" s="302"/>
      <c r="K420" s="302"/>
      <c r="L420" s="302"/>
      <c r="M420" s="236"/>
    </row>
    <row r="421" spans="1:13" x14ac:dyDescent="0.2">
      <c r="A421" s="237"/>
      <c r="B421" s="302"/>
      <c r="C421" s="302"/>
      <c r="D421" s="302"/>
      <c r="E421" s="303"/>
      <c r="F421" s="302"/>
      <c r="G421" s="302"/>
      <c r="H421" s="302"/>
      <c r="I421" s="303"/>
      <c r="J421" s="302"/>
      <c r="K421" s="302"/>
      <c r="L421" s="302"/>
      <c r="M421" s="236"/>
    </row>
    <row r="422" spans="1:13" x14ac:dyDescent="0.2">
      <c r="A422" s="237"/>
      <c r="B422" s="302"/>
      <c r="C422" s="302"/>
      <c r="D422" s="302"/>
      <c r="E422" s="303"/>
      <c r="F422" s="302"/>
      <c r="G422" s="302"/>
      <c r="H422" s="302"/>
      <c r="I422" s="303"/>
      <c r="J422" s="302"/>
      <c r="K422" s="302"/>
      <c r="L422" s="302"/>
      <c r="M422" s="236"/>
    </row>
    <row r="423" spans="1:13" x14ac:dyDescent="0.2">
      <c r="A423" s="237"/>
      <c r="B423" s="302"/>
      <c r="C423" s="302"/>
      <c r="D423" s="302"/>
      <c r="E423" s="303"/>
      <c r="F423" s="302"/>
      <c r="G423" s="302"/>
      <c r="H423" s="302"/>
      <c r="I423" s="303"/>
      <c r="J423" s="302"/>
      <c r="K423" s="302"/>
      <c r="L423" s="302"/>
      <c r="M423" s="236"/>
    </row>
    <row r="424" spans="1:13" x14ac:dyDescent="0.2">
      <c r="A424" s="237"/>
      <c r="B424" s="302"/>
      <c r="C424" s="302"/>
      <c r="D424" s="302"/>
      <c r="E424" s="303"/>
      <c r="F424" s="302"/>
      <c r="G424" s="302"/>
      <c r="H424" s="302"/>
      <c r="I424" s="303"/>
      <c r="J424" s="302"/>
      <c r="K424" s="302"/>
      <c r="L424" s="302"/>
      <c r="M424" s="236"/>
    </row>
    <row r="425" spans="1:13" x14ac:dyDescent="0.2">
      <c r="A425" s="237"/>
      <c r="B425" s="302"/>
      <c r="C425" s="302"/>
      <c r="D425" s="302"/>
      <c r="E425" s="303"/>
      <c r="F425" s="302"/>
      <c r="G425" s="302"/>
      <c r="H425" s="302"/>
      <c r="I425" s="303"/>
      <c r="J425" s="302"/>
      <c r="K425" s="302"/>
      <c r="L425" s="302"/>
      <c r="M425" s="236"/>
    </row>
    <row r="426" spans="1:13" x14ac:dyDescent="0.2">
      <c r="A426" s="237"/>
      <c r="B426" s="302"/>
      <c r="C426" s="302"/>
      <c r="D426" s="302"/>
      <c r="E426" s="303"/>
      <c r="F426" s="302"/>
      <c r="G426" s="302"/>
      <c r="H426" s="302"/>
      <c r="I426" s="303"/>
      <c r="J426" s="302"/>
      <c r="K426" s="302"/>
      <c r="L426" s="302"/>
      <c r="M426" s="236"/>
    </row>
    <row r="427" spans="1:13" x14ac:dyDescent="0.2">
      <c r="A427" s="237"/>
      <c r="B427" s="303"/>
      <c r="C427" s="303"/>
      <c r="D427" s="303"/>
      <c r="E427" s="303"/>
      <c r="F427" s="303"/>
      <c r="G427" s="303"/>
      <c r="H427" s="303"/>
      <c r="I427" s="303"/>
      <c r="J427" s="303"/>
      <c r="K427" s="303"/>
      <c r="L427" s="303"/>
      <c r="M427" s="236"/>
    </row>
    <row r="428" spans="1:13" x14ac:dyDescent="0.2">
      <c r="A428" s="237"/>
      <c r="B428" s="237"/>
      <c r="C428" s="237"/>
      <c r="D428" s="237"/>
      <c r="E428" s="237"/>
      <c r="F428" s="237"/>
      <c r="G428" s="237"/>
      <c r="H428" s="237"/>
      <c r="I428" s="237"/>
      <c r="J428" s="237"/>
      <c r="K428" s="237"/>
      <c r="L428" s="240"/>
      <c r="M428" s="236"/>
    </row>
    <row r="429" spans="1:13" x14ac:dyDescent="0.2">
      <c r="A429" s="237"/>
      <c r="B429" s="237"/>
      <c r="C429" s="237"/>
      <c r="D429" s="237"/>
      <c r="E429" s="237"/>
      <c r="F429" s="237"/>
      <c r="G429" s="237"/>
      <c r="H429" s="237"/>
      <c r="I429" s="237"/>
      <c r="J429" s="237"/>
      <c r="K429" s="237"/>
      <c r="L429" s="284"/>
      <c r="M429" s="236"/>
    </row>
    <row r="430" spans="1:13" x14ac:dyDescent="0.2">
      <c r="A430" s="258"/>
      <c r="B430" s="241"/>
      <c r="C430" s="241"/>
      <c r="D430" s="241"/>
      <c r="E430" s="241"/>
      <c r="F430" s="241"/>
      <c r="G430" s="241"/>
      <c r="H430" s="241"/>
      <c r="I430" s="241"/>
      <c r="J430" s="241"/>
      <c r="K430" s="241"/>
      <c r="L430" s="236"/>
      <c r="M430" s="236"/>
    </row>
    <row r="431" spans="1:13" x14ac:dyDescent="0.2">
      <c r="A431" s="241"/>
      <c r="B431" s="372"/>
      <c r="C431" s="372"/>
      <c r="D431" s="372"/>
      <c r="E431" s="253"/>
      <c r="F431" s="372"/>
      <c r="G431" s="372"/>
      <c r="H431" s="372"/>
      <c r="I431" s="253"/>
      <c r="J431" s="372"/>
      <c r="K431" s="372"/>
      <c r="L431" s="372"/>
      <c r="M431" s="236"/>
    </row>
    <row r="432" spans="1:13" x14ac:dyDescent="0.2">
      <c r="A432" s="258"/>
      <c r="B432" s="259"/>
      <c r="C432" s="259"/>
      <c r="D432" s="259"/>
      <c r="E432" s="259"/>
      <c r="F432" s="259"/>
      <c r="G432" s="259"/>
      <c r="H432" s="259"/>
      <c r="I432" s="259"/>
      <c r="J432" s="259"/>
      <c r="K432" s="259"/>
      <c r="L432" s="259"/>
      <c r="M432" s="236"/>
    </row>
    <row r="433" spans="1:13" x14ac:dyDescent="0.2">
      <c r="A433" s="258"/>
      <c r="B433" s="259"/>
      <c r="C433" s="259"/>
      <c r="D433" s="259"/>
      <c r="E433" s="259"/>
      <c r="F433" s="259"/>
      <c r="G433" s="259"/>
      <c r="H433" s="259"/>
      <c r="I433" s="259"/>
      <c r="J433" s="259"/>
      <c r="K433" s="259"/>
      <c r="L433" s="259"/>
      <c r="M433" s="236"/>
    </row>
    <row r="434" spans="1:13" x14ac:dyDescent="0.2">
      <c r="A434" s="237"/>
      <c r="B434" s="302"/>
      <c r="C434" s="302"/>
      <c r="D434" s="302"/>
      <c r="E434" s="303"/>
      <c r="F434" s="302"/>
      <c r="G434" s="302"/>
      <c r="H434" s="302"/>
      <c r="I434" s="303"/>
      <c r="J434" s="302"/>
      <c r="K434" s="302"/>
      <c r="L434" s="302"/>
      <c r="M434" s="236"/>
    </row>
    <row r="435" spans="1:13" x14ac:dyDescent="0.2">
      <c r="A435" s="237"/>
      <c r="B435" s="302"/>
      <c r="C435" s="302"/>
      <c r="D435" s="302"/>
      <c r="E435" s="303"/>
      <c r="F435" s="302"/>
      <c r="G435" s="302"/>
      <c r="H435" s="302"/>
      <c r="I435" s="303"/>
      <c r="J435" s="302"/>
      <c r="K435" s="302"/>
      <c r="L435" s="302"/>
      <c r="M435" s="236"/>
    </row>
    <row r="436" spans="1:13" x14ac:dyDescent="0.2">
      <c r="A436" s="237"/>
      <c r="B436" s="302"/>
      <c r="C436" s="302"/>
      <c r="D436" s="302"/>
      <c r="E436" s="303"/>
      <c r="F436" s="302"/>
      <c r="G436" s="302"/>
      <c r="H436" s="302"/>
      <c r="I436" s="303"/>
      <c r="J436" s="302"/>
      <c r="K436" s="302"/>
      <c r="L436" s="302"/>
      <c r="M436" s="236"/>
    </row>
    <row r="437" spans="1:13" x14ac:dyDescent="0.2">
      <c r="A437" s="237"/>
      <c r="B437" s="302"/>
      <c r="C437" s="302"/>
      <c r="D437" s="302"/>
      <c r="E437" s="303"/>
      <c r="F437" s="302"/>
      <c r="G437" s="302"/>
      <c r="H437" s="302"/>
      <c r="I437" s="303"/>
      <c r="J437" s="302"/>
      <c r="K437" s="302"/>
      <c r="L437" s="302"/>
      <c r="M437" s="236"/>
    </row>
    <row r="438" spans="1:13" x14ac:dyDescent="0.2">
      <c r="A438" s="237"/>
      <c r="B438" s="302"/>
      <c r="C438" s="302"/>
      <c r="D438" s="302"/>
      <c r="E438" s="303"/>
      <c r="F438" s="302"/>
      <c r="G438" s="302"/>
      <c r="H438" s="302"/>
      <c r="I438" s="303"/>
      <c r="J438" s="302"/>
      <c r="K438" s="302"/>
      <c r="L438" s="302"/>
      <c r="M438" s="236"/>
    </row>
    <row r="439" spans="1:13" x14ac:dyDescent="0.2">
      <c r="A439" s="237"/>
      <c r="B439" s="302"/>
      <c r="C439" s="302"/>
      <c r="D439" s="302"/>
      <c r="E439" s="303"/>
      <c r="F439" s="302"/>
      <c r="G439" s="302"/>
      <c r="H439" s="302"/>
      <c r="I439" s="303"/>
      <c r="J439" s="302"/>
      <c r="K439" s="302"/>
      <c r="L439" s="302"/>
      <c r="M439" s="236"/>
    </row>
    <row r="440" spans="1:13" x14ac:dyDescent="0.2">
      <c r="A440" s="237"/>
      <c r="B440" s="302"/>
      <c r="C440" s="302"/>
      <c r="D440" s="302"/>
      <c r="E440" s="303"/>
      <c r="F440" s="302"/>
      <c r="G440" s="302"/>
      <c r="H440" s="302"/>
      <c r="I440" s="303"/>
      <c r="J440" s="302"/>
      <c r="K440" s="302"/>
      <c r="L440" s="302"/>
      <c r="M440" s="236"/>
    </row>
    <row r="441" spans="1:13" x14ac:dyDescent="0.2">
      <c r="A441" s="237"/>
      <c r="B441" s="302"/>
      <c r="C441" s="302"/>
      <c r="D441" s="302"/>
      <c r="E441" s="303"/>
      <c r="F441" s="302"/>
      <c r="G441" s="302"/>
      <c r="H441" s="302"/>
      <c r="I441" s="303"/>
      <c r="J441" s="302"/>
      <c r="K441" s="302"/>
      <c r="L441" s="302"/>
      <c r="M441" s="236"/>
    </row>
    <row r="442" spans="1:13" x14ac:dyDescent="0.2">
      <c r="A442" s="237"/>
      <c r="B442" s="302"/>
      <c r="C442" s="302"/>
      <c r="D442" s="302"/>
      <c r="E442" s="303"/>
      <c r="F442" s="302"/>
      <c r="G442" s="302"/>
      <c r="H442" s="302"/>
      <c r="I442" s="303"/>
      <c r="J442" s="302"/>
      <c r="K442" s="302"/>
      <c r="L442" s="302"/>
      <c r="M442" s="236"/>
    </row>
    <row r="443" spans="1:13" x14ac:dyDescent="0.2">
      <c r="A443" s="237"/>
      <c r="B443" s="302"/>
      <c r="C443" s="302"/>
      <c r="D443" s="302"/>
      <c r="E443" s="303"/>
      <c r="F443" s="302"/>
      <c r="G443" s="302"/>
      <c r="H443" s="302"/>
      <c r="I443" s="303"/>
      <c r="J443" s="302"/>
      <c r="K443" s="302"/>
      <c r="L443" s="302"/>
      <c r="M443" s="236"/>
    </row>
    <row r="444" spans="1:13" x14ac:dyDescent="0.2">
      <c r="A444" s="237"/>
      <c r="B444" s="303"/>
      <c r="C444" s="303"/>
      <c r="D444" s="303"/>
      <c r="E444" s="303"/>
      <c r="F444" s="303"/>
      <c r="G444" s="303"/>
      <c r="H444" s="303"/>
      <c r="I444" s="303"/>
      <c r="J444" s="303"/>
      <c r="K444" s="303"/>
      <c r="L444" s="303"/>
      <c r="M444" s="236"/>
    </row>
    <row r="445" spans="1:13" x14ac:dyDescent="0.2">
      <c r="A445" s="237"/>
      <c r="B445" s="237"/>
      <c r="C445" s="237"/>
      <c r="D445" s="237"/>
      <c r="E445" s="237"/>
      <c r="F445" s="237"/>
      <c r="G445" s="237"/>
      <c r="H445" s="237"/>
      <c r="I445" s="237"/>
      <c r="J445" s="237"/>
      <c r="K445" s="237"/>
      <c r="L445" s="240"/>
      <c r="M445" s="236"/>
    </row>
    <row r="446" spans="1:13" x14ac:dyDescent="0.2">
      <c r="A446" s="237"/>
      <c r="B446" s="237"/>
      <c r="C446" s="237"/>
      <c r="D446" s="237"/>
      <c r="E446" s="237"/>
      <c r="F446" s="237"/>
      <c r="G446" s="237"/>
      <c r="H446" s="237"/>
      <c r="I446" s="237"/>
      <c r="J446" s="237"/>
      <c r="K446" s="237"/>
      <c r="L446" s="284"/>
      <c r="M446" s="236"/>
    </row>
    <row r="447" spans="1:13" x14ac:dyDescent="0.2">
      <c r="A447" s="258"/>
      <c r="B447" s="241"/>
      <c r="C447" s="241"/>
      <c r="D447" s="241"/>
      <c r="E447" s="241"/>
      <c r="F447" s="241"/>
      <c r="G447" s="241"/>
      <c r="H447" s="241"/>
      <c r="I447" s="241"/>
      <c r="J447" s="241"/>
      <c r="K447" s="241"/>
      <c r="L447" s="236"/>
      <c r="M447" s="236"/>
    </row>
    <row r="448" spans="1:13" x14ac:dyDescent="0.2">
      <c r="A448" s="241"/>
      <c r="B448" s="372"/>
      <c r="C448" s="372"/>
      <c r="D448" s="372"/>
      <c r="E448" s="253"/>
      <c r="F448" s="372"/>
      <c r="G448" s="372"/>
      <c r="H448" s="372"/>
      <c r="I448" s="253"/>
      <c r="J448" s="372"/>
      <c r="K448" s="372"/>
      <c r="L448" s="372"/>
      <c r="M448" s="236"/>
    </row>
    <row r="449" spans="1:13" x14ac:dyDescent="0.2">
      <c r="A449" s="258"/>
      <c r="B449" s="259"/>
      <c r="C449" s="259"/>
      <c r="D449" s="259"/>
      <c r="E449" s="259"/>
      <c r="F449" s="259"/>
      <c r="G449" s="259"/>
      <c r="H449" s="259"/>
      <c r="I449" s="259"/>
      <c r="J449" s="259"/>
      <c r="K449" s="259"/>
      <c r="L449" s="259"/>
      <c r="M449" s="236"/>
    </row>
    <row r="450" spans="1:13" x14ac:dyDescent="0.2">
      <c r="A450" s="258"/>
      <c r="B450" s="259"/>
      <c r="C450" s="259"/>
      <c r="D450" s="259"/>
      <c r="E450" s="259"/>
      <c r="F450" s="259"/>
      <c r="G450" s="259"/>
      <c r="H450" s="259"/>
      <c r="I450" s="259"/>
      <c r="J450" s="259"/>
      <c r="K450" s="259"/>
      <c r="L450" s="259"/>
      <c r="M450" s="236"/>
    </row>
    <row r="451" spans="1:13" x14ac:dyDescent="0.2">
      <c r="A451" s="237"/>
      <c r="B451" s="302"/>
      <c r="C451" s="302"/>
      <c r="D451" s="302"/>
      <c r="E451" s="303"/>
      <c r="F451" s="302"/>
      <c r="G451" s="302"/>
      <c r="H451" s="302"/>
      <c r="I451" s="303"/>
      <c r="J451" s="302"/>
      <c r="K451" s="302"/>
      <c r="L451" s="302"/>
      <c r="M451" s="236"/>
    </row>
    <row r="452" spans="1:13" x14ac:dyDescent="0.2">
      <c r="A452" s="237"/>
      <c r="B452" s="302"/>
      <c r="C452" s="302"/>
      <c r="D452" s="302"/>
      <c r="E452" s="303"/>
      <c r="F452" s="302"/>
      <c r="G452" s="302"/>
      <c r="H452" s="302"/>
      <c r="I452" s="303"/>
      <c r="J452" s="302"/>
      <c r="K452" s="302"/>
      <c r="L452" s="302"/>
      <c r="M452" s="236"/>
    </row>
    <row r="453" spans="1:13" x14ac:dyDescent="0.2">
      <c r="A453" s="237"/>
      <c r="B453" s="302"/>
      <c r="C453" s="302"/>
      <c r="D453" s="302"/>
      <c r="E453" s="303"/>
      <c r="F453" s="302"/>
      <c r="G453" s="302"/>
      <c r="H453" s="302"/>
      <c r="I453" s="303"/>
      <c r="J453" s="302"/>
      <c r="K453" s="302"/>
      <c r="L453" s="302"/>
      <c r="M453" s="236"/>
    </row>
    <row r="454" spans="1:13" x14ac:dyDescent="0.2">
      <c r="A454" s="237"/>
      <c r="B454" s="302"/>
      <c r="C454" s="302"/>
      <c r="D454" s="302"/>
      <c r="E454" s="303"/>
      <c r="F454" s="302"/>
      <c r="G454" s="302"/>
      <c r="H454" s="302"/>
      <c r="I454" s="303"/>
      <c r="J454" s="302"/>
      <c r="K454" s="302"/>
      <c r="L454" s="302"/>
      <c r="M454" s="236"/>
    </row>
    <row r="455" spans="1:13" x14ac:dyDescent="0.2">
      <c r="A455" s="237"/>
      <c r="B455" s="302"/>
      <c r="C455" s="302"/>
      <c r="D455" s="302"/>
      <c r="E455" s="303"/>
      <c r="F455" s="302"/>
      <c r="G455" s="302"/>
      <c r="H455" s="302"/>
      <c r="I455" s="303"/>
      <c r="J455" s="302"/>
      <c r="K455" s="302"/>
      <c r="L455" s="302"/>
      <c r="M455" s="236"/>
    </row>
    <row r="456" spans="1:13" x14ac:dyDescent="0.2">
      <c r="A456" s="237"/>
      <c r="B456" s="302"/>
      <c r="C456" s="302"/>
      <c r="D456" s="302"/>
      <c r="E456" s="303"/>
      <c r="F456" s="302"/>
      <c r="G456" s="302"/>
      <c r="H456" s="302"/>
      <c r="I456" s="303"/>
      <c r="J456" s="302"/>
      <c r="K456" s="302"/>
      <c r="L456" s="302"/>
      <c r="M456" s="236"/>
    </row>
    <row r="457" spans="1:13" x14ac:dyDescent="0.2">
      <c r="A457" s="237"/>
      <c r="B457" s="302"/>
      <c r="C457" s="302"/>
      <c r="D457" s="302"/>
      <c r="E457" s="303"/>
      <c r="F457" s="302"/>
      <c r="G457" s="302"/>
      <c r="H457" s="302"/>
      <c r="I457" s="303"/>
      <c r="J457" s="302"/>
      <c r="K457" s="302"/>
      <c r="L457" s="302"/>
      <c r="M457" s="236"/>
    </row>
    <row r="458" spans="1:13" x14ac:dyDescent="0.2">
      <c r="A458" s="237"/>
      <c r="B458" s="302"/>
      <c r="C458" s="302"/>
      <c r="D458" s="302"/>
      <c r="E458" s="303"/>
      <c r="F458" s="302"/>
      <c r="G458" s="302"/>
      <c r="H458" s="302"/>
      <c r="I458" s="303"/>
      <c r="J458" s="302"/>
      <c r="K458" s="302"/>
      <c r="L458" s="302"/>
      <c r="M458" s="236"/>
    </row>
    <row r="459" spans="1:13" x14ac:dyDescent="0.2">
      <c r="A459" s="237"/>
      <c r="B459" s="302"/>
      <c r="C459" s="302"/>
      <c r="D459" s="302"/>
      <c r="E459" s="303"/>
      <c r="F459" s="302"/>
      <c r="G459" s="302"/>
      <c r="H459" s="302"/>
      <c r="I459" s="303"/>
      <c r="J459" s="302"/>
      <c r="K459" s="302"/>
      <c r="L459" s="302"/>
      <c r="M459" s="236"/>
    </row>
    <row r="460" spans="1:13" x14ac:dyDescent="0.2">
      <c r="A460" s="237"/>
      <c r="B460" s="302"/>
      <c r="C460" s="302"/>
      <c r="D460" s="302"/>
      <c r="E460" s="303"/>
      <c r="F460" s="302"/>
      <c r="G460" s="302"/>
      <c r="H460" s="302"/>
      <c r="I460" s="303"/>
      <c r="J460" s="302"/>
      <c r="K460" s="302"/>
      <c r="L460" s="302"/>
      <c r="M460" s="236"/>
    </row>
    <row r="461" spans="1:13" x14ac:dyDescent="0.2">
      <c r="A461" s="237"/>
      <c r="B461" s="303"/>
      <c r="C461" s="303"/>
      <c r="D461" s="303"/>
      <c r="E461" s="303"/>
      <c r="F461" s="303"/>
      <c r="G461" s="303"/>
      <c r="H461" s="303"/>
      <c r="I461" s="303"/>
      <c r="J461" s="303"/>
      <c r="K461" s="303"/>
      <c r="L461" s="303"/>
      <c r="M461" s="236"/>
    </row>
    <row r="462" spans="1:13" x14ac:dyDescent="0.2">
      <c r="A462" s="237"/>
      <c r="B462" s="237"/>
      <c r="C462" s="237"/>
      <c r="D462" s="237"/>
      <c r="E462" s="237"/>
      <c r="F462" s="237"/>
      <c r="G462" s="237"/>
      <c r="H462" s="237"/>
      <c r="I462" s="237"/>
      <c r="J462" s="237"/>
      <c r="K462" s="237"/>
      <c r="L462" s="240"/>
      <c r="M462" s="236"/>
    </row>
    <row r="463" spans="1:13" x14ac:dyDescent="0.2">
      <c r="A463" s="237"/>
      <c r="B463" s="237"/>
      <c r="C463" s="237"/>
      <c r="D463" s="237"/>
      <c r="E463" s="237"/>
      <c r="F463" s="237"/>
      <c r="G463" s="237"/>
      <c r="H463" s="237"/>
      <c r="I463" s="237"/>
      <c r="J463" s="237"/>
      <c r="K463" s="237"/>
      <c r="L463" s="284"/>
      <c r="M463" s="236"/>
    </row>
    <row r="464" spans="1:13" x14ac:dyDescent="0.2">
      <c r="A464" s="258"/>
      <c r="B464" s="241"/>
      <c r="C464" s="241"/>
      <c r="D464" s="241"/>
      <c r="E464" s="241"/>
      <c r="F464" s="241"/>
      <c r="G464" s="241"/>
      <c r="H464" s="241"/>
      <c r="I464" s="241"/>
      <c r="J464" s="241"/>
      <c r="K464" s="241"/>
      <c r="L464" s="236"/>
      <c r="M464" s="236"/>
    </row>
    <row r="465" spans="1:13" x14ac:dyDescent="0.2">
      <c r="A465" s="241"/>
      <c r="B465" s="372"/>
      <c r="C465" s="372"/>
      <c r="D465" s="372"/>
      <c r="E465" s="253"/>
      <c r="F465" s="372"/>
      <c r="G465" s="372"/>
      <c r="H465" s="372"/>
      <c r="I465" s="253"/>
      <c r="J465" s="372"/>
      <c r="K465" s="372"/>
      <c r="L465" s="372"/>
      <c r="M465" s="236"/>
    </row>
    <row r="466" spans="1:13" x14ac:dyDescent="0.2">
      <c r="A466" s="258"/>
      <c r="B466" s="259"/>
      <c r="C466" s="259"/>
      <c r="D466" s="259"/>
      <c r="E466" s="259"/>
      <c r="F466" s="259"/>
      <c r="G466" s="259"/>
      <c r="H466" s="259"/>
      <c r="I466" s="259"/>
      <c r="J466" s="259"/>
      <c r="K466" s="259"/>
      <c r="L466" s="259"/>
      <c r="M466" s="236"/>
    </row>
    <row r="467" spans="1:13" x14ac:dyDescent="0.2">
      <c r="A467" s="258"/>
      <c r="B467" s="259"/>
      <c r="C467" s="259"/>
      <c r="D467" s="259"/>
      <c r="E467" s="259"/>
      <c r="F467" s="259"/>
      <c r="G467" s="259"/>
      <c r="H467" s="259"/>
      <c r="I467" s="259"/>
      <c r="J467" s="259"/>
      <c r="K467" s="259"/>
      <c r="L467" s="259"/>
      <c r="M467" s="236"/>
    </row>
    <row r="468" spans="1:13" x14ac:dyDescent="0.2">
      <c r="A468" s="237"/>
      <c r="B468" s="302"/>
      <c r="C468" s="302"/>
      <c r="D468" s="302"/>
      <c r="E468" s="303"/>
      <c r="F468" s="302"/>
      <c r="G468" s="302"/>
      <c r="H468" s="302"/>
      <c r="I468" s="303"/>
      <c r="J468" s="302"/>
      <c r="K468" s="302"/>
      <c r="L468" s="302"/>
      <c r="M468" s="236"/>
    </row>
    <row r="469" spans="1:13" x14ac:dyDescent="0.2">
      <c r="A469" s="237"/>
      <c r="B469" s="302"/>
      <c r="C469" s="302"/>
      <c r="D469" s="302"/>
      <c r="E469" s="303"/>
      <c r="F469" s="302"/>
      <c r="G469" s="302"/>
      <c r="H469" s="302"/>
      <c r="I469" s="303"/>
      <c r="J469" s="302"/>
      <c r="K469" s="302"/>
      <c r="L469" s="302"/>
      <c r="M469" s="236"/>
    </row>
    <row r="470" spans="1:13" x14ac:dyDescent="0.2">
      <c r="A470" s="237"/>
      <c r="B470" s="302"/>
      <c r="C470" s="302"/>
      <c r="D470" s="302"/>
      <c r="E470" s="303"/>
      <c r="F470" s="302"/>
      <c r="G470" s="302"/>
      <c r="H470" s="302"/>
      <c r="I470" s="303"/>
      <c r="J470" s="302"/>
      <c r="K470" s="302"/>
      <c r="L470" s="302"/>
      <c r="M470" s="236"/>
    </row>
    <row r="471" spans="1:13" x14ac:dyDescent="0.2">
      <c r="A471" s="237"/>
      <c r="B471" s="302"/>
      <c r="C471" s="302"/>
      <c r="D471" s="302"/>
      <c r="E471" s="303"/>
      <c r="F471" s="302"/>
      <c r="G471" s="302"/>
      <c r="H471" s="302"/>
      <c r="I471" s="303"/>
      <c r="J471" s="302"/>
      <c r="K471" s="302"/>
      <c r="L471" s="302"/>
      <c r="M471" s="236"/>
    </row>
    <row r="472" spans="1:13" x14ac:dyDescent="0.2">
      <c r="A472" s="237"/>
      <c r="B472" s="302"/>
      <c r="C472" s="302"/>
      <c r="D472" s="302"/>
      <c r="E472" s="303"/>
      <c r="F472" s="302"/>
      <c r="G472" s="302"/>
      <c r="H472" s="302"/>
      <c r="I472" s="303"/>
      <c r="J472" s="302"/>
      <c r="K472" s="302"/>
      <c r="L472" s="302"/>
      <c r="M472" s="236"/>
    </row>
    <row r="473" spans="1:13" x14ac:dyDescent="0.2">
      <c r="A473" s="237"/>
      <c r="B473" s="302"/>
      <c r="C473" s="302"/>
      <c r="D473" s="302"/>
      <c r="E473" s="303"/>
      <c r="F473" s="302"/>
      <c r="G473" s="302"/>
      <c r="H473" s="302"/>
      <c r="I473" s="303"/>
      <c r="J473" s="302"/>
      <c r="K473" s="302"/>
      <c r="L473" s="302"/>
      <c r="M473" s="236"/>
    </row>
    <row r="474" spans="1:13" x14ac:dyDescent="0.2">
      <c r="A474" s="237"/>
      <c r="B474" s="302"/>
      <c r="C474" s="302"/>
      <c r="D474" s="302"/>
      <c r="E474" s="303"/>
      <c r="F474" s="302"/>
      <c r="G474" s="302"/>
      <c r="H474" s="302"/>
      <c r="I474" s="303"/>
      <c r="J474" s="302"/>
      <c r="K474" s="302"/>
      <c r="L474" s="302"/>
      <c r="M474" s="236"/>
    </row>
    <row r="475" spans="1:13" x14ac:dyDescent="0.2">
      <c r="A475" s="237"/>
      <c r="B475" s="302"/>
      <c r="C475" s="302"/>
      <c r="D475" s="302"/>
      <c r="E475" s="303"/>
      <c r="F475" s="302"/>
      <c r="G475" s="302"/>
      <c r="H475" s="302"/>
      <c r="I475" s="303"/>
      <c r="J475" s="302"/>
      <c r="K475" s="302"/>
      <c r="L475" s="302"/>
      <c r="M475" s="236"/>
    </row>
    <row r="476" spans="1:13" x14ac:dyDescent="0.2">
      <c r="A476" s="237"/>
      <c r="B476" s="302"/>
      <c r="C476" s="302"/>
      <c r="D476" s="302"/>
      <c r="E476" s="303"/>
      <c r="F476" s="302"/>
      <c r="G476" s="302"/>
      <c r="H476" s="302"/>
      <c r="I476" s="303"/>
      <c r="J476" s="302"/>
      <c r="K476" s="302"/>
      <c r="L476" s="302"/>
      <c r="M476" s="236"/>
    </row>
    <row r="477" spans="1:13" x14ac:dyDescent="0.2">
      <c r="A477" s="237"/>
      <c r="B477" s="302"/>
      <c r="C477" s="302"/>
      <c r="D477" s="302"/>
      <c r="E477" s="303"/>
      <c r="F477" s="302"/>
      <c r="G477" s="302"/>
      <c r="H477" s="302"/>
      <c r="I477" s="303"/>
      <c r="J477" s="302"/>
      <c r="K477" s="302"/>
      <c r="L477" s="302"/>
      <c r="M477" s="236"/>
    </row>
    <row r="478" spans="1:13" x14ac:dyDescent="0.2">
      <c r="A478" s="237"/>
      <c r="B478" s="303"/>
      <c r="C478" s="303"/>
      <c r="D478" s="303"/>
      <c r="E478" s="303"/>
      <c r="F478" s="303"/>
      <c r="G478" s="303"/>
      <c r="H478" s="303"/>
      <c r="I478" s="303"/>
      <c r="J478" s="303"/>
      <c r="K478" s="303"/>
      <c r="L478" s="303"/>
      <c r="M478" s="236"/>
    </row>
    <row r="479" spans="1:13" x14ac:dyDescent="0.2">
      <c r="A479" s="237"/>
      <c r="B479" s="237"/>
      <c r="C479" s="237"/>
      <c r="D479" s="237"/>
      <c r="E479" s="237"/>
      <c r="F479" s="237"/>
      <c r="G479" s="237"/>
      <c r="H479" s="237"/>
      <c r="I479" s="237"/>
      <c r="J479" s="237"/>
      <c r="K479" s="237"/>
      <c r="L479" s="240"/>
      <c r="M479" s="236"/>
    </row>
    <row r="480" spans="1:13" x14ac:dyDescent="0.2">
      <c r="A480" s="237"/>
      <c r="B480" s="237"/>
      <c r="C480" s="237"/>
      <c r="D480" s="237"/>
      <c r="E480" s="237"/>
      <c r="F480" s="237"/>
      <c r="G480" s="237"/>
      <c r="H480" s="237"/>
      <c r="I480" s="237"/>
      <c r="J480" s="237"/>
      <c r="K480" s="237"/>
      <c r="L480" s="284"/>
      <c r="M480" s="236"/>
    </row>
    <row r="481" spans="1:13" x14ac:dyDescent="0.2">
      <c r="A481" s="258"/>
      <c r="B481" s="241"/>
      <c r="C481" s="241"/>
      <c r="D481" s="241"/>
      <c r="E481" s="241"/>
      <c r="F481" s="241"/>
      <c r="G481" s="241"/>
      <c r="H481" s="241"/>
      <c r="I481" s="241"/>
      <c r="J481" s="241"/>
      <c r="K481" s="241"/>
      <c r="L481" s="236"/>
      <c r="M481" s="236"/>
    </row>
    <row r="482" spans="1:13" x14ac:dyDescent="0.2">
      <c r="A482" s="241"/>
      <c r="B482" s="372"/>
      <c r="C482" s="372"/>
      <c r="D482" s="372"/>
      <c r="E482" s="253"/>
      <c r="F482" s="372"/>
      <c r="G482" s="372"/>
      <c r="H482" s="372"/>
      <c r="I482" s="253"/>
      <c r="J482" s="372"/>
      <c r="K482" s="372"/>
      <c r="L482" s="372"/>
      <c r="M482" s="236"/>
    </row>
    <row r="483" spans="1:13" x14ac:dyDescent="0.2">
      <c r="A483" s="258"/>
      <c r="B483" s="259"/>
      <c r="C483" s="259"/>
      <c r="D483" s="259"/>
      <c r="E483" s="259"/>
      <c r="F483" s="259"/>
      <c r="G483" s="259"/>
      <c r="H483" s="259"/>
      <c r="I483" s="259"/>
      <c r="J483" s="259"/>
      <c r="K483" s="259"/>
      <c r="L483" s="259"/>
      <c r="M483" s="236"/>
    </row>
    <row r="484" spans="1:13" x14ac:dyDescent="0.2">
      <c r="A484" s="258"/>
      <c r="B484" s="259"/>
      <c r="C484" s="259"/>
      <c r="D484" s="259"/>
      <c r="E484" s="259"/>
      <c r="F484" s="259"/>
      <c r="G484" s="259"/>
      <c r="H484" s="259"/>
      <c r="I484" s="259"/>
      <c r="J484" s="259"/>
      <c r="K484" s="259"/>
      <c r="L484" s="259"/>
      <c r="M484" s="236"/>
    </row>
    <row r="485" spans="1:13" x14ac:dyDescent="0.2">
      <c r="A485" s="237"/>
      <c r="B485" s="302"/>
      <c r="C485" s="302"/>
      <c r="D485" s="302"/>
      <c r="E485" s="303"/>
      <c r="F485" s="302"/>
      <c r="G485" s="302"/>
      <c r="H485" s="302"/>
      <c r="I485" s="303"/>
      <c r="J485" s="302"/>
      <c r="K485" s="302"/>
      <c r="L485" s="302"/>
      <c r="M485" s="236"/>
    </row>
    <row r="486" spans="1:13" x14ac:dyDescent="0.2">
      <c r="A486" s="237"/>
      <c r="B486" s="302"/>
      <c r="C486" s="302"/>
      <c r="D486" s="302"/>
      <c r="E486" s="303"/>
      <c r="F486" s="302"/>
      <c r="G486" s="302"/>
      <c r="H486" s="302"/>
      <c r="I486" s="303"/>
      <c r="J486" s="302"/>
      <c r="K486" s="302"/>
      <c r="L486" s="302"/>
      <c r="M486" s="236"/>
    </row>
    <row r="487" spans="1:13" x14ac:dyDescent="0.2">
      <c r="A487" s="237"/>
      <c r="B487" s="302"/>
      <c r="C487" s="302"/>
      <c r="D487" s="302"/>
      <c r="E487" s="303"/>
      <c r="F487" s="302"/>
      <c r="G487" s="302"/>
      <c r="H487" s="302"/>
      <c r="I487" s="303"/>
      <c r="J487" s="302"/>
      <c r="K487" s="302"/>
      <c r="L487" s="302"/>
      <c r="M487" s="236"/>
    </row>
    <row r="488" spans="1:13" x14ac:dyDescent="0.2">
      <c r="A488" s="237"/>
      <c r="B488" s="302"/>
      <c r="C488" s="302"/>
      <c r="D488" s="302"/>
      <c r="E488" s="303"/>
      <c r="F488" s="302"/>
      <c r="G488" s="302"/>
      <c r="H488" s="302"/>
      <c r="I488" s="303"/>
      <c r="J488" s="302"/>
      <c r="K488" s="302"/>
      <c r="L488" s="302"/>
      <c r="M488" s="236"/>
    </row>
    <row r="489" spans="1:13" x14ac:dyDescent="0.2">
      <c r="A489" s="237"/>
      <c r="B489" s="302"/>
      <c r="C489" s="302"/>
      <c r="D489" s="302"/>
      <c r="E489" s="303"/>
      <c r="F489" s="302"/>
      <c r="G489" s="302"/>
      <c r="H489" s="302"/>
      <c r="I489" s="303"/>
      <c r="J489" s="302"/>
      <c r="K489" s="302"/>
      <c r="L489" s="302"/>
      <c r="M489" s="236"/>
    </row>
    <row r="490" spans="1:13" x14ac:dyDescent="0.2">
      <c r="A490" s="237"/>
      <c r="B490" s="302"/>
      <c r="C490" s="302"/>
      <c r="D490" s="302"/>
      <c r="E490" s="303"/>
      <c r="F490" s="302"/>
      <c r="G490" s="302"/>
      <c r="H490" s="302"/>
      <c r="I490" s="303"/>
      <c r="J490" s="302"/>
      <c r="K490" s="302"/>
      <c r="L490" s="302"/>
      <c r="M490" s="236"/>
    </row>
    <row r="491" spans="1:13" x14ac:dyDescent="0.2">
      <c r="A491" s="237"/>
      <c r="B491" s="302"/>
      <c r="C491" s="302"/>
      <c r="D491" s="302"/>
      <c r="E491" s="303"/>
      <c r="F491" s="302"/>
      <c r="G491" s="302"/>
      <c r="H491" s="302"/>
      <c r="I491" s="303"/>
      <c r="J491" s="302"/>
      <c r="K491" s="302"/>
      <c r="L491" s="302"/>
      <c r="M491" s="236"/>
    </row>
    <row r="492" spans="1:13" x14ac:dyDescent="0.2">
      <c r="A492" s="237"/>
      <c r="B492" s="302"/>
      <c r="C492" s="302"/>
      <c r="D492" s="302"/>
      <c r="E492" s="303"/>
      <c r="F492" s="302"/>
      <c r="G492" s="302"/>
      <c r="H492" s="302"/>
      <c r="I492" s="303"/>
      <c r="J492" s="302"/>
      <c r="K492" s="302"/>
      <c r="L492" s="302"/>
      <c r="M492" s="236"/>
    </row>
    <row r="493" spans="1:13" x14ac:dyDescent="0.2">
      <c r="A493" s="237"/>
      <c r="B493" s="302"/>
      <c r="C493" s="302"/>
      <c r="D493" s="302"/>
      <c r="E493" s="303"/>
      <c r="F493" s="302"/>
      <c r="G493" s="302"/>
      <c r="H493" s="302"/>
      <c r="I493" s="303"/>
      <c r="J493" s="302"/>
      <c r="K493" s="302"/>
      <c r="L493" s="302"/>
      <c r="M493" s="236"/>
    </row>
    <row r="494" spans="1:13" x14ac:dyDescent="0.2">
      <c r="A494" s="237"/>
      <c r="B494" s="302"/>
      <c r="C494" s="302"/>
      <c r="D494" s="302"/>
      <c r="E494" s="303"/>
      <c r="F494" s="302"/>
      <c r="G494" s="302"/>
      <c r="H494" s="302"/>
      <c r="I494" s="303"/>
      <c r="J494" s="302"/>
      <c r="K494" s="302"/>
      <c r="L494" s="302"/>
      <c r="M494" s="236"/>
    </row>
    <row r="495" spans="1:13" x14ac:dyDescent="0.2">
      <c r="A495" s="237"/>
      <c r="B495" s="303"/>
      <c r="C495" s="303"/>
      <c r="D495" s="303"/>
      <c r="E495" s="303"/>
      <c r="F495" s="303"/>
      <c r="G495" s="303"/>
      <c r="H495" s="303"/>
      <c r="I495" s="303"/>
      <c r="J495" s="303"/>
      <c r="K495" s="303"/>
      <c r="L495" s="303"/>
      <c r="M495" s="236"/>
    </row>
    <row r="496" spans="1:13" x14ac:dyDescent="0.2">
      <c r="A496" s="237"/>
      <c r="B496" s="237"/>
      <c r="C496" s="237"/>
      <c r="D496" s="237"/>
      <c r="E496" s="237"/>
      <c r="F496" s="237"/>
      <c r="G496" s="237"/>
      <c r="H496" s="237"/>
      <c r="I496" s="237"/>
      <c r="J496" s="237"/>
      <c r="K496" s="237"/>
      <c r="L496" s="240"/>
      <c r="M496" s="236"/>
    </row>
    <row r="497" spans="1:13" x14ac:dyDescent="0.2">
      <c r="A497" s="237"/>
      <c r="B497" s="237"/>
      <c r="C497" s="237"/>
      <c r="D497" s="237"/>
      <c r="E497" s="237"/>
      <c r="F497" s="237"/>
      <c r="G497" s="237"/>
      <c r="H497" s="237"/>
      <c r="I497" s="237"/>
      <c r="J497" s="237"/>
      <c r="K497" s="237"/>
      <c r="L497" s="284"/>
      <c r="M497" s="236"/>
    </row>
    <row r="498" spans="1:13" x14ac:dyDescent="0.2">
      <c r="A498" s="258"/>
      <c r="B498" s="241"/>
      <c r="C498" s="241"/>
      <c r="D498" s="241"/>
      <c r="E498" s="241"/>
      <c r="F498" s="241"/>
      <c r="G498" s="241"/>
      <c r="H498" s="241"/>
      <c r="I498" s="241"/>
      <c r="J498" s="241"/>
      <c r="K498" s="241"/>
      <c r="L498" s="236"/>
      <c r="M498" s="236"/>
    </row>
    <row r="499" spans="1:13" x14ac:dyDescent="0.2">
      <c r="A499" s="241"/>
      <c r="B499" s="372"/>
      <c r="C499" s="372"/>
      <c r="D499" s="372"/>
      <c r="E499" s="253"/>
      <c r="F499" s="372"/>
      <c r="G499" s="372"/>
      <c r="H499" s="372"/>
      <c r="I499" s="253"/>
      <c r="J499" s="372"/>
      <c r="K499" s="372"/>
      <c r="L499" s="372"/>
      <c r="M499" s="236"/>
    </row>
    <row r="500" spans="1:13" x14ac:dyDescent="0.2">
      <c r="A500" s="258"/>
      <c r="B500" s="259"/>
      <c r="C500" s="259"/>
      <c r="D500" s="259"/>
      <c r="E500" s="259"/>
      <c r="F500" s="259"/>
      <c r="G500" s="259"/>
      <c r="H500" s="259"/>
      <c r="I500" s="259"/>
      <c r="J500" s="259"/>
      <c r="K500" s="259"/>
      <c r="L500" s="259"/>
      <c r="M500" s="236"/>
    </row>
    <row r="501" spans="1:13" x14ac:dyDescent="0.2">
      <c r="A501" s="258"/>
      <c r="B501" s="259"/>
      <c r="C501" s="259"/>
      <c r="D501" s="259"/>
      <c r="E501" s="259"/>
      <c r="F501" s="259"/>
      <c r="G501" s="259"/>
      <c r="H501" s="259"/>
      <c r="I501" s="259"/>
      <c r="J501" s="259"/>
      <c r="K501" s="259"/>
      <c r="L501" s="259"/>
      <c r="M501" s="236"/>
    </row>
    <row r="502" spans="1:13" x14ac:dyDescent="0.2">
      <c r="A502" s="237"/>
      <c r="B502" s="302"/>
      <c r="C502" s="302"/>
      <c r="D502" s="302"/>
      <c r="E502" s="303"/>
      <c r="F502" s="302"/>
      <c r="G502" s="302"/>
      <c r="H502" s="302"/>
      <c r="I502" s="303"/>
      <c r="J502" s="302"/>
      <c r="K502" s="302"/>
      <c r="L502" s="302"/>
      <c r="M502" s="236"/>
    </row>
    <row r="503" spans="1:13" x14ac:dyDescent="0.2">
      <c r="A503" s="237"/>
      <c r="B503" s="302"/>
      <c r="C503" s="302"/>
      <c r="D503" s="302"/>
      <c r="E503" s="303"/>
      <c r="F503" s="302"/>
      <c r="G503" s="302"/>
      <c r="H503" s="302"/>
      <c r="I503" s="303"/>
      <c r="J503" s="302"/>
      <c r="K503" s="302"/>
      <c r="L503" s="302"/>
      <c r="M503" s="236"/>
    </row>
    <row r="504" spans="1:13" x14ac:dyDescent="0.2">
      <c r="A504" s="237"/>
      <c r="B504" s="302"/>
      <c r="C504" s="302"/>
      <c r="D504" s="302"/>
      <c r="E504" s="303"/>
      <c r="F504" s="302"/>
      <c r="G504" s="302"/>
      <c r="H504" s="302"/>
      <c r="I504" s="303"/>
      <c r="J504" s="302"/>
      <c r="K504" s="302"/>
      <c r="L504" s="302"/>
      <c r="M504" s="236"/>
    </row>
    <row r="505" spans="1:13" x14ac:dyDescent="0.2">
      <c r="A505" s="237"/>
      <c r="B505" s="302"/>
      <c r="C505" s="302"/>
      <c r="D505" s="302"/>
      <c r="E505" s="303"/>
      <c r="F505" s="302"/>
      <c r="G505" s="302"/>
      <c r="H505" s="302"/>
      <c r="I505" s="303"/>
      <c r="J505" s="302"/>
      <c r="K505" s="302"/>
      <c r="L505" s="302"/>
      <c r="M505" s="236"/>
    </row>
    <row r="506" spans="1:13" x14ac:dyDescent="0.2">
      <c r="A506" s="237"/>
      <c r="B506" s="302"/>
      <c r="C506" s="302"/>
      <c r="D506" s="302"/>
      <c r="E506" s="303"/>
      <c r="F506" s="302"/>
      <c r="G506" s="302"/>
      <c r="H506" s="302"/>
      <c r="I506" s="303"/>
      <c r="J506" s="302"/>
      <c r="K506" s="302"/>
      <c r="L506" s="302"/>
      <c r="M506" s="236"/>
    </row>
    <row r="507" spans="1:13" x14ac:dyDescent="0.2">
      <c r="A507" s="237"/>
      <c r="B507" s="302"/>
      <c r="C507" s="302"/>
      <c r="D507" s="302"/>
      <c r="E507" s="303"/>
      <c r="F507" s="302"/>
      <c r="G507" s="302"/>
      <c r="H507" s="302"/>
      <c r="I507" s="303"/>
      <c r="J507" s="302"/>
      <c r="K507" s="302"/>
      <c r="L507" s="302"/>
      <c r="M507" s="236"/>
    </row>
    <row r="508" spans="1:13" x14ac:dyDescent="0.2">
      <c r="A508" s="237"/>
      <c r="B508" s="302"/>
      <c r="C508" s="302"/>
      <c r="D508" s="302"/>
      <c r="E508" s="303"/>
      <c r="F508" s="302"/>
      <c r="G508" s="302"/>
      <c r="H508" s="302"/>
      <c r="I508" s="303"/>
      <c r="J508" s="302"/>
      <c r="K508" s="302"/>
      <c r="L508" s="302"/>
      <c r="M508" s="236"/>
    </row>
    <row r="509" spans="1:13" x14ac:dyDescent="0.2">
      <c r="A509" s="237"/>
      <c r="B509" s="302"/>
      <c r="C509" s="302"/>
      <c r="D509" s="302"/>
      <c r="E509" s="303"/>
      <c r="F509" s="302"/>
      <c r="G509" s="302"/>
      <c r="H509" s="302"/>
      <c r="I509" s="303"/>
      <c r="J509" s="302"/>
      <c r="K509" s="302"/>
      <c r="L509" s="302"/>
      <c r="M509" s="236"/>
    </row>
    <row r="510" spans="1:13" x14ac:dyDescent="0.2">
      <c r="A510" s="237"/>
      <c r="B510" s="302"/>
      <c r="C510" s="302"/>
      <c r="D510" s="302"/>
      <c r="E510" s="303"/>
      <c r="F510" s="302"/>
      <c r="G510" s="302"/>
      <c r="H510" s="302"/>
      <c r="I510" s="303"/>
      <c r="J510" s="302"/>
      <c r="K510" s="302"/>
      <c r="L510" s="302"/>
      <c r="M510" s="236"/>
    </row>
    <row r="511" spans="1:13" x14ac:dyDescent="0.2">
      <c r="A511" s="237"/>
      <c r="B511" s="302"/>
      <c r="C511" s="302"/>
      <c r="D511" s="302"/>
      <c r="E511" s="303"/>
      <c r="F511" s="302"/>
      <c r="G511" s="302"/>
      <c r="H511" s="302"/>
      <c r="I511" s="303"/>
      <c r="J511" s="302"/>
      <c r="K511" s="302"/>
      <c r="L511" s="302"/>
      <c r="M511" s="236"/>
    </row>
    <row r="512" spans="1:13" x14ac:dyDescent="0.2">
      <c r="A512" s="237"/>
      <c r="B512" s="303"/>
      <c r="C512" s="303"/>
      <c r="D512" s="303"/>
      <c r="E512" s="303"/>
      <c r="F512" s="303"/>
      <c r="G512" s="303"/>
      <c r="H512" s="303"/>
      <c r="I512" s="303"/>
      <c r="J512" s="303"/>
      <c r="K512" s="303"/>
      <c r="L512" s="303"/>
      <c r="M512" s="236"/>
    </row>
    <row r="513" spans="1:13" x14ac:dyDescent="0.2">
      <c r="A513" s="237"/>
      <c r="B513" s="237"/>
      <c r="C513" s="237"/>
      <c r="D513" s="237"/>
      <c r="E513" s="237"/>
      <c r="F513" s="237"/>
      <c r="G513" s="237"/>
      <c r="H513" s="237"/>
      <c r="I513" s="237"/>
      <c r="J513" s="237"/>
      <c r="K513" s="237"/>
      <c r="L513" s="240"/>
      <c r="M513" s="236"/>
    </row>
    <row r="514" spans="1:13" x14ac:dyDescent="0.2">
      <c r="A514" s="237"/>
      <c r="B514" s="237"/>
      <c r="C514" s="237"/>
      <c r="D514" s="237"/>
      <c r="E514" s="237"/>
      <c r="F514" s="237"/>
      <c r="G514" s="237"/>
      <c r="H514" s="237"/>
      <c r="I514" s="237"/>
      <c r="J514" s="237"/>
      <c r="K514" s="237"/>
      <c r="L514" s="284"/>
      <c r="M514" s="236"/>
    </row>
    <row r="515" spans="1:13" x14ac:dyDescent="0.2">
      <c r="A515" s="258"/>
      <c r="B515" s="241"/>
      <c r="C515" s="241"/>
      <c r="D515" s="241"/>
      <c r="E515" s="241"/>
      <c r="F515" s="241"/>
      <c r="G515" s="241"/>
      <c r="H515" s="241"/>
      <c r="I515" s="241"/>
      <c r="J515" s="241"/>
      <c r="K515" s="241"/>
      <c r="L515" s="236"/>
      <c r="M515" s="236"/>
    </row>
    <row r="516" spans="1:13" x14ac:dyDescent="0.2">
      <c r="A516" s="241"/>
      <c r="B516" s="372"/>
      <c r="C516" s="372"/>
      <c r="D516" s="372"/>
      <c r="E516" s="253"/>
      <c r="F516" s="372"/>
      <c r="G516" s="372"/>
      <c r="H516" s="372"/>
      <c r="I516" s="253"/>
      <c r="J516" s="372"/>
      <c r="K516" s="372"/>
      <c r="L516" s="372"/>
      <c r="M516" s="236"/>
    </row>
    <row r="517" spans="1:13" x14ac:dyDescent="0.2">
      <c r="A517" s="258"/>
      <c r="B517" s="259"/>
      <c r="C517" s="259"/>
      <c r="D517" s="259"/>
      <c r="E517" s="259"/>
      <c r="F517" s="259"/>
      <c r="G517" s="259"/>
      <c r="H517" s="259"/>
      <c r="I517" s="259"/>
      <c r="J517" s="259"/>
      <c r="K517" s="259"/>
      <c r="L517" s="259"/>
      <c r="M517" s="236"/>
    </row>
    <row r="518" spans="1:13" x14ac:dyDescent="0.2">
      <c r="A518" s="258"/>
      <c r="B518" s="259"/>
      <c r="C518" s="259"/>
      <c r="D518" s="259"/>
      <c r="E518" s="259"/>
      <c r="F518" s="259"/>
      <c r="G518" s="259"/>
      <c r="H518" s="259"/>
      <c r="I518" s="259"/>
      <c r="J518" s="259"/>
      <c r="K518" s="259"/>
      <c r="L518" s="259"/>
      <c r="M518" s="236"/>
    </row>
    <row r="519" spans="1:13" x14ac:dyDescent="0.2">
      <c r="A519" s="237"/>
      <c r="B519" s="302"/>
      <c r="C519" s="302"/>
      <c r="D519" s="302"/>
      <c r="E519" s="303"/>
      <c r="F519" s="302"/>
      <c r="G519" s="302"/>
      <c r="H519" s="302"/>
      <c r="I519" s="303"/>
      <c r="J519" s="302"/>
      <c r="K519" s="302"/>
      <c r="L519" s="302"/>
      <c r="M519" s="236"/>
    </row>
    <row r="520" spans="1:13" x14ac:dyDescent="0.2">
      <c r="A520" s="237"/>
      <c r="B520" s="302"/>
      <c r="C520" s="302"/>
      <c r="D520" s="302"/>
      <c r="E520" s="303"/>
      <c r="F520" s="302"/>
      <c r="G520" s="302"/>
      <c r="H520" s="302"/>
      <c r="I520" s="303"/>
      <c r="J520" s="302"/>
      <c r="K520" s="302"/>
      <c r="L520" s="302"/>
      <c r="M520" s="236"/>
    </row>
    <row r="521" spans="1:13" x14ac:dyDescent="0.2">
      <c r="A521" s="237"/>
      <c r="B521" s="302"/>
      <c r="C521" s="302"/>
      <c r="D521" s="302"/>
      <c r="E521" s="303"/>
      <c r="F521" s="302"/>
      <c r="G521" s="302"/>
      <c r="H521" s="302"/>
      <c r="I521" s="303"/>
      <c r="J521" s="302"/>
      <c r="K521" s="302"/>
      <c r="L521" s="302"/>
      <c r="M521" s="236"/>
    </row>
    <row r="522" spans="1:13" x14ac:dyDescent="0.2">
      <c r="A522" s="237"/>
      <c r="B522" s="302"/>
      <c r="C522" s="302"/>
      <c r="D522" s="302"/>
      <c r="E522" s="303"/>
      <c r="F522" s="302"/>
      <c r="G522" s="302"/>
      <c r="H522" s="302"/>
      <c r="I522" s="303"/>
      <c r="J522" s="302"/>
      <c r="K522" s="302"/>
      <c r="L522" s="302"/>
      <c r="M522" s="236"/>
    </row>
    <row r="523" spans="1:13" x14ac:dyDescent="0.2">
      <c r="A523" s="237"/>
      <c r="B523" s="302"/>
      <c r="C523" s="302"/>
      <c r="D523" s="302"/>
      <c r="E523" s="303"/>
      <c r="F523" s="302"/>
      <c r="G523" s="302"/>
      <c r="H523" s="302"/>
      <c r="I523" s="303"/>
      <c r="J523" s="302"/>
      <c r="K523" s="302"/>
      <c r="L523" s="302"/>
      <c r="M523" s="236"/>
    </row>
    <row r="524" spans="1:13" x14ac:dyDescent="0.2">
      <c r="A524" s="237"/>
      <c r="B524" s="302"/>
      <c r="C524" s="302"/>
      <c r="D524" s="302"/>
      <c r="E524" s="303"/>
      <c r="F524" s="302"/>
      <c r="G524" s="302"/>
      <c r="H524" s="302"/>
      <c r="I524" s="303"/>
      <c r="J524" s="302"/>
      <c r="K524" s="302"/>
      <c r="L524" s="302"/>
      <c r="M524" s="236"/>
    </row>
    <row r="525" spans="1:13" x14ac:dyDescent="0.2">
      <c r="A525" s="237"/>
      <c r="B525" s="302"/>
      <c r="C525" s="302"/>
      <c r="D525" s="302"/>
      <c r="E525" s="303"/>
      <c r="F525" s="302"/>
      <c r="G525" s="302"/>
      <c r="H525" s="302"/>
      <c r="I525" s="303"/>
      <c r="J525" s="302"/>
      <c r="K525" s="302"/>
      <c r="L525" s="302"/>
      <c r="M525" s="236"/>
    </row>
    <row r="526" spans="1:13" x14ac:dyDescent="0.2">
      <c r="A526" s="237"/>
      <c r="B526" s="302"/>
      <c r="C526" s="302"/>
      <c r="D526" s="302"/>
      <c r="E526" s="303"/>
      <c r="F526" s="302"/>
      <c r="G526" s="302"/>
      <c r="H526" s="302"/>
      <c r="I526" s="303"/>
      <c r="J526" s="302"/>
      <c r="K526" s="302"/>
      <c r="L526" s="302"/>
      <c r="M526" s="236"/>
    </row>
    <row r="527" spans="1:13" x14ac:dyDescent="0.2">
      <c r="A527" s="237"/>
      <c r="B527" s="302"/>
      <c r="C527" s="302"/>
      <c r="D527" s="302"/>
      <c r="E527" s="303"/>
      <c r="F527" s="302"/>
      <c r="G527" s="302"/>
      <c r="H527" s="302"/>
      <c r="I527" s="303"/>
      <c r="J527" s="302"/>
      <c r="K527" s="302"/>
      <c r="L527" s="302"/>
      <c r="M527" s="236"/>
    </row>
    <row r="528" spans="1:13" x14ac:dyDescent="0.2">
      <c r="A528" s="237"/>
      <c r="B528" s="302"/>
      <c r="C528" s="302"/>
      <c r="D528" s="302"/>
      <c r="E528" s="303"/>
      <c r="F528" s="302"/>
      <c r="G528" s="302"/>
      <c r="H528" s="302"/>
      <c r="I528" s="303"/>
      <c r="J528" s="302"/>
      <c r="K528" s="302"/>
      <c r="L528" s="302"/>
      <c r="M528" s="236"/>
    </row>
    <row r="529" spans="1:13" x14ac:dyDescent="0.2">
      <c r="A529" s="237"/>
      <c r="B529" s="303"/>
      <c r="C529" s="303"/>
      <c r="D529" s="303"/>
      <c r="E529" s="303"/>
      <c r="F529" s="303"/>
      <c r="G529" s="303"/>
      <c r="H529" s="303"/>
      <c r="I529" s="303"/>
      <c r="J529" s="303"/>
      <c r="K529" s="303"/>
      <c r="L529" s="303"/>
      <c r="M529" s="236"/>
    </row>
    <row r="530" spans="1:13" x14ac:dyDescent="0.2">
      <c r="A530" s="237"/>
      <c r="B530" s="237"/>
      <c r="C530" s="237"/>
      <c r="D530" s="237"/>
      <c r="E530" s="237"/>
      <c r="F530" s="237"/>
      <c r="G530" s="237"/>
      <c r="H530" s="237"/>
      <c r="I530" s="237"/>
      <c r="J530" s="237"/>
      <c r="K530" s="237"/>
      <c r="L530" s="240"/>
      <c r="M530" s="236"/>
    </row>
    <row r="531" spans="1:13" x14ac:dyDescent="0.2">
      <c r="A531" s="237"/>
      <c r="B531" s="237"/>
      <c r="C531" s="237"/>
      <c r="D531" s="237"/>
      <c r="E531" s="237"/>
      <c r="F531" s="237"/>
      <c r="G531" s="237"/>
      <c r="H531" s="237"/>
      <c r="I531" s="237"/>
      <c r="J531" s="237"/>
      <c r="K531" s="237"/>
      <c r="L531" s="284"/>
      <c r="M531" s="236"/>
    </row>
    <row r="532" spans="1:13" x14ac:dyDescent="0.2">
      <c r="A532" s="258"/>
      <c r="B532" s="241"/>
      <c r="C532" s="241"/>
      <c r="D532" s="241"/>
      <c r="E532" s="241"/>
      <c r="F532" s="241"/>
      <c r="G532" s="241"/>
      <c r="H532" s="241"/>
      <c r="I532" s="241"/>
      <c r="J532" s="241"/>
      <c r="K532" s="241"/>
      <c r="L532" s="236"/>
      <c r="M532" s="236"/>
    </row>
    <row r="533" spans="1:13" x14ac:dyDescent="0.2">
      <c r="A533" s="241"/>
      <c r="B533" s="372"/>
      <c r="C533" s="372"/>
      <c r="D533" s="372"/>
      <c r="E533" s="253"/>
      <c r="F533" s="372"/>
      <c r="G533" s="372"/>
      <c r="H533" s="372"/>
      <c r="I533" s="253"/>
      <c r="J533" s="372"/>
      <c r="K533" s="372"/>
      <c r="L533" s="372"/>
      <c r="M533" s="236"/>
    </row>
    <row r="534" spans="1:13" x14ac:dyDescent="0.2">
      <c r="A534" s="258"/>
      <c r="B534" s="259"/>
      <c r="C534" s="259"/>
      <c r="D534" s="259"/>
      <c r="E534" s="259"/>
      <c r="F534" s="259"/>
      <c r="G534" s="259"/>
      <c r="H534" s="259"/>
      <c r="I534" s="259"/>
      <c r="J534" s="259"/>
      <c r="K534" s="259"/>
      <c r="L534" s="259"/>
      <c r="M534" s="236"/>
    </row>
    <row r="535" spans="1:13" x14ac:dyDescent="0.2">
      <c r="A535" s="258"/>
      <c r="B535" s="259"/>
      <c r="C535" s="259"/>
      <c r="D535" s="259"/>
      <c r="E535" s="259"/>
      <c r="F535" s="259"/>
      <c r="G535" s="259"/>
      <c r="H535" s="259"/>
      <c r="I535" s="259"/>
      <c r="J535" s="259"/>
      <c r="K535" s="259"/>
      <c r="L535" s="259"/>
      <c r="M535" s="236"/>
    </row>
    <row r="536" spans="1:13" x14ac:dyDescent="0.2">
      <c r="A536" s="237"/>
      <c r="B536" s="302"/>
      <c r="C536" s="302"/>
      <c r="D536" s="302"/>
      <c r="E536" s="303"/>
      <c r="F536" s="302"/>
      <c r="G536" s="302"/>
      <c r="H536" s="302"/>
      <c r="I536" s="303"/>
      <c r="J536" s="302"/>
      <c r="K536" s="302"/>
      <c r="L536" s="302"/>
      <c r="M536" s="236"/>
    </row>
    <row r="537" spans="1:13" x14ac:dyDescent="0.2">
      <c r="A537" s="237"/>
      <c r="B537" s="302"/>
      <c r="C537" s="302"/>
      <c r="D537" s="302"/>
      <c r="E537" s="303"/>
      <c r="F537" s="302"/>
      <c r="G537" s="302"/>
      <c r="H537" s="302"/>
      <c r="I537" s="303"/>
      <c r="J537" s="302"/>
      <c r="K537" s="302"/>
      <c r="L537" s="302"/>
      <c r="M537" s="236"/>
    </row>
    <row r="538" spans="1:13" x14ac:dyDescent="0.2">
      <c r="A538" s="237"/>
      <c r="B538" s="302"/>
      <c r="C538" s="302"/>
      <c r="D538" s="302"/>
      <c r="E538" s="303"/>
      <c r="F538" s="302"/>
      <c r="G538" s="302"/>
      <c r="H538" s="302"/>
      <c r="I538" s="303"/>
      <c r="J538" s="302"/>
      <c r="K538" s="302"/>
      <c r="L538" s="302"/>
      <c r="M538" s="236"/>
    </row>
    <row r="539" spans="1:13" x14ac:dyDescent="0.2">
      <c r="A539" s="237"/>
      <c r="B539" s="302"/>
      <c r="C539" s="302"/>
      <c r="D539" s="302"/>
      <c r="E539" s="303"/>
      <c r="F539" s="302"/>
      <c r="G539" s="302"/>
      <c r="H539" s="302"/>
      <c r="I539" s="303"/>
      <c r="J539" s="302"/>
      <c r="K539" s="302"/>
      <c r="L539" s="302"/>
      <c r="M539" s="236"/>
    </row>
    <row r="540" spans="1:13" x14ac:dyDescent="0.2">
      <c r="A540" s="237"/>
      <c r="B540" s="302"/>
      <c r="C540" s="302"/>
      <c r="D540" s="302"/>
      <c r="E540" s="303"/>
      <c r="F540" s="302"/>
      <c r="G540" s="302"/>
      <c r="H540" s="302"/>
      <c r="I540" s="303"/>
      <c r="J540" s="302"/>
      <c r="K540" s="302"/>
      <c r="L540" s="302"/>
      <c r="M540" s="236"/>
    </row>
    <row r="541" spans="1:13" x14ac:dyDescent="0.2">
      <c r="A541" s="237"/>
      <c r="B541" s="302"/>
      <c r="C541" s="302"/>
      <c r="D541" s="302"/>
      <c r="E541" s="303"/>
      <c r="F541" s="302"/>
      <c r="G541" s="302"/>
      <c r="H541" s="302"/>
      <c r="I541" s="303"/>
      <c r="J541" s="302"/>
      <c r="K541" s="302"/>
      <c r="L541" s="302"/>
      <c r="M541" s="236"/>
    </row>
    <row r="542" spans="1:13" x14ac:dyDescent="0.2">
      <c r="A542" s="237"/>
      <c r="B542" s="302"/>
      <c r="C542" s="302"/>
      <c r="D542" s="302"/>
      <c r="E542" s="303"/>
      <c r="F542" s="302"/>
      <c r="G542" s="302"/>
      <c r="H542" s="302"/>
      <c r="I542" s="303"/>
      <c r="J542" s="302"/>
      <c r="K542" s="302"/>
      <c r="L542" s="302"/>
      <c r="M542" s="236"/>
    </row>
    <row r="543" spans="1:13" x14ac:dyDescent="0.2">
      <c r="A543" s="237"/>
      <c r="B543" s="302"/>
      <c r="C543" s="302"/>
      <c r="D543" s="302"/>
      <c r="E543" s="303"/>
      <c r="F543" s="302"/>
      <c r="G543" s="302"/>
      <c r="H543" s="302"/>
      <c r="I543" s="303"/>
      <c r="J543" s="302"/>
      <c r="K543" s="302"/>
      <c r="L543" s="302"/>
      <c r="M543" s="236"/>
    </row>
    <row r="544" spans="1:13" x14ac:dyDescent="0.2">
      <c r="A544" s="237"/>
      <c r="B544" s="302"/>
      <c r="C544" s="302"/>
      <c r="D544" s="302"/>
      <c r="E544" s="303"/>
      <c r="F544" s="302"/>
      <c r="G544" s="302"/>
      <c r="H544" s="302"/>
      <c r="I544" s="303"/>
      <c r="J544" s="302"/>
      <c r="K544" s="302"/>
      <c r="L544" s="302"/>
      <c r="M544" s="236"/>
    </row>
    <row r="545" spans="1:13" x14ac:dyDescent="0.2">
      <c r="A545" s="237"/>
      <c r="B545" s="302"/>
      <c r="C545" s="302"/>
      <c r="D545" s="302"/>
      <c r="E545" s="303"/>
      <c r="F545" s="302"/>
      <c r="G545" s="302"/>
      <c r="H545" s="302"/>
      <c r="I545" s="303"/>
      <c r="J545" s="302"/>
      <c r="K545" s="302"/>
      <c r="L545" s="302"/>
      <c r="M545" s="236"/>
    </row>
    <row r="546" spans="1:13" x14ac:dyDescent="0.2">
      <c r="A546" s="237"/>
      <c r="B546" s="303"/>
      <c r="C546" s="303"/>
      <c r="D546" s="303"/>
      <c r="E546" s="303"/>
      <c r="F546" s="303"/>
      <c r="G546" s="303"/>
      <c r="H546" s="303"/>
      <c r="I546" s="303"/>
      <c r="J546" s="303"/>
      <c r="K546" s="303"/>
      <c r="L546" s="303"/>
      <c r="M546" s="236"/>
    </row>
    <row r="547" spans="1:13" x14ac:dyDescent="0.2">
      <c r="A547" s="237"/>
      <c r="B547" s="237"/>
      <c r="C547" s="237"/>
      <c r="D547" s="237"/>
      <c r="E547" s="237"/>
      <c r="F547" s="237"/>
      <c r="G547" s="237"/>
      <c r="H547" s="237"/>
      <c r="I547" s="237"/>
      <c r="J547" s="237"/>
      <c r="K547" s="237"/>
      <c r="L547" s="240"/>
      <c r="M547" s="236"/>
    </row>
    <row r="548" spans="1:13" x14ac:dyDescent="0.2">
      <c r="A548" s="237"/>
      <c r="B548" s="237"/>
      <c r="C548" s="237"/>
      <c r="D548" s="237"/>
      <c r="E548" s="237"/>
      <c r="F548" s="237"/>
      <c r="G548" s="237"/>
      <c r="H548" s="237"/>
      <c r="I548" s="237"/>
      <c r="J548" s="237"/>
      <c r="K548" s="237"/>
      <c r="L548" s="284"/>
      <c r="M548" s="236"/>
    </row>
    <row r="549" spans="1:13" x14ac:dyDescent="0.2">
      <c r="A549" s="258"/>
      <c r="B549" s="241"/>
      <c r="C549" s="241"/>
      <c r="D549" s="241"/>
      <c r="E549" s="241"/>
      <c r="F549" s="241"/>
      <c r="G549" s="241"/>
      <c r="H549" s="241"/>
      <c r="I549" s="241"/>
      <c r="J549" s="241"/>
      <c r="K549" s="241"/>
      <c r="L549" s="236"/>
      <c r="M549" s="236"/>
    </row>
    <row r="550" spans="1:13" x14ac:dyDescent="0.2">
      <c r="A550" s="241"/>
      <c r="B550" s="372"/>
      <c r="C550" s="372"/>
      <c r="D550" s="372"/>
      <c r="E550" s="253"/>
      <c r="F550" s="372"/>
      <c r="G550" s="372"/>
      <c r="H550" s="372"/>
      <c r="I550" s="253"/>
      <c r="J550" s="372"/>
      <c r="K550" s="372"/>
      <c r="L550" s="372"/>
      <c r="M550" s="236"/>
    </row>
    <row r="551" spans="1:13" x14ac:dyDescent="0.2">
      <c r="A551" s="258"/>
      <c r="B551" s="259"/>
      <c r="C551" s="259"/>
      <c r="D551" s="259"/>
      <c r="E551" s="259"/>
      <c r="F551" s="259"/>
      <c r="G551" s="259"/>
      <c r="H551" s="259"/>
      <c r="I551" s="259"/>
      <c r="J551" s="259"/>
      <c r="K551" s="259"/>
      <c r="L551" s="259"/>
      <c r="M551" s="236"/>
    </row>
    <row r="552" spans="1:13" x14ac:dyDescent="0.2">
      <c r="A552" s="258"/>
      <c r="B552" s="259"/>
      <c r="C552" s="259"/>
      <c r="D552" s="259"/>
      <c r="E552" s="259"/>
      <c r="F552" s="259"/>
      <c r="G552" s="259"/>
      <c r="H552" s="259"/>
      <c r="I552" s="259"/>
      <c r="J552" s="259"/>
      <c r="K552" s="259"/>
      <c r="L552" s="259"/>
      <c r="M552" s="236"/>
    </row>
    <row r="553" spans="1:13" x14ac:dyDescent="0.2">
      <c r="A553" s="237"/>
      <c r="B553" s="302"/>
      <c r="C553" s="302"/>
      <c r="D553" s="302"/>
      <c r="E553" s="303"/>
      <c r="F553" s="302"/>
      <c r="G553" s="302"/>
      <c r="H553" s="302"/>
      <c r="I553" s="303"/>
      <c r="J553" s="302"/>
      <c r="K553" s="302"/>
      <c r="L553" s="302"/>
      <c r="M553" s="236"/>
    </row>
    <row r="554" spans="1:13" x14ac:dyDescent="0.2">
      <c r="A554" s="237"/>
      <c r="B554" s="302"/>
      <c r="C554" s="302"/>
      <c r="D554" s="302"/>
      <c r="E554" s="303"/>
      <c r="F554" s="302"/>
      <c r="G554" s="302"/>
      <c r="H554" s="302"/>
      <c r="I554" s="303"/>
      <c r="J554" s="302"/>
      <c r="K554" s="302"/>
      <c r="L554" s="302"/>
      <c r="M554" s="236"/>
    </row>
    <row r="555" spans="1:13" x14ac:dyDescent="0.2">
      <c r="A555" s="237"/>
      <c r="B555" s="302"/>
      <c r="C555" s="302"/>
      <c r="D555" s="302"/>
      <c r="E555" s="303"/>
      <c r="F555" s="302"/>
      <c r="G555" s="302"/>
      <c r="H555" s="302"/>
      <c r="I555" s="303"/>
      <c r="J555" s="302"/>
      <c r="K555" s="302"/>
      <c r="L555" s="302"/>
      <c r="M555" s="236"/>
    </row>
    <row r="556" spans="1:13" x14ac:dyDescent="0.2">
      <c r="A556" s="237"/>
      <c r="B556" s="302"/>
      <c r="C556" s="302"/>
      <c r="D556" s="302"/>
      <c r="E556" s="303"/>
      <c r="F556" s="302"/>
      <c r="G556" s="302"/>
      <c r="H556" s="302"/>
      <c r="I556" s="303"/>
      <c r="J556" s="302"/>
      <c r="K556" s="302"/>
      <c r="L556" s="302"/>
      <c r="M556" s="236"/>
    </row>
    <row r="557" spans="1:13" x14ac:dyDescent="0.2">
      <c r="A557" s="237"/>
      <c r="B557" s="302"/>
      <c r="C557" s="302"/>
      <c r="D557" s="302"/>
      <c r="E557" s="303"/>
      <c r="F557" s="302"/>
      <c r="G557" s="302"/>
      <c r="H557" s="302"/>
      <c r="I557" s="303"/>
      <c r="J557" s="302"/>
      <c r="K557" s="302"/>
      <c r="L557" s="302"/>
      <c r="M557" s="236"/>
    </row>
    <row r="558" spans="1:13" x14ac:dyDescent="0.2">
      <c r="A558" s="237"/>
      <c r="B558" s="302"/>
      <c r="C558" s="302"/>
      <c r="D558" s="302"/>
      <c r="E558" s="303"/>
      <c r="F558" s="302"/>
      <c r="G558" s="302"/>
      <c r="H558" s="302"/>
      <c r="I558" s="303"/>
      <c r="J558" s="302"/>
      <c r="K558" s="302"/>
      <c r="L558" s="302"/>
      <c r="M558" s="236"/>
    </row>
    <row r="559" spans="1:13" x14ac:dyDescent="0.2">
      <c r="A559" s="237"/>
      <c r="B559" s="302"/>
      <c r="C559" s="302"/>
      <c r="D559" s="302"/>
      <c r="E559" s="303"/>
      <c r="F559" s="302"/>
      <c r="G559" s="302"/>
      <c r="H559" s="302"/>
      <c r="I559" s="303"/>
      <c r="J559" s="302"/>
      <c r="K559" s="302"/>
      <c r="L559" s="302"/>
      <c r="M559" s="236"/>
    </row>
    <row r="560" spans="1:13" x14ac:dyDescent="0.2">
      <c r="A560" s="237"/>
      <c r="B560" s="302"/>
      <c r="C560" s="302"/>
      <c r="D560" s="302"/>
      <c r="E560" s="303"/>
      <c r="F560" s="302"/>
      <c r="G560" s="302"/>
      <c r="H560" s="302"/>
      <c r="I560" s="303"/>
      <c r="J560" s="302"/>
      <c r="K560" s="302"/>
      <c r="L560" s="302"/>
      <c r="M560" s="236"/>
    </row>
    <row r="561" spans="1:13" x14ac:dyDescent="0.2">
      <c r="A561" s="237"/>
      <c r="B561" s="302"/>
      <c r="C561" s="302"/>
      <c r="D561" s="302"/>
      <c r="E561" s="303"/>
      <c r="F561" s="302"/>
      <c r="G561" s="302"/>
      <c r="H561" s="302"/>
      <c r="I561" s="303"/>
      <c r="J561" s="302"/>
      <c r="K561" s="302"/>
      <c r="L561" s="302"/>
      <c r="M561" s="236"/>
    </row>
    <row r="562" spans="1:13" x14ac:dyDescent="0.2">
      <c r="A562" s="237"/>
      <c r="B562" s="302"/>
      <c r="C562" s="302"/>
      <c r="D562" s="302"/>
      <c r="E562" s="303"/>
      <c r="F562" s="302"/>
      <c r="G562" s="302"/>
      <c r="H562" s="302"/>
      <c r="I562" s="303"/>
      <c r="J562" s="302"/>
      <c r="K562" s="302"/>
      <c r="L562" s="302"/>
      <c r="M562" s="236"/>
    </row>
    <row r="563" spans="1:13" x14ac:dyDescent="0.2">
      <c r="A563" s="237"/>
      <c r="B563" s="303"/>
      <c r="C563" s="303"/>
      <c r="D563" s="303"/>
      <c r="E563" s="303"/>
      <c r="F563" s="303"/>
      <c r="G563" s="303"/>
      <c r="H563" s="303"/>
      <c r="I563" s="303"/>
      <c r="J563" s="303"/>
      <c r="K563" s="303"/>
      <c r="L563" s="303"/>
      <c r="M563" s="236"/>
    </row>
    <row r="564" spans="1:13" x14ac:dyDescent="0.2">
      <c r="A564" s="237"/>
      <c r="B564" s="237"/>
      <c r="C564" s="237"/>
      <c r="D564" s="237"/>
      <c r="E564" s="237"/>
      <c r="F564" s="237"/>
      <c r="G564" s="237"/>
      <c r="H564" s="237"/>
      <c r="I564" s="237"/>
      <c r="J564" s="237"/>
      <c r="K564" s="237"/>
      <c r="L564" s="240"/>
      <c r="M564" s="236"/>
    </row>
    <row r="565" spans="1:13" x14ac:dyDescent="0.2">
      <c r="A565" s="237"/>
      <c r="B565" s="237"/>
      <c r="C565" s="237"/>
      <c r="D565" s="237"/>
      <c r="E565" s="237"/>
      <c r="F565" s="237"/>
      <c r="G565" s="237"/>
      <c r="H565" s="237"/>
      <c r="I565" s="237"/>
      <c r="J565" s="237"/>
      <c r="K565" s="237"/>
      <c r="L565" s="284"/>
      <c r="M565" s="236"/>
    </row>
    <row r="566" spans="1:13" x14ac:dyDescent="0.2">
      <c r="A566" s="258"/>
      <c r="B566" s="241"/>
      <c r="C566" s="241"/>
      <c r="D566" s="241"/>
      <c r="E566" s="241"/>
      <c r="F566" s="241"/>
      <c r="G566" s="241"/>
      <c r="H566" s="241"/>
      <c r="I566" s="241"/>
      <c r="J566" s="241"/>
      <c r="K566" s="241"/>
      <c r="L566" s="236"/>
      <c r="M566" s="236"/>
    </row>
    <row r="567" spans="1:13" x14ac:dyDescent="0.2">
      <c r="A567" s="241"/>
      <c r="B567" s="372"/>
      <c r="C567" s="372"/>
      <c r="D567" s="372"/>
      <c r="E567" s="253"/>
      <c r="F567" s="372"/>
      <c r="G567" s="372"/>
      <c r="H567" s="372"/>
      <c r="I567" s="253"/>
      <c r="J567" s="372"/>
      <c r="K567" s="372"/>
      <c r="L567" s="372"/>
      <c r="M567" s="236"/>
    </row>
    <row r="568" spans="1:13" x14ac:dyDescent="0.2">
      <c r="A568" s="258"/>
      <c r="B568" s="259"/>
      <c r="C568" s="259"/>
      <c r="D568" s="259"/>
      <c r="E568" s="259"/>
      <c r="F568" s="259"/>
      <c r="G568" s="259"/>
      <c r="H568" s="259"/>
      <c r="I568" s="259"/>
      <c r="J568" s="259"/>
      <c r="K568" s="259"/>
      <c r="L568" s="259"/>
      <c r="M568" s="236"/>
    </row>
    <row r="569" spans="1:13" x14ac:dyDescent="0.2">
      <c r="A569" s="258"/>
      <c r="B569" s="259"/>
      <c r="C569" s="259"/>
      <c r="D569" s="259"/>
      <c r="E569" s="259"/>
      <c r="F569" s="259"/>
      <c r="G569" s="259"/>
      <c r="H569" s="259"/>
      <c r="I569" s="259"/>
      <c r="J569" s="259"/>
      <c r="K569" s="259"/>
      <c r="L569" s="259"/>
      <c r="M569" s="236"/>
    </row>
    <row r="570" spans="1:13" x14ac:dyDescent="0.2">
      <c r="A570" s="237"/>
      <c r="B570" s="302"/>
      <c r="C570" s="302"/>
      <c r="D570" s="302"/>
      <c r="E570" s="303"/>
      <c r="F570" s="302"/>
      <c r="G570" s="302"/>
      <c r="H570" s="302"/>
      <c r="I570" s="303"/>
      <c r="J570" s="302"/>
      <c r="K570" s="302"/>
      <c r="L570" s="302"/>
      <c r="M570" s="236"/>
    </row>
    <row r="571" spans="1:13" x14ac:dyDescent="0.2">
      <c r="A571" s="237"/>
      <c r="B571" s="302"/>
      <c r="C571" s="302"/>
      <c r="D571" s="302"/>
      <c r="E571" s="303"/>
      <c r="F571" s="302"/>
      <c r="G571" s="302"/>
      <c r="H571" s="302"/>
      <c r="I571" s="303"/>
      <c r="J571" s="302"/>
      <c r="K571" s="302"/>
      <c r="L571" s="302"/>
      <c r="M571" s="236"/>
    </row>
    <row r="572" spans="1:13" x14ac:dyDescent="0.2">
      <c r="A572" s="237"/>
      <c r="B572" s="302"/>
      <c r="C572" s="302"/>
      <c r="D572" s="302"/>
      <c r="E572" s="303"/>
      <c r="F572" s="302"/>
      <c r="G572" s="302"/>
      <c r="H572" s="302"/>
      <c r="I572" s="303"/>
      <c r="J572" s="302"/>
      <c r="K572" s="302"/>
      <c r="L572" s="302"/>
      <c r="M572" s="236"/>
    </row>
    <row r="573" spans="1:13" x14ac:dyDescent="0.2">
      <c r="A573" s="237"/>
      <c r="B573" s="302"/>
      <c r="C573" s="302"/>
      <c r="D573" s="302"/>
      <c r="E573" s="303"/>
      <c r="F573" s="302"/>
      <c r="G573" s="302"/>
      <c r="H573" s="302"/>
      <c r="I573" s="303"/>
      <c r="J573" s="302"/>
      <c r="K573" s="302"/>
      <c r="L573" s="302"/>
      <c r="M573" s="236"/>
    </row>
    <row r="574" spans="1:13" x14ac:dyDescent="0.2">
      <c r="A574" s="237"/>
      <c r="B574" s="302"/>
      <c r="C574" s="302"/>
      <c r="D574" s="302"/>
      <c r="E574" s="303"/>
      <c r="F574" s="302"/>
      <c r="G574" s="302"/>
      <c r="H574" s="302"/>
      <c r="I574" s="303"/>
      <c r="J574" s="302"/>
      <c r="K574" s="302"/>
      <c r="L574" s="302"/>
      <c r="M574" s="236"/>
    </row>
    <row r="575" spans="1:13" x14ac:dyDescent="0.2">
      <c r="A575" s="237"/>
      <c r="B575" s="302"/>
      <c r="C575" s="302"/>
      <c r="D575" s="302"/>
      <c r="E575" s="303"/>
      <c r="F575" s="302"/>
      <c r="G575" s="302"/>
      <c r="H575" s="302"/>
      <c r="I575" s="303"/>
      <c r="J575" s="302"/>
      <c r="K575" s="302"/>
      <c r="L575" s="302"/>
      <c r="M575" s="236"/>
    </row>
    <row r="576" spans="1:13" x14ac:dyDescent="0.2">
      <c r="A576" s="237"/>
      <c r="B576" s="302"/>
      <c r="C576" s="302"/>
      <c r="D576" s="302"/>
      <c r="E576" s="303"/>
      <c r="F576" s="302"/>
      <c r="G576" s="302"/>
      <c r="H576" s="302"/>
      <c r="I576" s="303"/>
      <c r="J576" s="302"/>
      <c r="K576" s="302"/>
      <c r="L576" s="302"/>
      <c r="M576" s="236"/>
    </row>
    <row r="577" spans="1:13" x14ac:dyDescent="0.2">
      <c r="A577" s="237"/>
      <c r="B577" s="302"/>
      <c r="C577" s="302"/>
      <c r="D577" s="302"/>
      <c r="E577" s="303"/>
      <c r="F577" s="302"/>
      <c r="G577" s="302"/>
      <c r="H577" s="302"/>
      <c r="I577" s="303"/>
      <c r="J577" s="302"/>
      <c r="K577" s="302"/>
      <c r="L577" s="302"/>
      <c r="M577" s="236"/>
    </row>
    <row r="578" spans="1:13" x14ac:dyDescent="0.2">
      <c r="A578" s="237"/>
      <c r="B578" s="302"/>
      <c r="C578" s="302"/>
      <c r="D578" s="302"/>
      <c r="E578" s="303"/>
      <c r="F578" s="302"/>
      <c r="G578" s="302"/>
      <c r="H578" s="302"/>
      <c r="I578" s="303"/>
      <c r="J578" s="302"/>
      <c r="K578" s="302"/>
      <c r="L578" s="302"/>
      <c r="M578" s="236"/>
    </row>
    <row r="579" spans="1:13" x14ac:dyDescent="0.2">
      <c r="A579" s="237"/>
      <c r="B579" s="302"/>
      <c r="C579" s="302"/>
      <c r="D579" s="302"/>
      <c r="E579" s="303"/>
      <c r="F579" s="302"/>
      <c r="G579" s="302"/>
      <c r="H579" s="302"/>
      <c r="I579" s="303"/>
      <c r="J579" s="302"/>
      <c r="K579" s="302"/>
      <c r="L579" s="302"/>
      <c r="M579" s="236"/>
    </row>
    <row r="580" spans="1:13" x14ac:dyDescent="0.2">
      <c r="A580" s="237"/>
      <c r="B580" s="303"/>
      <c r="C580" s="303"/>
      <c r="D580" s="303"/>
      <c r="E580" s="303"/>
      <c r="F580" s="303"/>
      <c r="G580" s="303"/>
      <c r="H580" s="303"/>
      <c r="I580" s="303"/>
      <c r="J580" s="303"/>
      <c r="K580" s="303"/>
      <c r="L580" s="303"/>
      <c r="M580" s="236"/>
    </row>
    <row r="581" spans="1:13" x14ac:dyDescent="0.2">
      <c r="A581" s="237"/>
      <c r="B581" s="237"/>
      <c r="C581" s="237"/>
      <c r="D581" s="237"/>
      <c r="E581" s="237"/>
      <c r="F581" s="237"/>
      <c r="G581" s="237"/>
      <c r="H581" s="237"/>
      <c r="I581" s="237"/>
      <c r="J581" s="237"/>
      <c r="K581" s="237"/>
      <c r="L581" s="240"/>
      <c r="M581" s="236"/>
    </row>
    <row r="582" spans="1:13" x14ac:dyDescent="0.2">
      <c r="A582" s="237"/>
      <c r="B582" s="237"/>
      <c r="C582" s="237"/>
      <c r="D582" s="237"/>
      <c r="E582" s="237"/>
      <c r="F582" s="237"/>
      <c r="G582" s="237"/>
      <c r="H582" s="237"/>
      <c r="I582" s="237"/>
      <c r="J582" s="237"/>
      <c r="K582" s="237"/>
      <c r="L582" s="284"/>
      <c r="M582" s="236"/>
    </row>
    <row r="583" spans="1:13" x14ac:dyDescent="0.2">
      <c r="A583" s="258"/>
      <c r="B583" s="241"/>
      <c r="C583" s="241"/>
      <c r="D583" s="241"/>
      <c r="E583" s="241"/>
      <c r="F583" s="241"/>
      <c r="G583" s="241"/>
      <c r="H583" s="241"/>
      <c r="I583" s="241"/>
      <c r="J583" s="241"/>
      <c r="K583" s="241"/>
      <c r="L583" s="236"/>
      <c r="M583" s="236"/>
    </row>
    <row r="584" spans="1:13" x14ac:dyDescent="0.2">
      <c r="A584" s="241"/>
      <c r="B584" s="372"/>
      <c r="C584" s="372"/>
      <c r="D584" s="372"/>
      <c r="E584" s="253"/>
      <c r="F584" s="372"/>
      <c r="G584" s="372"/>
      <c r="H584" s="372"/>
      <c r="I584" s="253"/>
      <c r="J584" s="372"/>
      <c r="K584" s="372"/>
      <c r="L584" s="372"/>
      <c r="M584" s="236"/>
    </row>
    <row r="585" spans="1:13" x14ac:dyDescent="0.2">
      <c r="A585" s="258"/>
      <c r="B585" s="259"/>
      <c r="C585" s="259"/>
      <c r="D585" s="259"/>
      <c r="E585" s="259"/>
      <c r="F585" s="259"/>
      <c r="G585" s="259"/>
      <c r="H585" s="259"/>
      <c r="I585" s="259"/>
      <c r="J585" s="259"/>
      <c r="K585" s="259"/>
      <c r="L585" s="259"/>
      <c r="M585" s="236"/>
    </row>
    <row r="586" spans="1:13" x14ac:dyDescent="0.2">
      <c r="A586" s="258"/>
      <c r="B586" s="259"/>
      <c r="C586" s="259"/>
      <c r="D586" s="259"/>
      <c r="E586" s="259"/>
      <c r="F586" s="259"/>
      <c r="G586" s="259"/>
      <c r="H586" s="259"/>
      <c r="I586" s="259"/>
      <c r="J586" s="259"/>
      <c r="K586" s="259"/>
      <c r="L586" s="259"/>
      <c r="M586" s="236"/>
    </row>
    <row r="587" spans="1:13" x14ac:dyDescent="0.2">
      <c r="A587" s="237"/>
      <c r="B587" s="302"/>
      <c r="C587" s="302"/>
      <c r="D587" s="302"/>
      <c r="E587" s="303"/>
      <c r="F587" s="302"/>
      <c r="G587" s="302"/>
      <c r="H587" s="302"/>
      <c r="I587" s="303"/>
      <c r="J587" s="302"/>
      <c r="K587" s="302"/>
      <c r="L587" s="302"/>
      <c r="M587" s="236"/>
    </row>
    <row r="588" spans="1:13" x14ac:dyDescent="0.2">
      <c r="A588" s="237"/>
      <c r="B588" s="302"/>
      <c r="C588" s="302"/>
      <c r="D588" s="302"/>
      <c r="E588" s="303"/>
      <c r="F588" s="302"/>
      <c r="G588" s="302"/>
      <c r="H588" s="302"/>
      <c r="I588" s="303"/>
      <c r="J588" s="302"/>
      <c r="K588" s="302"/>
      <c r="L588" s="302"/>
      <c r="M588" s="236"/>
    </row>
    <row r="589" spans="1:13" x14ac:dyDescent="0.2">
      <c r="A589" s="237"/>
      <c r="B589" s="302"/>
      <c r="C589" s="302"/>
      <c r="D589" s="302"/>
      <c r="E589" s="303"/>
      <c r="F589" s="302"/>
      <c r="G589" s="302"/>
      <c r="H589" s="302"/>
      <c r="I589" s="303"/>
      <c r="J589" s="302"/>
      <c r="K589" s="302"/>
      <c r="L589" s="302"/>
      <c r="M589" s="236"/>
    </row>
    <row r="590" spans="1:13" x14ac:dyDescent="0.2">
      <c r="A590" s="237"/>
      <c r="B590" s="302"/>
      <c r="C590" s="302"/>
      <c r="D590" s="302"/>
      <c r="E590" s="303"/>
      <c r="F590" s="302"/>
      <c r="G590" s="302"/>
      <c r="H590" s="302"/>
      <c r="I590" s="303"/>
      <c r="J590" s="302"/>
      <c r="K590" s="302"/>
      <c r="L590" s="302"/>
      <c r="M590" s="236"/>
    </row>
    <row r="591" spans="1:13" x14ac:dyDescent="0.2">
      <c r="A591" s="237"/>
      <c r="B591" s="302"/>
      <c r="C591" s="302"/>
      <c r="D591" s="302"/>
      <c r="E591" s="303"/>
      <c r="F591" s="302"/>
      <c r="G591" s="302"/>
      <c r="H591" s="302"/>
      <c r="I591" s="303"/>
      <c r="J591" s="302"/>
      <c r="K591" s="302"/>
      <c r="L591" s="302"/>
      <c r="M591" s="236"/>
    </row>
    <row r="592" spans="1:13" x14ac:dyDescent="0.2">
      <c r="A592" s="237"/>
      <c r="B592" s="302"/>
      <c r="C592" s="302"/>
      <c r="D592" s="302"/>
      <c r="E592" s="303"/>
      <c r="F592" s="302"/>
      <c r="G592" s="302"/>
      <c r="H592" s="302"/>
      <c r="I592" s="303"/>
      <c r="J592" s="302"/>
      <c r="K592" s="302"/>
      <c r="L592" s="302"/>
      <c r="M592" s="236"/>
    </row>
    <row r="593" spans="1:13" x14ac:dyDescent="0.2">
      <c r="A593" s="237"/>
      <c r="B593" s="302"/>
      <c r="C593" s="302"/>
      <c r="D593" s="302"/>
      <c r="E593" s="303"/>
      <c r="F593" s="302"/>
      <c r="G593" s="302"/>
      <c r="H593" s="302"/>
      <c r="I593" s="303"/>
      <c r="J593" s="302"/>
      <c r="K593" s="302"/>
      <c r="L593" s="302"/>
      <c r="M593" s="236"/>
    </row>
    <row r="594" spans="1:13" x14ac:dyDescent="0.2">
      <c r="A594" s="237"/>
      <c r="B594" s="302"/>
      <c r="C594" s="302"/>
      <c r="D594" s="302"/>
      <c r="E594" s="303"/>
      <c r="F594" s="302"/>
      <c r="G594" s="302"/>
      <c r="H594" s="302"/>
      <c r="I594" s="303"/>
      <c r="J594" s="302"/>
      <c r="K594" s="302"/>
      <c r="L594" s="302"/>
      <c r="M594" s="236"/>
    </row>
    <row r="595" spans="1:13" x14ac:dyDescent="0.2">
      <c r="A595" s="237"/>
      <c r="B595" s="302"/>
      <c r="C595" s="302"/>
      <c r="D595" s="302"/>
      <c r="E595" s="303"/>
      <c r="F595" s="302"/>
      <c r="G595" s="302"/>
      <c r="H595" s="302"/>
      <c r="I595" s="303"/>
      <c r="J595" s="302"/>
      <c r="K595" s="302"/>
      <c r="L595" s="302"/>
      <c r="M595" s="236"/>
    </row>
    <row r="596" spans="1:13" x14ac:dyDescent="0.2">
      <c r="A596" s="237"/>
      <c r="B596" s="302"/>
      <c r="C596" s="302"/>
      <c r="D596" s="302"/>
      <c r="E596" s="303"/>
      <c r="F596" s="302"/>
      <c r="G596" s="302"/>
      <c r="H596" s="302"/>
      <c r="I596" s="303"/>
      <c r="J596" s="302"/>
      <c r="K596" s="302"/>
      <c r="L596" s="302"/>
      <c r="M596" s="236"/>
    </row>
    <row r="597" spans="1:13" x14ac:dyDescent="0.2">
      <c r="A597" s="237"/>
      <c r="B597" s="303"/>
      <c r="C597" s="303"/>
      <c r="D597" s="303"/>
      <c r="E597" s="303"/>
      <c r="F597" s="303"/>
      <c r="G597" s="303"/>
      <c r="H597" s="303"/>
      <c r="I597" s="303"/>
      <c r="J597" s="303"/>
      <c r="K597" s="303"/>
      <c r="L597" s="303"/>
      <c r="M597" s="236"/>
    </row>
    <row r="598" spans="1:13" x14ac:dyDescent="0.2">
      <c r="A598" s="237"/>
      <c r="B598" s="237"/>
      <c r="C598" s="237"/>
      <c r="D598" s="237"/>
      <c r="E598" s="237"/>
      <c r="F598" s="237"/>
      <c r="G598" s="237"/>
      <c r="H598" s="237"/>
      <c r="I598" s="237"/>
      <c r="J598" s="237"/>
      <c r="K598" s="237"/>
      <c r="L598" s="240"/>
      <c r="M598" s="236"/>
    </row>
    <row r="599" spans="1:13" x14ac:dyDescent="0.2">
      <c r="A599" s="237"/>
      <c r="B599" s="237"/>
      <c r="C599" s="237"/>
      <c r="D599" s="237"/>
      <c r="E599" s="237"/>
      <c r="F599" s="237"/>
      <c r="G599" s="237"/>
      <c r="H599" s="237"/>
      <c r="I599" s="237"/>
      <c r="J599" s="237"/>
      <c r="K599" s="237"/>
      <c r="L599" s="284"/>
      <c r="M599" s="236"/>
    </row>
    <row r="600" spans="1:13" x14ac:dyDescent="0.2">
      <c r="A600" s="258"/>
      <c r="B600" s="241"/>
      <c r="C600" s="241"/>
      <c r="D600" s="241"/>
      <c r="E600" s="241"/>
      <c r="F600" s="241"/>
      <c r="G600" s="241"/>
      <c r="H600" s="241"/>
      <c r="I600" s="241"/>
      <c r="J600" s="241"/>
      <c r="K600" s="241"/>
      <c r="L600" s="236"/>
      <c r="M600" s="236"/>
    </row>
    <row r="601" spans="1:13" x14ac:dyDescent="0.2">
      <c r="A601" s="241"/>
      <c r="B601" s="372"/>
      <c r="C601" s="372"/>
      <c r="D601" s="372"/>
      <c r="E601" s="253"/>
      <c r="F601" s="372"/>
      <c r="G601" s="372"/>
      <c r="H601" s="372"/>
      <c r="I601" s="253"/>
      <c r="J601" s="372"/>
      <c r="K601" s="372"/>
      <c r="L601" s="372"/>
      <c r="M601" s="236"/>
    </row>
    <row r="602" spans="1:13" x14ac:dyDescent="0.2">
      <c r="A602" s="258"/>
      <c r="B602" s="259"/>
      <c r="C602" s="259"/>
      <c r="D602" s="259"/>
      <c r="E602" s="259"/>
      <c r="F602" s="259"/>
      <c r="G602" s="259"/>
      <c r="H602" s="259"/>
      <c r="I602" s="259"/>
      <c r="J602" s="259"/>
      <c r="K602" s="259"/>
      <c r="L602" s="259"/>
      <c r="M602" s="236"/>
    </row>
    <row r="603" spans="1:13" x14ac:dyDescent="0.2">
      <c r="A603" s="258"/>
      <c r="B603" s="259"/>
      <c r="C603" s="259"/>
      <c r="D603" s="259"/>
      <c r="E603" s="259"/>
      <c r="F603" s="259"/>
      <c r="G603" s="259"/>
      <c r="H603" s="259"/>
      <c r="I603" s="259"/>
      <c r="J603" s="259"/>
      <c r="K603" s="259"/>
      <c r="L603" s="259"/>
      <c r="M603" s="236"/>
    </row>
    <row r="604" spans="1:13" x14ac:dyDescent="0.2">
      <c r="A604" s="237"/>
      <c r="B604" s="302"/>
      <c r="C604" s="302"/>
      <c r="D604" s="302"/>
      <c r="E604" s="303"/>
      <c r="F604" s="302"/>
      <c r="G604" s="302"/>
      <c r="H604" s="302"/>
      <c r="I604" s="303"/>
      <c r="J604" s="302"/>
      <c r="K604" s="302"/>
      <c r="L604" s="302"/>
      <c r="M604" s="236"/>
    </row>
    <row r="605" spans="1:13" x14ac:dyDescent="0.2">
      <c r="A605" s="237"/>
      <c r="B605" s="302"/>
      <c r="C605" s="302"/>
      <c r="D605" s="302"/>
      <c r="E605" s="303"/>
      <c r="F605" s="302"/>
      <c r="G605" s="302"/>
      <c r="H605" s="302"/>
      <c r="I605" s="303"/>
      <c r="J605" s="302"/>
      <c r="K605" s="302"/>
      <c r="L605" s="302"/>
      <c r="M605" s="236"/>
    </row>
    <row r="606" spans="1:13" x14ac:dyDescent="0.2">
      <c r="A606" s="237"/>
      <c r="B606" s="302"/>
      <c r="C606" s="302"/>
      <c r="D606" s="302"/>
      <c r="E606" s="303"/>
      <c r="F606" s="302"/>
      <c r="G606" s="302"/>
      <c r="H606" s="302"/>
      <c r="I606" s="303"/>
      <c r="J606" s="302"/>
      <c r="K606" s="302"/>
      <c r="L606" s="302"/>
      <c r="M606" s="236"/>
    </row>
    <row r="607" spans="1:13" x14ac:dyDescent="0.2">
      <c r="A607" s="237"/>
      <c r="B607" s="302"/>
      <c r="C607" s="302"/>
      <c r="D607" s="302"/>
      <c r="E607" s="303"/>
      <c r="F607" s="302"/>
      <c r="G607" s="302"/>
      <c r="H607" s="302"/>
      <c r="I607" s="303"/>
      <c r="J607" s="302"/>
      <c r="K607" s="302"/>
      <c r="L607" s="302"/>
      <c r="M607" s="236"/>
    </row>
    <row r="608" spans="1:13" x14ac:dyDescent="0.2">
      <c r="A608" s="237"/>
      <c r="B608" s="302"/>
      <c r="C608" s="302"/>
      <c r="D608" s="302"/>
      <c r="E608" s="303"/>
      <c r="F608" s="302"/>
      <c r="G608" s="302"/>
      <c r="H608" s="302"/>
      <c r="I608" s="303"/>
      <c r="J608" s="302"/>
      <c r="K608" s="302"/>
      <c r="L608" s="302"/>
      <c r="M608" s="236"/>
    </row>
    <row r="609" spans="1:13" x14ac:dyDescent="0.2">
      <c r="A609" s="237"/>
      <c r="B609" s="302"/>
      <c r="C609" s="302"/>
      <c r="D609" s="302"/>
      <c r="E609" s="303"/>
      <c r="F609" s="302"/>
      <c r="G609" s="302"/>
      <c r="H609" s="302"/>
      <c r="I609" s="303"/>
      <c r="J609" s="302"/>
      <c r="K609" s="302"/>
      <c r="L609" s="302"/>
      <c r="M609" s="236"/>
    </row>
    <row r="610" spans="1:13" x14ac:dyDescent="0.2">
      <c r="A610" s="237"/>
      <c r="B610" s="302"/>
      <c r="C610" s="302"/>
      <c r="D610" s="302"/>
      <c r="E610" s="303"/>
      <c r="F610" s="302"/>
      <c r="G610" s="302"/>
      <c r="H610" s="302"/>
      <c r="I610" s="303"/>
      <c r="J610" s="302"/>
      <c r="K610" s="302"/>
      <c r="L610" s="302"/>
      <c r="M610" s="236"/>
    </row>
    <row r="611" spans="1:13" x14ac:dyDescent="0.2">
      <c r="A611" s="237"/>
      <c r="B611" s="302"/>
      <c r="C611" s="302"/>
      <c r="D611" s="302"/>
      <c r="E611" s="303"/>
      <c r="F611" s="302"/>
      <c r="G611" s="302"/>
      <c r="H611" s="302"/>
      <c r="I611" s="303"/>
      <c r="J611" s="302"/>
      <c r="K611" s="302"/>
      <c r="L611" s="302"/>
      <c r="M611" s="236"/>
    </row>
    <row r="612" spans="1:13" x14ac:dyDescent="0.2">
      <c r="A612" s="237"/>
      <c r="B612" s="302"/>
      <c r="C612" s="302"/>
      <c r="D612" s="302"/>
      <c r="E612" s="303"/>
      <c r="F612" s="302"/>
      <c r="G612" s="302"/>
      <c r="H612" s="302"/>
      <c r="I612" s="303"/>
      <c r="J612" s="302"/>
      <c r="K612" s="302"/>
      <c r="L612" s="302"/>
      <c r="M612" s="236"/>
    </row>
    <row r="613" spans="1:13" x14ac:dyDescent="0.2">
      <c r="A613" s="237"/>
      <c r="B613" s="302"/>
      <c r="C613" s="302"/>
      <c r="D613" s="302"/>
      <c r="E613" s="303"/>
      <c r="F613" s="302"/>
      <c r="G613" s="302"/>
      <c r="H613" s="302"/>
      <c r="I613" s="303"/>
      <c r="J613" s="302"/>
      <c r="K613" s="302"/>
      <c r="L613" s="302"/>
      <c r="M613" s="236"/>
    </row>
    <row r="614" spans="1:13" x14ac:dyDescent="0.2">
      <c r="A614" s="237"/>
      <c r="B614" s="303"/>
      <c r="C614" s="303"/>
      <c r="D614" s="303"/>
      <c r="E614" s="303"/>
      <c r="F614" s="303"/>
      <c r="G614" s="303"/>
      <c r="H614" s="303"/>
      <c r="I614" s="303"/>
      <c r="J614" s="303"/>
      <c r="K614" s="303"/>
      <c r="L614" s="303"/>
      <c r="M614" s="236"/>
    </row>
    <row r="615" spans="1:13" x14ac:dyDescent="0.2">
      <c r="A615" s="237"/>
      <c r="B615" s="237"/>
      <c r="C615" s="237"/>
      <c r="D615" s="237"/>
      <c r="E615" s="237"/>
      <c r="F615" s="237"/>
      <c r="G615" s="237"/>
      <c r="H615" s="237"/>
      <c r="I615" s="237"/>
      <c r="J615" s="237"/>
      <c r="K615" s="237"/>
      <c r="L615" s="240"/>
      <c r="M615" s="236"/>
    </row>
    <row r="616" spans="1:13" x14ac:dyDescent="0.2">
      <c r="A616" s="237"/>
      <c r="B616" s="237"/>
      <c r="C616" s="237"/>
      <c r="D616" s="237"/>
      <c r="E616" s="237"/>
      <c r="F616" s="237"/>
      <c r="G616" s="237"/>
      <c r="H616" s="237"/>
      <c r="I616" s="237"/>
      <c r="J616" s="237"/>
      <c r="K616" s="237"/>
      <c r="L616" s="284"/>
      <c r="M616" s="236"/>
    </row>
    <row r="617" spans="1:13" x14ac:dyDescent="0.2">
      <c r="A617" s="258"/>
      <c r="B617" s="241"/>
      <c r="C617" s="241"/>
      <c r="D617" s="241"/>
      <c r="E617" s="241"/>
      <c r="F617" s="241"/>
      <c r="G617" s="241"/>
      <c r="H617" s="241"/>
      <c r="I617" s="241"/>
      <c r="J617" s="241"/>
      <c r="K617" s="241"/>
      <c r="L617" s="236"/>
      <c r="M617" s="236"/>
    </row>
    <row r="618" spans="1:13" x14ac:dyDescent="0.2">
      <c r="A618" s="241"/>
      <c r="B618" s="372"/>
      <c r="C618" s="372"/>
      <c r="D618" s="372"/>
      <c r="E618" s="253"/>
      <c r="F618" s="372"/>
      <c r="G618" s="372"/>
      <c r="H618" s="372"/>
      <c r="I618" s="253"/>
      <c r="J618" s="372"/>
      <c r="K618" s="372"/>
      <c r="L618" s="372"/>
      <c r="M618" s="236"/>
    </row>
    <row r="619" spans="1:13" x14ac:dyDescent="0.2">
      <c r="A619" s="258"/>
      <c r="B619" s="259"/>
      <c r="C619" s="259"/>
      <c r="D619" s="259"/>
      <c r="E619" s="259"/>
      <c r="F619" s="259"/>
      <c r="G619" s="259"/>
      <c r="H619" s="259"/>
      <c r="I619" s="259"/>
      <c r="J619" s="259"/>
      <c r="K619" s="259"/>
      <c r="L619" s="259"/>
      <c r="M619" s="236"/>
    </row>
    <row r="620" spans="1:13" x14ac:dyDescent="0.2">
      <c r="A620" s="258"/>
      <c r="B620" s="259"/>
      <c r="C620" s="259"/>
      <c r="D620" s="259"/>
      <c r="E620" s="259"/>
      <c r="F620" s="259"/>
      <c r="G620" s="259"/>
      <c r="H620" s="259"/>
      <c r="I620" s="259"/>
      <c r="J620" s="259"/>
      <c r="K620" s="259"/>
      <c r="L620" s="259"/>
      <c r="M620" s="236"/>
    </row>
    <row r="621" spans="1:13" x14ac:dyDescent="0.2">
      <c r="A621" s="237"/>
      <c r="B621" s="302"/>
      <c r="C621" s="302"/>
      <c r="D621" s="302"/>
      <c r="E621" s="303"/>
      <c r="F621" s="302"/>
      <c r="G621" s="302"/>
      <c r="H621" s="302"/>
      <c r="I621" s="303"/>
      <c r="J621" s="302"/>
      <c r="K621" s="302"/>
      <c r="L621" s="302"/>
      <c r="M621" s="236"/>
    </row>
    <row r="622" spans="1:13" x14ac:dyDescent="0.2">
      <c r="A622" s="237"/>
      <c r="B622" s="302"/>
      <c r="C622" s="302"/>
      <c r="D622" s="302"/>
      <c r="E622" s="303"/>
      <c r="F622" s="302"/>
      <c r="G622" s="302"/>
      <c r="H622" s="302"/>
      <c r="I622" s="303"/>
      <c r="J622" s="302"/>
      <c r="K622" s="302"/>
      <c r="L622" s="302"/>
      <c r="M622" s="236"/>
    </row>
    <row r="623" spans="1:13" x14ac:dyDescent="0.2">
      <c r="A623" s="237"/>
      <c r="B623" s="302"/>
      <c r="C623" s="302"/>
      <c r="D623" s="302"/>
      <c r="E623" s="303"/>
      <c r="F623" s="302"/>
      <c r="G623" s="302"/>
      <c r="H623" s="302"/>
      <c r="I623" s="303"/>
      <c r="J623" s="302"/>
      <c r="K623" s="302"/>
      <c r="L623" s="302"/>
      <c r="M623" s="236"/>
    </row>
    <row r="624" spans="1:13" x14ac:dyDescent="0.2">
      <c r="A624" s="237"/>
      <c r="B624" s="302"/>
      <c r="C624" s="302"/>
      <c r="D624" s="302"/>
      <c r="E624" s="303"/>
      <c r="F624" s="302"/>
      <c r="G624" s="302"/>
      <c r="H624" s="302"/>
      <c r="I624" s="303"/>
      <c r="J624" s="302"/>
      <c r="K624" s="302"/>
      <c r="L624" s="302"/>
      <c r="M624" s="236"/>
    </row>
    <row r="625" spans="1:13" x14ac:dyDescent="0.2">
      <c r="A625" s="237"/>
      <c r="B625" s="302"/>
      <c r="C625" s="302"/>
      <c r="D625" s="302"/>
      <c r="E625" s="303"/>
      <c r="F625" s="302"/>
      <c r="G625" s="302"/>
      <c r="H625" s="302"/>
      <c r="I625" s="303"/>
      <c r="J625" s="302"/>
      <c r="K625" s="302"/>
      <c r="L625" s="302"/>
      <c r="M625" s="236"/>
    </row>
    <row r="626" spans="1:13" x14ac:dyDescent="0.2">
      <c r="A626" s="237"/>
      <c r="B626" s="302"/>
      <c r="C626" s="302"/>
      <c r="D626" s="302"/>
      <c r="E626" s="303"/>
      <c r="F626" s="302"/>
      <c r="G626" s="302"/>
      <c r="H626" s="302"/>
      <c r="I626" s="303"/>
      <c r="J626" s="302"/>
      <c r="K626" s="302"/>
      <c r="L626" s="302"/>
      <c r="M626" s="236"/>
    </row>
    <row r="627" spans="1:13" x14ac:dyDescent="0.2">
      <c r="A627" s="237"/>
      <c r="B627" s="302"/>
      <c r="C627" s="302"/>
      <c r="D627" s="302"/>
      <c r="E627" s="303"/>
      <c r="F627" s="302"/>
      <c r="G627" s="302"/>
      <c r="H627" s="302"/>
      <c r="I627" s="303"/>
      <c r="J627" s="302"/>
      <c r="K627" s="302"/>
      <c r="L627" s="302"/>
      <c r="M627" s="236"/>
    </row>
    <row r="628" spans="1:13" x14ac:dyDescent="0.2">
      <c r="A628" s="237"/>
      <c r="B628" s="302"/>
      <c r="C628" s="302"/>
      <c r="D628" s="302"/>
      <c r="E628" s="303"/>
      <c r="F628" s="302"/>
      <c r="G628" s="302"/>
      <c r="H628" s="302"/>
      <c r="I628" s="303"/>
      <c r="J628" s="302"/>
      <c r="K628" s="302"/>
      <c r="L628" s="302"/>
      <c r="M628" s="236"/>
    </row>
    <row r="629" spans="1:13" x14ac:dyDescent="0.2">
      <c r="A629" s="237"/>
      <c r="B629" s="302"/>
      <c r="C629" s="302"/>
      <c r="D629" s="302"/>
      <c r="E629" s="303"/>
      <c r="F629" s="302"/>
      <c r="G629" s="302"/>
      <c r="H629" s="302"/>
      <c r="I629" s="303"/>
      <c r="J629" s="302"/>
      <c r="K629" s="302"/>
      <c r="L629" s="302"/>
      <c r="M629" s="236"/>
    </row>
    <row r="630" spans="1:13" x14ac:dyDescent="0.2">
      <c r="A630" s="237"/>
      <c r="B630" s="302"/>
      <c r="C630" s="302"/>
      <c r="D630" s="302"/>
      <c r="E630" s="303"/>
      <c r="F630" s="302"/>
      <c r="G630" s="302"/>
      <c r="H630" s="302"/>
      <c r="I630" s="303"/>
      <c r="J630" s="302"/>
      <c r="K630" s="302"/>
      <c r="L630" s="302"/>
      <c r="M630" s="236"/>
    </row>
    <row r="631" spans="1:13" x14ac:dyDescent="0.2">
      <c r="A631" s="237"/>
      <c r="B631" s="303"/>
      <c r="C631" s="303"/>
      <c r="D631" s="303"/>
      <c r="E631" s="303"/>
      <c r="F631" s="303"/>
      <c r="G631" s="303"/>
      <c r="H631" s="303"/>
      <c r="I631" s="303"/>
      <c r="J631" s="303"/>
      <c r="K631" s="303"/>
      <c r="L631" s="303"/>
      <c r="M631" s="236"/>
    </row>
    <row r="632" spans="1:13" x14ac:dyDescent="0.2">
      <c r="A632" s="237"/>
      <c r="B632" s="237"/>
      <c r="C632" s="237"/>
      <c r="D632" s="237"/>
      <c r="E632" s="237"/>
      <c r="F632" s="237"/>
      <c r="G632" s="237"/>
      <c r="H632" s="237"/>
      <c r="I632" s="237"/>
      <c r="J632" s="237"/>
      <c r="K632" s="237"/>
      <c r="L632" s="240"/>
      <c r="M632" s="236"/>
    </row>
    <row r="633" spans="1:13" x14ac:dyDescent="0.2">
      <c r="A633" s="237"/>
      <c r="B633" s="237"/>
      <c r="C633" s="237"/>
      <c r="D633" s="237"/>
      <c r="E633" s="237"/>
      <c r="F633" s="237"/>
      <c r="G633" s="237"/>
      <c r="H633" s="237"/>
      <c r="I633" s="237"/>
      <c r="J633" s="237"/>
      <c r="K633" s="237"/>
      <c r="L633" s="284"/>
      <c r="M633" s="236"/>
    </row>
    <row r="634" spans="1:13" x14ac:dyDescent="0.2">
      <c r="A634" s="258"/>
      <c r="B634" s="241"/>
      <c r="C634" s="241"/>
      <c r="D634" s="241"/>
      <c r="E634" s="241"/>
      <c r="F634" s="241"/>
      <c r="G634" s="241"/>
      <c r="H634" s="241"/>
      <c r="I634" s="241"/>
      <c r="J634" s="241"/>
      <c r="K634" s="241"/>
      <c r="L634" s="236"/>
      <c r="M634" s="236"/>
    </row>
    <row r="635" spans="1:13" x14ac:dyDescent="0.2">
      <c r="A635" s="241"/>
      <c r="B635" s="372"/>
      <c r="C635" s="372"/>
      <c r="D635" s="372"/>
      <c r="E635" s="253"/>
      <c r="F635" s="372"/>
      <c r="G635" s="372"/>
      <c r="H635" s="372"/>
      <c r="I635" s="253"/>
      <c r="J635" s="372"/>
      <c r="K635" s="372"/>
      <c r="L635" s="372"/>
      <c r="M635" s="236"/>
    </row>
    <row r="636" spans="1:13" x14ac:dyDescent="0.2">
      <c r="A636" s="258"/>
      <c r="B636" s="259"/>
      <c r="C636" s="259"/>
      <c r="D636" s="259"/>
      <c r="E636" s="259"/>
      <c r="F636" s="259"/>
      <c r="G636" s="259"/>
      <c r="H636" s="259"/>
      <c r="I636" s="259"/>
      <c r="J636" s="259"/>
      <c r="K636" s="259"/>
      <c r="L636" s="259"/>
      <c r="M636" s="236"/>
    </row>
    <row r="637" spans="1:13" x14ac:dyDescent="0.2">
      <c r="A637" s="258"/>
      <c r="B637" s="259"/>
      <c r="C637" s="259"/>
      <c r="D637" s="259"/>
      <c r="E637" s="259"/>
      <c r="F637" s="259"/>
      <c r="G637" s="259"/>
      <c r="H637" s="259"/>
      <c r="I637" s="259"/>
      <c r="J637" s="259"/>
      <c r="K637" s="259"/>
      <c r="L637" s="259"/>
      <c r="M637" s="236"/>
    </row>
    <row r="638" spans="1:13" x14ac:dyDescent="0.2">
      <c r="A638" s="237"/>
      <c r="B638" s="302"/>
      <c r="C638" s="302"/>
      <c r="D638" s="302"/>
      <c r="E638" s="303"/>
      <c r="F638" s="302"/>
      <c r="G638" s="302"/>
      <c r="H638" s="302"/>
      <c r="I638" s="303"/>
      <c r="J638" s="302"/>
      <c r="K638" s="302"/>
      <c r="L638" s="302"/>
      <c r="M638" s="236"/>
    </row>
    <row r="639" spans="1:13" x14ac:dyDescent="0.2">
      <c r="A639" s="237"/>
      <c r="B639" s="302"/>
      <c r="C639" s="302"/>
      <c r="D639" s="302"/>
      <c r="E639" s="303"/>
      <c r="F639" s="302"/>
      <c r="G639" s="302"/>
      <c r="H639" s="302"/>
      <c r="I639" s="303"/>
      <c r="J639" s="302"/>
      <c r="K639" s="302"/>
      <c r="L639" s="302"/>
      <c r="M639" s="236"/>
    </row>
    <row r="640" spans="1:13" x14ac:dyDescent="0.2">
      <c r="A640" s="237"/>
      <c r="B640" s="302"/>
      <c r="C640" s="302"/>
      <c r="D640" s="302"/>
      <c r="E640" s="303"/>
      <c r="F640" s="302"/>
      <c r="G640" s="302"/>
      <c r="H640" s="302"/>
      <c r="I640" s="303"/>
      <c r="J640" s="302"/>
      <c r="K640" s="302"/>
      <c r="L640" s="302"/>
      <c r="M640" s="236"/>
    </row>
    <row r="641" spans="1:13" x14ac:dyDescent="0.2">
      <c r="A641" s="237"/>
      <c r="B641" s="302"/>
      <c r="C641" s="302"/>
      <c r="D641" s="302"/>
      <c r="E641" s="303"/>
      <c r="F641" s="302"/>
      <c r="G641" s="302"/>
      <c r="H641" s="302"/>
      <c r="I641" s="303"/>
      <c r="J641" s="302"/>
      <c r="K641" s="302"/>
      <c r="L641" s="302"/>
      <c r="M641" s="236"/>
    </row>
    <row r="642" spans="1:13" x14ac:dyDescent="0.2">
      <c r="A642" s="237"/>
      <c r="B642" s="302"/>
      <c r="C642" s="302"/>
      <c r="D642" s="302"/>
      <c r="E642" s="303"/>
      <c r="F642" s="302"/>
      <c r="G642" s="302"/>
      <c r="H642" s="302"/>
      <c r="I642" s="303"/>
      <c r="J642" s="302"/>
      <c r="K642" s="302"/>
      <c r="L642" s="302"/>
      <c r="M642" s="236"/>
    </row>
    <row r="643" spans="1:13" x14ac:dyDescent="0.2">
      <c r="A643" s="237"/>
      <c r="B643" s="302"/>
      <c r="C643" s="302"/>
      <c r="D643" s="302"/>
      <c r="E643" s="303"/>
      <c r="F643" s="302"/>
      <c r="G643" s="302"/>
      <c r="H643" s="302"/>
      <c r="I643" s="303"/>
      <c r="J643" s="302"/>
      <c r="K643" s="302"/>
      <c r="L643" s="302"/>
      <c r="M643" s="236"/>
    </row>
    <row r="644" spans="1:13" x14ac:dyDescent="0.2">
      <c r="A644" s="237"/>
      <c r="B644" s="302"/>
      <c r="C644" s="302"/>
      <c r="D644" s="302"/>
      <c r="E644" s="303"/>
      <c r="F644" s="302"/>
      <c r="G644" s="302"/>
      <c r="H644" s="302"/>
      <c r="I644" s="303"/>
      <c r="J644" s="302"/>
      <c r="K644" s="302"/>
      <c r="L644" s="302"/>
      <c r="M644" s="236"/>
    </row>
    <row r="645" spans="1:13" x14ac:dyDescent="0.2">
      <c r="A645" s="237"/>
      <c r="B645" s="302"/>
      <c r="C645" s="302"/>
      <c r="D645" s="302"/>
      <c r="E645" s="303"/>
      <c r="F645" s="302"/>
      <c r="G645" s="302"/>
      <c r="H645" s="302"/>
      <c r="I645" s="303"/>
      <c r="J645" s="302"/>
      <c r="K645" s="302"/>
      <c r="L645" s="302"/>
      <c r="M645" s="236"/>
    </row>
    <row r="646" spans="1:13" x14ac:dyDescent="0.2">
      <c r="A646" s="237"/>
      <c r="B646" s="302"/>
      <c r="C646" s="302"/>
      <c r="D646" s="302"/>
      <c r="E646" s="303"/>
      <c r="F646" s="302"/>
      <c r="G646" s="302"/>
      <c r="H646" s="302"/>
      <c r="I646" s="303"/>
      <c r="J646" s="302"/>
      <c r="K646" s="302"/>
      <c r="L646" s="302"/>
      <c r="M646" s="236"/>
    </row>
    <row r="647" spans="1:13" x14ac:dyDescent="0.2">
      <c r="A647" s="237"/>
      <c r="B647" s="302"/>
      <c r="C647" s="302"/>
      <c r="D647" s="302"/>
      <c r="E647" s="303"/>
      <c r="F647" s="302"/>
      <c r="G647" s="302"/>
      <c r="H647" s="302"/>
      <c r="I647" s="303"/>
      <c r="J647" s="302"/>
      <c r="K647" s="302"/>
      <c r="L647" s="302"/>
      <c r="M647" s="236"/>
    </row>
    <row r="648" spans="1:13" x14ac:dyDescent="0.2">
      <c r="A648" s="237"/>
      <c r="B648" s="303"/>
      <c r="C648" s="303"/>
      <c r="D648" s="303"/>
      <c r="E648" s="303"/>
      <c r="F648" s="303"/>
      <c r="G648" s="303"/>
      <c r="H648" s="303"/>
      <c r="I648" s="303"/>
      <c r="J648" s="303"/>
      <c r="K648" s="303"/>
      <c r="L648" s="303"/>
      <c r="M648" s="236"/>
    </row>
    <row r="649" spans="1:13" x14ac:dyDescent="0.2">
      <c r="A649" s="237"/>
      <c r="B649" s="237"/>
      <c r="C649" s="237"/>
      <c r="D649" s="237"/>
      <c r="E649" s="237"/>
      <c r="F649" s="237"/>
      <c r="G649" s="237"/>
      <c r="H649" s="237"/>
      <c r="I649" s="237"/>
      <c r="J649" s="237"/>
      <c r="K649" s="237"/>
      <c r="L649" s="240"/>
      <c r="M649" s="236"/>
    </row>
    <row r="650" spans="1:13" x14ac:dyDescent="0.2">
      <c r="A650" s="237"/>
      <c r="B650" s="237"/>
      <c r="C650" s="237"/>
      <c r="D650" s="237"/>
      <c r="E650" s="237"/>
      <c r="F650" s="237"/>
      <c r="G650" s="237"/>
      <c r="H650" s="237"/>
      <c r="I650" s="237"/>
      <c r="J650" s="237"/>
      <c r="K650" s="237"/>
      <c r="L650" s="284"/>
      <c r="M650" s="236"/>
    </row>
    <row r="651" spans="1:13" x14ac:dyDescent="0.2">
      <c r="A651" s="258"/>
      <c r="B651" s="241"/>
      <c r="C651" s="241"/>
      <c r="D651" s="241"/>
      <c r="E651" s="241"/>
      <c r="F651" s="241"/>
      <c r="G651" s="241"/>
      <c r="H651" s="241"/>
      <c r="I651" s="241"/>
      <c r="J651" s="241"/>
      <c r="K651" s="241"/>
      <c r="L651" s="236"/>
      <c r="M651" s="236"/>
    </row>
    <row r="652" spans="1:13" x14ac:dyDescent="0.2">
      <c r="A652" s="241"/>
      <c r="B652" s="372"/>
      <c r="C652" s="372"/>
      <c r="D652" s="372"/>
      <c r="E652" s="253"/>
      <c r="F652" s="372"/>
      <c r="G652" s="372"/>
      <c r="H652" s="372"/>
      <c r="I652" s="253"/>
      <c r="J652" s="372"/>
      <c r="K652" s="372"/>
      <c r="L652" s="372"/>
      <c r="M652" s="236"/>
    </row>
    <row r="653" spans="1:13" x14ac:dyDescent="0.2">
      <c r="A653" s="258"/>
      <c r="B653" s="259"/>
      <c r="C653" s="259"/>
      <c r="D653" s="259"/>
      <c r="E653" s="259"/>
      <c r="F653" s="259"/>
      <c r="G653" s="259"/>
      <c r="H653" s="259"/>
      <c r="I653" s="259"/>
      <c r="J653" s="259"/>
      <c r="K653" s="259"/>
      <c r="L653" s="259"/>
      <c r="M653" s="236"/>
    </row>
    <row r="654" spans="1:13" x14ac:dyDescent="0.2">
      <c r="A654" s="258"/>
      <c r="B654" s="259"/>
      <c r="C654" s="259"/>
      <c r="D654" s="259"/>
      <c r="E654" s="259"/>
      <c r="F654" s="259"/>
      <c r="G654" s="259"/>
      <c r="H654" s="259"/>
      <c r="I654" s="259"/>
      <c r="J654" s="259"/>
      <c r="K654" s="259"/>
      <c r="L654" s="259"/>
      <c r="M654" s="236"/>
    </row>
    <row r="655" spans="1:13" x14ac:dyDescent="0.2">
      <c r="A655" s="237"/>
      <c r="B655" s="302"/>
      <c r="C655" s="302"/>
      <c r="D655" s="302"/>
      <c r="E655" s="303"/>
      <c r="F655" s="302"/>
      <c r="G655" s="302"/>
      <c r="H655" s="302"/>
      <c r="I655" s="303"/>
      <c r="J655" s="302"/>
      <c r="K655" s="302"/>
      <c r="L655" s="302"/>
      <c r="M655" s="236"/>
    </row>
    <row r="656" spans="1:13" x14ac:dyDescent="0.2">
      <c r="A656" s="237"/>
      <c r="B656" s="302"/>
      <c r="C656" s="302"/>
      <c r="D656" s="302"/>
      <c r="E656" s="303"/>
      <c r="F656" s="302"/>
      <c r="G656" s="302"/>
      <c r="H656" s="302"/>
      <c r="I656" s="303"/>
      <c r="J656" s="302"/>
      <c r="K656" s="302"/>
      <c r="L656" s="302"/>
      <c r="M656" s="236"/>
    </row>
    <row r="657" spans="1:13" x14ac:dyDescent="0.2">
      <c r="A657" s="237"/>
      <c r="B657" s="302"/>
      <c r="C657" s="302"/>
      <c r="D657" s="302"/>
      <c r="E657" s="303"/>
      <c r="F657" s="302"/>
      <c r="G657" s="302"/>
      <c r="H657" s="302"/>
      <c r="I657" s="303"/>
      <c r="J657" s="302"/>
      <c r="K657" s="302"/>
      <c r="L657" s="302"/>
      <c r="M657" s="236"/>
    </row>
    <row r="658" spans="1:13" x14ac:dyDescent="0.2">
      <c r="A658" s="237"/>
      <c r="B658" s="302"/>
      <c r="C658" s="302"/>
      <c r="D658" s="302"/>
      <c r="E658" s="303"/>
      <c r="F658" s="302"/>
      <c r="G658" s="302"/>
      <c r="H658" s="302"/>
      <c r="I658" s="303"/>
      <c r="J658" s="302"/>
      <c r="K658" s="302"/>
      <c r="L658" s="302"/>
      <c r="M658" s="236"/>
    </row>
    <row r="659" spans="1:13" x14ac:dyDescent="0.2">
      <c r="A659" s="237"/>
      <c r="B659" s="302"/>
      <c r="C659" s="302"/>
      <c r="D659" s="302"/>
      <c r="E659" s="303"/>
      <c r="F659" s="302"/>
      <c r="G659" s="302"/>
      <c r="H659" s="302"/>
      <c r="I659" s="303"/>
      <c r="J659" s="302"/>
      <c r="K659" s="302"/>
      <c r="L659" s="302"/>
      <c r="M659" s="236"/>
    </row>
    <row r="660" spans="1:13" x14ac:dyDescent="0.2">
      <c r="A660" s="237"/>
      <c r="B660" s="302"/>
      <c r="C660" s="302"/>
      <c r="D660" s="302"/>
      <c r="E660" s="303"/>
      <c r="F660" s="302"/>
      <c r="G660" s="302"/>
      <c r="H660" s="302"/>
      <c r="I660" s="303"/>
      <c r="J660" s="302"/>
      <c r="K660" s="302"/>
      <c r="L660" s="302"/>
      <c r="M660" s="236"/>
    </row>
    <row r="661" spans="1:13" x14ac:dyDescent="0.2">
      <c r="A661" s="237"/>
      <c r="B661" s="302"/>
      <c r="C661" s="302"/>
      <c r="D661" s="302"/>
      <c r="E661" s="303"/>
      <c r="F661" s="302"/>
      <c r="G661" s="302"/>
      <c r="H661" s="302"/>
      <c r="I661" s="303"/>
      <c r="J661" s="302"/>
      <c r="K661" s="302"/>
      <c r="L661" s="302"/>
      <c r="M661" s="236"/>
    </row>
    <row r="662" spans="1:13" x14ac:dyDescent="0.2">
      <c r="A662" s="237"/>
      <c r="B662" s="302"/>
      <c r="C662" s="302"/>
      <c r="D662" s="302"/>
      <c r="E662" s="303"/>
      <c r="F662" s="302"/>
      <c r="G662" s="302"/>
      <c r="H662" s="302"/>
      <c r="I662" s="303"/>
      <c r="J662" s="302"/>
      <c r="K662" s="302"/>
      <c r="L662" s="302"/>
      <c r="M662" s="236"/>
    </row>
    <row r="663" spans="1:13" x14ac:dyDescent="0.2">
      <c r="A663" s="237"/>
      <c r="B663" s="302"/>
      <c r="C663" s="302"/>
      <c r="D663" s="302"/>
      <c r="E663" s="303"/>
      <c r="F663" s="302"/>
      <c r="G663" s="302"/>
      <c r="H663" s="302"/>
      <c r="I663" s="303"/>
      <c r="J663" s="302"/>
      <c r="K663" s="302"/>
      <c r="L663" s="302"/>
      <c r="M663" s="236"/>
    </row>
    <row r="664" spans="1:13" x14ac:dyDescent="0.2">
      <c r="A664" s="237"/>
      <c r="B664" s="302"/>
      <c r="C664" s="302"/>
      <c r="D664" s="302"/>
      <c r="E664" s="303"/>
      <c r="F664" s="302"/>
      <c r="G664" s="302"/>
      <c r="H664" s="302"/>
      <c r="I664" s="303"/>
      <c r="J664" s="302"/>
      <c r="K664" s="302"/>
      <c r="L664" s="302"/>
      <c r="M664" s="236"/>
    </row>
    <row r="665" spans="1:13" x14ac:dyDescent="0.2">
      <c r="A665" s="237"/>
      <c r="B665" s="303"/>
      <c r="C665" s="303"/>
      <c r="D665" s="303"/>
      <c r="E665" s="303"/>
      <c r="F665" s="303"/>
      <c r="G665" s="303"/>
      <c r="H665" s="303"/>
      <c r="I665" s="303"/>
      <c r="J665" s="303"/>
      <c r="K665" s="303"/>
      <c r="L665" s="303"/>
      <c r="M665" s="236"/>
    </row>
    <row r="666" spans="1:13" x14ac:dyDescent="0.2">
      <c r="A666" s="237"/>
      <c r="B666" s="237"/>
      <c r="C666" s="237"/>
      <c r="D666" s="237"/>
      <c r="E666" s="237"/>
      <c r="F666" s="237"/>
      <c r="G666" s="237"/>
      <c r="H666" s="237"/>
      <c r="I666" s="237"/>
      <c r="J666" s="237"/>
      <c r="K666" s="237"/>
      <c r="L666" s="240"/>
      <c r="M666" s="236"/>
    </row>
    <row r="667" spans="1:13" x14ac:dyDescent="0.2">
      <c r="A667" s="237"/>
      <c r="B667" s="237"/>
      <c r="C667" s="237"/>
      <c r="D667" s="237"/>
      <c r="E667" s="237"/>
      <c r="F667" s="237"/>
      <c r="G667" s="237"/>
      <c r="H667" s="237"/>
      <c r="I667" s="237"/>
      <c r="J667" s="237"/>
      <c r="K667" s="237"/>
      <c r="L667" s="284"/>
      <c r="M667" s="236"/>
    </row>
    <row r="668" spans="1:13" x14ac:dyDescent="0.2">
      <c r="A668" s="258"/>
      <c r="B668" s="241"/>
      <c r="C668" s="241"/>
      <c r="D668" s="241"/>
      <c r="E668" s="241"/>
      <c r="F668" s="241"/>
      <c r="G668" s="241"/>
      <c r="H668" s="241"/>
      <c r="I668" s="241"/>
      <c r="J668" s="241"/>
      <c r="K668" s="241"/>
      <c r="L668" s="236"/>
      <c r="M668" s="236"/>
    </row>
    <row r="669" spans="1:13" x14ac:dyDescent="0.2">
      <c r="A669" s="241"/>
      <c r="B669" s="372"/>
      <c r="C669" s="372"/>
      <c r="D669" s="372"/>
      <c r="E669" s="253"/>
      <c r="F669" s="372"/>
      <c r="G669" s="372"/>
      <c r="H669" s="372"/>
      <c r="I669" s="253"/>
      <c r="J669" s="372"/>
      <c r="K669" s="372"/>
      <c r="L669" s="372"/>
      <c r="M669" s="236"/>
    </row>
    <row r="670" spans="1:13" x14ac:dyDescent="0.2">
      <c r="A670" s="258"/>
      <c r="B670" s="259"/>
      <c r="C670" s="259"/>
      <c r="D670" s="259"/>
      <c r="E670" s="259"/>
      <c r="F670" s="259"/>
      <c r="G670" s="259"/>
      <c r="H670" s="259"/>
      <c r="I670" s="259"/>
      <c r="J670" s="259"/>
      <c r="K670" s="259"/>
      <c r="L670" s="259"/>
      <c r="M670" s="236"/>
    </row>
    <row r="671" spans="1:13" x14ac:dyDescent="0.2">
      <c r="A671" s="258"/>
      <c r="B671" s="259"/>
      <c r="C671" s="259"/>
      <c r="D671" s="259"/>
      <c r="E671" s="259"/>
      <c r="F671" s="259"/>
      <c r="G671" s="259"/>
      <c r="H671" s="259"/>
      <c r="I671" s="259"/>
      <c r="J671" s="259"/>
      <c r="K671" s="259"/>
      <c r="L671" s="259"/>
      <c r="M671" s="236"/>
    </row>
    <row r="672" spans="1:13" x14ac:dyDescent="0.2">
      <c r="A672" s="237"/>
      <c r="B672" s="302"/>
      <c r="C672" s="302"/>
      <c r="D672" s="302"/>
      <c r="E672" s="303"/>
      <c r="F672" s="302"/>
      <c r="G672" s="302"/>
      <c r="H672" s="302"/>
      <c r="I672" s="303"/>
      <c r="J672" s="302"/>
      <c r="K672" s="302"/>
      <c r="L672" s="302"/>
      <c r="M672" s="236"/>
    </row>
    <row r="673" spans="1:13" x14ac:dyDescent="0.2">
      <c r="A673" s="237"/>
      <c r="B673" s="302"/>
      <c r="C673" s="302"/>
      <c r="D673" s="302"/>
      <c r="E673" s="303"/>
      <c r="F673" s="302"/>
      <c r="G673" s="302"/>
      <c r="H673" s="302"/>
      <c r="I673" s="303"/>
      <c r="J673" s="302"/>
      <c r="K673" s="302"/>
      <c r="L673" s="302"/>
      <c r="M673" s="236"/>
    </row>
    <row r="674" spans="1:13" x14ac:dyDescent="0.2">
      <c r="A674" s="237"/>
      <c r="B674" s="302"/>
      <c r="C674" s="302"/>
      <c r="D674" s="302"/>
      <c r="E674" s="303"/>
      <c r="F674" s="302"/>
      <c r="G674" s="302"/>
      <c r="H674" s="302"/>
      <c r="I674" s="303"/>
      <c r="J674" s="302"/>
      <c r="K674" s="302"/>
      <c r="L674" s="302"/>
      <c r="M674" s="236"/>
    </row>
    <row r="675" spans="1:13" x14ac:dyDescent="0.2">
      <c r="A675" s="237"/>
      <c r="B675" s="302"/>
      <c r="C675" s="302"/>
      <c r="D675" s="302"/>
      <c r="E675" s="303"/>
      <c r="F675" s="302"/>
      <c r="G675" s="302"/>
      <c r="H675" s="302"/>
      <c r="I675" s="303"/>
      <c r="J675" s="302"/>
      <c r="K675" s="302"/>
      <c r="L675" s="302"/>
      <c r="M675" s="236"/>
    </row>
    <row r="676" spans="1:13" x14ac:dyDescent="0.2">
      <c r="A676" s="237"/>
      <c r="B676" s="302"/>
      <c r="C676" s="302"/>
      <c r="D676" s="302"/>
      <c r="E676" s="303"/>
      <c r="F676" s="302"/>
      <c r="G676" s="302"/>
      <c r="H676" s="302"/>
      <c r="I676" s="303"/>
      <c r="J676" s="302"/>
      <c r="K676" s="302"/>
      <c r="L676" s="302"/>
      <c r="M676" s="236"/>
    </row>
    <row r="677" spans="1:13" x14ac:dyDescent="0.2">
      <c r="A677" s="237"/>
      <c r="B677" s="302"/>
      <c r="C677" s="302"/>
      <c r="D677" s="302"/>
      <c r="E677" s="303"/>
      <c r="F677" s="302"/>
      <c r="G677" s="302"/>
      <c r="H677" s="302"/>
      <c r="I677" s="303"/>
      <c r="J677" s="302"/>
      <c r="K677" s="302"/>
      <c r="L677" s="302"/>
      <c r="M677" s="236"/>
    </row>
    <row r="678" spans="1:13" x14ac:dyDescent="0.2">
      <c r="A678" s="237"/>
      <c r="B678" s="302"/>
      <c r="C678" s="302"/>
      <c r="D678" s="302"/>
      <c r="E678" s="303"/>
      <c r="F678" s="302"/>
      <c r="G678" s="302"/>
      <c r="H678" s="302"/>
      <c r="I678" s="303"/>
      <c r="J678" s="302"/>
      <c r="K678" s="302"/>
      <c r="L678" s="302"/>
      <c r="M678" s="236"/>
    </row>
    <row r="679" spans="1:13" x14ac:dyDescent="0.2">
      <c r="A679" s="237"/>
      <c r="B679" s="302"/>
      <c r="C679" s="302"/>
      <c r="D679" s="302"/>
      <c r="E679" s="303"/>
      <c r="F679" s="302"/>
      <c r="G679" s="302"/>
      <c r="H679" s="302"/>
      <c r="I679" s="303"/>
      <c r="J679" s="302"/>
      <c r="K679" s="302"/>
      <c r="L679" s="302"/>
      <c r="M679" s="236"/>
    </row>
    <row r="680" spans="1:13" x14ac:dyDescent="0.2">
      <c r="A680" s="237"/>
      <c r="B680" s="302"/>
      <c r="C680" s="302"/>
      <c r="D680" s="302"/>
      <c r="E680" s="303"/>
      <c r="F680" s="302"/>
      <c r="G680" s="302"/>
      <c r="H680" s="302"/>
      <c r="I680" s="303"/>
      <c r="J680" s="302"/>
      <c r="K680" s="302"/>
      <c r="L680" s="302"/>
      <c r="M680" s="236"/>
    </row>
    <row r="681" spans="1:13" x14ac:dyDescent="0.2">
      <c r="A681" s="237"/>
      <c r="B681" s="302"/>
      <c r="C681" s="302"/>
      <c r="D681" s="302"/>
      <c r="E681" s="303"/>
      <c r="F681" s="302"/>
      <c r="G681" s="302"/>
      <c r="H681" s="302"/>
      <c r="I681" s="303"/>
      <c r="J681" s="302"/>
      <c r="K681" s="302"/>
      <c r="L681" s="302"/>
      <c r="M681" s="236"/>
    </row>
    <row r="682" spans="1:13" x14ac:dyDescent="0.2">
      <c r="A682" s="237"/>
      <c r="B682" s="303"/>
      <c r="C682" s="303"/>
      <c r="D682" s="303"/>
      <c r="E682" s="303"/>
      <c r="F682" s="303"/>
      <c r="G682" s="303"/>
      <c r="H682" s="303"/>
      <c r="I682" s="303"/>
      <c r="J682" s="303"/>
      <c r="K682" s="303"/>
      <c r="L682" s="303"/>
      <c r="M682" s="236"/>
    </row>
    <row r="683" spans="1:13" x14ac:dyDescent="0.2">
      <c r="A683" s="237"/>
      <c r="B683" s="237"/>
      <c r="C683" s="237"/>
      <c r="D683" s="237"/>
      <c r="E683" s="237"/>
      <c r="F683" s="237"/>
      <c r="G683" s="237"/>
      <c r="H683" s="237"/>
      <c r="I683" s="237"/>
      <c r="J683" s="237"/>
      <c r="K683" s="237"/>
      <c r="L683" s="240"/>
      <c r="M683" s="236"/>
    </row>
    <row r="684" spans="1:13" x14ac:dyDescent="0.2">
      <c r="A684" s="237"/>
      <c r="B684" s="237"/>
      <c r="C684" s="237"/>
      <c r="D684" s="237"/>
      <c r="E684" s="237"/>
      <c r="F684" s="237"/>
      <c r="G684" s="237"/>
      <c r="H684" s="237"/>
      <c r="I684" s="237"/>
      <c r="J684" s="237"/>
      <c r="K684" s="237"/>
      <c r="L684" s="284"/>
      <c r="M684" s="236"/>
    </row>
    <row r="685" spans="1:13" x14ac:dyDescent="0.2">
      <c r="A685" s="258"/>
      <c r="B685" s="241"/>
      <c r="C685" s="241"/>
      <c r="D685" s="241"/>
      <c r="E685" s="241"/>
      <c r="F685" s="241"/>
      <c r="G685" s="241"/>
      <c r="H685" s="241"/>
      <c r="I685" s="241"/>
      <c r="J685" s="241"/>
      <c r="K685" s="241"/>
      <c r="L685" s="236"/>
      <c r="M685" s="236"/>
    </row>
    <row r="686" spans="1:13" x14ac:dyDescent="0.2">
      <c r="A686" s="241"/>
      <c r="B686" s="372"/>
      <c r="C686" s="372"/>
      <c r="D686" s="372"/>
      <c r="E686" s="253"/>
      <c r="F686" s="372"/>
      <c r="G686" s="372"/>
      <c r="H686" s="372"/>
      <c r="I686" s="253"/>
      <c r="J686" s="372"/>
      <c r="K686" s="372"/>
      <c r="L686" s="372"/>
      <c r="M686" s="236"/>
    </row>
    <row r="687" spans="1:13" x14ac:dyDescent="0.2">
      <c r="A687" s="258"/>
      <c r="B687" s="259"/>
      <c r="C687" s="259"/>
      <c r="D687" s="259"/>
      <c r="E687" s="259"/>
      <c r="F687" s="259"/>
      <c r="G687" s="259"/>
      <c r="H687" s="259"/>
      <c r="I687" s="259"/>
      <c r="J687" s="259"/>
      <c r="K687" s="259"/>
      <c r="L687" s="259"/>
      <c r="M687" s="236"/>
    </row>
    <row r="688" spans="1:13" x14ac:dyDescent="0.2">
      <c r="A688" s="258"/>
      <c r="B688" s="259"/>
      <c r="C688" s="259"/>
      <c r="D688" s="259"/>
      <c r="E688" s="259"/>
      <c r="F688" s="259"/>
      <c r="G688" s="259"/>
      <c r="H688" s="259"/>
      <c r="I688" s="259"/>
      <c r="J688" s="259"/>
      <c r="K688" s="259"/>
      <c r="L688" s="259"/>
      <c r="M688" s="236"/>
    </row>
    <row r="689" spans="1:13" x14ac:dyDescent="0.2">
      <c r="A689" s="237"/>
      <c r="B689" s="302"/>
      <c r="C689" s="302"/>
      <c r="D689" s="302"/>
      <c r="E689" s="303"/>
      <c r="F689" s="302"/>
      <c r="G689" s="302"/>
      <c r="H689" s="302"/>
      <c r="I689" s="303"/>
      <c r="J689" s="302"/>
      <c r="K689" s="302"/>
      <c r="L689" s="302"/>
      <c r="M689" s="236"/>
    </row>
    <row r="690" spans="1:13" x14ac:dyDescent="0.2">
      <c r="A690" s="237"/>
      <c r="B690" s="302"/>
      <c r="C690" s="302"/>
      <c r="D690" s="302"/>
      <c r="E690" s="303"/>
      <c r="F690" s="302"/>
      <c r="G690" s="302"/>
      <c r="H690" s="302"/>
      <c r="I690" s="303"/>
      <c r="J690" s="302"/>
      <c r="K690" s="302"/>
      <c r="L690" s="302"/>
      <c r="M690" s="236"/>
    </row>
    <row r="691" spans="1:13" x14ac:dyDescent="0.2">
      <c r="A691" s="237"/>
      <c r="B691" s="302"/>
      <c r="C691" s="302"/>
      <c r="D691" s="302"/>
      <c r="E691" s="303"/>
      <c r="F691" s="302"/>
      <c r="G691" s="302"/>
      <c r="H691" s="302"/>
      <c r="I691" s="303"/>
      <c r="J691" s="302"/>
      <c r="K691" s="302"/>
      <c r="L691" s="302"/>
      <c r="M691" s="236"/>
    </row>
    <row r="692" spans="1:13" x14ac:dyDescent="0.2">
      <c r="A692" s="237"/>
      <c r="B692" s="302"/>
      <c r="C692" s="302"/>
      <c r="D692" s="302"/>
      <c r="E692" s="303"/>
      <c r="F692" s="302"/>
      <c r="G692" s="302"/>
      <c r="H692" s="302"/>
      <c r="I692" s="303"/>
      <c r="J692" s="302"/>
      <c r="K692" s="302"/>
      <c r="L692" s="302"/>
      <c r="M692" s="236"/>
    </row>
    <row r="693" spans="1:13" x14ac:dyDescent="0.2">
      <c r="A693" s="237"/>
      <c r="B693" s="302"/>
      <c r="C693" s="302"/>
      <c r="D693" s="302"/>
      <c r="E693" s="303"/>
      <c r="F693" s="302"/>
      <c r="G693" s="302"/>
      <c r="H693" s="302"/>
      <c r="I693" s="303"/>
      <c r="J693" s="302"/>
      <c r="K693" s="302"/>
      <c r="L693" s="302"/>
      <c r="M693" s="236"/>
    </row>
    <row r="694" spans="1:13" x14ac:dyDescent="0.2">
      <c r="A694" s="237"/>
      <c r="B694" s="302"/>
      <c r="C694" s="302"/>
      <c r="D694" s="302"/>
      <c r="E694" s="303"/>
      <c r="F694" s="302"/>
      <c r="G694" s="302"/>
      <c r="H694" s="302"/>
      <c r="I694" s="303"/>
      <c r="J694" s="302"/>
      <c r="K694" s="302"/>
      <c r="L694" s="302"/>
      <c r="M694" s="236"/>
    </row>
    <row r="695" spans="1:13" x14ac:dyDescent="0.2">
      <c r="A695" s="237"/>
      <c r="B695" s="302"/>
      <c r="C695" s="302"/>
      <c r="D695" s="302"/>
      <c r="E695" s="303"/>
      <c r="F695" s="302"/>
      <c r="G695" s="302"/>
      <c r="H695" s="302"/>
      <c r="I695" s="303"/>
      <c r="J695" s="302"/>
      <c r="K695" s="302"/>
      <c r="L695" s="302"/>
      <c r="M695" s="236"/>
    </row>
    <row r="696" spans="1:13" x14ac:dyDescent="0.2">
      <c r="A696" s="237"/>
      <c r="B696" s="302"/>
      <c r="C696" s="302"/>
      <c r="D696" s="302"/>
      <c r="E696" s="303"/>
      <c r="F696" s="302"/>
      <c r="G696" s="302"/>
      <c r="H696" s="302"/>
      <c r="I696" s="303"/>
      <c r="J696" s="302"/>
      <c r="K696" s="302"/>
      <c r="L696" s="302"/>
      <c r="M696" s="236"/>
    </row>
    <row r="697" spans="1:13" x14ac:dyDescent="0.2">
      <c r="A697" s="237"/>
      <c r="B697" s="302"/>
      <c r="C697" s="302"/>
      <c r="D697" s="302"/>
      <c r="E697" s="303"/>
      <c r="F697" s="302"/>
      <c r="G697" s="302"/>
      <c r="H697" s="302"/>
      <c r="I697" s="303"/>
      <c r="J697" s="302"/>
      <c r="K697" s="302"/>
      <c r="L697" s="302"/>
      <c r="M697" s="236"/>
    </row>
    <row r="698" spans="1:13" x14ac:dyDescent="0.2">
      <c r="A698" s="237"/>
      <c r="B698" s="302"/>
      <c r="C698" s="302"/>
      <c r="D698" s="302"/>
      <c r="E698" s="303"/>
      <c r="F698" s="302"/>
      <c r="G698" s="302"/>
      <c r="H698" s="302"/>
      <c r="I698" s="303"/>
      <c r="J698" s="302"/>
      <c r="K698" s="302"/>
      <c r="L698" s="302"/>
      <c r="M698" s="236"/>
    </row>
    <row r="699" spans="1:13" x14ac:dyDescent="0.2">
      <c r="A699" s="237"/>
      <c r="B699" s="303"/>
      <c r="C699" s="303"/>
      <c r="D699" s="303"/>
      <c r="E699" s="303"/>
      <c r="F699" s="303"/>
      <c r="G699" s="303"/>
      <c r="H699" s="303"/>
      <c r="I699" s="303"/>
      <c r="J699" s="303"/>
      <c r="K699" s="303"/>
      <c r="L699" s="303"/>
      <c r="M699" s="236"/>
    </row>
    <row r="700" spans="1:13" x14ac:dyDescent="0.2">
      <c r="A700" s="237"/>
      <c r="B700" s="237"/>
      <c r="C700" s="237"/>
      <c r="D700" s="237"/>
      <c r="E700" s="237"/>
      <c r="F700" s="237"/>
      <c r="G700" s="237"/>
      <c r="H700" s="237"/>
      <c r="I700" s="237"/>
      <c r="J700" s="237"/>
      <c r="K700" s="237"/>
      <c r="L700" s="240"/>
      <c r="M700" s="236"/>
    </row>
    <row r="701" spans="1:13" x14ac:dyDescent="0.2">
      <c r="A701" s="237"/>
      <c r="B701" s="237"/>
      <c r="C701" s="237"/>
      <c r="D701" s="237"/>
      <c r="E701" s="237"/>
      <c r="F701" s="237"/>
      <c r="G701" s="237"/>
      <c r="H701" s="237"/>
      <c r="I701" s="237"/>
      <c r="J701" s="237"/>
      <c r="K701" s="237"/>
      <c r="L701" s="284"/>
      <c r="M701" s="236"/>
    </row>
    <row r="702" spans="1:13" x14ac:dyDescent="0.2">
      <c r="A702" s="258"/>
      <c r="B702" s="241"/>
      <c r="C702" s="241"/>
      <c r="D702" s="241"/>
      <c r="E702" s="241"/>
      <c r="F702" s="241"/>
      <c r="G702" s="241"/>
      <c r="H702" s="241"/>
      <c r="I702" s="241"/>
      <c r="J702" s="241"/>
      <c r="K702" s="241"/>
      <c r="L702" s="236"/>
      <c r="M702" s="236"/>
    </row>
    <row r="703" spans="1:13" x14ac:dyDescent="0.2">
      <c r="A703" s="241"/>
      <c r="B703" s="372"/>
      <c r="C703" s="372"/>
      <c r="D703" s="372"/>
      <c r="E703" s="253"/>
      <c r="F703" s="372"/>
      <c r="G703" s="372"/>
      <c r="H703" s="372"/>
      <c r="I703" s="253"/>
      <c r="J703" s="372"/>
      <c r="K703" s="372"/>
      <c r="L703" s="372"/>
      <c r="M703" s="236"/>
    </row>
    <row r="704" spans="1:13" x14ac:dyDescent="0.2">
      <c r="A704" s="258"/>
      <c r="B704" s="259"/>
      <c r="C704" s="259"/>
      <c r="D704" s="259"/>
      <c r="E704" s="259"/>
      <c r="F704" s="259"/>
      <c r="G704" s="259"/>
      <c r="H704" s="259"/>
      <c r="I704" s="259"/>
      <c r="J704" s="259"/>
      <c r="K704" s="259"/>
      <c r="L704" s="259"/>
      <c r="M704" s="236"/>
    </row>
    <row r="705" spans="1:13" x14ac:dyDescent="0.2">
      <c r="A705" s="258"/>
      <c r="B705" s="259"/>
      <c r="C705" s="259"/>
      <c r="D705" s="259"/>
      <c r="E705" s="259"/>
      <c r="F705" s="259"/>
      <c r="G705" s="259"/>
      <c r="H705" s="259"/>
      <c r="I705" s="259"/>
      <c r="J705" s="259"/>
      <c r="K705" s="259"/>
      <c r="L705" s="259"/>
      <c r="M705" s="236"/>
    </row>
    <row r="706" spans="1:13" x14ac:dyDescent="0.2">
      <c r="A706" s="237"/>
      <c r="B706" s="302"/>
      <c r="C706" s="302"/>
      <c r="D706" s="302"/>
      <c r="E706" s="303"/>
      <c r="F706" s="302"/>
      <c r="G706" s="302"/>
      <c r="H706" s="302"/>
      <c r="I706" s="303"/>
      <c r="J706" s="302"/>
      <c r="K706" s="302"/>
      <c r="L706" s="302"/>
      <c r="M706" s="236"/>
    </row>
    <row r="707" spans="1:13" x14ac:dyDescent="0.2">
      <c r="A707" s="237"/>
      <c r="B707" s="302"/>
      <c r="C707" s="302"/>
      <c r="D707" s="302"/>
      <c r="E707" s="303"/>
      <c r="F707" s="302"/>
      <c r="G707" s="302"/>
      <c r="H707" s="302"/>
      <c r="I707" s="303"/>
      <c r="J707" s="302"/>
      <c r="K707" s="302"/>
      <c r="L707" s="302"/>
      <c r="M707" s="236"/>
    </row>
    <row r="708" spans="1:13" x14ac:dyDescent="0.2">
      <c r="A708" s="237"/>
      <c r="B708" s="302"/>
      <c r="C708" s="302"/>
      <c r="D708" s="302"/>
      <c r="E708" s="303"/>
      <c r="F708" s="302"/>
      <c r="G708" s="302"/>
      <c r="H708" s="302"/>
      <c r="I708" s="303"/>
      <c r="J708" s="302"/>
      <c r="K708" s="302"/>
      <c r="L708" s="302"/>
      <c r="M708" s="236"/>
    </row>
    <row r="709" spans="1:13" x14ac:dyDescent="0.2">
      <c r="A709" s="237"/>
      <c r="B709" s="302"/>
      <c r="C709" s="302"/>
      <c r="D709" s="302"/>
      <c r="E709" s="303"/>
      <c r="F709" s="302"/>
      <c r="G709" s="302"/>
      <c r="H709" s="302"/>
      <c r="I709" s="303"/>
      <c r="J709" s="302"/>
      <c r="K709" s="302"/>
      <c r="L709" s="302"/>
      <c r="M709" s="236"/>
    </row>
    <row r="710" spans="1:13" x14ac:dyDescent="0.2">
      <c r="A710" s="237"/>
      <c r="B710" s="302"/>
      <c r="C710" s="302"/>
      <c r="D710" s="302"/>
      <c r="E710" s="303"/>
      <c r="F710" s="302"/>
      <c r="G710" s="302"/>
      <c r="H710" s="302"/>
      <c r="I710" s="303"/>
      <c r="J710" s="302"/>
      <c r="K710" s="302"/>
      <c r="L710" s="302"/>
      <c r="M710" s="236"/>
    </row>
    <row r="711" spans="1:13" x14ac:dyDescent="0.2">
      <c r="A711" s="237"/>
      <c r="B711" s="302"/>
      <c r="C711" s="302"/>
      <c r="D711" s="302"/>
      <c r="E711" s="303"/>
      <c r="F711" s="302"/>
      <c r="G711" s="302"/>
      <c r="H711" s="302"/>
      <c r="I711" s="303"/>
      <c r="J711" s="302"/>
      <c r="K711" s="302"/>
      <c r="L711" s="302"/>
      <c r="M711" s="236"/>
    </row>
    <row r="712" spans="1:13" x14ac:dyDescent="0.2">
      <c r="A712" s="237"/>
      <c r="B712" s="302"/>
      <c r="C712" s="302"/>
      <c r="D712" s="302"/>
      <c r="E712" s="303"/>
      <c r="F712" s="302"/>
      <c r="G712" s="302"/>
      <c r="H712" s="302"/>
      <c r="I712" s="303"/>
      <c r="J712" s="302"/>
      <c r="K712" s="302"/>
      <c r="L712" s="302"/>
      <c r="M712" s="236"/>
    </row>
    <row r="713" spans="1:13" x14ac:dyDescent="0.2">
      <c r="A713" s="237"/>
      <c r="B713" s="302"/>
      <c r="C713" s="302"/>
      <c r="D713" s="302"/>
      <c r="E713" s="303"/>
      <c r="F713" s="302"/>
      <c r="G713" s="302"/>
      <c r="H713" s="302"/>
      <c r="I713" s="303"/>
      <c r="J713" s="302"/>
      <c r="K713" s="302"/>
      <c r="L713" s="302"/>
      <c r="M713" s="236"/>
    </row>
    <row r="714" spans="1:13" x14ac:dyDescent="0.2">
      <c r="A714" s="237"/>
      <c r="B714" s="302"/>
      <c r="C714" s="302"/>
      <c r="D714" s="302"/>
      <c r="E714" s="303"/>
      <c r="F714" s="302"/>
      <c r="G714" s="302"/>
      <c r="H714" s="302"/>
      <c r="I714" s="303"/>
      <c r="J714" s="302"/>
      <c r="K714" s="302"/>
      <c r="L714" s="302"/>
      <c r="M714" s="236"/>
    </row>
    <row r="715" spans="1:13" x14ac:dyDescent="0.2">
      <c r="A715" s="237"/>
      <c r="B715" s="302"/>
      <c r="C715" s="302"/>
      <c r="D715" s="302"/>
      <c r="E715" s="303"/>
      <c r="F715" s="302"/>
      <c r="G715" s="302"/>
      <c r="H715" s="302"/>
      <c r="I715" s="303"/>
      <c r="J715" s="302"/>
      <c r="K715" s="302"/>
      <c r="L715" s="302"/>
      <c r="M715" s="236"/>
    </row>
    <row r="716" spans="1:13" x14ac:dyDescent="0.2">
      <c r="A716" s="237"/>
      <c r="B716" s="303"/>
      <c r="C716" s="303"/>
      <c r="D716" s="303"/>
      <c r="E716" s="303"/>
      <c r="F716" s="303"/>
      <c r="G716" s="303"/>
      <c r="H716" s="303"/>
      <c r="I716" s="303"/>
      <c r="J716" s="303"/>
      <c r="K716" s="303"/>
      <c r="L716" s="303"/>
      <c r="M716" s="236"/>
    </row>
    <row r="717" spans="1:13" x14ac:dyDescent="0.2">
      <c r="A717" s="237"/>
      <c r="B717" s="237"/>
      <c r="C717" s="237"/>
      <c r="D717" s="237"/>
      <c r="E717" s="237"/>
      <c r="F717" s="237"/>
      <c r="G717" s="237"/>
      <c r="H717" s="237"/>
      <c r="I717" s="237"/>
      <c r="J717" s="237"/>
      <c r="K717" s="237"/>
      <c r="L717" s="240"/>
      <c r="M717" s="236"/>
    </row>
    <row r="718" spans="1:13" x14ac:dyDescent="0.2">
      <c r="A718" s="237"/>
      <c r="B718" s="237"/>
      <c r="C718" s="237"/>
      <c r="D718" s="237"/>
      <c r="E718" s="237"/>
      <c r="F718" s="237"/>
      <c r="G718" s="237"/>
      <c r="H718" s="237"/>
      <c r="I718" s="237"/>
      <c r="J718" s="237"/>
      <c r="K718" s="237"/>
      <c r="L718" s="284"/>
      <c r="M718" s="236"/>
    </row>
    <row r="719" spans="1:13" x14ac:dyDescent="0.2">
      <c r="A719" s="258"/>
      <c r="B719" s="241"/>
      <c r="C719" s="241"/>
      <c r="D719" s="241"/>
      <c r="E719" s="241"/>
      <c r="F719" s="241"/>
      <c r="G719" s="241"/>
      <c r="H719" s="241"/>
      <c r="I719" s="241"/>
      <c r="J719" s="241"/>
      <c r="K719" s="241"/>
      <c r="L719" s="236"/>
      <c r="M719" s="236"/>
    </row>
    <row r="720" spans="1:13" x14ac:dyDescent="0.2">
      <c r="A720" s="241"/>
      <c r="B720" s="372"/>
      <c r="C720" s="372"/>
      <c r="D720" s="372"/>
      <c r="E720" s="253"/>
      <c r="F720" s="372"/>
      <c r="G720" s="372"/>
      <c r="H720" s="372"/>
      <c r="I720" s="253"/>
      <c r="J720" s="372"/>
      <c r="K720" s="372"/>
      <c r="L720" s="372"/>
      <c r="M720" s="236"/>
    </row>
    <row r="721" spans="1:13" x14ac:dyDescent="0.2">
      <c r="A721" s="258"/>
      <c r="B721" s="259"/>
      <c r="C721" s="259"/>
      <c r="D721" s="259"/>
      <c r="E721" s="259"/>
      <c r="F721" s="259"/>
      <c r="G721" s="259"/>
      <c r="H721" s="259"/>
      <c r="I721" s="259"/>
      <c r="J721" s="259"/>
      <c r="K721" s="259"/>
      <c r="L721" s="259"/>
      <c r="M721" s="236"/>
    </row>
    <row r="722" spans="1:13" x14ac:dyDescent="0.2">
      <c r="A722" s="258"/>
      <c r="B722" s="259"/>
      <c r="C722" s="259"/>
      <c r="D722" s="259"/>
      <c r="E722" s="259"/>
      <c r="F722" s="259"/>
      <c r="G722" s="259"/>
      <c r="H722" s="259"/>
      <c r="I722" s="259"/>
      <c r="J722" s="259"/>
      <c r="K722" s="259"/>
      <c r="L722" s="259"/>
      <c r="M722" s="236"/>
    </row>
    <row r="723" spans="1:13" x14ac:dyDescent="0.2">
      <c r="A723" s="237"/>
      <c r="B723" s="302"/>
      <c r="C723" s="302"/>
      <c r="D723" s="302"/>
      <c r="E723" s="303"/>
      <c r="F723" s="302"/>
      <c r="G723" s="302"/>
      <c r="H723" s="302"/>
      <c r="I723" s="303"/>
      <c r="J723" s="302"/>
      <c r="K723" s="302"/>
      <c r="L723" s="302"/>
      <c r="M723" s="236"/>
    </row>
    <row r="724" spans="1:13" x14ac:dyDescent="0.2">
      <c r="A724" s="237"/>
      <c r="B724" s="302"/>
      <c r="C724" s="302"/>
      <c r="D724" s="302"/>
      <c r="E724" s="303"/>
      <c r="F724" s="302"/>
      <c r="G724" s="302"/>
      <c r="H724" s="302"/>
      <c r="I724" s="303"/>
      <c r="J724" s="302"/>
      <c r="K724" s="302"/>
      <c r="L724" s="302"/>
      <c r="M724" s="236"/>
    </row>
    <row r="725" spans="1:13" x14ac:dyDescent="0.2">
      <c r="A725" s="237"/>
      <c r="B725" s="302"/>
      <c r="C725" s="302"/>
      <c r="D725" s="302"/>
      <c r="E725" s="303"/>
      <c r="F725" s="302"/>
      <c r="G725" s="302"/>
      <c r="H725" s="302"/>
      <c r="I725" s="303"/>
      <c r="J725" s="302"/>
      <c r="K725" s="302"/>
      <c r="L725" s="302"/>
      <c r="M725" s="236"/>
    </row>
    <row r="726" spans="1:13" x14ac:dyDescent="0.2">
      <c r="A726" s="237"/>
      <c r="B726" s="302"/>
      <c r="C726" s="302"/>
      <c r="D726" s="302"/>
      <c r="E726" s="303"/>
      <c r="F726" s="302"/>
      <c r="G726" s="302"/>
      <c r="H726" s="302"/>
      <c r="I726" s="303"/>
      <c r="J726" s="302"/>
      <c r="K726" s="302"/>
      <c r="L726" s="302"/>
      <c r="M726" s="236"/>
    </row>
    <row r="727" spans="1:13" x14ac:dyDescent="0.2">
      <c r="A727" s="237"/>
      <c r="B727" s="302"/>
      <c r="C727" s="302"/>
      <c r="D727" s="302"/>
      <c r="E727" s="303"/>
      <c r="F727" s="302"/>
      <c r="G727" s="302"/>
      <c r="H727" s="302"/>
      <c r="I727" s="303"/>
      <c r="J727" s="302"/>
      <c r="K727" s="302"/>
      <c r="L727" s="302"/>
      <c r="M727" s="236"/>
    </row>
    <row r="728" spans="1:13" x14ac:dyDescent="0.2">
      <c r="A728" s="237"/>
      <c r="B728" s="302"/>
      <c r="C728" s="302"/>
      <c r="D728" s="302"/>
      <c r="E728" s="303"/>
      <c r="F728" s="302"/>
      <c r="G728" s="302"/>
      <c r="H728" s="302"/>
      <c r="I728" s="303"/>
      <c r="J728" s="302"/>
      <c r="K728" s="302"/>
      <c r="L728" s="302"/>
      <c r="M728" s="236"/>
    </row>
    <row r="729" spans="1:13" x14ac:dyDescent="0.2">
      <c r="A729" s="237"/>
      <c r="B729" s="302"/>
      <c r="C729" s="302"/>
      <c r="D729" s="302"/>
      <c r="E729" s="303"/>
      <c r="F729" s="302"/>
      <c r="G729" s="302"/>
      <c r="H729" s="302"/>
      <c r="I729" s="303"/>
      <c r="J729" s="302"/>
      <c r="K729" s="302"/>
      <c r="L729" s="302"/>
      <c r="M729" s="236"/>
    </row>
    <row r="730" spans="1:13" x14ac:dyDescent="0.2">
      <c r="A730" s="237"/>
      <c r="B730" s="302"/>
      <c r="C730" s="302"/>
      <c r="D730" s="302"/>
      <c r="E730" s="303"/>
      <c r="F730" s="302"/>
      <c r="G730" s="302"/>
      <c r="H730" s="302"/>
      <c r="I730" s="303"/>
      <c r="J730" s="302"/>
      <c r="K730" s="302"/>
      <c r="L730" s="302"/>
      <c r="M730" s="236"/>
    </row>
    <row r="731" spans="1:13" x14ac:dyDescent="0.2">
      <c r="A731" s="237"/>
      <c r="B731" s="302"/>
      <c r="C731" s="302"/>
      <c r="D731" s="302"/>
      <c r="E731" s="303"/>
      <c r="F731" s="302"/>
      <c r="G731" s="302"/>
      <c r="H731" s="302"/>
      <c r="I731" s="303"/>
      <c r="J731" s="302"/>
      <c r="K731" s="302"/>
      <c r="L731" s="302"/>
      <c r="M731" s="236"/>
    </row>
    <row r="732" spans="1:13" x14ac:dyDescent="0.2">
      <c r="A732" s="237"/>
      <c r="B732" s="302"/>
      <c r="C732" s="302"/>
      <c r="D732" s="302"/>
      <c r="E732" s="303"/>
      <c r="F732" s="302"/>
      <c r="G732" s="302"/>
      <c r="H732" s="302"/>
      <c r="I732" s="303"/>
      <c r="J732" s="302"/>
      <c r="K732" s="302"/>
      <c r="L732" s="302"/>
      <c r="M732" s="236"/>
    </row>
    <row r="733" spans="1:13" x14ac:dyDescent="0.2">
      <c r="A733" s="237"/>
      <c r="B733" s="303"/>
      <c r="C733" s="303"/>
      <c r="D733" s="303"/>
      <c r="E733" s="303"/>
      <c r="F733" s="303"/>
      <c r="G733" s="303"/>
      <c r="H733" s="303"/>
      <c r="I733" s="303"/>
      <c r="J733" s="303"/>
      <c r="K733" s="303"/>
      <c r="L733" s="303"/>
      <c r="M733" s="236"/>
    </row>
    <row r="734" spans="1:13" x14ac:dyDescent="0.2">
      <c r="A734" s="237"/>
      <c r="B734" s="237"/>
      <c r="C734" s="237"/>
      <c r="D734" s="237"/>
      <c r="E734" s="237"/>
      <c r="F734" s="237"/>
      <c r="G734" s="237"/>
      <c r="H734" s="237"/>
      <c r="I734" s="237"/>
      <c r="J734" s="237"/>
      <c r="K734" s="237"/>
      <c r="L734" s="240"/>
      <c r="M734" s="236"/>
    </row>
    <row r="735" spans="1:13" x14ac:dyDescent="0.2">
      <c r="A735" s="237"/>
      <c r="B735" s="237"/>
      <c r="C735" s="237"/>
      <c r="D735" s="237"/>
      <c r="E735" s="237"/>
      <c r="F735" s="237"/>
      <c r="G735" s="237"/>
      <c r="H735" s="237"/>
      <c r="I735" s="237"/>
      <c r="J735" s="237"/>
      <c r="K735" s="237"/>
      <c r="L735" s="284"/>
      <c r="M735" s="236"/>
    </row>
    <row r="736" spans="1:13" x14ac:dyDescent="0.2">
      <c r="A736" s="258"/>
      <c r="B736" s="241"/>
      <c r="C736" s="241"/>
      <c r="D736" s="241"/>
      <c r="E736" s="241"/>
      <c r="F736" s="241"/>
      <c r="G736" s="241"/>
      <c r="H736" s="241"/>
      <c r="I736" s="241"/>
      <c r="J736" s="241"/>
      <c r="K736" s="241"/>
      <c r="L736" s="236"/>
      <c r="M736" s="236"/>
    </row>
    <row r="737" spans="1:13" x14ac:dyDescent="0.2">
      <c r="A737" s="241"/>
      <c r="B737" s="372"/>
      <c r="C737" s="372"/>
      <c r="D737" s="372"/>
      <c r="E737" s="253"/>
      <c r="F737" s="372"/>
      <c r="G737" s="372"/>
      <c r="H737" s="372"/>
      <c r="I737" s="253"/>
      <c r="J737" s="372"/>
      <c r="K737" s="372"/>
      <c r="L737" s="372"/>
      <c r="M737" s="236"/>
    </row>
    <row r="738" spans="1:13" x14ac:dyDescent="0.2">
      <c r="A738" s="258"/>
      <c r="B738" s="259"/>
      <c r="C738" s="259"/>
      <c r="D738" s="259"/>
      <c r="E738" s="259"/>
      <c r="F738" s="259"/>
      <c r="G738" s="259"/>
      <c r="H738" s="259"/>
      <c r="I738" s="259"/>
      <c r="J738" s="259"/>
      <c r="K738" s="259"/>
      <c r="L738" s="259"/>
      <c r="M738" s="236"/>
    </row>
    <row r="739" spans="1:13" x14ac:dyDescent="0.2">
      <c r="A739" s="258"/>
      <c r="B739" s="259"/>
      <c r="C739" s="259"/>
      <c r="D739" s="259"/>
      <c r="E739" s="259"/>
      <c r="F739" s="259"/>
      <c r="G739" s="259"/>
      <c r="H739" s="259"/>
      <c r="I739" s="259"/>
      <c r="J739" s="259"/>
      <c r="K739" s="259"/>
      <c r="L739" s="259"/>
      <c r="M739" s="236"/>
    </row>
    <row r="740" spans="1:13" x14ac:dyDescent="0.2">
      <c r="A740" s="237"/>
      <c r="B740" s="302"/>
      <c r="C740" s="302"/>
      <c r="D740" s="302"/>
      <c r="E740" s="303"/>
      <c r="F740" s="302"/>
      <c r="G740" s="302"/>
      <c r="H740" s="302"/>
      <c r="I740" s="303"/>
      <c r="J740" s="302"/>
      <c r="K740" s="302"/>
      <c r="L740" s="302"/>
      <c r="M740" s="236"/>
    </row>
    <row r="741" spans="1:13" x14ac:dyDescent="0.2">
      <c r="A741" s="237"/>
      <c r="B741" s="302"/>
      <c r="C741" s="302"/>
      <c r="D741" s="302"/>
      <c r="E741" s="303"/>
      <c r="F741" s="302"/>
      <c r="G741" s="302"/>
      <c r="H741" s="302"/>
      <c r="I741" s="303"/>
      <c r="J741" s="302"/>
      <c r="K741" s="302"/>
      <c r="L741" s="302"/>
      <c r="M741" s="236"/>
    </row>
    <row r="742" spans="1:13" x14ac:dyDescent="0.2">
      <c r="A742" s="237"/>
      <c r="B742" s="302"/>
      <c r="C742" s="302"/>
      <c r="D742" s="302"/>
      <c r="E742" s="303"/>
      <c r="F742" s="302"/>
      <c r="G742" s="302"/>
      <c r="H742" s="302"/>
      <c r="I742" s="303"/>
      <c r="J742" s="302"/>
      <c r="K742" s="302"/>
      <c r="L742" s="302"/>
      <c r="M742" s="236"/>
    </row>
    <row r="743" spans="1:13" x14ac:dyDescent="0.2">
      <c r="A743" s="237"/>
      <c r="B743" s="302"/>
      <c r="C743" s="302"/>
      <c r="D743" s="302"/>
      <c r="E743" s="303"/>
      <c r="F743" s="302"/>
      <c r="G743" s="302"/>
      <c r="H743" s="302"/>
      <c r="I743" s="303"/>
      <c r="J743" s="302"/>
      <c r="K743" s="302"/>
      <c r="L743" s="302"/>
      <c r="M743" s="236"/>
    </row>
    <row r="744" spans="1:13" x14ac:dyDescent="0.2">
      <c r="A744" s="237"/>
      <c r="B744" s="302"/>
      <c r="C744" s="302"/>
      <c r="D744" s="302"/>
      <c r="E744" s="303"/>
      <c r="F744" s="302"/>
      <c r="G744" s="302"/>
      <c r="H744" s="302"/>
      <c r="I744" s="303"/>
      <c r="J744" s="302"/>
      <c r="K744" s="302"/>
      <c r="L744" s="302"/>
      <c r="M744" s="236"/>
    </row>
    <row r="745" spans="1:13" x14ac:dyDescent="0.2">
      <c r="A745" s="237"/>
      <c r="B745" s="302"/>
      <c r="C745" s="302"/>
      <c r="D745" s="302"/>
      <c r="E745" s="303"/>
      <c r="F745" s="302"/>
      <c r="G745" s="302"/>
      <c r="H745" s="302"/>
      <c r="I745" s="303"/>
      <c r="J745" s="302"/>
      <c r="K745" s="302"/>
      <c r="L745" s="302"/>
      <c r="M745" s="236"/>
    </row>
    <row r="746" spans="1:13" x14ac:dyDescent="0.2">
      <c r="A746" s="237"/>
      <c r="B746" s="302"/>
      <c r="C746" s="302"/>
      <c r="D746" s="302"/>
      <c r="E746" s="303"/>
      <c r="F746" s="302"/>
      <c r="G746" s="302"/>
      <c r="H746" s="302"/>
      <c r="I746" s="303"/>
      <c r="J746" s="302"/>
      <c r="K746" s="302"/>
      <c r="L746" s="302"/>
      <c r="M746" s="236"/>
    </row>
    <row r="747" spans="1:13" x14ac:dyDescent="0.2">
      <c r="A747" s="237"/>
      <c r="B747" s="302"/>
      <c r="C747" s="302"/>
      <c r="D747" s="302"/>
      <c r="E747" s="303"/>
      <c r="F747" s="302"/>
      <c r="G747" s="302"/>
      <c r="H747" s="302"/>
      <c r="I747" s="303"/>
      <c r="J747" s="302"/>
      <c r="K747" s="302"/>
      <c r="L747" s="302"/>
      <c r="M747" s="236"/>
    </row>
    <row r="748" spans="1:13" x14ac:dyDescent="0.2">
      <c r="A748" s="237"/>
      <c r="B748" s="302"/>
      <c r="C748" s="302"/>
      <c r="D748" s="302"/>
      <c r="E748" s="303"/>
      <c r="F748" s="302"/>
      <c r="G748" s="302"/>
      <c r="H748" s="302"/>
      <c r="I748" s="303"/>
      <c r="J748" s="302"/>
      <c r="K748" s="302"/>
      <c r="L748" s="302"/>
      <c r="M748" s="236"/>
    </row>
    <row r="749" spans="1:13" x14ac:dyDescent="0.2">
      <c r="A749" s="237"/>
      <c r="B749" s="302"/>
      <c r="C749" s="302"/>
      <c r="D749" s="302"/>
      <c r="E749" s="303"/>
      <c r="F749" s="302"/>
      <c r="G749" s="302"/>
      <c r="H749" s="302"/>
      <c r="I749" s="303"/>
      <c r="J749" s="302"/>
      <c r="K749" s="302"/>
      <c r="L749" s="302"/>
      <c r="M749" s="236"/>
    </row>
    <row r="750" spans="1:13" x14ac:dyDescent="0.2">
      <c r="A750" s="237"/>
      <c r="B750" s="303"/>
      <c r="C750" s="303"/>
      <c r="D750" s="303"/>
      <c r="E750" s="303"/>
      <c r="F750" s="303"/>
      <c r="G750" s="303"/>
      <c r="H750" s="303"/>
      <c r="I750" s="303"/>
      <c r="J750" s="303"/>
      <c r="K750" s="303"/>
      <c r="L750" s="303"/>
      <c r="M750" s="236"/>
    </row>
    <row r="751" spans="1:13" x14ac:dyDescent="0.2">
      <c r="A751" s="237"/>
      <c r="B751" s="237"/>
      <c r="C751" s="237"/>
      <c r="D751" s="237"/>
      <c r="E751" s="237"/>
      <c r="F751" s="237"/>
      <c r="G751" s="237"/>
      <c r="H751" s="237"/>
      <c r="I751" s="237"/>
      <c r="J751" s="237"/>
      <c r="K751" s="237"/>
      <c r="L751" s="240"/>
      <c r="M751" s="236"/>
    </row>
    <row r="752" spans="1:13" x14ac:dyDescent="0.2">
      <c r="A752" s="237"/>
      <c r="B752" s="237"/>
      <c r="C752" s="237"/>
      <c r="D752" s="237"/>
      <c r="E752" s="237"/>
      <c r="F752" s="237"/>
      <c r="G752" s="237"/>
      <c r="H752" s="237"/>
      <c r="I752" s="237"/>
      <c r="J752" s="237"/>
      <c r="K752" s="237"/>
      <c r="L752" s="284"/>
      <c r="M752" s="236"/>
    </row>
    <row r="753" spans="1:13" x14ac:dyDescent="0.2">
      <c r="A753" s="258"/>
      <c r="B753" s="241"/>
      <c r="C753" s="241"/>
      <c r="D753" s="241"/>
      <c r="E753" s="241"/>
      <c r="F753" s="241"/>
      <c r="G753" s="241"/>
      <c r="H753" s="241"/>
      <c r="I753" s="241"/>
      <c r="J753" s="241"/>
      <c r="K753" s="241"/>
      <c r="L753" s="236"/>
      <c r="M753" s="236"/>
    </row>
    <row r="754" spans="1:13" x14ac:dyDescent="0.2">
      <c r="A754" s="241"/>
      <c r="B754" s="372"/>
      <c r="C754" s="372"/>
      <c r="D754" s="372"/>
      <c r="E754" s="253"/>
      <c r="F754" s="372"/>
      <c r="G754" s="372"/>
      <c r="H754" s="372"/>
      <c r="I754" s="253"/>
      <c r="J754" s="372"/>
      <c r="K754" s="372"/>
      <c r="L754" s="372"/>
      <c r="M754" s="236"/>
    </row>
    <row r="755" spans="1:13" x14ac:dyDescent="0.2">
      <c r="A755" s="258"/>
      <c r="B755" s="259"/>
      <c r="C755" s="259"/>
      <c r="D755" s="259"/>
      <c r="E755" s="259"/>
      <c r="F755" s="259"/>
      <c r="G755" s="259"/>
      <c r="H755" s="259"/>
      <c r="I755" s="259"/>
      <c r="J755" s="259"/>
      <c r="K755" s="259"/>
      <c r="L755" s="259"/>
      <c r="M755" s="236"/>
    </row>
    <row r="756" spans="1:13" x14ac:dyDescent="0.2">
      <c r="A756" s="258"/>
      <c r="B756" s="259"/>
      <c r="C756" s="259"/>
      <c r="D756" s="259"/>
      <c r="E756" s="259"/>
      <c r="F756" s="259"/>
      <c r="G756" s="259"/>
      <c r="H756" s="259"/>
      <c r="I756" s="259"/>
      <c r="J756" s="259"/>
      <c r="K756" s="259"/>
      <c r="L756" s="259"/>
      <c r="M756" s="236"/>
    </row>
    <row r="757" spans="1:13" x14ac:dyDescent="0.2">
      <c r="A757" s="237"/>
      <c r="B757" s="302"/>
      <c r="C757" s="302"/>
      <c r="D757" s="302"/>
      <c r="E757" s="303"/>
      <c r="F757" s="302"/>
      <c r="G757" s="302"/>
      <c r="H757" s="302"/>
      <c r="I757" s="303"/>
      <c r="J757" s="302"/>
      <c r="K757" s="302"/>
      <c r="L757" s="302"/>
      <c r="M757" s="236"/>
    </row>
    <row r="758" spans="1:13" x14ac:dyDescent="0.2">
      <c r="A758" s="237"/>
      <c r="B758" s="302"/>
      <c r="C758" s="302"/>
      <c r="D758" s="302"/>
      <c r="E758" s="303"/>
      <c r="F758" s="302"/>
      <c r="G758" s="302"/>
      <c r="H758" s="302"/>
      <c r="I758" s="303"/>
      <c r="J758" s="302"/>
      <c r="K758" s="302"/>
      <c r="L758" s="302"/>
      <c r="M758" s="236"/>
    </row>
    <row r="759" spans="1:13" x14ac:dyDescent="0.2">
      <c r="A759" s="237"/>
      <c r="B759" s="302"/>
      <c r="C759" s="302"/>
      <c r="D759" s="302"/>
      <c r="E759" s="303"/>
      <c r="F759" s="302"/>
      <c r="G759" s="302"/>
      <c r="H759" s="302"/>
      <c r="I759" s="303"/>
      <c r="J759" s="302"/>
      <c r="K759" s="302"/>
      <c r="L759" s="302"/>
      <c r="M759" s="236"/>
    </row>
    <row r="760" spans="1:13" x14ac:dyDescent="0.2">
      <c r="A760" s="237"/>
      <c r="B760" s="302"/>
      <c r="C760" s="302"/>
      <c r="D760" s="302"/>
      <c r="E760" s="303"/>
      <c r="F760" s="302"/>
      <c r="G760" s="302"/>
      <c r="H760" s="302"/>
      <c r="I760" s="303"/>
      <c r="J760" s="302"/>
      <c r="K760" s="302"/>
      <c r="L760" s="302"/>
      <c r="M760" s="236"/>
    </row>
    <row r="761" spans="1:13" x14ac:dyDescent="0.2">
      <c r="A761" s="237"/>
      <c r="B761" s="302"/>
      <c r="C761" s="302"/>
      <c r="D761" s="302"/>
      <c r="E761" s="303"/>
      <c r="F761" s="302"/>
      <c r="G761" s="302"/>
      <c r="H761" s="302"/>
      <c r="I761" s="303"/>
      <c r="J761" s="302"/>
      <c r="K761" s="302"/>
      <c r="L761" s="302"/>
      <c r="M761" s="236"/>
    </row>
    <row r="762" spans="1:13" x14ac:dyDescent="0.2">
      <c r="A762" s="237"/>
      <c r="B762" s="302"/>
      <c r="C762" s="302"/>
      <c r="D762" s="302"/>
      <c r="E762" s="303"/>
      <c r="F762" s="302"/>
      <c r="G762" s="302"/>
      <c r="H762" s="302"/>
      <c r="I762" s="303"/>
      <c r="J762" s="302"/>
      <c r="K762" s="302"/>
      <c r="L762" s="302"/>
      <c r="M762" s="236"/>
    </row>
    <row r="763" spans="1:13" x14ac:dyDescent="0.2">
      <c r="A763" s="237"/>
      <c r="B763" s="302"/>
      <c r="C763" s="302"/>
      <c r="D763" s="302"/>
      <c r="E763" s="303"/>
      <c r="F763" s="302"/>
      <c r="G763" s="302"/>
      <c r="H763" s="302"/>
      <c r="I763" s="303"/>
      <c r="J763" s="302"/>
      <c r="K763" s="302"/>
      <c r="L763" s="302"/>
      <c r="M763" s="236"/>
    </row>
    <row r="764" spans="1:13" x14ac:dyDescent="0.2">
      <c r="A764" s="237"/>
      <c r="B764" s="302"/>
      <c r="C764" s="302"/>
      <c r="D764" s="302"/>
      <c r="E764" s="303"/>
      <c r="F764" s="302"/>
      <c r="G764" s="302"/>
      <c r="H764" s="302"/>
      <c r="I764" s="303"/>
      <c r="J764" s="302"/>
      <c r="K764" s="302"/>
      <c r="L764" s="302"/>
      <c r="M764" s="236"/>
    </row>
    <row r="765" spans="1:13" x14ac:dyDescent="0.2">
      <c r="A765" s="237"/>
      <c r="B765" s="302"/>
      <c r="C765" s="302"/>
      <c r="D765" s="302"/>
      <c r="E765" s="303"/>
      <c r="F765" s="302"/>
      <c r="G765" s="302"/>
      <c r="H765" s="302"/>
      <c r="I765" s="303"/>
      <c r="J765" s="302"/>
      <c r="K765" s="302"/>
      <c r="L765" s="302"/>
      <c r="M765" s="236"/>
    </row>
    <row r="766" spans="1:13" x14ac:dyDescent="0.2">
      <c r="A766" s="237"/>
      <c r="B766" s="302"/>
      <c r="C766" s="302"/>
      <c r="D766" s="302"/>
      <c r="E766" s="303"/>
      <c r="F766" s="302"/>
      <c r="G766" s="302"/>
      <c r="H766" s="302"/>
      <c r="I766" s="303"/>
      <c r="J766" s="302"/>
      <c r="K766" s="302"/>
      <c r="L766" s="302"/>
      <c r="M766" s="236"/>
    </row>
    <row r="767" spans="1:13" x14ac:dyDescent="0.2">
      <c r="A767" s="237"/>
      <c r="B767" s="303"/>
      <c r="C767" s="303"/>
      <c r="D767" s="303"/>
      <c r="E767" s="303"/>
      <c r="F767" s="303"/>
      <c r="G767" s="303"/>
      <c r="H767" s="303"/>
      <c r="I767" s="303"/>
      <c r="J767" s="303"/>
      <c r="K767" s="303"/>
      <c r="L767" s="303"/>
      <c r="M767" s="236"/>
    </row>
    <row r="768" spans="1:13" x14ac:dyDescent="0.2">
      <c r="A768" s="237"/>
      <c r="B768" s="237"/>
      <c r="C768" s="237"/>
      <c r="D768" s="237"/>
      <c r="E768" s="237"/>
      <c r="F768" s="237"/>
      <c r="G768" s="237"/>
      <c r="H768" s="237"/>
      <c r="I768" s="237"/>
      <c r="J768" s="237"/>
      <c r="K768" s="237"/>
      <c r="L768" s="240"/>
      <c r="M768" s="236"/>
    </row>
    <row r="769" spans="1:13" x14ac:dyDescent="0.2">
      <c r="A769" s="237"/>
      <c r="B769" s="237"/>
      <c r="C769" s="237"/>
      <c r="D769" s="237"/>
      <c r="E769" s="237"/>
      <c r="F769" s="237"/>
      <c r="G769" s="237"/>
      <c r="H769" s="237"/>
      <c r="I769" s="237"/>
      <c r="J769" s="237"/>
      <c r="K769" s="237"/>
      <c r="L769" s="284"/>
      <c r="M769" s="236"/>
    </row>
    <row r="770" spans="1:13" x14ac:dyDescent="0.2">
      <c r="A770" s="258"/>
      <c r="B770" s="241"/>
      <c r="C770" s="241"/>
      <c r="D770" s="241"/>
      <c r="E770" s="241"/>
      <c r="F770" s="241"/>
      <c r="G770" s="241"/>
      <c r="H770" s="241"/>
      <c r="I770" s="241"/>
      <c r="J770" s="241"/>
      <c r="K770" s="241"/>
      <c r="L770" s="236"/>
      <c r="M770" s="236"/>
    </row>
    <row r="771" spans="1:13" x14ac:dyDescent="0.2">
      <c r="A771" s="241"/>
      <c r="B771" s="372"/>
      <c r="C771" s="372"/>
      <c r="D771" s="372"/>
      <c r="E771" s="253"/>
      <c r="F771" s="372"/>
      <c r="G771" s="372"/>
      <c r="H771" s="372"/>
      <c r="I771" s="253"/>
      <c r="J771" s="372"/>
      <c r="K771" s="372"/>
      <c r="L771" s="372"/>
      <c r="M771" s="236"/>
    </row>
    <row r="772" spans="1:13" x14ac:dyDescent="0.2">
      <c r="A772" s="258"/>
      <c r="B772" s="259"/>
      <c r="C772" s="259"/>
      <c r="D772" s="259"/>
      <c r="E772" s="259"/>
      <c r="F772" s="259"/>
      <c r="G772" s="259"/>
      <c r="H772" s="259"/>
      <c r="I772" s="259"/>
      <c r="J772" s="259"/>
      <c r="K772" s="259"/>
      <c r="L772" s="259"/>
      <c r="M772" s="236"/>
    </row>
    <row r="773" spans="1:13" x14ac:dyDescent="0.2">
      <c r="A773" s="258"/>
      <c r="B773" s="259"/>
      <c r="C773" s="259"/>
      <c r="D773" s="259"/>
      <c r="E773" s="259"/>
      <c r="F773" s="259"/>
      <c r="G773" s="259"/>
      <c r="H773" s="259"/>
      <c r="I773" s="259"/>
      <c r="J773" s="259"/>
      <c r="K773" s="259"/>
      <c r="L773" s="259"/>
      <c r="M773" s="236"/>
    </row>
    <row r="774" spans="1:13" x14ac:dyDescent="0.2">
      <c r="A774" s="237"/>
      <c r="B774" s="302"/>
      <c r="C774" s="302"/>
      <c r="D774" s="302"/>
      <c r="E774" s="303"/>
      <c r="F774" s="302"/>
      <c r="G774" s="302"/>
      <c r="H774" s="302"/>
      <c r="I774" s="303"/>
      <c r="J774" s="302"/>
      <c r="K774" s="302"/>
      <c r="L774" s="302"/>
      <c r="M774" s="236"/>
    </row>
    <row r="775" spans="1:13" x14ac:dyDescent="0.2">
      <c r="A775" s="237"/>
      <c r="B775" s="302"/>
      <c r="C775" s="302"/>
      <c r="D775" s="302"/>
      <c r="E775" s="303"/>
      <c r="F775" s="302"/>
      <c r="G775" s="302"/>
      <c r="H775" s="302"/>
      <c r="I775" s="303"/>
      <c r="J775" s="302"/>
      <c r="K775" s="302"/>
      <c r="L775" s="302"/>
      <c r="M775" s="236"/>
    </row>
    <row r="776" spans="1:13" x14ac:dyDescent="0.2">
      <c r="A776" s="237"/>
      <c r="B776" s="302"/>
      <c r="C776" s="302"/>
      <c r="D776" s="302"/>
      <c r="E776" s="303"/>
      <c r="F776" s="302"/>
      <c r="G776" s="302"/>
      <c r="H776" s="302"/>
      <c r="I776" s="303"/>
      <c r="J776" s="302"/>
      <c r="K776" s="302"/>
      <c r="L776" s="302"/>
      <c r="M776" s="236"/>
    </row>
    <row r="777" spans="1:13" x14ac:dyDescent="0.2">
      <c r="A777" s="237"/>
      <c r="B777" s="302"/>
      <c r="C777" s="302"/>
      <c r="D777" s="302"/>
      <c r="E777" s="303"/>
      <c r="F777" s="302"/>
      <c r="G777" s="302"/>
      <c r="H777" s="302"/>
      <c r="I777" s="303"/>
      <c r="J777" s="302"/>
      <c r="K777" s="302"/>
      <c r="L777" s="302"/>
      <c r="M777" s="236"/>
    </row>
    <row r="778" spans="1:13" x14ac:dyDescent="0.2">
      <c r="A778" s="237"/>
      <c r="B778" s="302"/>
      <c r="C778" s="302"/>
      <c r="D778" s="302"/>
      <c r="E778" s="303"/>
      <c r="F778" s="302"/>
      <c r="G778" s="302"/>
      <c r="H778" s="302"/>
      <c r="I778" s="303"/>
      <c r="J778" s="302"/>
      <c r="K778" s="302"/>
      <c r="L778" s="302"/>
      <c r="M778" s="236"/>
    </row>
    <row r="779" spans="1:13" x14ac:dyDescent="0.2">
      <c r="A779" s="237"/>
      <c r="B779" s="302"/>
      <c r="C779" s="302"/>
      <c r="D779" s="302"/>
      <c r="E779" s="303"/>
      <c r="F779" s="302"/>
      <c r="G779" s="302"/>
      <c r="H779" s="302"/>
      <c r="I779" s="303"/>
      <c r="J779" s="302"/>
      <c r="K779" s="302"/>
      <c r="L779" s="302"/>
      <c r="M779" s="236"/>
    </row>
    <row r="780" spans="1:13" x14ac:dyDescent="0.2">
      <c r="A780" s="237"/>
      <c r="B780" s="302"/>
      <c r="C780" s="302"/>
      <c r="D780" s="302"/>
      <c r="E780" s="303"/>
      <c r="F780" s="302"/>
      <c r="G780" s="302"/>
      <c r="H780" s="302"/>
      <c r="I780" s="303"/>
      <c r="J780" s="302"/>
      <c r="K780" s="302"/>
      <c r="L780" s="302"/>
      <c r="M780" s="236"/>
    </row>
    <row r="781" spans="1:13" x14ac:dyDescent="0.2">
      <c r="A781" s="237"/>
      <c r="B781" s="302"/>
      <c r="C781" s="302"/>
      <c r="D781" s="302"/>
      <c r="E781" s="303"/>
      <c r="F781" s="302"/>
      <c r="G781" s="302"/>
      <c r="H781" s="302"/>
      <c r="I781" s="303"/>
      <c r="J781" s="302"/>
      <c r="K781" s="302"/>
      <c r="L781" s="302"/>
      <c r="M781" s="236"/>
    </row>
    <row r="782" spans="1:13" x14ac:dyDescent="0.2">
      <c r="A782" s="237"/>
      <c r="B782" s="302"/>
      <c r="C782" s="302"/>
      <c r="D782" s="302"/>
      <c r="E782" s="303"/>
      <c r="F782" s="302"/>
      <c r="G782" s="302"/>
      <c r="H782" s="302"/>
      <c r="I782" s="303"/>
      <c r="J782" s="302"/>
      <c r="K782" s="302"/>
      <c r="L782" s="302"/>
      <c r="M782" s="236"/>
    </row>
    <row r="783" spans="1:13" x14ac:dyDescent="0.2">
      <c r="A783" s="237"/>
      <c r="B783" s="302"/>
      <c r="C783" s="302"/>
      <c r="D783" s="302"/>
      <c r="E783" s="303"/>
      <c r="F783" s="302"/>
      <c r="G783" s="302"/>
      <c r="H783" s="302"/>
      <c r="I783" s="303"/>
      <c r="J783" s="302"/>
      <c r="K783" s="302"/>
      <c r="L783" s="302"/>
      <c r="M783" s="236"/>
    </row>
    <row r="784" spans="1:13" x14ac:dyDescent="0.2">
      <c r="A784" s="237"/>
      <c r="B784" s="303"/>
      <c r="C784" s="303"/>
      <c r="D784" s="303"/>
      <c r="E784" s="303"/>
      <c r="F784" s="303"/>
      <c r="G784" s="303"/>
      <c r="H784" s="303"/>
      <c r="I784" s="303"/>
      <c r="J784" s="303"/>
      <c r="K784" s="303"/>
      <c r="L784" s="303"/>
      <c r="M784" s="236"/>
    </row>
    <row r="785" spans="1:13" x14ac:dyDescent="0.2">
      <c r="A785" s="237"/>
      <c r="B785" s="237"/>
      <c r="C785" s="237"/>
      <c r="D785" s="237"/>
      <c r="E785" s="237"/>
      <c r="F785" s="237"/>
      <c r="G785" s="237"/>
      <c r="H785" s="237"/>
      <c r="I785" s="237"/>
      <c r="J785" s="237"/>
      <c r="K785" s="237"/>
      <c r="L785" s="240"/>
      <c r="M785" s="236"/>
    </row>
    <row r="786" spans="1:13" x14ac:dyDescent="0.2">
      <c r="A786" s="237"/>
      <c r="B786" s="237"/>
      <c r="C786" s="237"/>
      <c r="D786" s="237"/>
      <c r="E786" s="237"/>
      <c r="F786" s="237"/>
      <c r="G786" s="237"/>
      <c r="H786" s="237"/>
      <c r="I786" s="237"/>
      <c r="J786" s="237"/>
      <c r="K786" s="237"/>
      <c r="L786" s="284"/>
      <c r="M786" s="236"/>
    </row>
    <row r="787" spans="1:13" x14ac:dyDescent="0.2">
      <c r="A787" s="258"/>
      <c r="B787" s="241"/>
      <c r="C787" s="241"/>
      <c r="D787" s="241"/>
      <c r="E787" s="241"/>
      <c r="F787" s="241"/>
      <c r="G787" s="241"/>
      <c r="H787" s="241"/>
      <c r="I787" s="241"/>
      <c r="J787" s="241"/>
      <c r="K787" s="241"/>
      <c r="L787" s="236"/>
      <c r="M787" s="236"/>
    </row>
    <row r="788" spans="1:13" x14ac:dyDescent="0.2">
      <c r="A788" s="241"/>
      <c r="B788" s="372"/>
      <c r="C788" s="372"/>
      <c r="D788" s="372"/>
      <c r="E788" s="253"/>
      <c r="F788" s="372"/>
      <c r="G788" s="372"/>
      <c r="H788" s="372"/>
      <c r="I788" s="253"/>
      <c r="J788" s="372"/>
      <c r="K788" s="372"/>
      <c r="L788" s="372"/>
      <c r="M788" s="236"/>
    </row>
    <row r="789" spans="1:13" x14ac:dyDescent="0.2">
      <c r="A789" s="258"/>
      <c r="B789" s="259"/>
      <c r="C789" s="259"/>
      <c r="D789" s="259"/>
      <c r="E789" s="259"/>
      <c r="F789" s="259"/>
      <c r="G789" s="259"/>
      <c r="H789" s="259"/>
      <c r="I789" s="259"/>
      <c r="J789" s="259"/>
      <c r="K789" s="259"/>
      <c r="L789" s="259"/>
      <c r="M789" s="236"/>
    </row>
    <row r="790" spans="1:13" x14ac:dyDescent="0.2">
      <c r="A790" s="258"/>
      <c r="B790" s="259"/>
      <c r="C790" s="259"/>
      <c r="D790" s="259"/>
      <c r="E790" s="259"/>
      <c r="F790" s="259"/>
      <c r="G790" s="259"/>
      <c r="H790" s="259"/>
      <c r="I790" s="259"/>
      <c r="J790" s="259"/>
      <c r="K790" s="259"/>
      <c r="L790" s="259"/>
      <c r="M790" s="236"/>
    </row>
    <row r="791" spans="1:13" x14ac:dyDescent="0.2">
      <c r="A791" s="237"/>
      <c r="B791" s="302"/>
      <c r="C791" s="302"/>
      <c r="D791" s="302"/>
      <c r="E791" s="303"/>
      <c r="F791" s="302"/>
      <c r="G791" s="302"/>
      <c r="H791" s="302"/>
      <c r="I791" s="303"/>
      <c r="J791" s="302"/>
      <c r="K791" s="302"/>
      <c r="L791" s="302"/>
      <c r="M791" s="236"/>
    </row>
    <row r="792" spans="1:13" x14ac:dyDescent="0.2">
      <c r="A792" s="237"/>
      <c r="B792" s="302"/>
      <c r="C792" s="302"/>
      <c r="D792" s="302"/>
      <c r="E792" s="303"/>
      <c r="F792" s="302"/>
      <c r="G792" s="302"/>
      <c r="H792" s="302"/>
      <c r="I792" s="303"/>
      <c r="J792" s="302"/>
      <c r="K792" s="302"/>
      <c r="L792" s="302"/>
      <c r="M792" s="236"/>
    </row>
    <row r="793" spans="1:13" x14ac:dyDescent="0.2">
      <c r="A793" s="237"/>
      <c r="B793" s="302"/>
      <c r="C793" s="302"/>
      <c r="D793" s="302"/>
      <c r="E793" s="303"/>
      <c r="F793" s="302"/>
      <c r="G793" s="302"/>
      <c r="H793" s="302"/>
      <c r="I793" s="303"/>
      <c r="J793" s="302"/>
      <c r="K793" s="302"/>
      <c r="L793" s="302"/>
      <c r="M793" s="236"/>
    </row>
    <row r="794" spans="1:13" x14ac:dyDescent="0.2">
      <c r="A794" s="237"/>
      <c r="B794" s="302"/>
      <c r="C794" s="302"/>
      <c r="D794" s="302"/>
      <c r="E794" s="303"/>
      <c r="F794" s="302"/>
      <c r="G794" s="302"/>
      <c r="H794" s="302"/>
      <c r="I794" s="303"/>
      <c r="J794" s="302"/>
      <c r="K794" s="302"/>
      <c r="L794" s="302"/>
      <c r="M794" s="236"/>
    </row>
    <row r="795" spans="1:13" x14ac:dyDescent="0.2">
      <c r="A795" s="237"/>
      <c r="B795" s="302"/>
      <c r="C795" s="302"/>
      <c r="D795" s="302"/>
      <c r="E795" s="303"/>
      <c r="F795" s="302"/>
      <c r="G795" s="302"/>
      <c r="H795" s="302"/>
      <c r="I795" s="303"/>
      <c r="J795" s="302"/>
      <c r="K795" s="302"/>
      <c r="L795" s="302"/>
      <c r="M795" s="236"/>
    </row>
    <row r="796" spans="1:13" x14ac:dyDescent="0.2">
      <c r="A796" s="237"/>
      <c r="B796" s="302"/>
      <c r="C796" s="302"/>
      <c r="D796" s="302"/>
      <c r="E796" s="303"/>
      <c r="F796" s="302"/>
      <c r="G796" s="302"/>
      <c r="H796" s="302"/>
      <c r="I796" s="303"/>
      <c r="J796" s="302"/>
      <c r="K796" s="302"/>
      <c r="L796" s="302"/>
      <c r="M796" s="236"/>
    </row>
    <row r="797" spans="1:13" x14ac:dyDescent="0.2">
      <c r="A797" s="237"/>
      <c r="B797" s="302"/>
      <c r="C797" s="302"/>
      <c r="D797" s="302"/>
      <c r="E797" s="303"/>
      <c r="F797" s="302"/>
      <c r="G797" s="302"/>
      <c r="H797" s="302"/>
      <c r="I797" s="303"/>
      <c r="J797" s="302"/>
      <c r="K797" s="302"/>
      <c r="L797" s="302"/>
      <c r="M797" s="236"/>
    </row>
    <row r="798" spans="1:13" x14ac:dyDescent="0.2">
      <c r="A798" s="237"/>
      <c r="B798" s="302"/>
      <c r="C798" s="302"/>
      <c r="D798" s="302"/>
      <c r="E798" s="303"/>
      <c r="F798" s="302"/>
      <c r="G798" s="302"/>
      <c r="H798" s="302"/>
      <c r="I798" s="303"/>
      <c r="J798" s="302"/>
      <c r="K798" s="302"/>
      <c r="L798" s="302"/>
      <c r="M798" s="236"/>
    </row>
    <row r="799" spans="1:13" x14ac:dyDescent="0.2">
      <c r="A799" s="237"/>
      <c r="B799" s="302"/>
      <c r="C799" s="302"/>
      <c r="D799" s="302"/>
      <c r="E799" s="303"/>
      <c r="F799" s="302"/>
      <c r="G799" s="302"/>
      <c r="H799" s="302"/>
      <c r="I799" s="303"/>
      <c r="J799" s="302"/>
      <c r="K799" s="302"/>
      <c r="L799" s="302"/>
      <c r="M799" s="236"/>
    </row>
    <row r="800" spans="1:13" x14ac:dyDescent="0.2">
      <c r="A800" s="237"/>
      <c r="B800" s="302"/>
      <c r="C800" s="302"/>
      <c r="D800" s="302"/>
      <c r="E800" s="303"/>
      <c r="F800" s="302"/>
      <c r="G800" s="302"/>
      <c r="H800" s="302"/>
      <c r="I800" s="303"/>
      <c r="J800" s="302"/>
      <c r="K800" s="302"/>
      <c r="L800" s="302"/>
      <c r="M800" s="236"/>
    </row>
    <row r="801" spans="1:13" x14ac:dyDescent="0.2">
      <c r="A801" s="237"/>
      <c r="B801" s="303"/>
      <c r="C801" s="303"/>
      <c r="D801" s="303"/>
      <c r="E801" s="303"/>
      <c r="F801" s="303"/>
      <c r="G801" s="303"/>
      <c r="H801" s="303"/>
      <c r="I801" s="303"/>
      <c r="J801" s="303"/>
      <c r="K801" s="303"/>
      <c r="L801" s="303"/>
      <c r="M801" s="236"/>
    </row>
    <row r="802" spans="1:13" x14ac:dyDescent="0.2">
      <c r="A802" s="237"/>
      <c r="B802" s="237"/>
      <c r="C802" s="237"/>
      <c r="D802" s="237"/>
      <c r="E802" s="237"/>
      <c r="F802" s="237"/>
      <c r="G802" s="237"/>
      <c r="H802" s="237"/>
      <c r="I802" s="237"/>
      <c r="J802" s="237"/>
      <c r="K802" s="237"/>
      <c r="L802" s="240"/>
      <c r="M802" s="236"/>
    </row>
    <row r="803" spans="1:13" x14ac:dyDescent="0.2">
      <c r="A803" s="237"/>
      <c r="B803" s="237"/>
      <c r="C803" s="237"/>
      <c r="D803" s="237"/>
      <c r="E803" s="237"/>
      <c r="F803" s="237"/>
      <c r="G803" s="237"/>
      <c r="H803" s="237"/>
      <c r="I803" s="237"/>
      <c r="J803" s="237"/>
      <c r="K803" s="237"/>
      <c r="L803" s="284"/>
      <c r="M803" s="236"/>
    </row>
    <row r="804" spans="1:13" x14ac:dyDescent="0.2">
      <c r="A804" s="258"/>
      <c r="B804" s="241"/>
      <c r="C804" s="241"/>
      <c r="D804" s="241"/>
      <c r="E804" s="241"/>
      <c r="F804" s="241"/>
      <c r="G804" s="241"/>
      <c r="H804" s="241"/>
      <c r="I804" s="241"/>
      <c r="J804" s="241"/>
      <c r="K804" s="241"/>
      <c r="L804" s="236"/>
      <c r="M804" s="236"/>
    </row>
    <row r="805" spans="1:13" x14ac:dyDescent="0.2">
      <c r="A805" s="241"/>
      <c r="B805" s="372"/>
      <c r="C805" s="372"/>
      <c r="D805" s="372"/>
      <c r="E805" s="253"/>
      <c r="F805" s="372"/>
      <c r="G805" s="372"/>
      <c r="H805" s="372"/>
      <c r="I805" s="253"/>
      <c r="J805" s="372"/>
      <c r="K805" s="372"/>
      <c r="L805" s="372"/>
      <c r="M805" s="236"/>
    </row>
    <row r="806" spans="1:13" x14ac:dyDescent="0.2">
      <c r="A806" s="258"/>
      <c r="B806" s="259"/>
      <c r="C806" s="259"/>
      <c r="D806" s="259"/>
      <c r="E806" s="259"/>
      <c r="F806" s="259"/>
      <c r="G806" s="259"/>
      <c r="H806" s="259"/>
      <c r="I806" s="259"/>
      <c r="J806" s="259"/>
      <c r="K806" s="259"/>
      <c r="L806" s="259"/>
      <c r="M806" s="236"/>
    </row>
    <row r="807" spans="1:13" x14ac:dyDescent="0.2">
      <c r="A807" s="258"/>
      <c r="B807" s="259"/>
      <c r="C807" s="259"/>
      <c r="D807" s="259"/>
      <c r="E807" s="259"/>
      <c r="F807" s="259"/>
      <c r="G807" s="259"/>
      <c r="H807" s="259"/>
      <c r="I807" s="259"/>
      <c r="J807" s="259"/>
      <c r="K807" s="259"/>
      <c r="L807" s="259"/>
      <c r="M807" s="236"/>
    </row>
    <row r="808" spans="1:13" x14ac:dyDescent="0.2">
      <c r="A808" s="237"/>
      <c r="B808" s="302"/>
      <c r="C808" s="302"/>
      <c r="D808" s="302"/>
      <c r="E808" s="303"/>
      <c r="F808" s="302"/>
      <c r="G808" s="302"/>
      <c r="H808" s="302"/>
      <c r="I808" s="303"/>
      <c r="J808" s="302"/>
      <c r="K808" s="302"/>
      <c r="L808" s="302"/>
      <c r="M808" s="236"/>
    </row>
    <row r="809" spans="1:13" x14ac:dyDescent="0.2">
      <c r="A809" s="237"/>
      <c r="B809" s="302"/>
      <c r="C809" s="302"/>
      <c r="D809" s="302"/>
      <c r="E809" s="303"/>
      <c r="F809" s="302"/>
      <c r="G809" s="302"/>
      <c r="H809" s="302"/>
      <c r="I809" s="303"/>
      <c r="J809" s="302"/>
      <c r="K809" s="302"/>
      <c r="L809" s="302"/>
      <c r="M809" s="236"/>
    </row>
    <row r="810" spans="1:13" x14ac:dyDescent="0.2">
      <c r="A810" s="237"/>
      <c r="B810" s="302"/>
      <c r="C810" s="302"/>
      <c r="D810" s="302"/>
      <c r="E810" s="303"/>
      <c r="F810" s="302"/>
      <c r="G810" s="302"/>
      <c r="H810" s="302"/>
      <c r="I810" s="303"/>
      <c r="J810" s="302"/>
      <c r="K810" s="302"/>
      <c r="L810" s="302"/>
      <c r="M810" s="236"/>
    </row>
    <row r="811" spans="1:13" x14ac:dyDescent="0.2">
      <c r="A811" s="237"/>
      <c r="B811" s="302"/>
      <c r="C811" s="302"/>
      <c r="D811" s="302"/>
      <c r="E811" s="303"/>
      <c r="F811" s="302"/>
      <c r="G811" s="302"/>
      <c r="H811" s="302"/>
      <c r="I811" s="303"/>
      <c r="J811" s="302"/>
      <c r="K811" s="302"/>
      <c r="L811" s="302"/>
      <c r="M811" s="236"/>
    </row>
    <row r="812" spans="1:13" x14ac:dyDescent="0.2">
      <c r="A812" s="237"/>
      <c r="B812" s="302"/>
      <c r="C812" s="302"/>
      <c r="D812" s="302"/>
      <c r="E812" s="303"/>
      <c r="F812" s="302"/>
      <c r="G812" s="302"/>
      <c r="H812" s="302"/>
      <c r="I812" s="303"/>
      <c r="J812" s="302"/>
      <c r="K812" s="302"/>
      <c r="L812" s="302"/>
      <c r="M812" s="236"/>
    </row>
    <row r="813" spans="1:13" x14ac:dyDescent="0.2">
      <c r="A813" s="237"/>
      <c r="B813" s="302"/>
      <c r="C813" s="302"/>
      <c r="D813" s="302"/>
      <c r="E813" s="303"/>
      <c r="F813" s="302"/>
      <c r="G813" s="302"/>
      <c r="H813" s="302"/>
      <c r="I813" s="303"/>
      <c r="J813" s="302"/>
      <c r="K813" s="302"/>
      <c r="L813" s="302"/>
      <c r="M813" s="236"/>
    </row>
    <row r="814" spans="1:13" x14ac:dyDescent="0.2">
      <c r="A814" s="237"/>
      <c r="B814" s="302"/>
      <c r="C814" s="302"/>
      <c r="D814" s="302"/>
      <c r="E814" s="303"/>
      <c r="F814" s="302"/>
      <c r="G814" s="302"/>
      <c r="H814" s="302"/>
      <c r="I814" s="303"/>
      <c r="J814" s="302"/>
      <c r="K814" s="302"/>
      <c r="L814" s="302"/>
      <c r="M814" s="236"/>
    </row>
    <row r="815" spans="1:13" x14ac:dyDescent="0.2">
      <c r="A815" s="237"/>
      <c r="B815" s="302"/>
      <c r="C815" s="302"/>
      <c r="D815" s="302"/>
      <c r="E815" s="303"/>
      <c r="F815" s="302"/>
      <c r="G815" s="302"/>
      <c r="H815" s="302"/>
      <c r="I815" s="303"/>
      <c r="J815" s="302"/>
      <c r="K815" s="302"/>
      <c r="L815" s="302"/>
      <c r="M815" s="236"/>
    </row>
    <row r="816" spans="1:13" x14ac:dyDescent="0.2">
      <c r="A816" s="237"/>
      <c r="B816" s="302"/>
      <c r="C816" s="302"/>
      <c r="D816" s="302"/>
      <c r="E816" s="303"/>
      <c r="F816" s="302"/>
      <c r="G816" s="302"/>
      <c r="H816" s="302"/>
      <c r="I816" s="303"/>
      <c r="J816" s="302"/>
      <c r="K816" s="302"/>
      <c r="L816" s="302"/>
      <c r="M816" s="236"/>
    </row>
    <row r="817" spans="1:13" x14ac:dyDescent="0.2">
      <c r="A817" s="237"/>
      <c r="B817" s="302"/>
      <c r="C817" s="302"/>
      <c r="D817" s="302"/>
      <c r="E817" s="303"/>
      <c r="F817" s="302"/>
      <c r="G817" s="302"/>
      <c r="H817" s="302"/>
      <c r="I817" s="303"/>
      <c r="J817" s="302"/>
      <c r="K817" s="302"/>
      <c r="L817" s="302"/>
      <c r="M817" s="236"/>
    </row>
    <row r="818" spans="1:13" x14ac:dyDescent="0.2">
      <c r="A818" s="237"/>
      <c r="B818" s="303"/>
      <c r="C818" s="303"/>
      <c r="D818" s="303"/>
      <c r="E818" s="303"/>
      <c r="F818" s="303"/>
      <c r="G818" s="303"/>
      <c r="H818" s="303"/>
      <c r="I818" s="303"/>
      <c r="J818" s="303"/>
      <c r="K818" s="303"/>
      <c r="L818" s="303"/>
      <c r="M818" s="236"/>
    </row>
    <row r="819" spans="1:13" x14ac:dyDescent="0.2">
      <c r="A819" s="237"/>
      <c r="B819" s="237"/>
      <c r="C819" s="237"/>
      <c r="D819" s="237"/>
      <c r="E819" s="237"/>
      <c r="F819" s="237"/>
      <c r="G819" s="237"/>
      <c r="H819" s="237"/>
      <c r="I819" s="237"/>
      <c r="J819" s="237"/>
      <c r="K819" s="237"/>
      <c r="L819" s="240"/>
      <c r="M819" s="236"/>
    </row>
    <row r="820" spans="1:13" x14ac:dyDescent="0.2">
      <c r="A820" s="237"/>
      <c r="B820" s="237"/>
      <c r="C820" s="237"/>
      <c r="D820" s="237"/>
      <c r="E820" s="237"/>
      <c r="F820" s="237"/>
      <c r="G820" s="237"/>
      <c r="H820" s="237"/>
      <c r="I820" s="237"/>
      <c r="J820" s="237"/>
      <c r="K820" s="237"/>
      <c r="L820" s="284"/>
      <c r="M820" s="236"/>
    </row>
    <row r="821" spans="1:13" x14ac:dyDescent="0.2">
      <c r="A821" s="258"/>
      <c r="B821" s="241"/>
      <c r="C821" s="241"/>
      <c r="D821" s="241"/>
      <c r="E821" s="241"/>
      <c r="F821" s="241"/>
      <c r="G821" s="241"/>
      <c r="H821" s="241"/>
      <c r="I821" s="241"/>
      <c r="J821" s="241"/>
      <c r="K821" s="241"/>
      <c r="L821" s="236"/>
      <c r="M821" s="236"/>
    </row>
    <row r="822" spans="1:13" x14ac:dyDescent="0.2">
      <c r="A822" s="241"/>
      <c r="B822" s="372"/>
      <c r="C822" s="372"/>
      <c r="D822" s="372"/>
      <c r="E822" s="253"/>
      <c r="F822" s="372"/>
      <c r="G822" s="372"/>
      <c r="H822" s="372"/>
      <c r="I822" s="253"/>
      <c r="J822" s="372"/>
      <c r="K822" s="372"/>
      <c r="L822" s="372"/>
      <c r="M822" s="236"/>
    </row>
    <row r="823" spans="1:13" x14ac:dyDescent="0.2">
      <c r="A823" s="258"/>
      <c r="B823" s="259"/>
      <c r="C823" s="259"/>
      <c r="D823" s="259"/>
      <c r="E823" s="259"/>
      <c r="F823" s="259"/>
      <c r="G823" s="259"/>
      <c r="H823" s="259"/>
      <c r="I823" s="259"/>
      <c r="J823" s="259"/>
      <c r="K823" s="259"/>
      <c r="L823" s="259"/>
      <c r="M823" s="236"/>
    </row>
    <row r="824" spans="1:13" x14ac:dyDescent="0.2">
      <c r="A824" s="258"/>
      <c r="B824" s="259"/>
      <c r="C824" s="259"/>
      <c r="D824" s="259"/>
      <c r="E824" s="259"/>
      <c r="F824" s="259"/>
      <c r="G824" s="259"/>
      <c r="H824" s="259"/>
      <c r="I824" s="259"/>
      <c r="J824" s="259"/>
      <c r="K824" s="259"/>
      <c r="L824" s="259"/>
      <c r="M824" s="236"/>
    </row>
    <row r="825" spans="1:13" x14ac:dyDescent="0.2">
      <c r="A825" s="237"/>
      <c r="B825" s="302"/>
      <c r="C825" s="302"/>
      <c r="D825" s="302"/>
      <c r="E825" s="303"/>
      <c r="F825" s="302"/>
      <c r="G825" s="302"/>
      <c r="H825" s="302"/>
      <c r="I825" s="303"/>
      <c r="J825" s="302"/>
      <c r="K825" s="302"/>
      <c r="L825" s="302"/>
      <c r="M825" s="236"/>
    </row>
    <row r="826" spans="1:13" x14ac:dyDescent="0.2">
      <c r="A826" s="237"/>
      <c r="B826" s="302"/>
      <c r="C826" s="302"/>
      <c r="D826" s="302"/>
      <c r="E826" s="303"/>
      <c r="F826" s="302"/>
      <c r="G826" s="302"/>
      <c r="H826" s="302"/>
      <c r="I826" s="303"/>
      <c r="J826" s="302"/>
      <c r="K826" s="302"/>
      <c r="L826" s="302"/>
      <c r="M826" s="236"/>
    </row>
    <row r="827" spans="1:13" x14ac:dyDescent="0.2">
      <c r="A827" s="237"/>
      <c r="B827" s="302"/>
      <c r="C827" s="302"/>
      <c r="D827" s="302"/>
      <c r="E827" s="303"/>
      <c r="F827" s="302"/>
      <c r="G827" s="302"/>
      <c r="H827" s="302"/>
      <c r="I827" s="303"/>
      <c r="J827" s="302"/>
      <c r="K827" s="302"/>
      <c r="L827" s="302"/>
      <c r="M827" s="236"/>
    </row>
    <row r="828" spans="1:13" x14ac:dyDescent="0.2">
      <c r="A828" s="237"/>
      <c r="B828" s="302"/>
      <c r="C828" s="302"/>
      <c r="D828" s="302"/>
      <c r="E828" s="303"/>
      <c r="F828" s="302"/>
      <c r="G828" s="302"/>
      <c r="H828" s="302"/>
      <c r="I828" s="303"/>
      <c r="J828" s="302"/>
      <c r="K828" s="302"/>
      <c r="L828" s="302"/>
      <c r="M828" s="236"/>
    </row>
    <row r="829" spans="1:13" x14ac:dyDescent="0.2">
      <c r="A829" s="237"/>
      <c r="B829" s="302"/>
      <c r="C829" s="302"/>
      <c r="D829" s="302"/>
      <c r="E829" s="303"/>
      <c r="F829" s="302"/>
      <c r="G829" s="302"/>
      <c r="H829" s="302"/>
      <c r="I829" s="303"/>
      <c r="J829" s="302"/>
      <c r="K829" s="302"/>
      <c r="L829" s="302"/>
      <c r="M829" s="236"/>
    </row>
    <row r="830" spans="1:13" x14ac:dyDescent="0.2">
      <c r="A830" s="237"/>
      <c r="B830" s="302"/>
      <c r="C830" s="302"/>
      <c r="D830" s="302"/>
      <c r="E830" s="303"/>
      <c r="F830" s="302"/>
      <c r="G830" s="302"/>
      <c r="H830" s="302"/>
      <c r="I830" s="303"/>
      <c r="J830" s="302"/>
      <c r="K830" s="302"/>
      <c r="L830" s="302"/>
      <c r="M830" s="236"/>
    </row>
    <row r="831" spans="1:13" x14ac:dyDescent="0.2">
      <c r="A831" s="237"/>
      <c r="B831" s="302"/>
      <c r="C831" s="302"/>
      <c r="D831" s="302"/>
      <c r="E831" s="303"/>
      <c r="F831" s="302"/>
      <c r="G831" s="302"/>
      <c r="H831" s="302"/>
      <c r="I831" s="303"/>
      <c r="J831" s="302"/>
      <c r="K831" s="302"/>
      <c r="L831" s="302"/>
      <c r="M831" s="236"/>
    </row>
    <row r="832" spans="1:13" x14ac:dyDescent="0.2">
      <c r="A832" s="237"/>
      <c r="B832" s="302"/>
      <c r="C832" s="302"/>
      <c r="D832" s="302"/>
      <c r="E832" s="303"/>
      <c r="F832" s="302"/>
      <c r="G832" s="302"/>
      <c r="H832" s="302"/>
      <c r="I832" s="303"/>
      <c r="J832" s="302"/>
      <c r="K832" s="302"/>
      <c r="L832" s="302"/>
      <c r="M832" s="236"/>
    </row>
    <row r="833" spans="1:13" x14ac:dyDescent="0.2">
      <c r="A833" s="237"/>
      <c r="B833" s="302"/>
      <c r="C833" s="302"/>
      <c r="D833" s="302"/>
      <c r="E833" s="303"/>
      <c r="F833" s="302"/>
      <c r="G833" s="302"/>
      <c r="H833" s="302"/>
      <c r="I833" s="303"/>
      <c r="J833" s="302"/>
      <c r="K833" s="302"/>
      <c r="L833" s="302"/>
      <c r="M833" s="236"/>
    </row>
    <row r="834" spans="1:13" x14ac:dyDescent="0.2">
      <c r="A834" s="237"/>
      <c r="B834" s="302"/>
      <c r="C834" s="302"/>
      <c r="D834" s="302"/>
      <c r="E834" s="303"/>
      <c r="F834" s="302"/>
      <c r="G834" s="302"/>
      <c r="H834" s="302"/>
      <c r="I834" s="303"/>
      <c r="J834" s="302"/>
      <c r="K834" s="302"/>
      <c r="L834" s="302"/>
      <c r="M834" s="236"/>
    </row>
    <row r="835" spans="1:13" x14ac:dyDescent="0.2">
      <c r="A835" s="237"/>
      <c r="B835" s="303"/>
      <c r="C835" s="303"/>
      <c r="D835" s="303"/>
      <c r="E835" s="303"/>
      <c r="F835" s="303"/>
      <c r="G835" s="303"/>
      <c r="H835" s="303"/>
      <c r="I835" s="303"/>
      <c r="J835" s="303"/>
      <c r="K835" s="303"/>
      <c r="L835" s="303"/>
      <c r="M835" s="236"/>
    </row>
    <row r="836" spans="1:13" x14ac:dyDescent="0.2">
      <c r="A836" s="237"/>
      <c r="B836" s="237"/>
      <c r="C836" s="237"/>
      <c r="D836" s="237"/>
      <c r="E836" s="237"/>
      <c r="F836" s="237"/>
      <c r="G836" s="237"/>
      <c r="H836" s="237"/>
      <c r="I836" s="237"/>
      <c r="J836" s="237"/>
      <c r="K836" s="237"/>
      <c r="L836" s="240"/>
      <c r="M836" s="236"/>
    </row>
    <row r="837" spans="1:13" x14ac:dyDescent="0.2">
      <c r="A837" s="237"/>
      <c r="B837" s="237"/>
      <c r="C837" s="237"/>
      <c r="D837" s="237"/>
      <c r="E837" s="237"/>
      <c r="F837" s="237"/>
      <c r="G837" s="237"/>
      <c r="H837" s="237"/>
      <c r="I837" s="237"/>
      <c r="J837" s="237"/>
      <c r="K837" s="237"/>
      <c r="L837" s="284"/>
      <c r="M837" s="236"/>
    </row>
    <row r="838" spans="1:13" x14ac:dyDescent="0.2">
      <c r="A838" s="258"/>
      <c r="B838" s="241"/>
      <c r="C838" s="241"/>
      <c r="D838" s="241"/>
      <c r="E838" s="241"/>
      <c r="F838" s="241"/>
      <c r="G838" s="241"/>
      <c r="H838" s="241"/>
      <c r="I838" s="241"/>
      <c r="J838" s="241"/>
      <c r="K838" s="241"/>
      <c r="L838" s="236"/>
      <c r="M838" s="236"/>
    </row>
    <row r="839" spans="1:13" x14ac:dyDescent="0.2">
      <c r="A839" s="241"/>
      <c r="B839" s="372"/>
      <c r="C839" s="372"/>
      <c r="D839" s="372"/>
      <c r="E839" s="253"/>
      <c r="F839" s="372"/>
      <c r="G839" s="372"/>
      <c r="H839" s="372"/>
      <c r="I839" s="253"/>
      <c r="J839" s="372"/>
      <c r="K839" s="372"/>
      <c r="L839" s="372"/>
      <c r="M839" s="236"/>
    </row>
    <row r="840" spans="1:13" x14ac:dyDescent="0.2">
      <c r="A840" s="258"/>
      <c r="B840" s="259"/>
      <c r="C840" s="259"/>
      <c r="D840" s="259"/>
      <c r="E840" s="259"/>
      <c r="F840" s="259"/>
      <c r="G840" s="259"/>
      <c r="H840" s="259"/>
      <c r="I840" s="259"/>
      <c r="J840" s="259"/>
      <c r="K840" s="259"/>
      <c r="L840" s="259"/>
      <c r="M840" s="236"/>
    </row>
    <row r="841" spans="1:13" x14ac:dyDescent="0.2">
      <c r="A841" s="258"/>
      <c r="B841" s="259"/>
      <c r="C841" s="259"/>
      <c r="D841" s="259"/>
      <c r="E841" s="259"/>
      <c r="F841" s="259"/>
      <c r="G841" s="259"/>
      <c r="H841" s="259"/>
      <c r="I841" s="259"/>
      <c r="J841" s="259"/>
      <c r="K841" s="259"/>
      <c r="L841" s="259"/>
      <c r="M841" s="236"/>
    </row>
    <row r="842" spans="1:13" x14ac:dyDescent="0.2">
      <c r="A842" s="237"/>
      <c r="B842" s="302"/>
      <c r="C842" s="302"/>
      <c r="D842" s="302"/>
      <c r="E842" s="303"/>
      <c r="F842" s="302"/>
      <c r="G842" s="302"/>
      <c r="H842" s="302"/>
      <c r="I842" s="303"/>
      <c r="J842" s="302"/>
      <c r="K842" s="302"/>
      <c r="L842" s="302"/>
      <c r="M842" s="236"/>
    </row>
    <row r="843" spans="1:13" x14ac:dyDescent="0.2">
      <c r="A843" s="237"/>
      <c r="B843" s="302"/>
      <c r="C843" s="302"/>
      <c r="D843" s="302"/>
      <c r="E843" s="303"/>
      <c r="F843" s="302"/>
      <c r="G843" s="302"/>
      <c r="H843" s="302"/>
      <c r="I843" s="303"/>
      <c r="J843" s="302"/>
      <c r="K843" s="302"/>
      <c r="L843" s="302"/>
      <c r="M843" s="236"/>
    </row>
    <row r="844" spans="1:13" x14ac:dyDescent="0.2">
      <c r="A844" s="237"/>
      <c r="B844" s="302"/>
      <c r="C844" s="302"/>
      <c r="D844" s="302"/>
      <c r="E844" s="303"/>
      <c r="F844" s="302"/>
      <c r="G844" s="302"/>
      <c r="H844" s="302"/>
      <c r="I844" s="303"/>
      <c r="J844" s="302"/>
      <c r="K844" s="302"/>
      <c r="L844" s="302"/>
      <c r="M844" s="236"/>
    </row>
    <row r="845" spans="1:13" x14ac:dyDescent="0.2">
      <c r="A845" s="237"/>
      <c r="B845" s="302"/>
      <c r="C845" s="302"/>
      <c r="D845" s="302"/>
      <c r="E845" s="303"/>
      <c r="F845" s="302"/>
      <c r="G845" s="302"/>
      <c r="H845" s="302"/>
      <c r="I845" s="303"/>
      <c r="J845" s="302"/>
      <c r="K845" s="302"/>
      <c r="L845" s="302"/>
      <c r="M845" s="236"/>
    </row>
    <row r="846" spans="1:13" x14ac:dyDescent="0.2">
      <c r="A846" s="237"/>
      <c r="B846" s="302"/>
      <c r="C846" s="302"/>
      <c r="D846" s="302"/>
      <c r="E846" s="303"/>
      <c r="F846" s="302"/>
      <c r="G846" s="302"/>
      <c r="H846" s="302"/>
      <c r="I846" s="303"/>
      <c r="J846" s="302"/>
      <c r="K846" s="302"/>
      <c r="L846" s="302"/>
      <c r="M846" s="236"/>
    </row>
    <row r="847" spans="1:13" x14ac:dyDescent="0.2">
      <c r="A847" s="237"/>
      <c r="B847" s="302"/>
      <c r="C847" s="302"/>
      <c r="D847" s="302"/>
      <c r="E847" s="303"/>
      <c r="F847" s="302"/>
      <c r="G847" s="302"/>
      <c r="H847" s="302"/>
      <c r="I847" s="303"/>
      <c r="J847" s="302"/>
      <c r="K847" s="302"/>
      <c r="L847" s="302"/>
      <c r="M847" s="236"/>
    </row>
    <row r="848" spans="1:13" x14ac:dyDescent="0.2">
      <c r="A848" s="237"/>
      <c r="B848" s="302"/>
      <c r="C848" s="302"/>
      <c r="D848" s="302"/>
      <c r="E848" s="303"/>
      <c r="F848" s="302"/>
      <c r="G848" s="302"/>
      <c r="H848" s="302"/>
      <c r="I848" s="303"/>
      <c r="J848" s="302"/>
      <c r="K848" s="302"/>
      <c r="L848" s="302"/>
      <c r="M848" s="236"/>
    </row>
    <row r="849" spans="1:13" x14ac:dyDescent="0.2">
      <c r="A849" s="237"/>
      <c r="B849" s="302"/>
      <c r="C849" s="302"/>
      <c r="D849" s="302"/>
      <c r="E849" s="303"/>
      <c r="F849" s="302"/>
      <c r="G849" s="302"/>
      <c r="H849" s="302"/>
      <c r="I849" s="303"/>
      <c r="J849" s="302"/>
      <c r="K849" s="302"/>
      <c r="L849" s="302"/>
      <c r="M849" s="236"/>
    </row>
    <row r="850" spans="1:13" x14ac:dyDescent="0.2">
      <c r="A850" s="237"/>
      <c r="B850" s="302"/>
      <c r="C850" s="302"/>
      <c r="D850" s="302"/>
      <c r="E850" s="303"/>
      <c r="F850" s="302"/>
      <c r="G850" s="302"/>
      <c r="H850" s="302"/>
      <c r="I850" s="303"/>
      <c r="J850" s="302"/>
      <c r="K850" s="302"/>
      <c r="L850" s="302"/>
      <c r="M850" s="236"/>
    </row>
    <row r="851" spans="1:13" x14ac:dyDescent="0.2">
      <c r="A851" s="237"/>
      <c r="B851" s="302"/>
      <c r="C851" s="302"/>
      <c r="D851" s="302"/>
      <c r="E851" s="303"/>
      <c r="F851" s="302"/>
      <c r="G851" s="302"/>
      <c r="H851" s="302"/>
      <c r="I851" s="303"/>
      <c r="J851" s="302"/>
      <c r="K851" s="302"/>
      <c r="L851" s="302"/>
      <c r="M851" s="236"/>
    </row>
    <row r="852" spans="1:13" x14ac:dyDescent="0.2">
      <c r="A852" s="237"/>
      <c r="B852" s="303"/>
      <c r="C852" s="303"/>
      <c r="D852" s="303"/>
      <c r="E852" s="303"/>
      <c r="F852" s="303"/>
      <c r="G852" s="303"/>
      <c r="H852" s="303"/>
      <c r="I852" s="303"/>
      <c r="J852" s="303"/>
      <c r="K852" s="303"/>
      <c r="L852" s="303"/>
      <c r="M852" s="236"/>
    </row>
    <row r="853" spans="1:13" x14ac:dyDescent="0.2">
      <c r="A853" s="237"/>
      <c r="B853" s="237"/>
      <c r="C853" s="237"/>
      <c r="D853" s="237"/>
      <c r="E853" s="237"/>
      <c r="F853" s="237"/>
      <c r="G853" s="237"/>
      <c r="H853" s="237"/>
      <c r="I853" s="237"/>
      <c r="J853" s="237"/>
      <c r="K853" s="237"/>
      <c r="L853" s="240"/>
      <c r="M853" s="236"/>
    </row>
    <row r="854" spans="1:13" x14ac:dyDescent="0.2">
      <c r="A854" s="237"/>
      <c r="B854" s="237"/>
      <c r="C854" s="237"/>
      <c r="D854" s="237"/>
      <c r="E854" s="237"/>
      <c r="F854" s="237"/>
      <c r="G854" s="237"/>
      <c r="H854" s="237"/>
      <c r="I854" s="237"/>
      <c r="J854" s="237"/>
      <c r="K854" s="237"/>
      <c r="L854" s="284"/>
      <c r="M854" s="236"/>
    </row>
    <row r="855" spans="1:13" x14ac:dyDescent="0.2">
      <c r="A855" s="258"/>
      <c r="B855" s="241"/>
      <c r="C855" s="241"/>
      <c r="D855" s="241"/>
      <c r="E855" s="241"/>
      <c r="F855" s="241"/>
      <c r="G855" s="241"/>
      <c r="H855" s="241"/>
      <c r="I855" s="241"/>
      <c r="J855" s="241"/>
      <c r="K855" s="241"/>
      <c r="L855" s="236"/>
      <c r="M855" s="236"/>
    </row>
    <row r="856" spans="1:13" x14ac:dyDescent="0.2">
      <c r="A856" s="241"/>
      <c r="B856" s="372"/>
      <c r="C856" s="372"/>
      <c r="D856" s="372"/>
      <c r="E856" s="253"/>
      <c r="F856" s="372"/>
      <c r="G856" s="372"/>
      <c r="H856" s="372"/>
      <c r="I856" s="253"/>
      <c r="J856" s="372"/>
      <c r="K856" s="372"/>
      <c r="L856" s="372"/>
      <c r="M856" s="236"/>
    </row>
    <row r="857" spans="1:13" x14ac:dyDescent="0.2">
      <c r="A857" s="258"/>
      <c r="B857" s="259"/>
      <c r="C857" s="259"/>
      <c r="D857" s="259"/>
      <c r="E857" s="259"/>
      <c r="F857" s="259"/>
      <c r="G857" s="259"/>
      <c r="H857" s="259"/>
      <c r="I857" s="259"/>
      <c r="J857" s="259"/>
      <c r="K857" s="259"/>
      <c r="L857" s="259"/>
      <c r="M857" s="236"/>
    </row>
    <row r="858" spans="1:13" x14ac:dyDescent="0.2">
      <c r="A858" s="258"/>
      <c r="B858" s="259"/>
      <c r="C858" s="259"/>
      <c r="D858" s="259"/>
      <c r="E858" s="259"/>
      <c r="F858" s="259"/>
      <c r="G858" s="259"/>
      <c r="H858" s="259"/>
      <c r="I858" s="259"/>
      <c r="J858" s="259"/>
      <c r="K858" s="259"/>
      <c r="L858" s="259"/>
      <c r="M858" s="236"/>
    </row>
    <row r="859" spans="1:13" x14ac:dyDescent="0.2">
      <c r="A859" s="237"/>
      <c r="B859" s="302"/>
      <c r="C859" s="302"/>
      <c r="D859" s="302"/>
      <c r="E859" s="303"/>
      <c r="F859" s="302"/>
      <c r="G859" s="302"/>
      <c r="H859" s="302"/>
      <c r="I859" s="303"/>
      <c r="J859" s="302"/>
      <c r="K859" s="302"/>
      <c r="L859" s="302"/>
      <c r="M859" s="236"/>
    </row>
    <row r="860" spans="1:13" x14ac:dyDescent="0.2">
      <c r="A860" s="237"/>
      <c r="B860" s="302"/>
      <c r="C860" s="302"/>
      <c r="D860" s="302"/>
      <c r="E860" s="303"/>
      <c r="F860" s="302"/>
      <c r="G860" s="302"/>
      <c r="H860" s="302"/>
      <c r="I860" s="303"/>
      <c r="J860" s="302"/>
      <c r="K860" s="302"/>
      <c r="L860" s="302"/>
      <c r="M860" s="236"/>
    </row>
    <row r="861" spans="1:13" x14ac:dyDescent="0.2">
      <c r="A861" s="237"/>
      <c r="B861" s="302"/>
      <c r="C861" s="302"/>
      <c r="D861" s="302"/>
      <c r="E861" s="303"/>
      <c r="F861" s="302"/>
      <c r="G861" s="302"/>
      <c r="H861" s="302"/>
      <c r="I861" s="303"/>
      <c r="J861" s="302"/>
      <c r="K861" s="302"/>
      <c r="L861" s="302"/>
      <c r="M861" s="236"/>
    </row>
    <row r="862" spans="1:13" x14ac:dyDescent="0.2">
      <c r="A862" s="237"/>
      <c r="B862" s="302"/>
      <c r="C862" s="302"/>
      <c r="D862" s="302"/>
      <c r="E862" s="303"/>
      <c r="F862" s="302"/>
      <c r="G862" s="302"/>
      <c r="H862" s="302"/>
      <c r="I862" s="303"/>
      <c r="J862" s="302"/>
      <c r="K862" s="302"/>
      <c r="L862" s="302"/>
      <c r="M862" s="236"/>
    </row>
    <row r="863" spans="1:13" x14ac:dyDescent="0.2">
      <c r="A863" s="237"/>
      <c r="B863" s="302"/>
      <c r="C863" s="302"/>
      <c r="D863" s="302"/>
      <c r="E863" s="303"/>
      <c r="F863" s="302"/>
      <c r="G863" s="302"/>
      <c r="H863" s="302"/>
      <c r="I863" s="303"/>
      <c r="J863" s="302"/>
      <c r="K863" s="302"/>
      <c r="L863" s="302"/>
      <c r="M863" s="236"/>
    </row>
    <row r="864" spans="1:13" x14ac:dyDescent="0.2">
      <c r="A864" s="237"/>
      <c r="B864" s="302"/>
      <c r="C864" s="302"/>
      <c r="D864" s="302"/>
      <c r="E864" s="303"/>
      <c r="F864" s="302"/>
      <c r="G864" s="302"/>
      <c r="H864" s="302"/>
      <c r="I864" s="303"/>
      <c r="J864" s="302"/>
      <c r="K864" s="302"/>
      <c r="L864" s="302"/>
      <c r="M864" s="236"/>
    </row>
    <row r="865" spans="1:13" x14ac:dyDescent="0.2">
      <c r="A865" s="237"/>
      <c r="B865" s="302"/>
      <c r="C865" s="302"/>
      <c r="D865" s="302"/>
      <c r="E865" s="303"/>
      <c r="F865" s="302"/>
      <c r="G865" s="302"/>
      <c r="H865" s="302"/>
      <c r="I865" s="303"/>
      <c r="J865" s="302"/>
      <c r="K865" s="302"/>
      <c r="L865" s="302"/>
      <c r="M865" s="236"/>
    </row>
    <row r="866" spans="1:13" x14ac:dyDescent="0.2">
      <c r="A866" s="237"/>
      <c r="B866" s="302"/>
      <c r="C866" s="302"/>
      <c r="D866" s="302"/>
      <c r="E866" s="303"/>
      <c r="F866" s="302"/>
      <c r="G866" s="302"/>
      <c r="H866" s="302"/>
      <c r="I866" s="303"/>
      <c r="J866" s="302"/>
      <c r="K866" s="302"/>
      <c r="L866" s="302"/>
      <c r="M866" s="236"/>
    </row>
    <row r="867" spans="1:13" x14ac:dyDescent="0.2">
      <c r="A867" s="237"/>
      <c r="B867" s="302"/>
      <c r="C867" s="302"/>
      <c r="D867" s="302"/>
      <c r="E867" s="303"/>
      <c r="F867" s="302"/>
      <c r="G867" s="302"/>
      <c r="H867" s="302"/>
      <c r="I867" s="303"/>
      <c r="J867" s="302"/>
      <c r="K867" s="302"/>
      <c r="L867" s="302"/>
      <c r="M867" s="236"/>
    </row>
    <row r="868" spans="1:13" x14ac:dyDescent="0.2">
      <c r="A868" s="237"/>
      <c r="B868" s="302"/>
      <c r="C868" s="302"/>
      <c r="D868" s="302"/>
      <c r="E868" s="303"/>
      <c r="F868" s="302"/>
      <c r="G868" s="302"/>
      <c r="H868" s="302"/>
      <c r="I868" s="303"/>
      <c r="J868" s="302"/>
      <c r="K868" s="302"/>
      <c r="L868" s="302"/>
      <c r="M868" s="236"/>
    </row>
    <row r="869" spans="1:13" x14ac:dyDescent="0.2">
      <c r="A869" s="237"/>
      <c r="B869" s="303"/>
      <c r="C869" s="303"/>
      <c r="D869" s="303"/>
      <c r="E869" s="303"/>
      <c r="F869" s="303"/>
      <c r="G869" s="303"/>
      <c r="H869" s="303"/>
      <c r="I869" s="303"/>
      <c r="J869" s="303"/>
      <c r="K869" s="303"/>
      <c r="L869" s="303"/>
      <c r="M869" s="236"/>
    </row>
    <row r="870" spans="1:13" x14ac:dyDescent="0.2">
      <c r="A870" s="237"/>
      <c r="B870" s="237"/>
      <c r="C870" s="237"/>
      <c r="D870" s="237"/>
      <c r="E870" s="237"/>
      <c r="F870" s="237"/>
      <c r="G870" s="237"/>
      <c r="H870" s="237"/>
      <c r="I870" s="237"/>
      <c r="J870" s="237"/>
      <c r="K870" s="237"/>
      <c r="L870" s="240"/>
      <c r="M870" s="236"/>
    </row>
    <row r="871" spans="1:13" x14ac:dyDescent="0.2">
      <c r="A871" s="237"/>
      <c r="B871" s="237"/>
      <c r="C871" s="237"/>
      <c r="D871" s="237"/>
      <c r="E871" s="237"/>
      <c r="F871" s="237"/>
      <c r="G871" s="237"/>
      <c r="H871" s="237"/>
      <c r="I871" s="237"/>
      <c r="J871" s="237"/>
      <c r="K871" s="237"/>
      <c r="L871" s="284"/>
      <c r="M871" s="236"/>
    </row>
    <row r="872" spans="1:13" x14ac:dyDescent="0.2">
      <c r="A872" s="258"/>
      <c r="B872" s="241"/>
      <c r="C872" s="241"/>
      <c r="D872" s="241"/>
      <c r="E872" s="241"/>
      <c r="F872" s="241"/>
      <c r="G872" s="241"/>
      <c r="H872" s="241"/>
      <c r="I872" s="241"/>
      <c r="J872" s="241"/>
      <c r="K872" s="241"/>
      <c r="L872" s="236"/>
      <c r="M872" s="236"/>
    </row>
    <row r="873" spans="1:13" x14ac:dyDescent="0.2">
      <c r="A873" s="241"/>
      <c r="B873" s="372"/>
      <c r="C873" s="372"/>
      <c r="D873" s="372"/>
      <c r="E873" s="253"/>
      <c r="F873" s="372"/>
      <c r="G873" s="372"/>
      <c r="H873" s="372"/>
      <c r="I873" s="253"/>
      <c r="J873" s="372"/>
      <c r="K873" s="372"/>
      <c r="L873" s="372"/>
      <c r="M873" s="236"/>
    </row>
    <row r="874" spans="1:13" x14ac:dyDescent="0.2">
      <c r="A874" s="258"/>
      <c r="B874" s="259"/>
      <c r="C874" s="259"/>
      <c r="D874" s="259"/>
      <c r="E874" s="259"/>
      <c r="F874" s="259"/>
      <c r="G874" s="259"/>
      <c r="H874" s="259"/>
      <c r="I874" s="259"/>
      <c r="J874" s="259"/>
      <c r="K874" s="259"/>
      <c r="L874" s="259"/>
      <c r="M874" s="236"/>
    </row>
    <row r="875" spans="1:13" x14ac:dyDescent="0.2">
      <c r="A875" s="258"/>
      <c r="B875" s="259"/>
      <c r="C875" s="259"/>
      <c r="D875" s="259"/>
      <c r="E875" s="259"/>
      <c r="F875" s="259"/>
      <c r="G875" s="259"/>
      <c r="H875" s="259"/>
      <c r="I875" s="259"/>
      <c r="J875" s="259"/>
      <c r="K875" s="259"/>
      <c r="L875" s="259"/>
      <c r="M875" s="236"/>
    </row>
    <row r="876" spans="1:13" x14ac:dyDescent="0.2">
      <c r="A876" s="237"/>
      <c r="B876" s="302"/>
      <c r="C876" s="302"/>
      <c r="D876" s="302"/>
      <c r="E876" s="303"/>
      <c r="F876" s="302"/>
      <c r="G876" s="302"/>
      <c r="H876" s="302"/>
      <c r="I876" s="303"/>
      <c r="J876" s="302"/>
      <c r="K876" s="302"/>
      <c r="L876" s="302"/>
      <c r="M876" s="236"/>
    </row>
    <row r="877" spans="1:13" x14ac:dyDescent="0.2">
      <c r="A877" s="237"/>
      <c r="B877" s="302"/>
      <c r="C877" s="302"/>
      <c r="D877" s="302"/>
      <c r="E877" s="303"/>
      <c r="F877" s="302"/>
      <c r="G877" s="302"/>
      <c r="H877" s="302"/>
      <c r="I877" s="303"/>
      <c r="J877" s="302"/>
      <c r="K877" s="302"/>
      <c r="L877" s="302"/>
      <c r="M877" s="236"/>
    </row>
    <row r="878" spans="1:13" x14ac:dyDescent="0.2">
      <c r="A878" s="237"/>
      <c r="B878" s="302"/>
      <c r="C878" s="302"/>
      <c r="D878" s="302"/>
      <c r="E878" s="303"/>
      <c r="F878" s="302"/>
      <c r="G878" s="302"/>
      <c r="H878" s="302"/>
      <c r="I878" s="303"/>
      <c r="J878" s="302"/>
      <c r="K878" s="302"/>
      <c r="L878" s="302"/>
      <c r="M878" s="236"/>
    </row>
    <row r="879" spans="1:13" x14ac:dyDescent="0.2">
      <c r="A879" s="237"/>
      <c r="B879" s="302"/>
      <c r="C879" s="302"/>
      <c r="D879" s="302"/>
      <c r="E879" s="303"/>
      <c r="F879" s="302"/>
      <c r="G879" s="302"/>
      <c r="H879" s="302"/>
      <c r="I879" s="303"/>
      <c r="J879" s="302"/>
      <c r="K879" s="302"/>
      <c r="L879" s="302"/>
      <c r="M879" s="236"/>
    </row>
    <row r="880" spans="1:13" x14ac:dyDescent="0.2">
      <c r="A880" s="237"/>
      <c r="B880" s="302"/>
      <c r="C880" s="302"/>
      <c r="D880" s="302"/>
      <c r="E880" s="303"/>
      <c r="F880" s="302"/>
      <c r="G880" s="302"/>
      <c r="H880" s="302"/>
      <c r="I880" s="303"/>
      <c r="J880" s="302"/>
      <c r="K880" s="302"/>
      <c r="L880" s="302"/>
      <c r="M880" s="236"/>
    </row>
    <row r="881" spans="1:13" x14ac:dyDescent="0.2">
      <c r="A881" s="237"/>
      <c r="B881" s="302"/>
      <c r="C881" s="302"/>
      <c r="D881" s="302"/>
      <c r="E881" s="303"/>
      <c r="F881" s="302"/>
      <c r="G881" s="302"/>
      <c r="H881" s="302"/>
      <c r="I881" s="303"/>
      <c r="J881" s="302"/>
      <c r="K881" s="302"/>
      <c r="L881" s="302"/>
      <c r="M881" s="236"/>
    </row>
    <row r="882" spans="1:13" x14ac:dyDescent="0.2">
      <c r="A882" s="237"/>
      <c r="B882" s="302"/>
      <c r="C882" s="302"/>
      <c r="D882" s="302"/>
      <c r="E882" s="303"/>
      <c r="F882" s="302"/>
      <c r="G882" s="302"/>
      <c r="H882" s="302"/>
      <c r="I882" s="303"/>
      <c r="J882" s="302"/>
      <c r="K882" s="302"/>
      <c r="L882" s="302"/>
      <c r="M882" s="236"/>
    </row>
    <row r="883" spans="1:13" x14ac:dyDescent="0.2">
      <c r="A883" s="237"/>
      <c r="B883" s="302"/>
      <c r="C883" s="302"/>
      <c r="D883" s="302"/>
      <c r="E883" s="303"/>
      <c r="F883" s="302"/>
      <c r="G883" s="302"/>
      <c r="H883" s="302"/>
      <c r="I883" s="303"/>
      <c r="J883" s="302"/>
      <c r="K883" s="302"/>
      <c r="L883" s="302"/>
      <c r="M883" s="236"/>
    </row>
    <row r="884" spans="1:13" x14ac:dyDescent="0.2">
      <c r="A884" s="237"/>
      <c r="B884" s="302"/>
      <c r="C884" s="302"/>
      <c r="D884" s="302"/>
      <c r="E884" s="303"/>
      <c r="F884" s="302"/>
      <c r="G884" s="302"/>
      <c r="H884" s="302"/>
      <c r="I884" s="303"/>
      <c r="J884" s="302"/>
      <c r="K884" s="302"/>
      <c r="L884" s="302"/>
      <c r="M884" s="236"/>
    </row>
    <row r="885" spans="1:13" x14ac:dyDescent="0.2">
      <c r="A885" s="237"/>
      <c r="B885" s="302"/>
      <c r="C885" s="302"/>
      <c r="D885" s="302"/>
      <c r="E885" s="303"/>
      <c r="F885" s="302"/>
      <c r="G885" s="302"/>
      <c r="H885" s="302"/>
      <c r="I885" s="303"/>
      <c r="J885" s="302"/>
      <c r="K885" s="302"/>
      <c r="L885" s="302"/>
      <c r="M885" s="236"/>
    </row>
    <row r="886" spans="1:13" x14ac:dyDescent="0.2">
      <c r="A886" s="237"/>
      <c r="B886" s="303"/>
      <c r="C886" s="303"/>
      <c r="D886" s="303"/>
      <c r="E886" s="303"/>
      <c r="F886" s="303"/>
      <c r="G886" s="303"/>
      <c r="H886" s="303"/>
      <c r="I886" s="303"/>
      <c r="J886" s="303"/>
      <c r="K886" s="303"/>
      <c r="L886" s="303"/>
      <c r="M886" s="236"/>
    </row>
    <row r="887" spans="1:13" x14ac:dyDescent="0.2">
      <c r="A887" s="237"/>
      <c r="B887" s="237"/>
      <c r="C887" s="237"/>
      <c r="D887" s="237"/>
      <c r="E887" s="237"/>
      <c r="F887" s="237"/>
      <c r="G887" s="237"/>
      <c r="H887" s="237"/>
      <c r="I887" s="237"/>
      <c r="J887" s="237"/>
      <c r="K887" s="237"/>
      <c r="L887" s="240"/>
      <c r="M887" s="236"/>
    </row>
    <row r="888" spans="1:13" x14ac:dyDescent="0.2">
      <c r="A888" s="237"/>
      <c r="B888" s="237"/>
      <c r="C888" s="237"/>
      <c r="D888" s="237"/>
      <c r="E888" s="237"/>
      <c r="F888" s="237"/>
      <c r="G888" s="237"/>
      <c r="H888" s="237"/>
      <c r="I888" s="237"/>
      <c r="J888" s="237"/>
      <c r="K888" s="237"/>
      <c r="L888" s="284"/>
      <c r="M888" s="236"/>
    </row>
    <row r="889" spans="1:13" x14ac:dyDescent="0.2">
      <c r="A889" s="258"/>
      <c r="B889" s="241"/>
      <c r="C889" s="241"/>
      <c r="D889" s="241"/>
      <c r="E889" s="241"/>
      <c r="F889" s="241"/>
      <c r="G889" s="241"/>
      <c r="H889" s="241"/>
      <c r="I889" s="241"/>
      <c r="J889" s="241"/>
      <c r="K889" s="241"/>
      <c r="L889" s="236"/>
      <c r="M889" s="236"/>
    </row>
    <row r="890" spans="1:13" x14ac:dyDescent="0.2">
      <c r="A890" s="241"/>
      <c r="B890" s="372"/>
      <c r="C890" s="372"/>
      <c r="D890" s="372"/>
      <c r="E890" s="253"/>
      <c r="F890" s="372"/>
      <c r="G890" s="372"/>
      <c r="H890" s="372"/>
      <c r="I890" s="253"/>
      <c r="J890" s="372"/>
      <c r="K890" s="372"/>
      <c r="L890" s="372"/>
      <c r="M890" s="236"/>
    </row>
    <row r="891" spans="1:13" x14ac:dyDescent="0.2">
      <c r="A891" s="258"/>
      <c r="B891" s="259"/>
      <c r="C891" s="259"/>
      <c r="D891" s="259"/>
      <c r="E891" s="259"/>
      <c r="F891" s="259"/>
      <c r="G891" s="259"/>
      <c r="H891" s="259"/>
      <c r="I891" s="259"/>
      <c r="J891" s="259"/>
      <c r="K891" s="259"/>
      <c r="L891" s="259"/>
      <c r="M891" s="236"/>
    </row>
    <row r="892" spans="1:13" x14ac:dyDescent="0.2">
      <c r="A892" s="258"/>
      <c r="B892" s="259"/>
      <c r="C892" s="259"/>
      <c r="D892" s="259"/>
      <c r="E892" s="259"/>
      <c r="F892" s="259"/>
      <c r="G892" s="259"/>
      <c r="H892" s="259"/>
      <c r="I892" s="259"/>
      <c r="J892" s="259"/>
      <c r="K892" s="259"/>
      <c r="L892" s="259"/>
      <c r="M892" s="236"/>
    </row>
    <row r="893" spans="1:13" x14ac:dyDescent="0.2">
      <c r="A893" s="237"/>
      <c r="B893" s="302"/>
      <c r="C893" s="302"/>
      <c r="D893" s="302"/>
      <c r="E893" s="303"/>
      <c r="F893" s="302"/>
      <c r="G893" s="302"/>
      <c r="H893" s="302"/>
      <c r="I893" s="303"/>
      <c r="J893" s="302"/>
      <c r="K893" s="302"/>
      <c r="L893" s="302"/>
      <c r="M893" s="236"/>
    </row>
    <row r="894" spans="1:13" x14ac:dyDescent="0.2">
      <c r="A894" s="237"/>
      <c r="B894" s="302"/>
      <c r="C894" s="302"/>
      <c r="D894" s="302"/>
      <c r="E894" s="303"/>
      <c r="F894" s="302"/>
      <c r="G894" s="302"/>
      <c r="H894" s="302"/>
      <c r="I894" s="303"/>
      <c r="J894" s="302"/>
      <c r="K894" s="302"/>
      <c r="L894" s="302"/>
      <c r="M894" s="236"/>
    </row>
    <row r="895" spans="1:13" x14ac:dyDescent="0.2">
      <c r="A895" s="237"/>
      <c r="B895" s="302"/>
      <c r="C895" s="302"/>
      <c r="D895" s="302"/>
      <c r="E895" s="303"/>
      <c r="F895" s="302"/>
      <c r="G895" s="302"/>
      <c r="H895" s="302"/>
      <c r="I895" s="303"/>
      <c r="J895" s="302"/>
      <c r="K895" s="302"/>
      <c r="L895" s="302"/>
      <c r="M895" s="236"/>
    </row>
    <row r="896" spans="1:13" x14ac:dyDescent="0.2">
      <c r="A896" s="237"/>
      <c r="B896" s="302"/>
      <c r="C896" s="302"/>
      <c r="D896" s="302"/>
      <c r="E896" s="303"/>
      <c r="F896" s="302"/>
      <c r="G896" s="302"/>
      <c r="H896" s="302"/>
      <c r="I896" s="303"/>
      <c r="J896" s="302"/>
      <c r="K896" s="302"/>
      <c r="L896" s="302"/>
      <c r="M896" s="236"/>
    </row>
    <row r="897" spans="1:13" x14ac:dyDescent="0.2">
      <c r="A897" s="237"/>
      <c r="B897" s="302"/>
      <c r="C897" s="302"/>
      <c r="D897" s="302"/>
      <c r="E897" s="303"/>
      <c r="F897" s="302"/>
      <c r="G897" s="302"/>
      <c r="H897" s="302"/>
      <c r="I897" s="303"/>
      <c r="J897" s="302"/>
      <c r="K897" s="302"/>
      <c r="L897" s="302"/>
      <c r="M897" s="236"/>
    </row>
    <row r="898" spans="1:13" x14ac:dyDescent="0.2">
      <c r="A898" s="237"/>
      <c r="B898" s="302"/>
      <c r="C898" s="302"/>
      <c r="D898" s="302"/>
      <c r="E898" s="303"/>
      <c r="F898" s="302"/>
      <c r="G898" s="302"/>
      <c r="H898" s="302"/>
      <c r="I898" s="303"/>
      <c r="J898" s="302"/>
      <c r="K898" s="302"/>
      <c r="L898" s="302"/>
      <c r="M898" s="236"/>
    </row>
    <row r="899" spans="1:13" x14ac:dyDescent="0.2">
      <c r="A899" s="237"/>
      <c r="B899" s="302"/>
      <c r="C899" s="302"/>
      <c r="D899" s="302"/>
      <c r="E899" s="303"/>
      <c r="F899" s="302"/>
      <c r="G899" s="302"/>
      <c r="H899" s="302"/>
      <c r="I899" s="303"/>
      <c r="J899" s="302"/>
      <c r="K899" s="302"/>
      <c r="L899" s="302"/>
      <c r="M899" s="236"/>
    </row>
    <row r="900" spans="1:13" x14ac:dyDescent="0.2">
      <c r="A900" s="237"/>
      <c r="B900" s="302"/>
      <c r="C900" s="302"/>
      <c r="D900" s="302"/>
      <c r="E900" s="303"/>
      <c r="F900" s="302"/>
      <c r="G900" s="302"/>
      <c r="H900" s="302"/>
      <c r="I900" s="303"/>
      <c r="J900" s="302"/>
      <c r="K900" s="302"/>
      <c r="L900" s="302"/>
      <c r="M900" s="236"/>
    </row>
    <row r="901" spans="1:13" x14ac:dyDescent="0.2">
      <c r="A901" s="237"/>
      <c r="B901" s="302"/>
      <c r="C901" s="302"/>
      <c r="D901" s="302"/>
      <c r="E901" s="303"/>
      <c r="F901" s="302"/>
      <c r="G901" s="302"/>
      <c r="H901" s="302"/>
      <c r="I901" s="303"/>
      <c r="J901" s="302"/>
      <c r="K901" s="302"/>
      <c r="L901" s="302"/>
      <c r="M901" s="236"/>
    </row>
    <row r="902" spans="1:13" x14ac:dyDescent="0.2">
      <c r="A902" s="237"/>
      <c r="B902" s="302"/>
      <c r="C902" s="302"/>
      <c r="D902" s="302"/>
      <c r="E902" s="303"/>
      <c r="F902" s="302"/>
      <c r="G902" s="302"/>
      <c r="H902" s="302"/>
      <c r="I902" s="303"/>
      <c r="J902" s="302"/>
      <c r="K902" s="302"/>
      <c r="L902" s="302"/>
      <c r="M902" s="236"/>
    </row>
    <row r="903" spans="1:13" x14ac:dyDescent="0.2">
      <c r="A903" s="237"/>
      <c r="B903" s="303"/>
      <c r="C903" s="303"/>
      <c r="D903" s="303"/>
      <c r="E903" s="303"/>
      <c r="F903" s="303"/>
      <c r="G903" s="303"/>
      <c r="H903" s="303"/>
      <c r="I903" s="303"/>
      <c r="J903" s="303"/>
      <c r="K903" s="303"/>
      <c r="L903" s="303"/>
      <c r="M903" s="236"/>
    </row>
    <row r="904" spans="1:13" x14ac:dyDescent="0.2">
      <c r="A904" s="237"/>
      <c r="B904" s="237"/>
      <c r="C904" s="237"/>
      <c r="D904" s="237"/>
      <c r="E904" s="237"/>
      <c r="F904" s="237"/>
      <c r="G904" s="237"/>
      <c r="H904" s="237"/>
      <c r="I904" s="237"/>
      <c r="J904" s="237"/>
      <c r="K904" s="237"/>
      <c r="L904" s="240"/>
      <c r="M904" s="236"/>
    </row>
    <row r="905" spans="1:13" x14ac:dyDescent="0.2">
      <c r="A905" s="237"/>
      <c r="B905" s="237"/>
      <c r="C905" s="237"/>
      <c r="D905" s="237"/>
      <c r="E905" s="237"/>
      <c r="F905" s="237"/>
      <c r="G905" s="237"/>
      <c r="H905" s="237"/>
      <c r="I905" s="237"/>
      <c r="J905" s="237"/>
      <c r="K905" s="237"/>
      <c r="L905" s="284"/>
      <c r="M905" s="236"/>
    </row>
    <row r="906" spans="1:13" x14ac:dyDescent="0.2">
      <c r="A906" s="258"/>
      <c r="B906" s="241"/>
      <c r="C906" s="241"/>
      <c r="D906" s="241"/>
      <c r="E906" s="241"/>
      <c r="F906" s="241"/>
      <c r="G906" s="241"/>
      <c r="H906" s="241"/>
      <c r="I906" s="241"/>
      <c r="J906" s="241"/>
      <c r="K906" s="241"/>
      <c r="L906" s="236"/>
      <c r="M906" s="236"/>
    </row>
    <row r="907" spans="1:13" x14ac:dyDescent="0.2">
      <c r="A907" s="241"/>
      <c r="B907" s="372"/>
      <c r="C907" s="372"/>
      <c r="D907" s="372"/>
      <c r="E907" s="253"/>
      <c r="F907" s="372"/>
      <c r="G907" s="372"/>
      <c r="H907" s="372"/>
      <c r="I907" s="253"/>
      <c r="J907" s="372"/>
      <c r="K907" s="372"/>
      <c r="L907" s="372"/>
      <c r="M907" s="236"/>
    </row>
    <row r="908" spans="1:13" x14ac:dyDescent="0.2">
      <c r="A908" s="258"/>
      <c r="B908" s="259"/>
      <c r="C908" s="259"/>
      <c r="D908" s="259"/>
      <c r="E908" s="259"/>
      <c r="F908" s="259"/>
      <c r="G908" s="259"/>
      <c r="H908" s="259"/>
      <c r="I908" s="259"/>
      <c r="J908" s="259"/>
      <c r="K908" s="259"/>
      <c r="L908" s="259"/>
      <c r="M908" s="236"/>
    </row>
    <row r="909" spans="1:13" x14ac:dyDescent="0.2">
      <c r="A909" s="258"/>
      <c r="B909" s="259"/>
      <c r="C909" s="259"/>
      <c r="D909" s="259"/>
      <c r="E909" s="259"/>
      <c r="F909" s="259"/>
      <c r="G909" s="259"/>
      <c r="H909" s="259"/>
      <c r="I909" s="259"/>
      <c r="J909" s="259"/>
      <c r="K909" s="259"/>
      <c r="L909" s="259"/>
      <c r="M909" s="236"/>
    </row>
    <row r="910" spans="1:13" x14ac:dyDescent="0.2">
      <c r="A910" s="237"/>
      <c r="B910" s="302"/>
      <c r="C910" s="302"/>
      <c r="D910" s="302"/>
      <c r="E910" s="303"/>
      <c r="F910" s="302"/>
      <c r="G910" s="302"/>
      <c r="H910" s="302"/>
      <c r="I910" s="303"/>
      <c r="J910" s="302"/>
      <c r="K910" s="302"/>
      <c r="L910" s="302"/>
      <c r="M910" s="236"/>
    </row>
    <row r="911" spans="1:13" x14ac:dyDescent="0.2">
      <c r="A911" s="237"/>
      <c r="B911" s="302"/>
      <c r="C911" s="302"/>
      <c r="D911" s="302"/>
      <c r="E911" s="303"/>
      <c r="F911" s="302"/>
      <c r="G911" s="302"/>
      <c r="H911" s="302"/>
      <c r="I911" s="303"/>
      <c r="J911" s="302"/>
      <c r="K911" s="302"/>
      <c r="L911" s="302"/>
      <c r="M911" s="236"/>
    </row>
    <row r="912" spans="1:13" x14ac:dyDescent="0.2">
      <c r="A912" s="237"/>
      <c r="B912" s="302"/>
      <c r="C912" s="302"/>
      <c r="D912" s="302"/>
      <c r="E912" s="303"/>
      <c r="F912" s="302"/>
      <c r="G912" s="302"/>
      <c r="H912" s="302"/>
      <c r="I912" s="303"/>
      <c r="J912" s="302"/>
      <c r="K912" s="302"/>
      <c r="L912" s="302"/>
      <c r="M912" s="236"/>
    </row>
    <row r="913" spans="1:13" x14ac:dyDescent="0.2">
      <c r="A913" s="237"/>
      <c r="B913" s="302"/>
      <c r="C913" s="302"/>
      <c r="D913" s="302"/>
      <c r="E913" s="303"/>
      <c r="F913" s="302"/>
      <c r="G913" s="302"/>
      <c r="H913" s="302"/>
      <c r="I913" s="303"/>
      <c r="J913" s="302"/>
      <c r="K913" s="302"/>
      <c r="L913" s="302"/>
      <c r="M913" s="236"/>
    </row>
    <row r="914" spans="1:13" x14ac:dyDescent="0.2">
      <c r="A914" s="237"/>
      <c r="B914" s="302"/>
      <c r="C914" s="302"/>
      <c r="D914" s="302"/>
      <c r="E914" s="303"/>
      <c r="F914" s="302"/>
      <c r="G914" s="302"/>
      <c r="H914" s="302"/>
      <c r="I914" s="303"/>
      <c r="J914" s="302"/>
      <c r="K914" s="302"/>
      <c r="L914" s="302"/>
      <c r="M914" s="236"/>
    </row>
    <row r="915" spans="1:13" x14ac:dyDescent="0.2">
      <c r="A915" s="237"/>
      <c r="B915" s="302"/>
      <c r="C915" s="302"/>
      <c r="D915" s="302"/>
      <c r="E915" s="303"/>
      <c r="F915" s="302"/>
      <c r="G915" s="302"/>
      <c r="H915" s="302"/>
      <c r="I915" s="303"/>
      <c r="J915" s="302"/>
      <c r="K915" s="302"/>
      <c r="L915" s="302"/>
      <c r="M915" s="236"/>
    </row>
    <row r="916" spans="1:13" x14ac:dyDescent="0.2">
      <c r="A916" s="237"/>
      <c r="B916" s="302"/>
      <c r="C916" s="302"/>
      <c r="D916" s="302"/>
      <c r="E916" s="303"/>
      <c r="F916" s="302"/>
      <c r="G916" s="302"/>
      <c r="H916" s="302"/>
      <c r="I916" s="303"/>
      <c r="J916" s="302"/>
      <c r="K916" s="302"/>
      <c r="L916" s="302"/>
      <c r="M916" s="236"/>
    </row>
    <row r="917" spans="1:13" x14ac:dyDescent="0.2">
      <c r="A917" s="237"/>
      <c r="B917" s="302"/>
      <c r="C917" s="302"/>
      <c r="D917" s="302"/>
      <c r="E917" s="303"/>
      <c r="F917" s="302"/>
      <c r="G917" s="302"/>
      <c r="H917" s="302"/>
      <c r="I917" s="303"/>
      <c r="J917" s="302"/>
      <c r="K917" s="302"/>
      <c r="L917" s="302"/>
      <c r="M917" s="236"/>
    </row>
    <row r="918" spans="1:13" x14ac:dyDescent="0.2">
      <c r="A918" s="237"/>
      <c r="B918" s="302"/>
      <c r="C918" s="302"/>
      <c r="D918" s="302"/>
      <c r="E918" s="303"/>
      <c r="F918" s="302"/>
      <c r="G918" s="302"/>
      <c r="H918" s="302"/>
      <c r="I918" s="303"/>
      <c r="J918" s="302"/>
      <c r="K918" s="302"/>
      <c r="L918" s="302"/>
      <c r="M918" s="236"/>
    </row>
    <row r="919" spans="1:13" x14ac:dyDescent="0.2">
      <c r="A919" s="237"/>
      <c r="B919" s="302"/>
      <c r="C919" s="302"/>
      <c r="D919" s="302"/>
      <c r="E919" s="303"/>
      <c r="F919" s="302"/>
      <c r="G919" s="302"/>
      <c r="H919" s="302"/>
      <c r="I919" s="303"/>
      <c r="J919" s="302"/>
      <c r="K919" s="302"/>
      <c r="L919" s="302"/>
      <c r="M919" s="236"/>
    </row>
    <row r="920" spans="1:13" x14ac:dyDescent="0.2">
      <c r="A920" s="237"/>
      <c r="B920" s="303"/>
      <c r="C920" s="303"/>
      <c r="D920" s="303"/>
      <c r="E920" s="303"/>
      <c r="F920" s="303"/>
      <c r="G920" s="303"/>
      <c r="H920" s="303"/>
      <c r="I920" s="303"/>
      <c r="J920" s="303"/>
      <c r="K920" s="303"/>
      <c r="L920" s="303"/>
      <c r="M920" s="236"/>
    </row>
    <row r="921" spans="1:13" x14ac:dyDescent="0.2">
      <c r="A921" s="237"/>
      <c r="B921" s="237"/>
      <c r="C921" s="237"/>
      <c r="D921" s="237"/>
      <c r="E921" s="237"/>
      <c r="F921" s="237"/>
      <c r="G921" s="237"/>
      <c r="H921" s="237"/>
      <c r="I921" s="237"/>
      <c r="J921" s="237"/>
      <c r="K921" s="237"/>
      <c r="L921" s="240"/>
      <c r="M921" s="236"/>
    </row>
    <row r="922" spans="1:13" x14ac:dyDescent="0.2">
      <c r="A922" s="237"/>
      <c r="B922" s="237"/>
      <c r="C922" s="237"/>
      <c r="D922" s="237"/>
      <c r="E922" s="237"/>
      <c r="F922" s="237"/>
      <c r="G922" s="237"/>
      <c r="H922" s="237"/>
      <c r="I922" s="237"/>
      <c r="J922" s="237"/>
      <c r="K922" s="237"/>
      <c r="L922" s="284"/>
      <c r="M922" s="236"/>
    </row>
    <row r="923" spans="1:13" x14ac:dyDescent="0.2">
      <c r="A923" s="258"/>
      <c r="B923" s="241"/>
      <c r="C923" s="241"/>
      <c r="D923" s="241"/>
      <c r="E923" s="241"/>
      <c r="F923" s="241"/>
      <c r="G923" s="241"/>
      <c r="H923" s="241"/>
      <c r="I923" s="241"/>
      <c r="J923" s="241"/>
      <c r="K923" s="241"/>
      <c r="L923" s="236"/>
      <c r="M923" s="236"/>
    </row>
    <row r="924" spans="1:13" x14ac:dyDescent="0.2">
      <c r="A924" s="241"/>
      <c r="B924" s="372"/>
      <c r="C924" s="372"/>
      <c r="D924" s="372"/>
      <c r="E924" s="253"/>
      <c r="F924" s="372"/>
      <c r="G924" s="372"/>
      <c r="H924" s="372"/>
      <c r="I924" s="253"/>
      <c r="J924" s="372"/>
      <c r="K924" s="372"/>
      <c r="L924" s="372"/>
      <c r="M924" s="236"/>
    </row>
    <row r="925" spans="1:13" x14ac:dyDescent="0.2">
      <c r="A925" s="258"/>
      <c r="B925" s="259"/>
      <c r="C925" s="259"/>
      <c r="D925" s="259"/>
      <c r="E925" s="259"/>
      <c r="F925" s="259"/>
      <c r="G925" s="259"/>
      <c r="H925" s="259"/>
      <c r="I925" s="259"/>
      <c r="J925" s="259"/>
      <c r="K925" s="259"/>
      <c r="L925" s="259"/>
      <c r="M925" s="236"/>
    </row>
    <row r="926" spans="1:13" x14ac:dyDescent="0.2">
      <c r="A926" s="258"/>
      <c r="B926" s="259"/>
      <c r="C926" s="259"/>
      <c r="D926" s="259"/>
      <c r="E926" s="259"/>
      <c r="F926" s="259"/>
      <c r="G926" s="259"/>
      <c r="H926" s="259"/>
      <c r="I926" s="259"/>
      <c r="J926" s="259"/>
      <c r="K926" s="259"/>
      <c r="L926" s="259"/>
      <c r="M926" s="236"/>
    </row>
    <row r="927" spans="1:13" x14ac:dyDescent="0.2">
      <c r="A927" s="237"/>
      <c r="B927" s="302"/>
      <c r="C927" s="302"/>
      <c r="D927" s="302"/>
      <c r="E927" s="303"/>
      <c r="F927" s="302"/>
      <c r="G927" s="302"/>
      <c r="H927" s="302"/>
      <c r="I927" s="303"/>
      <c r="J927" s="302"/>
      <c r="K927" s="302"/>
      <c r="L927" s="302"/>
      <c r="M927" s="236"/>
    </row>
    <row r="928" spans="1:13" x14ac:dyDescent="0.2">
      <c r="A928" s="237"/>
      <c r="B928" s="302"/>
      <c r="C928" s="302"/>
      <c r="D928" s="302"/>
      <c r="E928" s="303"/>
      <c r="F928" s="302"/>
      <c r="G928" s="302"/>
      <c r="H928" s="302"/>
      <c r="I928" s="303"/>
      <c r="J928" s="302"/>
      <c r="K928" s="302"/>
      <c r="L928" s="302"/>
      <c r="M928" s="236"/>
    </row>
    <row r="929" spans="1:13" x14ac:dyDescent="0.2">
      <c r="A929" s="237"/>
      <c r="B929" s="302"/>
      <c r="C929" s="302"/>
      <c r="D929" s="302"/>
      <c r="E929" s="303"/>
      <c r="F929" s="302"/>
      <c r="G929" s="302"/>
      <c r="H929" s="302"/>
      <c r="I929" s="303"/>
      <c r="J929" s="302"/>
      <c r="K929" s="302"/>
      <c r="L929" s="302"/>
      <c r="M929" s="236"/>
    </row>
    <row r="930" spans="1:13" x14ac:dyDescent="0.2">
      <c r="A930" s="237"/>
      <c r="B930" s="302"/>
      <c r="C930" s="302"/>
      <c r="D930" s="302"/>
      <c r="E930" s="303"/>
      <c r="F930" s="302"/>
      <c r="G930" s="302"/>
      <c r="H930" s="302"/>
      <c r="I930" s="303"/>
      <c r="J930" s="302"/>
      <c r="K930" s="302"/>
      <c r="L930" s="302"/>
      <c r="M930" s="236"/>
    </row>
    <row r="931" spans="1:13" x14ac:dyDescent="0.2">
      <c r="A931" s="237"/>
      <c r="B931" s="302"/>
      <c r="C931" s="302"/>
      <c r="D931" s="302"/>
      <c r="E931" s="303"/>
      <c r="F931" s="302"/>
      <c r="G931" s="302"/>
      <c r="H931" s="302"/>
      <c r="I931" s="303"/>
      <c r="J931" s="302"/>
      <c r="K931" s="302"/>
      <c r="L931" s="302"/>
      <c r="M931" s="236"/>
    </row>
    <row r="932" spans="1:13" x14ac:dyDescent="0.2">
      <c r="A932" s="237"/>
      <c r="B932" s="302"/>
      <c r="C932" s="302"/>
      <c r="D932" s="302"/>
      <c r="E932" s="303"/>
      <c r="F932" s="302"/>
      <c r="G932" s="302"/>
      <c r="H932" s="302"/>
      <c r="I932" s="303"/>
      <c r="J932" s="302"/>
      <c r="K932" s="302"/>
      <c r="L932" s="302"/>
      <c r="M932" s="236"/>
    </row>
    <row r="933" spans="1:13" x14ac:dyDescent="0.2">
      <c r="A933" s="237"/>
      <c r="B933" s="302"/>
      <c r="C933" s="302"/>
      <c r="D933" s="302"/>
      <c r="E933" s="303"/>
      <c r="F933" s="302"/>
      <c r="G933" s="302"/>
      <c r="H933" s="302"/>
      <c r="I933" s="303"/>
      <c r="J933" s="302"/>
      <c r="K933" s="302"/>
      <c r="L933" s="302"/>
      <c r="M933" s="236"/>
    </row>
    <row r="934" spans="1:13" x14ac:dyDescent="0.2">
      <c r="A934" s="237"/>
      <c r="B934" s="302"/>
      <c r="C934" s="302"/>
      <c r="D934" s="302"/>
      <c r="E934" s="303"/>
      <c r="F934" s="302"/>
      <c r="G934" s="302"/>
      <c r="H934" s="302"/>
      <c r="I934" s="303"/>
      <c r="J934" s="302"/>
      <c r="K934" s="302"/>
      <c r="L934" s="302"/>
      <c r="M934" s="236"/>
    </row>
    <row r="935" spans="1:13" x14ac:dyDescent="0.2">
      <c r="A935" s="237"/>
      <c r="B935" s="302"/>
      <c r="C935" s="302"/>
      <c r="D935" s="302"/>
      <c r="E935" s="303"/>
      <c r="F935" s="302"/>
      <c r="G935" s="302"/>
      <c r="H935" s="302"/>
      <c r="I935" s="303"/>
      <c r="J935" s="302"/>
      <c r="K935" s="302"/>
      <c r="L935" s="302"/>
      <c r="M935" s="236"/>
    </row>
    <row r="936" spans="1:13" x14ac:dyDescent="0.2">
      <c r="A936" s="237"/>
      <c r="B936" s="302"/>
      <c r="C936" s="302"/>
      <c r="D936" s="302"/>
      <c r="E936" s="303"/>
      <c r="F936" s="302"/>
      <c r="G936" s="302"/>
      <c r="H936" s="302"/>
      <c r="I936" s="303"/>
      <c r="J936" s="302"/>
      <c r="K936" s="302"/>
      <c r="L936" s="302"/>
      <c r="M936" s="236"/>
    </row>
    <row r="937" spans="1:13" x14ac:dyDescent="0.2">
      <c r="A937" s="237"/>
      <c r="B937" s="303"/>
      <c r="C937" s="303"/>
      <c r="D937" s="303"/>
      <c r="E937" s="303"/>
      <c r="F937" s="303"/>
      <c r="G937" s="303"/>
      <c r="H937" s="303"/>
      <c r="I937" s="303"/>
      <c r="J937" s="303"/>
      <c r="K937" s="303"/>
      <c r="L937" s="303"/>
      <c r="M937" s="236"/>
    </row>
    <row r="938" spans="1:13" x14ac:dyDescent="0.2">
      <c r="A938" s="237"/>
      <c r="B938" s="237"/>
      <c r="C938" s="237"/>
      <c r="D938" s="237"/>
      <c r="E938" s="237"/>
      <c r="F938" s="237"/>
      <c r="G938" s="237"/>
      <c r="H938" s="237"/>
      <c r="I938" s="237"/>
      <c r="J938" s="237"/>
      <c r="K938" s="237"/>
      <c r="L938" s="240"/>
      <c r="M938" s="236"/>
    </row>
    <row r="939" spans="1:13" x14ac:dyDescent="0.2">
      <c r="A939" s="237"/>
      <c r="B939" s="237"/>
      <c r="C939" s="237"/>
      <c r="D939" s="237"/>
      <c r="E939" s="237"/>
      <c r="F939" s="237"/>
      <c r="G939" s="237"/>
      <c r="H939" s="237"/>
      <c r="I939" s="237"/>
      <c r="J939" s="237"/>
      <c r="K939" s="237"/>
      <c r="L939" s="284"/>
      <c r="M939" s="236"/>
    </row>
    <row r="940" spans="1:13" x14ac:dyDescent="0.2">
      <c r="A940" s="258"/>
      <c r="B940" s="241"/>
      <c r="C940" s="241"/>
      <c r="D940" s="241"/>
      <c r="E940" s="241"/>
      <c r="F940" s="241"/>
      <c r="G940" s="241"/>
      <c r="H940" s="241"/>
      <c r="I940" s="241"/>
      <c r="J940" s="241"/>
      <c r="K940" s="241"/>
      <c r="L940" s="236"/>
      <c r="M940" s="236"/>
    </row>
    <row r="941" spans="1:13" x14ac:dyDescent="0.2">
      <c r="A941" s="241"/>
      <c r="B941" s="372"/>
      <c r="C941" s="372"/>
      <c r="D941" s="372"/>
      <c r="E941" s="253"/>
      <c r="F941" s="372"/>
      <c r="G941" s="372"/>
      <c r="H941" s="372"/>
      <c r="I941" s="253"/>
      <c r="J941" s="372"/>
      <c r="K941" s="372"/>
      <c r="L941" s="372"/>
      <c r="M941" s="236"/>
    </row>
    <row r="942" spans="1:13" x14ac:dyDescent="0.2">
      <c r="A942" s="258"/>
      <c r="B942" s="259"/>
      <c r="C942" s="259"/>
      <c r="D942" s="259"/>
      <c r="E942" s="259"/>
      <c r="F942" s="259"/>
      <c r="G942" s="259"/>
      <c r="H942" s="259"/>
      <c r="I942" s="259"/>
      <c r="J942" s="259"/>
      <c r="K942" s="259"/>
      <c r="L942" s="259"/>
      <c r="M942" s="236"/>
    </row>
    <row r="943" spans="1:13" x14ac:dyDescent="0.2">
      <c r="A943" s="258"/>
      <c r="B943" s="259"/>
      <c r="C943" s="259"/>
      <c r="D943" s="259"/>
      <c r="E943" s="259"/>
      <c r="F943" s="259"/>
      <c r="G943" s="259"/>
      <c r="H943" s="259"/>
      <c r="I943" s="259"/>
      <c r="J943" s="259"/>
      <c r="K943" s="259"/>
      <c r="L943" s="259"/>
      <c r="M943" s="236"/>
    </row>
    <row r="944" spans="1:13" x14ac:dyDescent="0.2">
      <c r="A944" s="237"/>
      <c r="B944" s="302"/>
      <c r="C944" s="302"/>
      <c r="D944" s="302"/>
      <c r="E944" s="303"/>
      <c r="F944" s="302"/>
      <c r="G944" s="302"/>
      <c r="H944" s="302"/>
      <c r="I944" s="303"/>
      <c r="J944" s="302"/>
      <c r="K944" s="302"/>
      <c r="L944" s="302"/>
      <c r="M944" s="236"/>
    </row>
    <row r="945" spans="1:13" x14ac:dyDescent="0.2">
      <c r="A945" s="237"/>
      <c r="B945" s="302"/>
      <c r="C945" s="302"/>
      <c r="D945" s="302"/>
      <c r="E945" s="303"/>
      <c r="F945" s="302"/>
      <c r="G945" s="302"/>
      <c r="H945" s="302"/>
      <c r="I945" s="303"/>
      <c r="J945" s="302"/>
      <c r="K945" s="302"/>
      <c r="L945" s="302"/>
      <c r="M945" s="236"/>
    </row>
    <row r="946" spans="1:13" x14ac:dyDescent="0.2">
      <c r="A946" s="237"/>
      <c r="B946" s="302"/>
      <c r="C946" s="302"/>
      <c r="D946" s="302"/>
      <c r="E946" s="303"/>
      <c r="F946" s="302"/>
      <c r="G946" s="302"/>
      <c r="H946" s="302"/>
      <c r="I946" s="303"/>
      <c r="J946" s="302"/>
      <c r="K946" s="302"/>
      <c r="L946" s="302"/>
      <c r="M946" s="236"/>
    </row>
    <row r="947" spans="1:13" x14ac:dyDescent="0.2">
      <c r="A947" s="237"/>
      <c r="B947" s="302"/>
      <c r="C947" s="302"/>
      <c r="D947" s="302"/>
      <c r="E947" s="303"/>
      <c r="F947" s="302"/>
      <c r="G947" s="302"/>
      <c r="H947" s="302"/>
      <c r="I947" s="303"/>
      <c r="J947" s="302"/>
      <c r="K947" s="302"/>
      <c r="L947" s="302"/>
      <c r="M947" s="236"/>
    </row>
    <row r="948" spans="1:13" x14ac:dyDescent="0.2">
      <c r="A948" s="237"/>
      <c r="B948" s="302"/>
      <c r="C948" s="302"/>
      <c r="D948" s="302"/>
      <c r="E948" s="303"/>
      <c r="F948" s="302"/>
      <c r="G948" s="302"/>
      <c r="H948" s="302"/>
      <c r="I948" s="303"/>
      <c r="J948" s="302"/>
      <c r="K948" s="302"/>
      <c r="L948" s="302"/>
      <c r="M948" s="236"/>
    </row>
    <row r="949" spans="1:13" x14ac:dyDescent="0.2">
      <c r="A949" s="237"/>
      <c r="B949" s="302"/>
      <c r="C949" s="302"/>
      <c r="D949" s="302"/>
      <c r="E949" s="303"/>
      <c r="F949" s="302"/>
      <c r="G949" s="302"/>
      <c r="H949" s="302"/>
      <c r="I949" s="303"/>
      <c r="J949" s="302"/>
      <c r="K949" s="302"/>
      <c r="L949" s="302"/>
      <c r="M949" s="236"/>
    </row>
    <row r="950" spans="1:13" x14ac:dyDescent="0.2">
      <c r="A950" s="237"/>
      <c r="B950" s="302"/>
      <c r="C950" s="302"/>
      <c r="D950" s="302"/>
      <c r="E950" s="303"/>
      <c r="F950" s="302"/>
      <c r="G950" s="302"/>
      <c r="H950" s="302"/>
      <c r="I950" s="303"/>
      <c r="J950" s="302"/>
      <c r="K950" s="302"/>
      <c r="L950" s="302"/>
      <c r="M950" s="236"/>
    </row>
    <row r="951" spans="1:13" x14ac:dyDescent="0.2">
      <c r="A951" s="237"/>
      <c r="B951" s="302"/>
      <c r="C951" s="302"/>
      <c r="D951" s="302"/>
      <c r="E951" s="303"/>
      <c r="F951" s="302"/>
      <c r="G951" s="302"/>
      <c r="H951" s="302"/>
      <c r="I951" s="303"/>
      <c r="J951" s="302"/>
      <c r="K951" s="302"/>
      <c r="L951" s="302"/>
      <c r="M951" s="236"/>
    </row>
    <row r="952" spans="1:13" x14ac:dyDescent="0.2">
      <c r="A952" s="237"/>
      <c r="B952" s="302"/>
      <c r="C952" s="302"/>
      <c r="D952" s="302"/>
      <c r="E952" s="303"/>
      <c r="F952" s="302"/>
      <c r="G952" s="302"/>
      <c r="H952" s="302"/>
      <c r="I952" s="303"/>
      <c r="J952" s="302"/>
      <c r="K952" s="302"/>
      <c r="L952" s="302"/>
      <c r="M952" s="236"/>
    </row>
    <row r="953" spans="1:13" x14ac:dyDescent="0.2">
      <c r="A953" s="237"/>
      <c r="B953" s="302"/>
      <c r="C953" s="302"/>
      <c r="D953" s="302"/>
      <c r="E953" s="303"/>
      <c r="F953" s="302"/>
      <c r="G953" s="302"/>
      <c r="H953" s="302"/>
      <c r="I953" s="303"/>
      <c r="J953" s="302"/>
      <c r="K953" s="302"/>
      <c r="L953" s="302"/>
      <c r="M953" s="236"/>
    </row>
    <row r="954" spans="1:13" x14ac:dyDescent="0.2">
      <c r="A954" s="237"/>
      <c r="B954" s="303"/>
      <c r="C954" s="303"/>
      <c r="D954" s="303"/>
      <c r="E954" s="303"/>
      <c r="F954" s="303"/>
      <c r="G954" s="303"/>
      <c r="H954" s="303"/>
      <c r="I954" s="303"/>
      <c r="J954" s="303"/>
      <c r="K954" s="303"/>
      <c r="L954" s="303"/>
      <c r="M954" s="236"/>
    </row>
    <row r="955" spans="1:13" x14ac:dyDescent="0.2">
      <c r="A955" s="237"/>
      <c r="B955" s="237"/>
      <c r="C955" s="237"/>
      <c r="D955" s="237"/>
      <c r="E955" s="237"/>
      <c r="F955" s="237"/>
      <c r="G955" s="237"/>
      <c r="H955" s="237"/>
      <c r="I955" s="237"/>
      <c r="J955" s="237"/>
      <c r="K955" s="237"/>
      <c r="L955" s="240"/>
      <c r="M955" s="236"/>
    </row>
    <row r="956" spans="1:13" x14ac:dyDescent="0.2">
      <c r="A956" s="237"/>
      <c r="B956" s="237"/>
      <c r="C956" s="237"/>
      <c r="D956" s="237"/>
      <c r="E956" s="237"/>
      <c r="F956" s="237"/>
      <c r="G956" s="237"/>
      <c r="H956" s="237"/>
      <c r="I956" s="237"/>
      <c r="J956" s="237"/>
      <c r="K956" s="237"/>
      <c r="L956" s="284"/>
      <c r="M956" s="236"/>
    </row>
    <row r="957" spans="1:13" x14ac:dyDescent="0.2">
      <c r="A957" s="258"/>
      <c r="B957" s="241"/>
      <c r="C957" s="241"/>
      <c r="D957" s="241"/>
      <c r="E957" s="241"/>
      <c r="F957" s="241"/>
      <c r="G957" s="241"/>
      <c r="H957" s="241"/>
      <c r="I957" s="241"/>
      <c r="J957" s="241"/>
      <c r="K957" s="241"/>
      <c r="L957" s="236"/>
      <c r="M957" s="236"/>
    </row>
    <row r="958" spans="1:13" x14ac:dyDescent="0.2">
      <c r="A958" s="241"/>
      <c r="B958" s="372"/>
      <c r="C958" s="372"/>
      <c r="D958" s="372"/>
      <c r="E958" s="253"/>
      <c r="F958" s="372"/>
      <c r="G958" s="372"/>
      <c r="H958" s="372"/>
      <c r="I958" s="253"/>
      <c r="J958" s="372"/>
      <c r="K958" s="372"/>
      <c r="L958" s="372"/>
      <c r="M958" s="236"/>
    </row>
    <row r="959" spans="1:13" x14ac:dyDescent="0.2">
      <c r="A959" s="258"/>
      <c r="B959" s="259"/>
      <c r="C959" s="259"/>
      <c r="D959" s="259"/>
      <c r="E959" s="259"/>
      <c r="F959" s="259"/>
      <c r="G959" s="259"/>
      <c r="H959" s="259"/>
      <c r="I959" s="259"/>
      <c r="J959" s="259"/>
      <c r="K959" s="259"/>
      <c r="L959" s="259"/>
      <c r="M959" s="236"/>
    </row>
    <row r="960" spans="1:13" x14ac:dyDescent="0.2">
      <c r="A960" s="258"/>
      <c r="B960" s="259"/>
      <c r="C960" s="259"/>
      <c r="D960" s="259"/>
      <c r="E960" s="259"/>
      <c r="F960" s="259"/>
      <c r="G960" s="259"/>
      <c r="H960" s="259"/>
      <c r="I960" s="259"/>
      <c r="J960" s="259"/>
      <c r="K960" s="259"/>
      <c r="L960" s="259"/>
      <c r="M960" s="236"/>
    </row>
    <row r="961" spans="1:13" x14ac:dyDescent="0.2">
      <c r="A961" s="237"/>
      <c r="B961" s="302"/>
      <c r="C961" s="302"/>
      <c r="D961" s="302"/>
      <c r="E961" s="303"/>
      <c r="F961" s="302"/>
      <c r="G961" s="302"/>
      <c r="H961" s="302"/>
      <c r="I961" s="303"/>
      <c r="J961" s="302"/>
      <c r="K961" s="302"/>
      <c r="L961" s="302"/>
      <c r="M961" s="236"/>
    </row>
    <row r="962" spans="1:13" x14ac:dyDescent="0.2">
      <c r="A962" s="237"/>
      <c r="B962" s="302"/>
      <c r="C962" s="302"/>
      <c r="D962" s="302"/>
      <c r="E962" s="303"/>
      <c r="F962" s="302"/>
      <c r="G962" s="302"/>
      <c r="H962" s="302"/>
      <c r="I962" s="303"/>
      <c r="J962" s="302"/>
      <c r="K962" s="302"/>
      <c r="L962" s="302"/>
      <c r="M962" s="236"/>
    </row>
    <row r="963" spans="1:13" x14ac:dyDescent="0.2">
      <c r="A963" s="237"/>
      <c r="B963" s="302"/>
      <c r="C963" s="302"/>
      <c r="D963" s="302"/>
      <c r="E963" s="303"/>
      <c r="F963" s="302"/>
      <c r="G963" s="302"/>
      <c r="H963" s="302"/>
      <c r="I963" s="303"/>
      <c r="J963" s="302"/>
      <c r="K963" s="302"/>
      <c r="L963" s="302"/>
      <c r="M963" s="236"/>
    </row>
    <row r="964" spans="1:13" x14ac:dyDescent="0.2">
      <c r="A964" s="237"/>
      <c r="B964" s="302"/>
      <c r="C964" s="302"/>
      <c r="D964" s="302"/>
      <c r="E964" s="303"/>
      <c r="F964" s="302"/>
      <c r="G964" s="302"/>
      <c r="H964" s="302"/>
      <c r="I964" s="303"/>
      <c r="J964" s="302"/>
      <c r="K964" s="302"/>
      <c r="L964" s="302"/>
      <c r="M964" s="236"/>
    </row>
    <row r="965" spans="1:13" x14ac:dyDescent="0.2">
      <c r="A965" s="237"/>
      <c r="B965" s="302"/>
      <c r="C965" s="302"/>
      <c r="D965" s="302"/>
      <c r="E965" s="303"/>
      <c r="F965" s="302"/>
      <c r="G965" s="302"/>
      <c r="H965" s="302"/>
      <c r="I965" s="303"/>
      <c r="J965" s="302"/>
      <c r="K965" s="302"/>
      <c r="L965" s="302"/>
      <c r="M965" s="236"/>
    </row>
    <row r="966" spans="1:13" x14ac:dyDescent="0.2">
      <c r="A966" s="237"/>
      <c r="B966" s="302"/>
      <c r="C966" s="302"/>
      <c r="D966" s="302"/>
      <c r="E966" s="303"/>
      <c r="F966" s="302"/>
      <c r="G966" s="302"/>
      <c r="H966" s="302"/>
      <c r="I966" s="303"/>
      <c r="J966" s="302"/>
      <c r="K966" s="302"/>
      <c r="L966" s="302"/>
      <c r="M966" s="236"/>
    </row>
    <row r="967" spans="1:13" x14ac:dyDescent="0.2">
      <c r="A967" s="237"/>
      <c r="B967" s="302"/>
      <c r="C967" s="302"/>
      <c r="D967" s="302"/>
      <c r="E967" s="303"/>
      <c r="F967" s="302"/>
      <c r="G967" s="302"/>
      <c r="H967" s="302"/>
      <c r="I967" s="303"/>
      <c r="J967" s="302"/>
      <c r="K967" s="302"/>
      <c r="L967" s="302"/>
      <c r="M967" s="236"/>
    </row>
    <row r="968" spans="1:13" x14ac:dyDescent="0.2">
      <c r="A968" s="237"/>
      <c r="B968" s="302"/>
      <c r="C968" s="302"/>
      <c r="D968" s="302"/>
      <c r="E968" s="303"/>
      <c r="F968" s="302"/>
      <c r="G968" s="302"/>
      <c r="H968" s="302"/>
      <c r="I968" s="303"/>
      <c r="J968" s="302"/>
      <c r="K968" s="302"/>
      <c r="L968" s="302"/>
      <c r="M968" s="236"/>
    </row>
    <row r="969" spans="1:13" x14ac:dyDescent="0.2">
      <c r="A969" s="237"/>
      <c r="B969" s="302"/>
      <c r="C969" s="302"/>
      <c r="D969" s="302"/>
      <c r="E969" s="303"/>
      <c r="F969" s="302"/>
      <c r="G969" s="302"/>
      <c r="H969" s="302"/>
      <c r="I969" s="303"/>
      <c r="J969" s="302"/>
      <c r="K969" s="302"/>
      <c r="L969" s="302"/>
      <c r="M969" s="236"/>
    </row>
    <row r="970" spans="1:13" x14ac:dyDescent="0.2">
      <c r="A970" s="237"/>
      <c r="B970" s="302"/>
      <c r="C970" s="302"/>
      <c r="D970" s="302"/>
      <c r="E970" s="303"/>
      <c r="F970" s="302"/>
      <c r="G970" s="302"/>
      <c r="H970" s="302"/>
      <c r="I970" s="303"/>
      <c r="J970" s="302"/>
      <c r="K970" s="302"/>
      <c r="L970" s="302"/>
      <c r="M970" s="236"/>
    </row>
    <row r="971" spans="1:13" x14ac:dyDescent="0.2">
      <c r="A971" s="237"/>
      <c r="B971" s="303"/>
      <c r="C971" s="303"/>
      <c r="D971" s="303"/>
      <c r="E971" s="303"/>
      <c r="F971" s="303"/>
      <c r="G971" s="303"/>
      <c r="H971" s="303"/>
      <c r="I971" s="303"/>
      <c r="J971" s="303"/>
      <c r="K971" s="303"/>
      <c r="L971" s="303"/>
      <c r="M971" s="236"/>
    </row>
    <row r="972" spans="1:13" x14ac:dyDescent="0.2">
      <c r="A972" s="237"/>
      <c r="B972" s="237"/>
      <c r="C972" s="237"/>
      <c r="D972" s="237"/>
      <c r="E972" s="237"/>
      <c r="F972" s="237"/>
      <c r="G972" s="237"/>
      <c r="H972" s="237"/>
      <c r="I972" s="237"/>
      <c r="J972" s="237"/>
      <c r="K972" s="237"/>
      <c r="L972" s="240"/>
      <c r="M972" s="236"/>
    </row>
    <row r="973" spans="1:13" x14ac:dyDescent="0.2">
      <c r="A973" s="237"/>
      <c r="B973" s="237"/>
      <c r="C973" s="237"/>
      <c r="D973" s="237"/>
      <c r="E973" s="237"/>
      <c r="F973" s="237"/>
      <c r="G973" s="237"/>
      <c r="H973" s="237"/>
      <c r="I973" s="237"/>
      <c r="J973" s="237"/>
      <c r="K973" s="237"/>
      <c r="L973" s="284"/>
      <c r="M973" s="236"/>
    </row>
    <row r="974" spans="1:13" x14ac:dyDescent="0.2">
      <c r="A974" s="258"/>
      <c r="B974" s="241"/>
      <c r="C974" s="241"/>
      <c r="D974" s="241"/>
      <c r="E974" s="241"/>
      <c r="F974" s="241"/>
      <c r="G974" s="241"/>
      <c r="H974" s="241"/>
      <c r="I974" s="241"/>
      <c r="J974" s="241"/>
      <c r="K974" s="241"/>
      <c r="L974" s="236"/>
      <c r="M974" s="236"/>
    </row>
    <row r="975" spans="1:13" x14ac:dyDescent="0.2">
      <c r="A975" s="241"/>
      <c r="B975" s="372"/>
      <c r="C975" s="372"/>
      <c r="D975" s="372"/>
      <c r="E975" s="253"/>
      <c r="F975" s="372"/>
      <c r="G975" s="372"/>
      <c r="H975" s="372"/>
      <c r="I975" s="253"/>
      <c r="J975" s="372"/>
      <c r="K975" s="372"/>
      <c r="L975" s="372"/>
      <c r="M975" s="236"/>
    </row>
    <row r="976" spans="1:13" x14ac:dyDescent="0.2">
      <c r="A976" s="258"/>
      <c r="B976" s="259"/>
      <c r="C976" s="259"/>
      <c r="D976" s="259"/>
      <c r="E976" s="259"/>
      <c r="F976" s="259"/>
      <c r="G976" s="259"/>
      <c r="H976" s="259"/>
      <c r="I976" s="259"/>
      <c r="J976" s="259"/>
      <c r="K976" s="259"/>
      <c r="L976" s="259"/>
      <c r="M976" s="236"/>
    </row>
    <row r="977" spans="1:13" x14ac:dyDescent="0.2">
      <c r="A977" s="258"/>
      <c r="B977" s="259"/>
      <c r="C977" s="259"/>
      <c r="D977" s="259"/>
      <c r="E977" s="259"/>
      <c r="F977" s="259"/>
      <c r="G977" s="259"/>
      <c r="H977" s="259"/>
      <c r="I977" s="259"/>
      <c r="J977" s="259"/>
      <c r="K977" s="259"/>
      <c r="L977" s="259"/>
      <c r="M977" s="236"/>
    </row>
    <row r="978" spans="1:13" x14ac:dyDescent="0.2">
      <c r="A978" s="237"/>
      <c r="B978" s="302"/>
      <c r="C978" s="302"/>
      <c r="D978" s="302"/>
      <c r="E978" s="303"/>
      <c r="F978" s="302"/>
      <c r="G978" s="302"/>
      <c r="H978" s="302"/>
      <c r="I978" s="303"/>
      <c r="J978" s="302"/>
      <c r="K978" s="302"/>
      <c r="L978" s="302"/>
      <c r="M978" s="236"/>
    </row>
    <row r="979" spans="1:13" x14ac:dyDescent="0.2">
      <c r="A979" s="237"/>
      <c r="B979" s="302"/>
      <c r="C979" s="302"/>
      <c r="D979" s="302"/>
      <c r="E979" s="303"/>
      <c r="F979" s="302"/>
      <c r="G979" s="302"/>
      <c r="H979" s="302"/>
      <c r="I979" s="303"/>
      <c r="J979" s="302"/>
      <c r="K979" s="302"/>
      <c r="L979" s="302"/>
      <c r="M979" s="236"/>
    </row>
    <row r="980" spans="1:13" x14ac:dyDescent="0.2">
      <c r="A980" s="237"/>
      <c r="B980" s="302"/>
      <c r="C980" s="302"/>
      <c r="D980" s="302"/>
      <c r="E980" s="303"/>
      <c r="F980" s="302"/>
      <c r="G980" s="302"/>
      <c r="H980" s="302"/>
      <c r="I980" s="303"/>
      <c r="J980" s="302"/>
      <c r="K980" s="302"/>
      <c r="L980" s="302"/>
      <c r="M980" s="236"/>
    </row>
    <row r="981" spans="1:13" x14ac:dyDescent="0.2">
      <c r="A981" s="237"/>
      <c r="B981" s="302"/>
      <c r="C981" s="302"/>
      <c r="D981" s="302"/>
      <c r="E981" s="303"/>
      <c r="F981" s="302"/>
      <c r="G981" s="302"/>
      <c r="H981" s="302"/>
      <c r="I981" s="303"/>
      <c r="J981" s="302"/>
      <c r="K981" s="302"/>
      <c r="L981" s="302"/>
      <c r="M981" s="236"/>
    </row>
    <row r="982" spans="1:13" x14ac:dyDescent="0.2">
      <c r="A982" s="237"/>
      <c r="B982" s="302"/>
      <c r="C982" s="302"/>
      <c r="D982" s="302"/>
      <c r="E982" s="303"/>
      <c r="F982" s="302"/>
      <c r="G982" s="302"/>
      <c r="H982" s="302"/>
      <c r="I982" s="303"/>
      <c r="J982" s="302"/>
      <c r="K982" s="302"/>
      <c r="L982" s="302"/>
      <c r="M982" s="236"/>
    </row>
    <row r="983" spans="1:13" x14ac:dyDescent="0.2">
      <c r="A983" s="237"/>
      <c r="B983" s="302"/>
      <c r="C983" s="302"/>
      <c r="D983" s="302"/>
      <c r="E983" s="303"/>
      <c r="F983" s="302"/>
      <c r="G983" s="302"/>
      <c r="H983" s="302"/>
      <c r="I983" s="303"/>
      <c r="J983" s="302"/>
      <c r="K983" s="302"/>
      <c r="L983" s="302"/>
      <c r="M983" s="236"/>
    </row>
    <row r="984" spans="1:13" x14ac:dyDescent="0.2">
      <c r="A984" s="237"/>
      <c r="B984" s="302"/>
      <c r="C984" s="302"/>
      <c r="D984" s="302"/>
      <c r="E984" s="303"/>
      <c r="F984" s="302"/>
      <c r="G984" s="302"/>
      <c r="H984" s="302"/>
      <c r="I984" s="303"/>
      <c r="J984" s="302"/>
      <c r="K984" s="302"/>
      <c r="L984" s="302"/>
      <c r="M984" s="236"/>
    </row>
    <row r="985" spans="1:13" x14ac:dyDescent="0.2">
      <c r="A985" s="237"/>
      <c r="B985" s="302"/>
      <c r="C985" s="302"/>
      <c r="D985" s="302"/>
      <c r="E985" s="303"/>
      <c r="F985" s="302"/>
      <c r="G985" s="302"/>
      <c r="H985" s="302"/>
      <c r="I985" s="303"/>
      <c r="J985" s="302"/>
      <c r="K985" s="302"/>
      <c r="L985" s="302"/>
      <c r="M985" s="236"/>
    </row>
    <row r="986" spans="1:13" x14ac:dyDescent="0.2">
      <c r="A986" s="237"/>
      <c r="B986" s="302"/>
      <c r="C986" s="302"/>
      <c r="D986" s="302"/>
      <c r="E986" s="303"/>
      <c r="F986" s="302"/>
      <c r="G986" s="302"/>
      <c r="H986" s="302"/>
      <c r="I986" s="303"/>
      <c r="J986" s="302"/>
      <c r="K986" s="302"/>
      <c r="L986" s="302"/>
      <c r="M986" s="236"/>
    </row>
    <row r="987" spans="1:13" x14ac:dyDescent="0.2">
      <c r="A987" s="237"/>
      <c r="B987" s="302"/>
      <c r="C987" s="302"/>
      <c r="D987" s="302"/>
      <c r="E987" s="303"/>
      <c r="F987" s="302"/>
      <c r="G987" s="302"/>
      <c r="H987" s="302"/>
      <c r="I987" s="303"/>
      <c r="J987" s="302"/>
      <c r="K987" s="302"/>
      <c r="L987" s="302"/>
      <c r="M987" s="236"/>
    </row>
    <row r="988" spans="1:13" x14ac:dyDescent="0.2">
      <c r="A988" s="237"/>
      <c r="B988" s="303"/>
      <c r="C988" s="303"/>
      <c r="D988" s="303"/>
      <c r="E988" s="303"/>
      <c r="F988" s="303"/>
      <c r="G988" s="303"/>
      <c r="H988" s="303"/>
      <c r="I988" s="303"/>
      <c r="J988" s="303"/>
      <c r="K988" s="303"/>
      <c r="L988" s="303"/>
      <c r="M988" s="236"/>
    </row>
    <row r="989" spans="1:13" x14ac:dyDescent="0.2">
      <c r="A989" s="237"/>
      <c r="B989" s="237"/>
      <c r="C989" s="237"/>
      <c r="D989" s="237"/>
      <c r="E989" s="237"/>
      <c r="F989" s="237"/>
      <c r="G989" s="237"/>
      <c r="H989" s="237"/>
      <c r="I989" s="237"/>
      <c r="J989" s="237"/>
      <c r="K989" s="237"/>
      <c r="L989" s="240"/>
      <c r="M989" s="236"/>
    </row>
    <row r="990" spans="1:13" x14ac:dyDescent="0.2">
      <c r="A990" s="237"/>
      <c r="B990" s="237"/>
      <c r="C990" s="237"/>
      <c r="D990" s="237"/>
      <c r="E990" s="237"/>
      <c r="F990" s="237"/>
      <c r="G990" s="237"/>
      <c r="H990" s="237"/>
      <c r="I990" s="237"/>
      <c r="J990" s="237"/>
      <c r="K990" s="237"/>
      <c r="L990" s="284"/>
      <c r="M990" s="236"/>
    </row>
    <row r="991" spans="1:13" x14ac:dyDescent="0.2">
      <c r="A991" s="258"/>
      <c r="B991" s="241"/>
      <c r="C991" s="241"/>
      <c r="D991" s="241"/>
      <c r="E991" s="241"/>
      <c r="F991" s="241"/>
      <c r="G991" s="241"/>
      <c r="H991" s="241"/>
      <c r="I991" s="241"/>
      <c r="J991" s="241"/>
      <c r="K991" s="241"/>
      <c r="L991" s="236"/>
      <c r="M991" s="236"/>
    </row>
    <row r="992" spans="1:13" x14ac:dyDescent="0.2">
      <c r="A992" s="241"/>
      <c r="B992" s="372"/>
      <c r="C992" s="372"/>
      <c r="D992" s="372"/>
      <c r="E992" s="253"/>
      <c r="F992" s="372"/>
      <c r="G992" s="372"/>
      <c r="H992" s="372"/>
      <c r="I992" s="253"/>
      <c r="J992" s="372"/>
      <c r="K992" s="372"/>
      <c r="L992" s="372"/>
      <c r="M992" s="236"/>
    </row>
    <row r="993" spans="1:13" x14ac:dyDescent="0.2">
      <c r="A993" s="258"/>
      <c r="B993" s="259"/>
      <c r="C993" s="259"/>
      <c r="D993" s="259"/>
      <c r="E993" s="259"/>
      <c r="F993" s="259"/>
      <c r="G993" s="259"/>
      <c r="H993" s="259"/>
      <c r="I993" s="259"/>
      <c r="J993" s="259"/>
      <c r="K993" s="259"/>
      <c r="L993" s="259"/>
      <c r="M993" s="236"/>
    </row>
    <row r="994" spans="1:13" x14ac:dyDescent="0.2">
      <c r="A994" s="258"/>
      <c r="B994" s="259"/>
      <c r="C994" s="259"/>
      <c r="D994" s="259"/>
      <c r="E994" s="259"/>
      <c r="F994" s="259"/>
      <c r="G994" s="259"/>
      <c r="H994" s="259"/>
      <c r="I994" s="259"/>
      <c r="J994" s="259"/>
      <c r="K994" s="259"/>
      <c r="L994" s="259"/>
      <c r="M994" s="236"/>
    </row>
    <row r="995" spans="1:13" x14ac:dyDescent="0.2">
      <c r="A995" s="237"/>
      <c r="B995" s="302"/>
      <c r="C995" s="302"/>
      <c r="D995" s="302"/>
      <c r="E995" s="303"/>
      <c r="F995" s="302"/>
      <c r="G995" s="302"/>
      <c r="H995" s="302"/>
      <c r="I995" s="303"/>
      <c r="J995" s="302"/>
      <c r="K995" s="302"/>
      <c r="L995" s="302"/>
      <c r="M995" s="236"/>
    </row>
    <row r="996" spans="1:13" x14ac:dyDescent="0.2">
      <c r="A996" s="237"/>
      <c r="B996" s="302"/>
      <c r="C996" s="302"/>
      <c r="D996" s="302"/>
      <c r="E996" s="303"/>
      <c r="F996" s="302"/>
      <c r="G996" s="302"/>
      <c r="H996" s="302"/>
      <c r="I996" s="303"/>
      <c r="J996" s="302"/>
      <c r="K996" s="302"/>
      <c r="L996" s="302"/>
      <c r="M996" s="236"/>
    </row>
    <row r="997" spans="1:13" x14ac:dyDescent="0.2">
      <c r="A997" s="237"/>
      <c r="B997" s="302"/>
      <c r="C997" s="302"/>
      <c r="D997" s="302"/>
      <c r="E997" s="303"/>
      <c r="F997" s="302"/>
      <c r="G997" s="302"/>
      <c r="H997" s="302"/>
      <c r="I997" s="303"/>
      <c r="J997" s="302"/>
      <c r="K997" s="302"/>
      <c r="L997" s="302"/>
      <c r="M997" s="236"/>
    </row>
    <row r="998" spans="1:13" x14ac:dyDescent="0.2">
      <c r="A998" s="237"/>
      <c r="B998" s="302"/>
      <c r="C998" s="302"/>
      <c r="D998" s="302"/>
      <c r="E998" s="303"/>
      <c r="F998" s="302"/>
      <c r="G998" s="302"/>
      <c r="H998" s="302"/>
      <c r="I998" s="303"/>
      <c r="J998" s="302"/>
      <c r="K998" s="302"/>
      <c r="L998" s="302"/>
      <c r="M998" s="236"/>
    </row>
    <row r="999" spans="1:13" x14ac:dyDescent="0.2">
      <c r="A999" s="237"/>
      <c r="B999" s="302"/>
      <c r="C999" s="302"/>
      <c r="D999" s="302"/>
      <c r="E999" s="303"/>
      <c r="F999" s="302"/>
      <c r="G999" s="302"/>
      <c r="H999" s="302"/>
      <c r="I999" s="303"/>
      <c r="J999" s="302"/>
      <c r="K999" s="302"/>
      <c r="L999" s="302"/>
      <c r="M999" s="236"/>
    </row>
    <row r="1000" spans="1:13" x14ac:dyDescent="0.2">
      <c r="A1000" s="237"/>
      <c r="B1000" s="302"/>
      <c r="C1000" s="302"/>
      <c r="D1000" s="302"/>
      <c r="E1000" s="303"/>
      <c r="F1000" s="302"/>
      <c r="G1000" s="302"/>
      <c r="H1000" s="302"/>
      <c r="I1000" s="303"/>
      <c r="J1000" s="302"/>
      <c r="K1000" s="302"/>
      <c r="L1000" s="302"/>
      <c r="M1000" s="236"/>
    </row>
    <row r="1001" spans="1:13" x14ac:dyDescent="0.2">
      <c r="A1001" s="237"/>
      <c r="B1001" s="302"/>
      <c r="C1001" s="302"/>
      <c r="D1001" s="302"/>
      <c r="E1001" s="303"/>
      <c r="F1001" s="302"/>
      <c r="G1001" s="302"/>
      <c r="H1001" s="302"/>
      <c r="I1001" s="303"/>
      <c r="J1001" s="302"/>
      <c r="K1001" s="302"/>
      <c r="L1001" s="302"/>
      <c r="M1001" s="236"/>
    </row>
    <row r="1002" spans="1:13" x14ac:dyDescent="0.2">
      <c r="A1002" s="237"/>
      <c r="B1002" s="302"/>
      <c r="C1002" s="302"/>
      <c r="D1002" s="302"/>
      <c r="E1002" s="303"/>
      <c r="F1002" s="302"/>
      <c r="G1002" s="302"/>
      <c r="H1002" s="302"/>
      <c r="I1002" s="303"/>
      <c r="J1002" s="302"/>
      <c r="K1002" s="302"/>
      <c r="L1002" s="302"/>
      <c r="M1002" s="236"/>
    </row>
    <row r="1003" spans="1:13" x14ac:dyDescent="0.2">
      <c r="A1003" s="237"/>
      <c r="B1003" s="302"/>
      <c r="C1003" s="302"/>
      <c r="D1003" s="302"/>
      <c r="E1003" s="303"/>
      <c r="F1003" s="302"/>
      <c r="G1003" s="302"/>
      <c r="H1003" s="302"/>
      <c r="I1003" s="303"/>
      <c r="J1003" s="302"/>
      <c r="K1003" s="302"/>
      <c r="L1003" s="302"/>
      <c r="M1003" s="236"/>
    </row>
    <row r="1004" spans="1:13" x14ac:dyDescent="0.2">
      <c r="A1004" s="237"/>
      <c r="B1004" s="302"/>
      <c r="C1004" s="302"/>
      <c r="D1004" s="302"/>
      <c r="E1004" s="303"/>
      <c r="F1004" s="302"/>
      <c r="G1004" s="302"/>
      <c r="H1004" s="302"/>
      <c r="I1004" s="303"/>
      <c r="J1004" s="302"/>
      <c r="K1004" s="302"/>
      <c r="L1004" s="302"/>
      <c r="M1004" s="236"/>
    </row>
    <row r="1005" spans="1:13" x14ac:dyDescent="0.2">
      <c r="A1005" s="237"/>
      <c r="B1005" s="303"/>
      <c r="C1005" s="303"/>
      <c r="D1005" s="303"/>
      <c r="E1005" s="303"/>
      <c r="F1005" s="303"/>
      <c r="G1005" s="303"/>
      <c r="H1005" s="303"/>
      <c r="I1005" s="303"/>
      <c r="J1005" s="303"/>
      <c r="K1005" s="303"/>
      <c r="L1005" s="303"/>
      <c r="M1005" s="236"/>
    </row>
    <row r="1006" spans="1:13" x14ac:dyDescent="0.2">
      <c r="A1006" s="237"/>
      <c r="B1006" s="237"/>
      <c r="C1006" s="237"/>
      <c r="D1006" s="237"/>
      <c r="E1006" s="237"/>
      <c r="F1006" s="237"/>
      <c r="G1006" s="237"/>
      <c r="H1006" s="237"/>
      <c r="I1006" s="237"/>
      <c r="J1006" s="237"/>
      <c r="K1006" s="237"/>
      <c r="L1006" s="240"/>
      <c r="M1006" s="236"/>
    </row>
    <row r="1007" spans="1:13" x14ac:dyDescent="0.2">
      <c r="A1007" s="237"/>
      <c r="B1007" s="237"/>
      <c r="C1007" s="237"/>
      <c r="D1007" s="237"/>
      <c r="E1007" s="237"/>
      <c r="F1007" s="237"/>
      <c r="G1007" s="237"/>
      <c r="H1007" s="237"/>
      <c r="I1007" s="237"/>
      <c r="J1007" s="237"/>
      <c r="K1007" s="237"/>
      <c r="L1007" s="284"/>
      <c r="M1007" s="236"/>
    </row>
    <row r="1008" spans="1:13" x14ac:dyDescent="0.2">
      <c r="A1008" s="258"/>
      <c r="B1008" s="241"/>
      <c r="C1008" s="241"/>
      <c r="D1008" s="241"/>
      <c r="E1008" s="241"/>
      <c r="F1008" s="241"/>
      <c r="G1008" s="241"/>
      <c r="H1008" s="241"/>
      <c r="I1008" s="241"/>
      <c r="J1008" s="241"/>
      <c r="K1008" s="241"/>
      <c r="L1008" s="236"/>
      <c r="M1008" s="236"/>
    </row>
    <row r="1009" spans="1:13" x14ac:dyDescent="0.2">
      <c r="A1009" s="241"/>
      <c r="B1009" s="372"/>
      <c r="C1009" s="372"/>
      <c r="D1009" s="372"/>
      <c r="E1009" s="253"/>
      <c r="F1009" s="372"/>
      <c r="G1009" s="372"/>
      <c r="H1009" s="372"/>
      <c r="I1009" s="253"/>
      <c r="J1009" s="372"/>
      <c r="K1009" s="372"/>
      <c r="L1009" s="372"/>
      <c r="M1009" s="236"/>
    </row>
    <row r="1010" spans="1:13" x14ac:dyDescent="0.2">
      <c r="A1010" s="258"/>
      <c r="B1010" s="259"/>
      <c r="C1010" s="259"/>
      <c r="D1010" s="259"/>
      <c r="E1010" s="259"/>
      <c r="F1010" s="259"/>
      <c r="G1010" s="259"/>
      <c r="H1010" s="259"/>
      <c r="I1010" s="259"/>
      <c r="J1010" s="259"/>
      <c r="K1010" s="259"/>
      <c r="L1010" s="259"/>
      <c r="M1010" s="236"/>
    </row>
    <row r="1011" spans="1:13" x14ac:dyDescent="0.2">
      <c r="A1011" s="258"/>
      <c r="B1011" s="259"/>
      <c r="C1011" s="259"/>
      <c r="D1011" s="259"/>
      <c r="E1011" s="259"/>
      <c r="F1011" s="259"/>
      <c r="G1011" s="259"/>
      <c r="H1011" s="259"/>
      <c r="I1011" s="259"/>
      <c r="J1011" s="259"/>
      <c r="K1011" s="259"/>
      <c r="L1011" s="259"/>
      <c r="M1011" s="236"/>
    </row>
    <row r="1012" spans="1:13" x14ac:dyDescent="0.2">
      <c r="A1012" s="237"/>
      <c r="B1012" s="302"/>
      <c r="C1012" s="302"/>
      <c r="D1012" s="302"/>
      <c r="E1012" s="303"/>
      <c r="F1012" s="302"/>
      <c r="G1012" s="302"/>
      <c r="H1012" s="302"/>
      <c r="I1012" s="303"/>
      <c r="J1012" s="302"/>
      <c r="K1012" s="302"/>
      <c r="L1012" s="302"/>
      <c r="M1012" s="236"/>
    </row>
    <row r="1013" spans="1:13" x14ac:dyDescent="0.2">
      <c r="A1013" s="237"/>
      <c r="B1013" s="302"/>
      <c r="C1013" s="302"/>
      <c r="D1013" s="302"/>
      <c r="E1013" s="303"/>
      <c r="F1013" s="302"/>
      <c r="G1013" s="302"/>
      <c r="H1013" s="302"/>
      <c r="I1013" s="303"/>
      <c r="J1013" s="302"/>
      <c r="K1013" s="302"/>
      <c r="L1013" s="302"/>
      <c r="M1013" s="236"/>
    </row>
    <row r="1014" spans="1:13" x14ac:dyDescent="0.2">
      <c r="A1014" s="237"/>
      <c r="B1014" s="302"/>
      <c r="C1014" s="302"/>
      <c r="D1014" s="302"/>
      <c r="E1014" s="303"/>
      <c r="F1014" s="302"/>
      <c r="G1014" s="302"/>
      <c r="H1014" s="302"/>
      <c r="I1014" s="303"/>
      <c r="J1014" s="302"/>
      <c r="K1014" s="302"/>
      <c r="L1014" s="302"/>
      <c r="M1014" s="236"/>
    </row>
    <row r="1015" spans="1:13" x14ac:dyDescent="0.2">
      <c r="A1015" s="237"/>
      <c r="B1015" s="302"/>
      <c r="C1015" s="302"/>
      <c r="D1015" s="302"/>
      <c r="E1015" s="303"/>
      <c r="F1015" s="302"/>
      <c r="G1015" s="302"/>
      <c r="H1015" s="302"/>
      <c r="I1015" s="303"/>
      <c r="J1015" s="302"/>
      <c r="K1015" s="302"/>
      <c r="L1015" s="302"/>
      <c r="M1015" s="236"/>
    </row>
    <row r="1016" spans="1:13" x14ac:dyDescent="0.2">
      <c r="A1016" s="237"/>
      <c r="B1016" s="302"/>
      <c r="C1016" s="302"/>
      <c r="D1016" s="302"/>
      <c r="E1016" s="303"/>
      <c r="F1016" s="302"/>
      <c r="G1016" s="302"/>
      <c r="H1016" s="302"/>
      <c r="I1016" s="303"/>
      <c r="J1016" s="302"/>
      <c r="K1016" s="302"/>
      <c r="L1016" s="302"/>
      <c r="M1016" s="236"/>
    </row>
    <row r="1017" spans="1:13" x14ac:dyDescent="0.2">
      <c r="A1017" s="237"/>
      <c r="B1017" s="302"/>
      <c r="C1017" s="302"/>
      <c r="D1017" s="302"/>
      <c r="E1017" s="303"/>
      <c r="F1017" s="302"/>
      <c r="G1017" s="302"/>
      <c r="H1017" s="302"/>
      <c r="I1017" s="303"/>
      <c r="J1017" s="302"/>
      <c r="K1017" s="302"/>
      <c r="L1017" s="302"/>
      <c r="M1017" s="236"/>
    </row>
    <row r="1018" spans="1:13" x14ac:dyDescent="0.2">
      <c r="A1018" s="237"/>
      <c r="B1018" s="302"/>
      <c r="C1018" s="302"/>
      <c r="D1018" s="302"/>
      <c r="E1018" s="303"/>
      <c r="F1018" s="302"/>
      <c r="G1018" s="302"/>
      <c r="H1018" s="302"/>
      <c r="I1018" s="303"/>
      <c r="J1018" s="302"/>
      <c r="K1018" s="302"/>
      <c r="L1018" s="302"/>
      <c r="M1018" s="236"/>
    </row>
    <row r="1019" spans="1:13" x14ac:dyDescent="0.2">
      <c r="A1019" s="237"/>
      <c r="B1019" s="302"/>
      <c r="C1019" s="302"/>
      <c r="D1019" s="302"/>
      <c r="E1019" s="303"/>
      <c r="F1019" s="302"/>
      <c r="G1019" s="302"/>
      <c r="H1019" s="302"/>
      <c r="I1019" s="303"/>
      <c r="J1019" s="302"/>
      <c r="K1019" s="302"/>
      <c r="L1019" s="302"/>
      <c r="M1019" s="236"/>
    </row>
    <row r="1020" spans="1:13" x14ac:dyDescent="0.2">
      <c r="A1020" s="237"/>
      <c r="B1020" s="302"/>
      <c r="C1020" s="302"/>
      <c r="D1020" s="302"/>
      <c r="E1020" s="303"/>
      <c r="F1020" s="302"/>
      <c r="G1020" s="302"/>
      <c r="H1020" s="302"/>
      <c r="I1020" s="303"/>
      <c r="J1020" s="302"/>
      <c r="K1020" s="302"/>
      <c r="L1020" s="302"/>
      <c r="M1020" s="236"/>
    </row>
    <row r="1021" spans="1:13" x14ac:dyDescent="0.2">
      <c r="A1021" s="237"/>
      <c r="B1021" s="302"/>
      <c r="C1021" s="302"/>
      <c r="D1021" s="302"/>
      <c r="E1021" s="303"/>
      <c r="F1021" s="302"/>
      <c r="G1021" s="302"/>
      <c r="H1021" s="302"/>
      <c r="I1021" s="303"/>
      <c r="J1021" s="302"/>
      <c r="K1021" s="302"/>
      <c r="L1021" s="302"/>
      <c r="M1021" s="236"/>
    </row>
    <row r="1022" spans="1:13" x14ac:dyDescent="0.2">
      <c r="A1022" s="237"/>
      <c r="B1022" s="303"/>
      <c r="C1022" s="303"/>
      <c r="D1022" s="303"/>
      <c r="E1022" s="303"/>
      <c r="F1022" s="303"/>
      <c r="G1022" s="303"/>
      <c r="H1022" s="303"/>
      <c r="I1022" s="303"/>
      <c r="J1022" s="303"/>
      <c r="K1022" s="303"/>
      <c r="L1022" s="303"/>
      <c r="M1022" s="236"/>
    </row>
    <row r="1023" spans="1:13" x14ac:dyDescent="0.2">
      <c r="A1023" s="237"/>
      <c r="B1023" s="237"/>
      <c r="C1023" s="237"/>
      <c r="D1023" s="237"/>
      <c r="E1023" s="237"/>
      <c r="F1023" s="237"/>
      <c r="G1023" s="237"/>
      <c r="H1023" s="237"/>
      <c r="I1023" s="237"/>
      <c r="J1023" s="237"/>
      <c r="K1023" s="237"/>
      <c r="L1023" s="240"/>
      <c r="M1023" s="236"/>
    </row>
    <row r="1024" spans="1:13" x14ac:dyDescent="0.2">
      <c r="A1024" s="237"/>
      <c r="B1024" s="237"/>
      <c r="C1024" s="237"/>
      <c r="D1024" s="237"/>
      <c r="E1024" s="237"/>
      <c r="F1024" s="237"/>
      <c r="G1024" s="237"/>
      <c r="H1024" s="237"/>
      <c r="I1024" s="237"/>
      <c r="J1024" s="237"/>
      <c r="K1024" s="237"/>
      <c r="L1024" s="284"/>
      <c r="M1024" s="236"/>
    </row>
    <row r="1025" spans="1:13" x14ac:dyDescent="0.2">
      <c r="A1025" s="258"/>
      <c r="B1025" s="241"/>
      <c r="C1025" s="241"/>
      <c r="D1025" s="241"/>
      <c r="E1025" s="241"/>
      <c r="F1025" s="241"/>
      <c r="G1025" s="241"/>
      <c r="H1025" s="241"/>
      <c r="I1025" s="241"/>
      <c r="J1025" s="241"/>
      <c r="K1025" s="241"/>
      <c r="L1025" s="236"/>
      <c r="M1025" s="236"/>
    </row>
    <row r="1026" spans="1:13" x14ac:dyDescent="0.2">
      <c r="A1026" s="241"/>
      <c r="B1026" s="372"/>
      <c r="C1026" s="372"/>
      <c r="D1026" s="372"/>
      <c r="E1026" s="253"/>
      <c r="F1026" s="372"/>
      <c r="G1026" s="372"/>
      <c r="H1026" s="372"/>
      <c r="I1026" s="253"/>
      <c r="J1026" s="372"/>
      <c r="K1026" s="372"/>
      <c r="L1026" s="372"/>
      <c r="M1026" s="236"/>
    </row>
    <row r="1027" spans="1:13" x14ac:dyDescent="0.2">
      <c r="A1027" s="258"/>
      <c r="B1027" s="259"/>
      <c r="C1027" s="259"/>
      <c r="D1027" s="259"/>
      <c r="E1027" s="259"/>
      <c r="F1027" s="259"/>
      <c r="G1027" s="259"/>
      <c r="H1027" s="259"/>
      <c r="I1027" s="259"/>
      <c r="J1027" s="259"/>
      <c r="K1027" s="259"/>
      <c r="L1027" s="259"/>
      <c r="M1027" s="236"/>
    </row>
    <row r="1028" spans="1:13" x14ac:dyDescent="0.2">
      <c r="A1028" s="258"/>
      <c r="B1028" s="259"/>
      <c r="C1028" s="259"/>
      <c r="D1028" s="259"/>
      <c r="E1028" s="259"/>
      <c r="F1028" s="259"/>
      <c r="G1028" s="259"/>
      <c r="H1028" s="259"/>
      <c r="I1028" s="259"/>
      <c r="J1028" s="259"/>
      <c r="K1028" s="259"/>
      <c r="L1028" s="259"/>
      <c r="M1028" s="236"/>
    </row>
    <row r="1029" spans="1:13" x14ac:dyDescent="0.2">
      <c r="A1029" s="237"/>
      <c r="B1029" s="302"/>
      <c r="C1029" s="302"/>
      <c r="D1029" s="302"/>
      <c r="E1029" s="303"/>
      <c r="F1029" s="302"/>
      <c r="G1029" s="302"/>
      <c r="H1029" s="302"/>
      <c r="I1029" s="303"/>
      <c r="J1029" s="302"/>
      <c r="K1029" s="302"/>
      <c r="L1029" s="302"/>
      <c r="M1029" s="236"/>
    </row>
    <row r="1030" spans="1:13" x14ac:dyDescent="0.2">
      <c r="A1030" s="237"/>
      <c r="B1030" s="302"/>
      <c r="C1030" s="302"/>
      <c r="D1030" s="302"/>
      <c r="E1030" s="303"/>
      <c r="F1030" s="302"/>
      <c r="G1030" s="302"/>
      <c r="H1030" s="302"/>
      <c r="I1030" s="303"/>
      <c r="J1030" s="302"/>
      <c r="K1030" s="302"/>
      <c r="L1030" s="302"/>
      <c r="M1030" s="236"/>
    </row>
    <row r="1031" spans="1:13" x14ac:dyDescent="0.2">
      <c r="A1031" s="237"/>
      <c r="B1031" s="302"/>
      <c r="C1031" s="302"/>
      <c r="D1031" s="302"/>
      <c r="E1031" s="303"/>
      <c r="F1031" s="302"/>
      <c r="G1031" s="302"/>
      <c r="H1031" s="302"/>
      <c r="I1031" s="303"/>
      <c r="J1031" s="302"/>
      <c r="K1031" s="302"/>
      <c r="L1031" s="302"/>
      <c r="M1031" s="236"/>
    </row>
    <row r="1032" spans="1:13" x14ac:dyDescent="0.2">
      <c r="A1032" s="237"/>
      <c r="B1032" s="302"/>
      <c r="C1032" s="302"/>
      <c r="D1032" s="302"/>
      <c r="E1032" s="303"/>
      <c r="F1032" s="302"/>
      <c r="G1032" s="302"/>
      <c r="H1032" s="302"/>
      <c r="I1032" s="303"/>
      <c r="J1032" s="302"/>
      <c r="K1032" s="302"/>
      <c r="L1032" s="302"/>
      <c r="M1032" s="236"/>
    </row>
    <row r="1033" spans="1:13" x14ac:dyDescent="0.2">
      <c r="A1033" s="237"/>
      <c r="B1033" s="302"/>
      <c r="C1033" s="302"/>
      <c r="D1033" s="302"/>
      <c r="E1033" s="303"/>
      <c r="F1033" s="302"/>
      <c r="G1033" s="302"/>
      <c r="H1033" s="302"/>
      <c r="I1033" s="303"/>
      <c r="J1033" s="302"/>
      <c r="K1033" s="302"/>
      <c r="L1033" s="302"/>
      <c r="M1033" s="236"/>
    </row>
    <row r="1034" spans="1:13" x14ac:dyDescent="0.2">
      <c r="A1034" s="237"/>
      <c r="B1034" s="302"/>
      <c r="C1034" s="302"/>
      <c r="D1034" s="302"/>
      <c r="E1034" s="303"/>
      <c r="F1034" s="302"/>
      <c r="G1034" s="302"/>
      <c r="H1034" s="302"/>
      <c r="I1034" s="303"/>
      <c r="J1034" s="302"/>
      <c r="K1034" s="302"/>
      <c r="L1034" s="302"/>
      <c r="M1034" s="236"/>
    </row>
    <row r="1035" spans="1:13" x14ac:dyDescent="0.2">
      <c r="A1035" s="237"/>
      <c r="B1035" s="302"/>
      <c r="C1035" s="302"/>
      <c r="D1035" s="302"/>
      <c r="E1035" s="303"/>
      <c r="F1035" s="302"/>
      <c r="G1035" s="302"/>
      <c r="H1035" s="302"/>
      <c r="I1035" s="303"/>
      <c r="J1035" s="302"/>
      <c r="K1035" s="302"/>
      <c r="L1035" s="302"/>
      <c r="M1035" s="236"/>
    </row>
    <row r="1036" spans="1:13" x14ac:dyDescent="0.2">
      <c r="A1036" s="237"/>
      <c r="B1036" s="302"/>
      <c r="C1036" s="302"/>
      <c r="D1036" s="302"/>
      <c r="E1036" s="303"/>
      <c r="F1036" s="302"/>
      <c r="G1036" s="302"/>
      <c r="H1036" s="302"/>
      <c r="I1036" s="303"/>
      <c r="J1036" s="302"/>
      <c r="K1036" s="302"/>
      <c r="L1036" s="302"/>
      <c r="M1036" s="236"/>
    </row>
    <row r="1037" spans="1:13" ht="13.5" customHeight="1" x14ac:dyDescent="0.2">
      <c r="A1037" s="237"/>
      <c r="B1037" s="302"/>
      <c r="C1037" s="302"/>
      <c r="D1037" s="302"/>
      <c r="E1037" s="303"/>
      <c r="F1037" s="302"/>
      <c r="G1037" s="302"/>
      <c r="H1037" s="302"/>
      <c r="I1037" s="303"/>
      <c r="J1037" s="302"/>
      <c r="K1037" s="302"/>
      <c r="L1037" s="302"/>
      <c r="M1037" s="236"/>
    </row>
    <row r="1038" spans="1:13" ht="13.5" customHeight="1" x14ac:dyDescent="0.2">
      <c r="A1038" s="237"/>
      <c r="B1038" s="302"/>
      <c r="C1038" s="302"/>
      <c r="D1038" s="302"/>
      <c r="E1038" s="303"/>
      <c r="F1038" s="302"/>
      <c r="G1038" s="302"/>
      <c r="H1038" s="302"/>
      <c r="I1038" s="303"/>
      <c r="J1038" s="302"/>
      <c r="K1038" s="302"/>
      <c r="L1038" s="302"/>
      <c r="M1038" s="236"/>
    </row>
    <row r="1039" spans="1:13" x14ac:dyDescent="0.2">
      <c r="A1039" s="237"/>
      <c r="B1039" s="303"/>
      <c r="C1039" s="303"/>
      <c r="D1039" s="303"/>
      <c r="E1039" s="303"/>
      <c r="F1039" s="303"/>
      <c r="G1039" s="303"/>
      <c r="H1039" s="303"/>
      <c r="I1039" s="303"/>
      <c r="J1039" s="303"/>
      <c r="K1039" s="303"/>
      <c r="L1039" s="303"/>
      <c r="M1039" s="236"/>
    </row>
    <row r="1040" spans="1:13" x14ac:dyDescent="0.2">
      <c r="A1040" s="237"/>
      <c r="B1040" s="237"/>
      <c r="C1040" s="237"/>
      <c r="D1040" s="237"/>
      <c r="E1040" s="237"/>
      <c r="F1040" s="237"/>
      <c r="G1040" s="237"/>
      <c r="H1040" s="237"/>
      <c r="I1040" s="237"/>
      <c r="J1040" s="237"/>
      <c r="K1040" s="237"/>
      <c r="L1040" s="240"/>
      <c r="M1040" s="236"/>
    </row>
    <row r="1041" spans="1:13" x14ac:dyDescent="0.2">
      <c r="A1041" s="237"/>
      <c r="B1041" s="237"/>
      <c r="C1041" s="237"/>
      <c r="D1041" s="237"/>
      <c r="E1041" s="237"/>
      <c r="F1041" s="237"/>
      <c r="G1041" s="237"/>
      <c r="H1041" s="237"/>
      <c r="I1041" s="237"/>
      <c r="J1041" s="237"/>
      <c r="K1041" s="237"/>
      <c r="L1041" s="284"/>
      <c r="M1041" s="236"/>
    </row>
    <row r="1042" spans="1:13" x14ac:dyDescent="0.2">
      <c r="A1042" s="258"/>
      <c r="B1042" s="241"/>
      <c r="C1042" s="241"/>
      <c r="D1042" s="241"/>
      <c r="E1042" s="241"/>
      <c r="F1042" s="241"/>
      <c r="G1042" s="241"/>
      <c r="H1042" s="241"/>
      <c r="I1042" s="241"/>
      <c r="J1042" s="241"/>
      <c r="K1042" s="241"/>
      <c r="L1042" s="236"/>
      <c r="M1042" s="236"/>
    </row>
    <row r="1043" spans="1:13" x14ac:dyDescent="0.2">
      <c r="A1043" s="241"/>
      <c r="B1043" s="372"/>
      <c r="C1043" s="372"/>
      <c r="D1043" s="372"/>
      <c r="E1043" s="253"/>
      <c r="F1043" s="372"/>
      <c r="G1043" s="372"/>
      <c r="H1043" s="372"/>
      <c r="I1043" s="253"/>
      <c r="J1043" s="372"/>
      <c r="K1043" s="372"/>
      <c r="L1043" s="372"/>
      <c r="M1043" s="236"/>
    </row>
    <row r="1044" spans="1:13" x14ac:dyDescent="0.2">
      <c r="A1044" s="258"/>
      <c r="B1044" s="259"/>
      <c r="C1044" s="259"/>
      <c r="D1044" s="259"/>
      <c r="E1044" s="259"/>
      <c r="F1044" s="259"/>
      <c r="G1044" s="259"/>
      <c r="H1044" s="259"/>
      <c r="I1044" s="259"/>
      <c r="J1044" s="259"/>
      <c r="K1044" s="259"/>
      <c r="L1044" s="259"/>
      <c r="M1044" s="236"/>
    </row>
    <row r="1045" spans="1:13" x14ac:dyDescent="0.2">
      <c r="A1045" s="258"/>
      <c r="B1045" s="259"/>
      <c r="C1045" s="259"/>
      <c r="D1045" s="259"/>
      <c r="E1045" s="259"/>
      <c r="F1045" s="259"/>
      <c r="G1045" s="259"/>
      <c r="H1045" s="259"/>
      <c r="I1045" s="259"/>
      <c r="J1045" s="259"/>
      <c r="K1045" s="259"/>
      <c r="L1045" s="259"/>
      <c r="M1045" s="236"/>
    </row>
    <row r="1046" spans="1:13" x14ac:dyDescent="0.2">
      <c r="A1046" s="237"/>
      <c r="B1046" s="302"/>
      <c r="C1046" s="302"/>
      <c r="D1046" s="302"/>
      <c r="E1046" s="303"/>
      <c r="F1046" s="302"/>
      <c r="G1046" s="302"/>
      <c r="H1046" s="302"/>
      <c r="I1046" s="303"/>
      <c r="J1046" s="302"/>
      <c r="K1046" s="302"/>
      <c r="L1046" s="302"/>
      <c r="M1046" s="236"/>
    </row>
    <row r="1047" spans="1:13" x14ac:dyDescent="0.2">
      <c r="A1047" s="237"/>
      <c r="B1047" s="302"/>
      <c r="C1047" s="302"/>
      <c r="D1047" s="302"/>
      <c r="E1047" s="303"/>
      <c r="F1047" s="302"/>
      <c r="G1047" s="302"/>
      <c r="H1047" s="302"/>
      <c r="I1047" s="303"/>
      <c r="J1047" s="302"/>
      <c r="K1047" s="302"/>
      <c r="L1047" s="302"/>
      <c r="M1047" s="236"/>
    </row>
    <row r="1048" spans="1:13" x14ac:dyDescent="0.2">
      <c r="A1048" s="237"/>
      <c r="B1048" s="302"/>
      <c r="C1048" s="302"/>
      <c r="D1048" s="302"/>
      <c r="E1048" s="303"/>
      <c r="F1048" s="302"/>
      <c r="G1048" s="302"/>
      <c r="H1048" s="302"/>
      <c r="I1048" s="303"/>
      <c r="J1048" s="302"/>
      <c r="K1048" s="302"/>
      <c r="L1048" s="302"/>
      <c r="M1048" s="236"/>
    </row>
    <row r="1049" spans="1:13" x14ac:dyDescent="0.2">
      <c r="A1049" s="237"/>
      <c r="B1049" s="302"/>
      <c r="C1049" s="302"/>
      <c r="D1049" s="302"/>
      <c r="E1049" s="303"/>
      <c r="F1049" s="302"/>
      <c r="G1049" s="302"/>
      <c r="H1049" s="302"/>
      <c r="I1049" s="303"/>
      <c r="J1049" s="302"/>
      <c r="K1049" s="302"/>
      <c r="L1049" s="302"/>
      <c r="M1049" s="236"/>
    </row>
    <row r="1050" spans="1:13" x14ac:dyDescent="0.2">
      <c r="A1050" s="237"/>
      <c r="B1050" s="302"/>
      <c r="C1050" s="302"/>
      <c r="D1050" s="302"/>
      <c r="E1050" s="303"/>
      <c r="F1050" s="302"/>
      <c r="G1050" s="302"/>
      <c r="H1050" s="302"/>
      <c r="I1050" s="303"/>
      <c r="J1050" s="302"/>
      <c r="K1050" s="302"/>
      <c r="L1050" s="302"/>
      <c r="M1050" s="236"/>
    </row>
    <row r="1051" spans="1:13" x14ac:dyDescent="0.2">
      <c r="A1051" s="237"/>
      <c r="B1051" s="302"/>
      <c r="C1051" s="302"/>
      <c r="D1051" s="302"/>
      <c r="E1051" s="303"/>
      <c r="F1051" s="302"/>
      <c r="G1051" s="302"/>
      <c r="H1051" s="302"/>
      <c r="I1051" s="303"/>
      <c r="J1051" s="302"/>
      <c r="K1051" s="302"/>
      <c r="L1051" s="302"/>
      <c r="M1051" s="236"/>
    </row>
    <row r="1052" spans="1:13" x14ac:dyDescent="0.2">
      <c r="A1052" s="237"/>
      <c r="B1052" s="302"/>
      <c r="C1052" s="302"/>
      <c r="D1052" s="302"/>
      <c r="E1052" s="303"/>
      <c r="F1052" s="302"/>
      <c r="G1052" s="302"/>
      <c r="H1052" s="302"/>
      <c r="I1052" s="303"/>
      <c r="J1052" s="302"/>
      <c r="K1052" s="302"/>
      <c r="L1052" s="302"/>
      <c r="M1052" s="236"/>
    </row>
    <row r="1053" spans="1:13" x14ac:dyDescent="0.2">
      <c r="A1053" s="237"/>
      <c r="B1053" s="302"/>
      <c r="C1053" s="302"/>
      <c r="D1053" s="302"/>
      <c r="E1053" s="303"/>
      <c r="F1053" s="302"/>
      <c r="G1053" s="302"/>
      <c r="H1053" s="302"/>
      <c r="I1053" s="303"/>
      <c r="J1053" s="302"/>
      <c r="K1053" s="302"/>
      <c r="L1053" s="302"/>
      <c r="M1053" s="236"/>
    </row>
    <row r="1054" spans="1:13" x14ac:dyDescent="0.2">
      <c r="A1054" s="237"/>
      <c r="B1054" s="302"/>
      <c r="C1054" s="302"/>
      <c r="D1054" s="302"/>
      <c r="E1054" s="303"/>
      <c r="F1054" s="302"/>
      <c r="G1054" s="302"/>
      <c r="H1054" s="302"/>
      <c r="I1054" s="303"/>
      <c r="J1054" s="302"/>
      <c r="K1054" s="302"/>
      <c r="L1054" s="302"/>
      <c r="M1054" s="236"/>
    </row>
    <row r="1055" spans="1:13" x14ac:dyDescent="0.2">
      <c r="A1055" s="237"/>
      <c r="B1055" s="302"/>
      <c r="C1055" s="302"/>
      <c r="D1055" s="302"/>
      <c r="E1055" s="303"/>
      <c r="F1055" s="302"/>
      <c r="G1055" s="302"/>
      <c r="H1055" s="302"/>
      <c r="I1055" s="303"/>
      <c r="J1055" s="302"/>
      <c r="K1055" s="302"/>
      <c r="L1055" s="302"/>
      <c r="M1055" s="236"/>
    </row>
    <row r="1056" spans="1:13" x14ac:dyDescent="0.2">
      <c r="A1056" s="237"/>
      <c r="B1056" s="303"/>
      <c r="C1056" s="303"/>
      <c r="D1056" s="303"/>
      <c r="E1056" s="303"/>
      <c r="F1056" s="303"/>
      <c r="G1056" s="303"/>
      <c r="H1056" s="303"/>
      <c r="I1056" s="303"/>
      <c r="J1056" s="303"/>
      <c r="K1056" s="303"/>
      <c r="L1056" s="303"/>
      <c r="M1056" s="236"/>
    </row>
    <row r="1057" spans="1:13" x14ac:dyDescent="0.2">
      <c r="A1057" s="237"/>
      <c r="B1057" s="237"/>
      <c r="C1057" s="237"/>
      <c r="D1057" s="237"/>
      <c r="E1057" s="237"/>
      <c r="F1057" s="237"/>
      <c r="G1057" s="237"/>
      <c r="H1057" s="237"/>
      <c r="I1057" s="237"/>
      <c r="J1057" s="237"/>
      <c r="K1057" s="237"/>
      <c r="L1057" s="240"/>
      <c r="M1057" s="236"/>
    </row>
    <row r="1058" spans="1:13" x14ac:dyDescent="0.2">
      <c r="A1058" s="237"/>
      <c r="B1058" s="237"/>
      <c r="C1058" s="237"/>
      <c r="D1058" s="237"/>
      <c r="E1058" s="237"/>
      <c r="F1058" s="237"/>
      <c r="G1058" s="237"/>
      <c r="H1058" s="237"/>
      <c r="I1058" s="237"/>
      <c r="J1058" s="237"/>
      <c r="K1058" s="237"/>
      <c r="L1058" s="284"/>
      <c r="M1058" s="236"/>
    </row>
    <row r="1059" spans="1:13" x14ac:dyDescent="0.2">
      <c r="A1059" s="258"/>
      <c r="B1059" s="241"/>
      <c r="C1059" s="241"/>
      <c r="D1059" s="241"/>
      <c r="E1059" s="241"/>
      <c r="F1059" s="241"/>
      <c r="G1059" s="241"/>
      <c r="H1059" s="241"/>
      <c r="I1059" s="241"/>
      <c r="J1059" s="241"/>
      <c r="K1059" s="241"/>
      <c r="L1059" s="236"/>
      <c r="M1059" s="236"/>
    </row>
    <row r="1060" spans="1:13" x14ac:dyDescent="0.2">
      <c r="A1060" s="241"/>
      <c r="B1060" s="372"/>
      <c r="C1060" s="372"/>
      <c r="D1060" s="372"/>
      <c r="E1060" s="253"/>
      <c r="F1060" s="372"/>
      <c r="G1060" s="372"/>
      <c r="H1060" s="372"/>
      <c r="I1060" s="253"/>
      <c r="J1060" s="372"/>
      <c r="K1060" s="372"/>
      <c r="L1060" s="372"/>
      <c r="M1060" s="236"/>
    </row>
    <row r="1061" spans="1:13" x14ac:dyDescent="0.2">
      <c r="A1061" s="258"/>
      <c r="B1061" s="259"/>
      <c r="C1061" s="259"/>
      <c r="D1061" s="259"/>
      <c r="E1061" s="259"/>
      <c r="F1061" s="259"/>
      <c r="G1061" s="259"/>
      <c r="H1061" s="259"/>
      <c r="I1061" s="259"/>
      <c r="J1061" s="259"/>
      <c r="K1061" s="259"/>
      <c r="L1061" s="259"/>
      <c r="M1061" s="236"/>
    </row>
    <row r="1062" spans="1:13" x14ac:dyDescent="0.2">
      <c r="A1062" s="258"/>
      <c r="B1062" s="259"/>
      <c r="C1062" s="259"/>
      <c r="D1062" s="259"/>
      <c r="E1062" s="259"/>
      <c r="F1062" s="259"/>
      <c r="G1062" s="259"/>
      <c r="H1062" s="259"/>
      <c r="I1062" s="259"/>
      <c r="J1062" s="259"/>
      <c r="K1062" s="259"/>
      <c r="L1062" s="259"/>
      <c r="M1062" s="236"/>
    </row>
    <row r="1063" spans="1:13" x14ac:dyDescent="0.2">
      <c r="A1063" s="237"/>
      <c r="B1063" s="302"/>
      <c r="C1063" s="302"/>
      <c r="D1063" s="302"/>
      <c r="E1063" s="303"/>
      <c r="F1063" s="302"/>
      <c r="G1063" s="302"/>
      <c r="H1063" s="302"/>
      <c r="I1063" s="303"/>
      <c r="J1063" s="302"/>
      <c r="K1063" s="302"/>
      <c r="L1063" s="302"/>
      <c r="M1063" s="236"/>
    </row>
    <row r="1064" spans="1:13" x14ac:dyDescent="0.2">
      <c r="A1064" s="237"/>
      <c r="B1064" s="302"/>
      <c r="C1064" s="302"/>
      <c r="D1064" s="302"/>
      <c r="E1064" s="303"/>
      <c r="F1064" s="302"/>
      <c r="G1064" s="302"/>
      <c r="H1064" s="302"/>
      <c r="I1064" s="303"/>
      <c r="J1064" s="302"/>
      <c r="K1064" s="302"/>
      <c r="L1064" s="302"/>
      <c r="M1064" s="236"/>
    </row>
    <row r="1065" spans="1:13" x14ac:dyDescent="0.2">
      <c r="A1065" s="237"/>
      <c r="B1065" s="302"/>
      <c r="C1065" s="302"/>
      <c r="D1065" s="302"/>
      <c r="E1065" s="303"/>
      <c r="F1065" s="302"/>
      <c r="G1065" s="302"/>
      <c r="H1065" s="302"/>
      <c r="I1065" s="303"/>
      <c r="J1065" s="302"/>
      <c r="K1065" s="302"/>
      <c r="L1065" s="302"/>
      <c r="M1065" s="236"/>
    </row>
    <row r="1066" spans="1:13" x14ac:dyDescent="0.2">
      <c r="A1066" s="237"/>
      <c r="B1066" s="302"/>
      <c r="C1066" s="302"/>
      <c r="D1066" s="302"/>
      <c r="E1066" s="303"/>
      <c r="F1066" s="302"/>
      <c r="G1066" s="302"/>
      <c r="H1066" s="302"/>
      <c r="I1066" s="303"/>
      <c r="J1066" s="302"/>
      <c r="K1066" s="302"/>
      <c r="L1066" s="302"/>
      <c r="M1066" s="236"/>
    </row>
    <row r="1067" spans="1:13" x14ac:dyDescent="0.2">
      <c r="A1067" s="237"/>
      <c r="B1067" s="302"/>
      <c r="C1067" s="302"/>
      <c r="D1067" s="302"/>
      <c r="E1067" s="303"/>
      <c r="F1067" s="302"/>
      <c r="G1067" s="302"/>
      <c r="H1067" s="302"/>
      <c r="I1067" s="303"/>
      <c r="J1067" s="302"/>
      <c r="K1067" s="302"/>
      <c r="L1067" s="302"/>
      <c r="M1067" s="236"/>
    </row>
    <row r="1068" spans="1:13" x14ac:dyDescent="0.2">
      <c r="A1068" s="237"/>
      <c r="B1068" s="302"/>
      <c r="C1068" s="302"/>
      <c r="D1068" s="302"/>
      <c r="E1068" s="303"/>
      <c r="F1068" s="302"/>
      <c r="G1068" s="302"/>
      <c r="H1068" s="302"/>
      <c r="I1068" s="303"/>
      <c r="J1068" s="302"/>
      <c r="K1068" s="302"/>
      <c r="L1068" s="302"/>
      <c r="M1068" s="236"/>
    </row>
    <row r="1069" spans="1:13" x14ac:dyDescent="0.2">
      <c r="A1069" s="237"/>
      <c r="B1069" s="302"/>
      <c r="C1069" s="302"/>
      <c r="D1069" s="302"/>
      <c r="E1069" s="303"/>
      <c r="F1069" s="302"/>
      <c r="G1069" s="302"/>
      <c r="H1069" s="302"/>
      <c r="I1069" s="303"/>
      <c r="J1069" s="302"/>
      <c r="K1069" s="302"/>
      <c r="L1069" s="302"/>
      <c r="M1069" s="236"/>
    </row>
    <row r="1070" spans="1:13" x14ac:dyDescent="0.2">
      <c r="A1070" s="237"/>
      <c r="B1070" s="302"/>
      <c r="C1070" s="302"/>
      <c r="D1070" s="302"/>
      <c r="E1070" s="303"/>
      <c r="F1070" s="302"/>
      <c r="G1070" s="302"/>
      <c r="H1070" s="302"/>
      <c r="I1070" s="303"/>
      <c r="J1070" s="302"/>
      <c r="K1070" s="302"/>
      <c r="L1070" s="302"/>
      <c r="M1070" s="236"/>
    </row>
    <row r="1071" spans="1:13" x14ac:dyDescent="0.2">
      <c r="A1071" s="237"/>
      <c r="B1071" s="302"/>
      <c r="C1071" s="302"/>
      <c r="D1071" s="302"/>
      <c r="E1071" s="303"/>
      <c r="F1071" s="302"/>
      <c r="G1071" s="302"/>
      <c r="H1071" s="302"/>
      <c r="I1071" s="303"/>
      <c r="J1071" s="302"/>
      <c r="K1071" s="302"/>
      <c r="L1071" s="302"/>
      <c r="M1071" s="236"/>
    </row>
    <row r="1072" spans="1:13" x14ac:dyDescent="0.2">
      <c r="A1072" s="237"/>
      <c r="B1072" s="302"/>
      <c r="C1072" s="302"/>
      <c r="D1072" s="302"/>
      <c r="E1072" s="303"/>
      <c r="F1072" s="302"/>
      <c r="G1072" s="302"/>
      <c r="H1072" s="302"/>
      <c r="I1072" s="303"/>
      <c r="J1072" s="302"/>
      <c r="K1072" s="302"/>
      <c r="L1072" s="302"/>
      <c r="M1072" s="236"/>
    </row>
    <row r="1073" spans="1:13" x14ac:dyDescent="0.2">
      <c r="A1073" s="237"/>
      <c r="B1073" s="303"/>
      <c r="C1073" s="303"/>
      <c r="D1073" s="303"/>
      <c r="E1073" s="303"/>
      <c r="F1073" s="303"/>
      <c r="G1073" s="303"/>
      <c r="H1073" s="303"/>
      <c r="I1073" s="303"/>
      <c r="J1073" s="303"/>
      <c r="K1073" s="303"/>
      <c r="L1073" s="303"/>
      <c r="M1073" s="236"/>
    </row>
    <row r="1074" spans="1:13" x14ac:dyDescent="0.2">
      <c r="A1074" s="237"/>
      <c r="B1074" s="237"/>
      <c r="C1074" s="237"/>
      <c r="D1074" s="237"/>
      <c r="E1074" s="237"/>
      <c r="F1074" s="237"/>
      <c r="G1074" s="237"/>
      <c r="H1074" s="237"/>
      <c r="I1074" s="237"/>
      <c r="J1074" s="237"/>
      <c r="K1074" s="237"/>
      <c r="L1074" s="240"/>
      <c r="M1074" s="236"/>
    </row>
    <row r="1075" spans="1:13" x14ac:dyDescent="0.2">
      <c r="A1075" s="237"/>
      <c r="B1075" s="237"/>
      <c r="C1075" s="237"/>
      <c r="D1075" s="237"/>
      <c r="E1075" s="237"/>
      <c r="F1075" s="237"/>
      <c r="G1075" s="237"/>
      <c r="H1075" s="237"/>
      <c r="I1075" s="237"/>
      <c r="J1075" s="237"/>
      <c r="K1075" s="237"/>
      <c r="L1075" s="284"/>
      <c r="M1075" s="236"/>
    </row>
    <row r="1076" spans="1:13" x14ac:dyDescent="0.2">
      <c r="A1076" s="258"/>
      <c r="B1076" s="241"/>
      <c r="C1076" s="241"/>
      <c r="D1076" s="241"/>
      <c r="E1076" s="241"/>
      <c r="F1076" s="241"/>
      <c r="G1076" s="241"/>
      <c r="H1076" s="241"/>
      <c r="I1076" s="241"/>
      <c r="J1076" s="241"/>
      <c r="K1076" s="241"/>
      <c r="L1076" s="236"/>
      <c r="M1076" s="236"/>
    </row>
    <row r="1077" spans="1:13" x14ac:dyDescent="0.2">
      <c r="A1077" s="241"/>
      <c r="B1077" s="372"/>
      <c r="C1077" s="372"/>
      <c r="D1077" s="372"/>
      <c r="E1077" s="253"/>
      <c r="F1077" s="372"/>
      <c r="G1077" s="372"/>
      <c r="H1077" s="372"/>
      <c r="I1077" s="253"/>
      <c r="J1077" s="372"/>
      <c r="K1077" s="372"/>
      <c r="L1077" s="372"/>
      <c r="M1077" s="236"/>
    </row>
    <row r="1078" spans="1:13" x14ac:dyDescent="0.2">
      <c r="A1078" s="258"/>
      <c r="B1078" s="259"/>
      <c r="C1078" s="259"/>
      <c r="D1078" s="259"/>
      <c r="E1078" s="259"/>
      <c r="F1078" s="259"/>
      <c r="G1078" s="259"/>
      <c r="H1078" s="259"/>
      <c r="I1078" s="259"/>
      <c r="J1078" s="259"/>
      <c r="K1078" s="259"/>
      <c r="L1078" s="259"/>
      <c r="M1078" s="236"/>
    </row>
    <row r="1079" spans="1:13" x14ac:dyDescent="0.2">
      <c r="A1079" s="258"/>
      <c r="B1079" s="259"/>
      <c r="C1079" s="259"/>
      <c r="D1079" s="259"/>
      <c r="E1079" s="259"/>
      <c r="F1079" s="259"/>
      <c r="G1079" s="259"/>
      <c r="H1079" s="259"/>
      <c r="I1079" s="259"/>
      <c r="J1079" s="259"/>
      <c r="K1079" s="259"/>
      <c r="L1079" s="259"/>
      <c r="M1079" s="236"/>
    </row>
    <row r="1080" spans="1:13" x14ac:dyDescent="0.2">
      <c r="A1080" s="237"/>
      <c r="B1080" s="302"/>
      <c r="C1080" s="302"/>
      <c r="D1080" s="302"/>
      <c r="E1080" s="303"/>
      <c r="F1080" s="302"/>
      <c r="G1080" s="302"/>
      <c r="H1080" s="302"/>
      <c r="I1080" s="303"/>
      <c r="J1080" s="302"/>
      <c r="K1080" s="302"/>
      <c r="L1080" s="302"/>
      <c r="M1080" s="236"/>
    </row>
    <row r="1081" spans="1:13" x14ac:dyDescent="0.2">
      <c r="A1081" s="237"/>
      <c r="B1081" s="302"/>
      <c r="C1081" s="302"/>
      <c r="D1081" s="302"/>
      <c r="E1081" s="303"/>
      <c r="F1081" s="302"/>
      <c r="G1081" s="302"/>
      <c r="H1081" s="302"/>
      <c r="I1081" s="303"/>
      <c r="J1081" s="302"/>
      <c r="K1081" s="302"/>
      <c r="L1081" s="302"/>
      <c r="M1081" s="236"/>
    </row>
    <row r="1082" spans="1:13" x14ac:dyDescent="0.2">
      <c r="A1082" s="237"/>
      <c r="B1082" s="302"/>
      <c r="C1082" s="302"/>
      <c r="D1082" s="302"/>
      <c r="E1082" s="303"/>
      <c r="F1082" s="302"/>
      <c r="G1082" s="302"/>
      <c r="H1082" s="302"/>
      <c r="I1082" s="303"/>
      <c r="J1082" s="302"/>
      <c r="K1082" s="302"/>
      <c r="L1082" s="302"/>
      <c r="M1082" s="236"/>
    </row>
    <row r="1083" spans="1:13" x14ac:dyDescent="0.2">
      <c r="A1083" s="237"/>
      <c r="B1083" s="302"/>
      <c r="C1083" s="302"/>
      <c r="D1083" s="302"/>
      <c r="E1083" s="303"/>
      <c r="F1083" s="302"/>
      <c r="G1083" s="302"/>
      <c r="H1083" s="302"/>
      <c r="I1083" s="303"/>
      <c r="J1083" s="302"/>
      <c r="K1083" s="302"/>
      <c r="L1083" s="302"/>
      <c r="M1083" s="236"/>
    </row>
    <row r="1084" spans="1:13" x14ac:dyDescent="0.2">
      <c r="A1084" s="237"/>
      <c r="B1084" s="302"/>
      <c r="C1084" s="302"/>
      <c r="D1084" s="302"/>
      <c r="E1084" s="303"/>
      <c r="F1084" s="302"/>
      <c r="G1084" s="302"/>
      <c r="H1084" s="302"/>
      <c r="I1084" s="303"/>
      <c r="J1084" s="302"/>
      <c r="K1084" s="302"/>
      <c r="L1084" s="302"/>
      <c r="M1084" s="236"/>
    </row>
    <row r="1085" spans="1:13" x14ac:dyDescent="0.2">
      <c r="A1085" s="237"/>
      <c r="B1085" s="302"/>
      <c r="C1085" s="302"/>
      <c r="D1085" s="302"/>
      <c r="E1085" s="303"/>
      <c r="F1085" s="302"/>
      <c r="G1085" s="302"/>
      <c r="H1085" s="302"/>
      <c r="I1085" s="303"/>
      <c r="J1085" s="302"/>
      <c r="K1085" s="302"/>
      <c r="L1085" s="302"/>
      <c r="M1085" s="236"/>
    </row>
    <row r="1086" spans="1:13" x14ac:dyDescent="0.2">
      <c r="A1086" s="237"/>
      <c r="B1086" s="302"/>
      <c r="C1086" s="302"/>
      <c r="D1086" s="302"/>
      <c r="E1086" s="303"/>
      <c r="F1086" s="302"/>
      <c r="G1086" s="302"/>
      <c r="H1086" s="302"/>
      <c r="I1086" s="303"/>
      <c r="J1086" s="302"/>
      <c r="K1086" s="302"/>
      <c r="L1086" s="302"/>
      <c r="M1086" s="236"/>
    </row>
    <row r="1087" spans="1:13" x14ac:dyDescent="0.2">
      <c r="A1087" s="237"/>
      <c r="B1087" s="302"/>
      <c r="C1087" s="302"/>
      <c r="D1087" s="302"/>
      <c r="E1087" s="303"/>
      <c r="F1087" s="302"/>
      <c r="G1087" s="302"/>
      <c r="H1087" s="302"/>
      <c r="I1087" s="303"/>
      <c r="J1087" s="302"/>
      <c r="K1087" s="302"/>
      <c r="L1087" s="302"/>
      <c r="M1087" s="236"/>
    </row>
    <row r="1088" spans="1:13" x14ac:dyDescent="0.2">
      <c r="A1088" s="237"/>
      <c r="B1088" s="302"/>
      <c r="C1088" s="302"/>
      <c r="D1088" s="302"/>
      <c r="E1088" s="303"/>
      <c r="F1088" s="302"/>
      <c r="G1088" s="302"/>
      <c r="H1088" s="302"/>
      <c r="I1088" s="303"/>
      <c r="J1088" s="302"/>
      <c r="K1088" s="302"/>
      <c r="L1088" s="302"/>
      <c r="M1088" s="236"/>
    </row>
    <row r="1089" spans="1:13" x14ac:dyDescent="0.2">
      <c r="A1089" s="237"/>
      <c r="B1089" s="302"/>
      <c r="C1089" s="302"/>
      <c r="D1089" s="302"/>
      <c r="E1089" s="303"/>
      <c r="F1089" s="302"/>
      <c r="G1089" s="302"/>
      <c r="H1089" s="302"/>
      <c r="I1089" s="303"/>
      <c r="J1089" s="302"/>
      <c r="K1089" s="302"/>
      <c r="L1089" s="302"/>
      <c r="M1089" s="236"/>
    </row>
    <row r="1090" spans="1:13" x14ac:dyDescent="0.2">
      <c r="A1090" s="237"/>
      <c r="B1090" s="303"/>
      <c r="C1090" s="303"/>
      <c r="D1090" s="303"/>
      <c r="E1090" s="303"/>
      <c r="F1090" s="303"/>
      <c r="G1090" s="303"/>
      <c r="H1090" s="303"/>
      <c r="I1090" s="303"/>
      <c r="J1090" s="303"/>
      <c r="K1090" s="303"/>
      <c r="L1090" s="303"/>
      <c r="M1090" s="236"/>
    </row>
    <row r="1091" spans="1:13" x14ac:dyDescent="0.2">
      <c r="A1091" s="237"/>
      <c r="B1091" s="237"/>
      <c r="C1091" s="237"/>
      <c r="D1091" s="237"/>
      <c r="E1091" s="237"/>
      <c r="F1091" s="237"/>
      <c r="G1091" s="237"/>
      <c r="H1091" s="237"/>
      <c r="I1091" s="237"/>
      <c r="J1091" s="237"/>
      <c r="K1091" s="237"/>
      <c r="L1091" s="240"/>
      <c r="M1091" s="236"/>
    </row>
    <row r="1092" spans="1:13" x14ac:dyDescent="0.2">
      <c r="A1092" s="237"/>
      <c r="B1092" s="237"/>
      <c r="C1092" s="237"/>
      <c r="D1092" s="237"/>
      <c r="E1092" s="237"/>
      <c r="F1092" s="237"/>
      <c r="G1092" s="237"/>
      <c r="H1092" s="237"/>
      <c r="I1092" s="237"/>
      <c r="J1092" s="237"/>
      <c r="K1092" s="237"/>
      <c r="L1092" s="284"/>
      <c r="M1092" s="236"/>
    </row>
    <row r="1093" spans="1:13" x14ac:dyDescent="0.2">
      <c r="A1093" s="258"/>
      <c r="B1093" s="241"/>
      <c r="C1093" s="241"/>
      <c r="D1093" s="241"/>
      <c r="E1093" s="241"/>
      <c r="F1093" s="241"/>
      <c r="G1093" s="241"/>
      <c r="H1093" s="241"/>
      <c r="I1093" s="241"/>
      <c r="J1093" s="241"/>
      <c r="K1093" s="241"/>
      <c r="L1093" s="236"/>
      <c r="M1093" s="236"/>
    </row>
    <row r="1094" spans="1:13" x14ac:dyDescent="0.2">
      <c r="A1094" s="241"/>
      <c r="B1094" s="372"/>
      <c r="C1094" s="372"/>
      <c r="D1094" s="372"/>
      <c r="E1094" s="253"/>
      <c r="F1094" s="372"/>
      <c r="G1094" s="372"/>
      <c r="H1094" s="372"/>
      <c r="I1094" s="253"/>
      <c r="J1094" s="372"/>
      <c r="K1094" s="372"/>
      <c r="L1094" s="372"/>
      <c r="M1094" s="236"/>
    </row>
    <row r="1095" spans="1:13" x14ac:dyDescent="0.2">
      <c r="A1095" s="258"/>
      <c r="B1095" s="259"/>
      <c r="C1095" s="259"/>
      <c r="D1095" s="259"/>
      <c r="E1095" s="259"/>
      <c r="F1095" s="259"/>
      <c r="G1095" s="259"/>
      <c r="H1095" s="259"/>
      <c r="I1095" s="259"/>
      <c r="J1095" s="259"/>
      <c r="K1095" s="259"/>
      <c r="L1095" s="259"/>
      <c r="M1095" s="236"/>
    </row>
    <row r="1096" spans="1:13" x14ac:dyDescent="0.2">
      <c r="A1096" s="258"/>
      <c r="B1096" s="259"/>
      <c r="C1096" s="259"/>
      <c r="D1096" s="259"/>
      <c r="E1096" s="259"/>
      <c r="F1096" s="259"/>
      <c r="G1096" s="259"/>
      <c r="H1096" s="259"/>
      <c r="I1096" s="259"/>
      <c r="J1096" s="259"/>
      <c r="K1096" s="259"/>
      <c r="L1096" s="259"/>
      <c r="M1096" s="236"/>
    </row>
    <row r="1097" spans="1:13" x14ac:dyDescent="0.2">
      <c r="A1097" s="237"/>
      <c r="B1097" s="302"/>
      <c r="C1097" s="302"/>
      <c r="D1097" s="302"/>
      <c r="E1097" s="303"/>
      <c r="F1097" s="302"/>
      <c r="G1097" s="302"/>
      <c r="H1097" s="302"/>
      <c r="I1097" s="303"/>
      <c r="J1097" s="302"/>
      <c r="K1097" s="302"/>
      <c r="L1097" s="302"/>
      <c r="M1097" s="236"/>
    </row>
    <row r="1098" spans="1:13" x14ac:dyDescent="0.2">
      <c r="A1098" s="237"/>
      <c r="B1098" s="302"/>
      <c r="C1098" s="302"/>
      <c r="D1098" s="302"/>
      <c r="E1098" s="303"/>
      <c r="F1098" s="302"/>
      <c r="G1098" s="302"/>
      <c r="H1098" s="302"/>
      <c r="I1098" s="303"/>
      <c r="J1098" s="302"/>
      <c r="K1098" s="302"/>
      <c r="L1098" s="302"/>
      <c r="M1098" s="236"/>
    </row>
    <row r="1099" spans="1:13" x14ac:dyDescent="0.2">
      <c r="A1099" s="237"/>
      <c r="B1099" s="302"/>
      <c r="C1099" s="302"/>
      <c r="D1099" s="302"/>
      <c r="E1099" s="303"/>
      <c r="F1099" s="302"/>
      <c r="G1099" s="302"/>
      <c r="H1099" s="302"/>
      <c r="I1099" s="303"/>
      <c r="J1099" s="302"/>
      <c r="K1099" s="302"/>
      <c r="L1099" s="302"/>
      <c r="M1099" s="236"/>
    </row>
    <row r="1100" spans="1:13" x14ac:dyDescent="0.2">
      <c r="A1100" s="237"/>
      <c r="B1100" s="302"/>
      <c r="C1100" s="302"/>
      <c r="D1100" s="302"/>
      <c r="E1100" s="303"/>
      <c r="F1100" s="302"/>
      <c r="G1100" s="302"/>
      <c r="H1100" s="302"/>
      <c r="I1100" s="303"/>
      <c r="J1100" s="302"/>
      <c r="K1100" s="302"/>
      <c r="L1100" s="302"/>
      <c r="M1100" s="236"/>
    </row>
    <row r="1101" spans="1:13" x14ac:dyDescent="0.2">
      <c r="A1101" s="237"/>
      <c r="B1101" s="302"/>
      <c r="C1101" s="302"/>
      <c r="D1101" s="302"/>
      <c r="E1101" s="303"/>
      <c r="F1101" s="302"/>
      <c r="G1101" s="302"/>
      <c r="H1101" s="302"/>
      <c r="I1101" s="303"/>
      <c r="J1101" s="302"/>
      <c r="K1101" s="302"/>
      <c r="L1101" s="302"/>
      <c r="M1101" s="236"/>
    </row>
    <row r="1102" spans="1:13" x14ac:dyDescent="0.2">
      <c r="A1102" s="237"/>
      <c r="B1102" s="302"/>
      <c r="C1102" s="302"/>
      <c r="D1102" s="302"/>
      <c r="E1102" s="303"/>
      <c r="F1102" s="302"/>
      <c r="G1102" s="302"/>
      <c r="H1102" s="302"/>
      <c r="I1102" s="303"/>
      <c r="J1102" s="302"/>
      <c r="K1102" s="302"/>
      <c r="L1102" s="302"/>
      <c r="M1102" s="236"/>
    </row>
    <row r="1103" spans="1:13" x14ac:dyDescent="0.2">
      <c r="A1103" s="237"/>
      <c r="B1103" s="302"/>
      <c r="C1103" s="302"/>
      <c r="D1103" s="302"/>
      <c r="E1103" s="303"/>
      <c r="F1103" s="302"/>
      <c r="G1103" s="302"/>
      <c r="H1103" s="302"/>
      <c r="I1103" s="303"/>
      <c r="J1103" s="302"/>
      <c r="K1103" s="302"/>
      <c r="L1103" s="302"/>
      <c r="M1103" s="236"/>
    </row>
    <row r="1104" spans="1:13" x14ac:dyDescent="0.2">
      <c r="A1104" s="237"/>
      <c r="B1104" s="302"/>
      <c r="C1104" s="302"/>
      <c r="D1104" s="302"/>
      <c r="E1104" s="303"/>
      <c r="F1104" s="302"/>
      <c r="G1104" s="302"/>
      <c r="H1104" s="302"/>
      <c r="I1104" s="303"/>
      <c r="J1104" s="302"/>
      <c r="K1104" s="302"/>
      <c r="L1104" s="302"/>
      <c r="M1104" s="236"/>
    </row>
    <row r="1105" spans="1:13" x14ac:dyDescent="0.2">
      <c r="A1105" s="237"/>
      <c r="B1105" s="302"/>
      <c r="C1105" s="302"/>
      <c r="D1105" s="302"/>
      <c r="E1105" s="303"/>
      <c r="F1105" s="302"/>
      <c r="G1105" s="302"/>
      <c r="H1105" s="302"/>
      <c r="I1105" s="303"/>
      <c r="J1105" s="302"/>
      <c r="K1105" s="302"/>
      <c r="L1105" s="302"/>
      <c r="M1105" s="236"/>
    </row>
    <row r="1106" spans="1:13" x14ac:dyDescent="0.2">
      <c r="A1106" s="237"/>
      <c r="B1106" s="302"/>
      <c r="C1106" s="302"/>
      <c r="D1106" s="302"/>
      <c r="E1106" s="303"/>
      <c r="F1106" s="302"/>
      <c r="G1106" s="302"/>
      <c r="H1106" s="302"/>
      <c r="I1106" s="303"/>
      <c r="J1106" s="302"/>
      <c r="K1106" s="302"/>
      <c r="L1106" s="302"/>
      <c r="M1106" s="236"/>
    </row>
    <row r="1107" spans="1:13" x14ac:dyDescent="0.2">
      <c r="A1107" s="237"/>
      <c r="B1107" s="303"/>
      <c r="C1107" s="303"/>
      <c r="D1107" s="303"/>
      <c r="E1107" s="303"/>
      <c r="F1107" s="303"/>
      <c r="G1107" s="303"/>
      <c r="H1107" s="303"/>
      <c r="I1107" s="303"/>
      <c r="J1107" s="303"/>
      <c r="K1107" s="303"/>
      <c r="L1107" s="303"/>
      <c r="M1107" s="236"/>
    </row>
    <row r="1108" spans="1:13" x14ac:dyDescent="0.2">
      <c r="A1108" s="237"/>
      <c r="B1108" s="237"/>
      <c r="C1108" s="237"/>
      <c r="D1108" s="237"/>
      <c r="E1108" s="237"/>
      <c r="F1108" s="237"/>
      <c r="G1108" s="237"/>
      <c r="H1108" s="237"/>
      <c r="I1108" s="237"/>
      <c r="J1108" s="237"/>
      <c r="K1108" s="237"/>
      <c r="L1108" s="240"/>
      <c r="M1108" s="236"/>
    </row>
    <row r="1109" spans="1:13" x14ac:dyDescent="0.2">
      <c r="A1109" s="237"/>
      <c r="B1109" s="237"/>
      <c r="C1109" s="237"/>
      <c r="D1109" s="237"/>
      <c r="E1109" s="237"/>
      <c r="F1109" s="237"/>
      <c r="G1109" s="237"/>
      <c r="H1109" s="237"/>
      <c r="I1109" s="237"/>
      <c r="J1109" s="237"/>
      <c r="K1109" s="237"/>
      <c r="L1109" s="284"/>
      <c r="M1109" s="236"/>
    </row>
    <row r="1110" spans="1:13" x14ac:dyDescent="0.2">
      <c r="A1110" s="258"/>
      <c r="B1110" s="241"/>
      <c r="C1110" s="241"/>
      <c r="D1110" s="241"/>
      <c r="E1110" s="241"/>
      <c r="F1110" s="241"/>
      <c r="G1110" s="241"/>
      <c r="H1110" s="241"/>
      <c r="I1110" s="241"/>
      <c r="J1110" s="241"/>
      <c r="K1110" s="241"/>
      <c r="L1110" s="236"/>
      <c r="M1110" s="236"/>
    </row>
    <row r="1111" spans="1:13" x14ac:dyDescent="0.2">
      <c r="A1111" s="241"/>
      <c r="B1111" s="372"/>
      <c r="C1111" s="372"/>
      <c r="D1111" s="372"/>
      <c r="E1111" s="253"/>
      <c r="F1111" s="372"/>
      <c r="G1111" s="372"/>
      <c r="H1111" s="372"/>
      <c r="I1111" s="253"/>
      <c r="J1111" s="372"/>
      <c r="K1111" s="372"/>
      <c r="L1111" s="372"/>
      <c r="M1111" s="236"/>
    </row>
    <row r="1112" spans="1:13" x14ac:dyDescent="0.2">
      <c r="A1112" s="258"/>
      <c r="B1112" s="259"/>
      <c r="C1112" s="259"/>
      <c r="D1112" s="259"/>
      <c r="E1112" s="259"/>
      <c r="F1112" s="259"/>
      <c r="G1112" s="259"/>
      <c r="H1112" s="259"/>
      <c r="I1112" s="259"/>
      <c r="J1112" s="259"/>
      <c r="K1112" s="259"/>
      <c r="L1112" s="259"/>
      <c r="M1112" s="236"/>
    </row>
    <row r="1113" spans="1:13" x14ac:dyDescent="0.2">
      <c r="A1113" s="258"/>
      <c r="B1113" s="259"/>
      <c r="C1113" s="259"/>
      <c r="D1113" s="259"/>
      <c r="E1113" s="259"/>
      <c r="F1113" s="259"/>
      <c r="G1113" s="259"/>
      <c r="H1113" s="259"/>
      <c r="I1113" s="259"/>
      <c r="J1113" s="259"/>
      <c r="K1113" s="259"/>
      <c r="L1113" s="259"/>
      <c r="M1113" s="236"/>
    </row>
    <row r="1114" spans="1:13" x14ac:dyDescent="0.2">
      <c r="A1114" s="237"/>
      <c r="B1114" s="302"/>
      <c r="C1114" s="302"/>
      <c r="D1114" s="302"/>
      <c r="E1114" s="303"/>
      <c r="F1114" s="302"/>
      <c r="G1114" s="302"/>
      <c r="H1114" s="302"/>
      <c r="I1114" s="303"/>
      <c r="J1114" s="302"/>
      <c r="K1114" s="302"/>
      <c r="L1114" s="302"/>
      <c r="M1114" s="236"/>
    </row>
    <row r="1115" spans="1:13" x14ac:dyDescent="0.2">
      <c r="A1115" s="237"/>
      <c r="B1115" s="302"/>
      <c r="C1115" s="302"/>
      <c r="D1115" s="302"/>
      <c r="E1115" s="303"/>
      <c r="F1115" s="302"/>
      <c r="G1115" s="302"/>
      <c r="H1115" s="302"/>
      <c r="I1115" s="303"/>
      <c r="J1115" s="302"/>
      <c r="K1115" s="302"/>
      <c r="L1115" s="302"/>
      <c r="M1115" s="236"/>
    </row>
    <row r="1116" spans="1:13" x14ac:dyDescent="0.2">
      <c r="A1116" s="237"/>
      <c r="B1116" s="302"/>
      <c r="C1116" s="302"/>
      <c r="D1116" s="302"/>
      <c r="E1116" s="303"/>
      <c r="F1116" s="302"/>
      <c r="G1116" s="302"/>
      <c r="H1116" s="302"/>
      <c r="I1116" s="303"/>
      <c r="J1116" s="302"/>
      <c r="K1116" s="302"/>
      <c r="L1116" s="302"/>
      <c r="M1116" s="236"/>
    </row>
    <row r="1117" spans="1:13" x14ac:dyDescent="0.2">
      <c r="A1117" s="237"/>
      <c r="B1117" s="302"/>
      <c r="C1117" s="302"/>
      <c r="D1117" s="302"/>
      <c r="E1117" s="303"/>
      <c r="F1117" s="302"/>
      <c r="G1117" s="302"/>
      <c r="H1117" s="302"/>
      <c r="I1117" s="303"/>
      <c r="J1117" s="302"/>
      <c r="K1117" s="302"/>
      <c r="L1117" s="302"/>
      <c r="M1117" s="236"/>
    </row>
    <row r="1118" spans="1:13" x14ac:dyDescent="0.2">
      <c r="A1118" s="237"/>
      <c r="B1118" s="302"/>
      <c r="C1118" s="302"/>
      <c r="D1118" s="302"/>
      <c r="E1118" s="303"/>
      <c r="F1118" s="302"/>
      <c r="G1118" s="302"/>
      <c r="H1118" s="302"/>
      <c r="I1118" s="303"/>
      <c r="J1118" s="302"/>
      <c r="K1118" s="302"/>
      <c r="L1118" s="302"/>
      <c r="M1118" s="236"/>
    </row>
    <row r="1119" spans="1:13" x14ac:dyDescent="0.2">
      <c r="A1119" s="237"/>
      <c r="B1119" s="302"/>
      <c r="C1119" s="302"/>
      <c r="D1119" s="302"/>
      <c r="E1119" s="303"/>
      <c r="F1119" s="302"/>
      <c r="G1119" s="302"/>
      <c r="H1119" s="302"/>
      <c r="I1119" s="303"/>
      <c r="J1119" s="302"/>
      <c r="K1119" s="302"/>
      <c r="L1119" s="302"/>
      <c r="M1119" s="236"/>
    </row>
    <row r="1120" spans="1:13" x14ac:dyDescent="0.2">
      <c r="A1120" s="237"/>
      <c r="B1120" s="302"/>
      <c r="C1120" s="302"/>
      <c r="D1120" s="302"/>
      <c r="E1120" s="303"/>
      <c r="F1120" s="302"/>
      <c r="G1120" s="302"/>
      <c r="H1120" s="302"/>
      <c r="I1120" s="303"/>
      <c r="J1120" s="302"/>
      <c r="K1120" s="302"/>
      <c r="L1120" s="302"/>
      <c r="M1120" s="236"/>
    </row>
    <row r="1121" spans="1:13" x14ac:dyDescent="0.2">
      <c r="A1121" s="237"/>
      <c r="B1121" s="302"/>
      <c r="C1121" s="302"/>
      <c r="D1121" s="302"/>
      <c r="E1121" s="303"/>
      <c r="F1121" s="302"/>
      <c r="G1121" s="302"/>
      <c r="H1121" s="302"/>
      <c r="I1121" s="303"/>
      <c r="J1121" s="302"/>
      <c r="K1121" s="302"/>
      <c r="L1121" s="302"/>
      <c r="M1121" s="236"/>
    </row>
    <row r="1122" spans="1:13" x14ac:dyDescent="0.2">
      <c r="A1122" s="237"/>
      <c r="B1122" s="302"/>
      <c r="C1122" s="302"/>
      <c r="D1122" s="302"/>
      <c r="E1122" s="303"/>
      <c r="F1122" s="302"/>
      <c r="G1122" s="302"/>
      <c r="H1122" s="302"/>
      <c r="I1122" s="303"/>
      <c r="J1122" s="302"/>
      <c r="K1122" s="302"/>
      <c r="L1122" s="302"/>
      <c r="M1122" s="236"/>
    </row>
    <row r="1123" spans="1:13" x14ac:dyDescent="0.2">
      <c r="A1123" s="237"/>
      <c r="B1123" s="302"/>
      <c r="C1123" s="302"/>
      <c r="D1123" s="302"/>
      <c r="E1123" s="303"/>
      <c r="F1123" s="302"/>
      <c r="G1123" s="302"/>
      <c r="H1123" s="302"/>
      <c r="I1123" s="303"/>
      <c r="J1123" s="302"/>
      <c r="K1123" s="302"/>
      <c r="L1123" s="302"/>
      <c r="M1123" s="236"/>
    </row>
    <row r="1124" spans="1:13" x14ac:dyDescent="0.2">
      <c r="A1124" s="237"/>
      <c r="B1124" s="303"/>
      <c r="C1124" s="303"/>
      <c r="D1124" s="303"/>
      <c r="E1124" s="303"/>
      <c r="F1124" s="303"/>
      <c r="G1124" s="303"/>
      <c r="H1124" s="303"/>
      <c r="I1124" s="303"/>
      <c r="J1124" s="303"/>
      <c r="K1124" s="303"/>
      <c r="L1124" s="303"/>
      <c r="M1124" s="236"/>
    </row>
    <row r="1125" spans="1:13" x14ac:dyDescent="0.2">
      <c r="A1125" s="237"/>
      <c r="B1125" s="237"/>
      <c r="C1125" s="237"/>
      <c r="D1125" s="237"/>
      <c r="E1125" s="237"/>
      <c r="F1125" s="237"/>
      <c r="G1125" s="237"/>
      <c r="H1125" s="237"/>
      <c r="I1125" s="237"/>
      <c r="J1125" s="237"/>
      <c r="K1125" s="237"/>
      <c r="L1125" s="240"/>
      <c r="M1125" s="236"/>
    </row>
    <row r="1126" spans="1:13" x14ac:dyDescent="0.2">
      <c r="A1126" s="237"/>
      <c r="B1126" s="237"/>
      <c r="C1126" s="237"/>
      <c r="D1126" s="237"/>
      <c r="E1126" s="237"/>
      <c r="F1126" s="237"/>
      <c r="G1126" s="237"/>
      <c r="H1126" s="237"/>
      <c r="I1126" s="237"/>
      <c r="J1126" s="237"/>
      <c r="K1126" s="237"/>
      <c r="L1126" s="284"/>
      <c r="M1126" s="236"/>
    </row>
    <row r="1127" spans="1:13" x14ac:dyDescent="0.2">
      <c r="A1127" s="258"/>
      <c r="B1127" s="241"/>
      <c r="C1127" s="241"/>
      <c r="D1127" s="241"/>
      <c r="E1127" s="241"/>
      <c r="F1127" s="241"/>
      <c r="G1127" s="241"/>
      <c r="H1127" s="241"/>
      <c r="I1127" s="241"/>
      <c r="J1127" s="241"/>
      <c r="K1127" s="241"/>
      <c r="L1127" s="236"/>
      <c r="M1127" s="236"/>
    </row>
    <row r="1128" spans="1:13" x14ac:dyDescent="0.2">
      <c r="A1128" s="241"/>
      <c r="B1128" s="372"/>
      <c r="C1128" s="372"/>
      <c r="D1128" s="372"/>
      <c r="E1128" s="253"/>
      <c r="F1128" s="372"/>
      <c r="G1128" s="372"/>
      <c r="H1128" s="372"/>
      <c r="I1128" s="253"/>
      <c r="J1128" s="372"/>
      <c r="K1128" s="372"/>
      <c r="L1128" s="372"/>
      <c r="M1128" s="236"/>
    </row>
    <row r="1129" spans="1:13" x14ac:dyDescent="0.2">
      <c r="A1129" s="258"/>
      <c r="B1129" s="259"/>
      <c r="C1129" s="259"/>
      <c r="D1129" s="259"/>
      <c r="E1129" s="259"/>
      <c r="F1129" s="259"/>
      <c r="G1129" s="259"/>
      <c r="H1129" s="259"/>
      <c r="I1129" s="259"/>
      <c r="J1129" s="259"/>
      <c r="K1129" s="259"/>
      <c r="L1129" s="259"/>
      <c r="M1129" s="236"/>
    </row>
    <row r="1130" spans="1:13" x14ac:dyDescent="0.2">
      <c r="A1130" s="258"/>
      <c r="B1130" s="259"/>
      <c r="C1130" s="259"/>
      <c r="D1130" s="259"/>
      <c r="E1130" s="259"/>
      <c r="F1130" s="259"/>
      <c r="G1130" s="259"/>
      <c r="H1130" s="259"/>
      <c r="I1130" s="259"/>
      <c r="J1130" s="259"/>
      <c r="K1130" s="259"/>
      <c r="L1130" s="259"/>
      <c r="M1130" s="236"/>
    </row>
    <row r="1131" spans="1:13" x14ac:dyDescent="0.2">
      <c r="A1131" s="237"/>
      <c r="B1131" s="302"/>
      <c r="C1131" s="302"/>
      <c r="D1131" s="302"/>
      <c r="E1131" s="303"/>
      <c r="F1131" s="302"/>
      <c r="G1131" s="302"/>
      <c r="H1131" s="302"/>
      <c r="I1131" s="303"/>
      <c r="J1131" s="302"/>
      <c r="K1131" s="302"/>
      <c r="L1131" s="302"/>
      <c r="M1131" s="236"/>
    </row>
    <row r="1132" spans="1:13" x14ac:dyDescent="0.2">
      <c r="A1132" s="237"/>
      <c r="B1132" s="302"/>
      <c r="C1132" s="302"/>
      <c r="D1132" s="302"/>
      <c r="E1132" s="303"/>
      <c r="F1132" s="302"/>
      <c r="G1132" s="302"/>
      <c r="H1132" s="302"/>
      <c r="I1132" s="303"/>
      <c r="J1132" s="302"/>
      <c r="K1132" s="302"/>
      <c r="L1132" s="302"/>
      <c r="M1132" s="236"/>
    </row>
    <row r="1133" spans="1:13" x14ac:dyDescent="0.2">
      <c r="A1133" s="237"/>
      <c r="B1133" s="302"/>
      <c r="C1133" s="302"/>
      <c r="D1133" s="302"/>
      <c r="E1133" s="303"/>
      <c r="F1133" s="302"/>
      <c r="G1133" s="302"/>
      <c r="H1133" s="302"/>
      <c r="I1133" s="303"/>
      <c r="J1133" s="302"/>
      <c r="K1133" s="302"/>
      <c r="L1133" s="302"/>
      <c r="M1133" s="236"/>
    </row>
    <row r="1134" spans="1:13" x14ac:dyDescent="0.2">
      <c r="A1134" s="237"/>
      <c r="B1134" s="302"/>
      <c r="C1134" s="302"/>
      <c r="D1134" s="302"/>
      <c r="E1134" s="303"/>
      <c r="F1134" s="302"/>
      <c r="G1134" s="302"/>
      <c r="H1134" s="302"/>
      <c r="I1134" s="303"/>
      <c r="J1134" s="302"/>
      <c r="K1134" s="302"/>
      <c r="L1134" s="302"/>
      <c r="M1134" s="236"/>
    </row>
    <row r="1135" spans="1:13" x14ac:dyDescent="0.2">
      <c r="A1135" s="237"/>
      <c r="B1135" s="302"/>
      <c r="C1135" s="302"/>
      <c r="D1135" s="302"/>
      <c r="E1135" s="303"/>
      <c r="F1135" s="302"/>
      <c r="G1135" s="302"/>
      <c r="H1135" s="302"/>
      <c r="I1135" s="303"/>
      <c r="J1135" s="302"/>
      <c r="K1135" s="302"/>
      <c r="L1135" s="302"/>
      <c r="M1135" s="236"/>
    </row>
    <row r="1136" spans="1:13" x14ac:dyDescent="0.2">
      <c r="A1136" s="237"/>
      <c r="B1136" s="302"/>
      <c r="C1136" s="302"/>
      <c r="D1136" s="302"/>
      <c r="E1136" s="303"/>
      <c r="F1136" s="302"/>
      <c r="G1136" s="302"/>
      <c r="H1136" s="302"/>
      <c r="I1136" s="303"/>
      <c r="J1136" s="302"/>
      <c r="K1136" s="302"/>
      <c r="L1136" s="302"/>
      <c r="M1136" s="236"/>
    </row>
    <row r="1137" spans="1:13" x14ac:dyDescent="0.2">
      <c r="A1137" s="237"/>
      <c r="B1137" s="302"/>
      <c r="C1137" s="302"/>
      <c r="D1137" s="302"/>
      <c r="E1137" s="303"/>
      <c r="F1137" s="302"/>
      <c r="G1137" s="302"/>
      <c r="H1137" s="302"/>
      <c r="I1137" s="303"/>
      <c r="J1137" s="302"/>
      <c r="K1137" s="302"/>
      <c r="L1137" s="302"/>
      <c r="M1137" s="236"/>
    </row>
    <row r="1138" spans="1:13" x14ac:dyDescent="0.2">
      <c r="A1138" s="237"/>
      <c r="B1138" s="302"/>
      <c r="C1138" s="302"/>
      <c r="D1138" s="302"/>
      <c r="E1138" s="303"/>
      <c r="F1138" s="302"/>
      <c r="G1138" s="302"/>
      <c r="H1138" s="302"/>
      <c r="I1138" s="303"/>
      <c r="J1138" s="302"/>
      <c r="K1138" s="302"/>
      <c r="L1138" s="302"/>
      <c r="M1138" s="236"/>
    </row>
    <row r="1139" spans="1:13" x14ac:dyDescent="0.2">
      <c r="A1139" s="237"/>
      <c r="B1139" s="302"/>
      <c r="C1139" s="302"/>
      <c r="D1139" s="302"/>
      <c r="E1139" s="303"/>
      <c r="F1139" s="302"/>
      <c r="G1139" s="302"/>
      <c r="H1139" s="302"/>
      <c r="I1139" s="303"/>
      <c r="J1139" s="302"/>
      <c r="K1139" s="302"/>
      <c r="L1139" s="302"/>
      <c r="M1139" s="236"/>
    </row>
    <row r="1140" spans="1:13" x14ac:dyDescent="0.2">
      <c r="A1140" s="237"/>
      <c r="B1140" s="302"/>
      <c r="C1140" s="302"/>
      <c r="D1140" s="302"/>
      <c r="E1140" s="303"/>
      <c r="F1140" s="302"/>
      <c r="G1140" s="302"/>
      <c r="H1140" s="302"/>
      <c r="I1140" s="303"/>
      <c r="J1140" s="302"/>
      <c r="K1140" s="302"/>
      <c r="L1140" s="302"/>
      <c r="M1140" s="236"/>
    </row>
    <row r="1141" spans="1:13" x14ac:dyDescent="0.2">
      <c r="A1141" s="237"/>
      <c r="B1141" s="303"/>
      <c r="C1141" s="303"/>
      <c r="D1141" s="303"/>
      <c r="E1141" s="303"/>
      <c r="F1141" s="303"/>
      <c r="G1141" s="303"/>
      <c r="H1141" s="303"/>
      <c r="I1141" s="303"/>
      <c r="J1141" s="303"/>
      <c r="K1141" s="303"/>
      <c r="L1141" s="303"/>
      <c r="M1141" s="236"/>
    </row>
    <row r="1142" spans="1:13" x14ac:dyDescent="0.2">
      <c r="A1142" s="237"/>
      <c r="B1142" s="237"/>
      <c r="C1142" s="237"/>
      <c r="D1142" s="237"/>
      <c r="E1142" s="237"/>
      <c r="F1142" s="237"/>
      <c r="G1142" s="237"/>
      <c r="H1142" s="237"/>
      <c r="I1142" s="237"/>
      <c r="J1142" s="237"/>
      <c r="K1142" s="237"/>
      <c r="L1142" s="240"/>
      <c r="M1142" s="236"/>
    </row>
    <row r="1143" spans="1:13" x14ac:dyDescent="0.2">
      <c r="A1143" s="237"/>
      <c r="B1143" s="237"/>
      <c r="C1143" s="237"/>
      <c r="D1143" s="237"/>
      <c r="E1143" s="237"/>
      <c r="F1143" s="237"/>
      <c r="G1143" s="237"/>
      <c r="H1143" s="237"/>
      <c r="I1143" s="237"/>
      <c r="J1143" s="237"/>
      <c r="K1143" s="237"/>
      <c r="L1143" s="284"/>
      <c r="M1143" s="236"/>
    </row>
    <row r="1144" spans="1:13" x14ac:dyDescent="0.2">
      <c r="A1144" s="258"/>
      <c r="B1144" s="241"/>
      <c r="C1144" s="241"/>
      <c r="D1144" s="241"/>
      <c r="E1144" s="241"/>
      <c r="F1144" s="241"/>
      <c r="G1144" s="241"/>
      <c r="H1144" s="241"/>
      <c r="I1144" s="241"/>
      <c r="J1144" s="241"/>
      <c r="K1144" s="241"/>
      <c r="L1144" s="236"/>
      <c r="M1144" s="236"/>
    </row>
    <row r="1145" spans="1:13" x14ac:dyDescent="0.2">
      <c r="A1145" s="241"/>
      <c r="B1145" s="372"/>
      <c r="C1145" s="372"/>
      <c r="D1145" s="372"/>
      <c r="E1145" s="253"/>
      <c r="F1145" s="372"/>
      <c r="G1145" s="372"/>
      <c r="H1145" s="372"/>
      <c r="I1145" s="253"/>
      <c r="J1145" s="372"/>
      <c r="K1145" s="372"/>
      <c r="L1145" s="372"/>
      <c r="M1145" s="236"/>
    </row>
    <row r="1146" spans="1:13" x14ac:dyDescent="0.2">
      <c r="A1146" s="258"/>
      <c r="B1146" s="259"/>
      <c r="C1146" s="259"/>
      <c r="D1146" s="259"/>
      <c r="E1146" s="259"/>
      <c r="F1146" s="259"/>
      <c r="G1146" s="259"/>
      <c r="H1146" s="259"/>
      <c r="I1146" s="259"/>
      <c r="J1146" s="259"/>
      <c r="K1146" s="259"/>
      <c r="L1146" s="259"/>
      <c r="M1146" s="236"/>
    </row>
    <row r="1147" spans="1:13" x14ac:dyDescent="0.2">
      <c r="A1147" s="258"/>
      <c r="B1147" s="259"/>
      <c r="C1147" s="259"/>
      <c r="D1147" s="259"/>
      <c r="E1147" s="259"/>
      <c r="F1147" s="259"/>
      <c r="G1147" s="259"/>
      <c r="H1147" s="259"/>
      <c r="I1147" s="259"/>
      <c r="J1147" s="259"/>
      <c r="K1147" s="259"/>
      <c r="L1147" s="259"/>
      <c r="M1147" s="236"/>
    </row>
    <row r="1148" spans="1:13" x14ac:dyDescent="0.2">
      <c r="A1148" s="237"/>
      <c r="B1148" s="302"/>
      <c r="C1148" s="302"/>
      <c r="D1148" s="302"/>
      <c r="E1148" s="303"/>
      <c r="F1148" s="302"/>
      <c r="G1148" s="302"/>
      <c r="H1148" s="302"/>
      <c r="I1148" s="303"/>
      <c r="J1148" s="302"/>
      <c r="K1148" s="302"/>
      <c r="L1148" s="302"/>
      <c r="M1148" s="236"/>
    </row>
    <row r="1149" spans="1:13" x14ac:dyDescent="0.2">
      <c r="A1149" s="237"/>
      <c r="B1149" s="302"/>
      <c r="C1149" s="302"/>
      <c r="D1149" s="302"/>
      <c r="E1149" s="303"/>
      <c r="F1149" s="302"/>
      <c r="G1149" s="302"/>
      <c r="H1149" s="302"/>
      <c r="I1149" s="303"/>
      <c r="J1149" s="302"/>
      <c r="K1149" s="302"/>
      <c r="L1149" s="302"/>
      <c r="M1149" s="236"/>
    </row>
    <row r="1150" spans="1:13" x14ac:dyDescent="0.2">
      <c r="A1150" s="237"/>
      <c r="B1150" s="302"/>
      <c r="C1150" s="302"/>
      <c r="D1150" s="302"/>
      <c r="E1150" s="303"/>
      <c r="F1150" s="302"/>
      <c r="G1150" s="302"/>
      <c r="H1150" s="302"/>
      <c r="I1150" s="303"/>
      <c r="J1150" s="302"/>
      <c r="K1150" s="302"/>
      <c r="L1150" s="302"/>
      <c r="M1150" s="236"/>
    </row>
    <row r="1151" spans="1:13" x14ac:dyDescent="0.2">
      <c r="A1151" s="237"/>
      <c r="B1151" s="302"/>
      <c r="C1151" s="302"/>
      <c r="D1151" s="302"/>
      <c r="E1151" s="303"/>
      <c r="F1151" s="302"/>
      <c r="G1151" s="302"/>
      <c r="H1151" s="302"/>
      <c r="I1151" s="303"/>
      <c r="J1151" s="302"/>
      <c r="K1151" s="302"/>
      <c r="L1151" s="302"/>
      <c r="M1151" s="236"/>
    </row>
    <row r="1152" spans="1:13" x14ac:dyDescent="0.2">
      <c r="A1152" s="237"/>
      <c r="B1152" s="302"/>
      <c r="C1152" s="302"/>
      <c r="D1152" s="302"/>
      <c r="E1152" s="303"/>
      <c r="F1152" s="302"/>
      <c r="G1152" s="302"/>
      <c r="H1152" s="302"/>
      <c r="I1152" s="303"/>
      <c r="J1152" s="302"/>
      <c r="K1152" s="302"/>
      <c r="L1152" s="302"/>
      <c r="M1152" s="236"/>
    </row>
    <row r="1153" spans="1:13" x14ac:dyDescent="0.2">
      <c r="A1153" s="237"/>
      <c r="B1153" s="302"/>
      <c r="C1153" s="302"/>
      <c r="D1153" s="302"/>
      <c r="E1153" s="303"/>
      <c r="F1153" s="302"/>
      <c r="G1153" s="302"/>
      <c r="H1153" s="302"/>
      <c r="I1153" s="303"/>
      <c r="J1153" s="302"/>
      <c r="K1153" s="302"/>
      <c r="L1153" s="302"/>
      <c r="M1153" s="236"/>
    </row>
    <row r="1154" spans="1:13" x14ac:dyDescent="0.2">
      <c r="A1154" s="237"/>
      <c r="B1154" s="302"/>
      <c r="C1154" s="302"/>
      <c r="D1154" s="302"/>
      <c r="E1154" s="303"/>
      <c r="F1154" s="302"/>
      <c r="G1154" s="302"/>
      <c r="H1154" s="302"/>
      <c r="I1154" s="303"/>
      <c r="J1154" s="302"/>
      <c r="K1154" s="302"/>
      <c r="L1154" s="302"/>
      <c r="M1154" s="236"/>
    </row>
    <row r="1155" spans="1:13" x14ac:dyDescent="0.2">
      <c r="A1155" s="237"/>
      <c r="B1155" s="302"/>
      <c r="C1155" s="302"/>
      <c r="D1155" s="302"/>
      <c r="E1155" s="303"/>
      <c r="F1155" s="302"/>
      <c r="G1155" s="302"/>
      <c r="H1155" s="302"/>
      <c r="I1155" s="303"/>
      <c r="J1155" s="302"/>
      <c r="K1155" s="302"/>
      <c r="L1155" s="302"/>
      <c r="M1155" s="236"/>
    </row>
    <row r="1156" spans="1:13" x14ac:dyDescent="0.2">
      <c r="A1156" s="237"/>
      <c r="B1156" s="302"/>
      <c r="C1156" s="302"/>
      <c r="D1156" s="302"/>
      <c r="E1156" s="303"/>
      <c r="F1156" s="302"/>
      <c r="G1156" s="302"/>
      <c r="H1156" s="302"/>
      <c r="I1156" s="303"/>
      <c r="J1156" s="302"/>
      <c r="K1156" s="302"/>
      <c r="L1156" s="302"/>
      <c r="M1156" s="236"/>
    </row>
    <row r="1157" spans="1:13" x14ac:dyDescent="0.2">
      <c r="A1157" s="237"/>
      <c r="B1157" s="302"/>
      <c r="C1157" s="302"/>
      <c r="D1157" s="302"/>
      <c r="E1157" s="303"/>
      <c r="F1157" s="302"/>
      <c r="G1157" s="302"/>
      <c r="H1157" s="302"/>
      <c r="I1157" s="303"/>
      <c r="J1157" s="302"/>
      <c r="K1157" s="302"/>
      <c r="L1157" s="302"/>
      <c r="M1157" s="236"/>
    </row>
    <row r="1158" spans="1:13" x14ac:dyDescent="0.2">
      <c r="A1158" s="237"/>
      <c r="B1158" s="303"/>
      <c r="C1158" s="303"/>
      <c r="D1158" s="303"/>
      <c r="E1158" s="303"/>
      <c r="F1158" s="303"/>
      <c r="G1158" s="303"/>
      <c r="H1158" s="303"/>
      <c r="I1158" s="303"/>
      <c r="J1158" s="303"/>
      <c r="K1158" s="303"/>
      <c r="L1158" s="303"/>
      <c r="M1158" s="236"/>
    </row>
    <row r="1159" spans="1:13" x14ac:dyDescent="0.2">
      <c r="A1159" s="237"/>
      <c r="B1159" s="237"/>
      <c r="C1159" s="237"/>
      <c r="D1159" s="237"/>
      <c r="E1159" s="237"/>
      <c r="F1159" s="237"/>
      <c r="G1159" s="237"/>
      <c r="H1159" s="237"/>
      <c r="I1159" s="237"/>
      <c r="J1159" s="237"/>
      <c r="K1159" s="237"/>
      <c r="L1159" s="240"/>
      <c r="M1159" s="236"/>
    </row>
    <row r="1160" spans="1:13" x14ac:dyDescent="0.2">
      <c r="A1160" s="237"/>
      <c r="B1160" s="237"/>
      <c r="C1160" s="237"/>
      <c r="D1160" s="237"/>
      <c r="E1160" s="237"/>
      <c r="F1160" s="237"/>
      <c r="G1160" s="237"/>
      <c r="H1160" s="237"/>
      <c r="I1160" s="237"/>
      <c r="J1160" s="237"/>
      <c r="K1160" s="237"/>
      <c r="L1160" s="284"/>
      <c r="M1160" s="236"/>
    </row>
    <row r="1161" spans="1:13" x14ac:dyDescent="0.2">
      <c r="A1161" s="258"/>
      <c r="B1161" s="241"/>
      <c r="C1161" s="241"/>
      <c r="D1161" s="241"/>
      <c r="E1161" s="241"/>
      <c r="F1161" s="241"/>
      <c r="G1161" s="241"/>
      <c r="H1161" s="241"/>
      <c r="I1161" s="241"/>
      <c r="J1161" s="241"/>
      <c r="K1161" s="241"/>
      <c r="L1161" s="236"/>
      <c r="M1161" s="236"/>
    </row>
    <row r="1162" spans="1:13" x14ac:dyDescent="0.2">
      <c r="A1162" s="241"/>
      <c r="B1162" s="372"/>
      <c r="C1162" s="372"/>
      <c r="D1162" s="372"/>
      <c r="E1162" s="253"/>
      <c r="F1162" s="372"/>
      <c r="G1162" s="372"/>
      <c r="H1162" s="372"/>
      <c r="I1162" s="253"/>
      <c r="J1162" s="372"/>
      <c r="K1162" s="372"/>
      <c r="L1162" s="372"/>
      <c r="M1162" s="236"/>
    </row>
    <row r="1163" spans="1:13" x14ac:dyDescent="0.2">
      <c r="A1163" s="258"/>
      <c r="B1163" s="259"/>
      <c r="C1163" s="259"/>
      <c r="D1163" s="259"/>
      <c r="E1163" s="259"/>
      <c r="F1163" s="259"/>
      <c r="G1163" s="259"/>
      <c r="H1163" s="259"/>
      <c r="I1163" s="259"/>
      <c r="J1163" s="259"/>
      <c r="K1163" s="259"/>
      <c r="L1163" s="259"/>
      <c r="M1163" s="236"/>
    </row>
    <row r="1164" spans="1:13" x14ac:dyDescent="0.2">
      <c r="A1164" s="258"/>
      <c r="B1164" s="259"/>
      <c r="C1164" s="259"/>
      <c r="D1164" s="259"/>
      <c r="E1164" s="259"/>
      <c r="F1164" s="259"/>
      <c r="G1164" s="259"/>
      <c r="H1164" s="259"/>
      <c r="I1164" s="259"/>
      <c r="J1164" s="259"/>
      <c r="K1164" s="259"/>
      <c r="L1164" s="259"/>
      <c r="M1164" s="236"/>
    </row>
    <row r="1165" spans="1:13" x14ac:dyDescent="0.2">
      <c r="A1165" s="237"/>
      <c r="B1165" s="302"/>
      <c r="C1165" s="302"/>
      <c r="D1165" s="302"/>
      <c r="E1165" s="303"/>
      <c r="F1165" s="302"/>
      <c r="G1165" s="302"/>
      <c r="H1165" s="302"/>
      <c r="I1165" s="303"/>
      <c r="J1165" s="302"/>
      <c r="K1165" s="302"/>
      <c r="L1165" s="302"/>
      <c r="M1165" s="236"/>
    </row>
    <row r="1166" spans="1:13" x14ac:dyDescent="0.2">
      <c r="A1166" s="237"/>
      <c r="B1166" s="302"/>
      <c r="C1166" s="302"/>
      <c r="D1166" s="302"/>
      <c r="E1166" s="303"/>
      <c r="F1166" s="302"/>
      <c r="G1166" s="302"/>
      <c r="H1166" s="302"/>
      <c r="I1166" s="303"/>
      <c r="J1166" s="302"/>
      <c r="K1166" s="302"/>
      <c r="L1166" s="302"/>
      <c r="M1166" s="236"/>
    </row>
    <row r="1167" spans="1:13" x14ac:dyDescent="0.2">
      <c r="A1167" s="237"/>
      <c r="B1167" s="302"/>
      <c r="C1167" s="302"/>
      <c r="D1167" s="302"/>
      <c r="E1167" s="303"/>
      <c r="F1167" s="302"/>
      <c r="G1167" s="302"/>
      <c r="H1167" s="302"/>
      <c r="I1167" s="303"/>
      <c r="J1167" s="302"/>
      <c r="K1167" s="302"/>
      <c r="L1167" s="302"/>
      <c r="M1167" s="236"/>
    </row>
    <row r="1168" spans="1:13" x14ac:dyDescent="0.2">
      <c r="A1168" s="237"/>
      <c r="B1168" s="302"/>
      <c r="C1168" s="302"/>
      <c r="D1168" s="302"/>
      <c r="E1168" s="303"/>
      <c r="F1168" s="302"/>
      <c r="G1168" s="302"/>
      <c r="H1168" s="302"/>
      <c r="I1168" s="303"/>
      <c r="J1168" s="302"/>
      <c r="K1168" s="302"/>
      <c r="L1168" s="302"/>
      <c r="M1168" s="236"/>
    </row>
    <row r="1169" spans="1:13" x14ac:dyDescent="0.2">
      <c r="A1169" s="237"/>
      <c r="B1169" s="302"/>
      <c r="C1169" s="302"/>
      <c r="D1169" s="302"/>
      <c r="E1169" s="303"/>
      <c r="F1169" s="302"/>
      <c r="G1169" s="302"/>
      <c r="H1169" s="302"/>
      <c r="I1169" s="303"/>
      <c r="J1169" s="302"/>
      <c r="K1169" s="302"/>
      <c r="L1169" s="302"/>
      <c r="M1169" s="236"/>
    </row>
    <row r="1170" spans="1:13" x14ac:dyDescent="0.2">
      <c r="A1170" s="237"/>
      <c r="B1170" s="302"/>
      <c r="C1170" s="302"/>
      <c r="D1170" s="302"/>
      <c r="E1170" s="303"/>
      <c r="F1170" s="302"/>
      <c r="G1170" s="302"/>
      <c r="H1170" s="302"/>
      <c r="I1170" s="303"/>
      <c r="J1170" s="302"/>
      <c r="K1170" s="302"/>
      <c r="L1170" s="302"/>
      <c r="M1170" s="236"/>
    </row>
    <row r="1171" spans="1:13" x14ac:dyDescent="0.2">
      <c r="A1171" s="237"/>
      <c r="B1171" s="302"/>
      <c r="C1171" s="302"/>
      <c r="D1171" s="302"/>
      <c r="E1171" s="303"/>
      <c r="F1171" s="302"/>
      <c r="G1171" s="302"/>
      <c r="H1171" s="302"/>
      <c r="I1171" s="303"/>
      <c r="J1171" s="302"/>
      <c r="K1171" s="302"/>
      <c r="L1171" s="302"/>
      <c r="M1171" s="236"/>
    </row>
    <row r="1172" spans="1:13" x14ac:dyDescent="0.2">
      <c r="A1172" s="237"/>
      <c r="B1172" s="302"/>
      <c r="C1172" s="302"/>
      <c r="D1172" s="302"/>
      <c r="E1172" s="303"/>
      <c r="F1172" s="302"/>
      <c r="G1172" s="302"/>
      <c r="H1172" s="302"/>
      <c r="I1172" s="303"/>
      <c r="J1172" s="302"/>
      <c r="K1172" s="302"/>
      <c r="L1172" s="302"/>
      <c r="M1172" s="236"/>
    </row>
    <row r="1173" spans="1:13" x14ac:dyDescent="0.2">
      <c r="A1173" s="237"/>
      <c r="B1173" s="302"/>
      <c r="C1173" s="302"/>
      <c r="D1173" s="302"/>
      <c r="E1173" s="303"/>
      <c r="F1173" s="302"/>
      <c r="G1173" s="302"/>
      <c r="H1173" s="302"/>
      <c r="I1173" s="303"/>
      <c r="J1173" s="302"/>
      <c r="K1173" s="302"/>
      <c r="L1173" s="302"/>
      <c r="M1173" s="236"/>
    </row>
    <row r="1174" spans="1:13" x14ac:dyDescent="0.2">
      <c r="A1174" s="237"/>
      <c r="B1174" s="302"/>
      <c r="C1174" s="302"/>
      <c r="D1174" s="302"/>
      <c r="E1174" s="303"/>
      <c r="F1174" s="302"/>
      <c r="G1174" s="302"/>
      <c r="H1174" s="302"/>
      <c r="I1174" s="303"/>
      <c r="J1174" s="302"/>
      <c r="K1174" s="302"/>
      <c r="L1174" s="302"/>
      <c r="M1174" s="236"/>
    </row>
    <row r="1175" spans="1:13" x14ac:dyDescent="0.2">
      <c r="A1175" s="237"/>
      <c r="B1175" s="303"/>
      <c r="C1175" s="303"/>
      <c r="D1175" s="303"/>
      <c r="E1175" s="303"/>
      <c r="F1175" s="303"/>
      <c r="G1175" s="303"/>
      <c r="H1175" s="303"/>
      <c r="I1175" s="303"/>
      <c r="J1175" s="303"/>
      <c r="K1175" s="303"/>
      <c r="L1175" s="303"/>
      <c r="M1175" s="236"/>
    </row>
    <row r="1176" spans="1:13" x14ac:dyDescent="0.2">
      <c r="A1176" s="237"/>
      <c r="B1176" s="237"/>
      <c r="C1176" s="237"/>
      <c r="D1176" s="237"/>
      <c r="E1176" s="237"/>
      <c r="F1176" s="237"/>
      <c r="G1176" s="237"/>
      <c r="H1176" s="237"/>
      <c r="I1176" s="237"/>
      <c r="J1176" s="237"/>
      <c r="K1176" s="237"/>
      <c r="L1176" s="240"/>
      <c r="M1176" s="236"/>
    </row>
    <row r="1177" spans="1:13" x14ac:dyDescent="0.2">
      <c r="A1177" s="237"/>
      <c r="B1177" s="237"/>
      <c r="C1177" s="237"/>
      <c r="D1177" s="237"/>
      <c r="E1177" s="237"/>
      <c r="F1177" s="237"/>
      <c r="G1177" s="237"/>
      <c r="H1177" s="237"/>
      <c r="I1177" s="237"/>
      <c r="J1177" s="237"/>
      <c r="K1177" s="237"/>
      <c r="L1177" s="284"/>
      <c r="M1177" s="236"/>
    </row>
    <row r="1178" spans="1:13" x14ac:dyDescent="0.2">
      <c r="A1178" s="258"/>
      <c r="B1178" s="241"/>
      <c r="C1178" s="241"/>
      <c r="D1178" s="241"/>
      <c r="E1178" s="241"/>
      <c r="F1178" s="241"/>
      <c r="G1178" s="241"/>
      <c r="H1178" s="241"/>
      <c r="I1178" s="241"/>
      <c r="J1178" s="241"/>
      <c r="K1178" s="241"/>
      <c r="L1178" s="236"/>
      <c r="M1178" s="236"/>
    </row>
    <row r="1179" spans="1:13" x14ac:dyDescent="0.2">
      <c r="A1179" s="241"/>
      <c r="B1179" s="372"/>
      <c r="C1179" s="372"/>
      <c r="D1179" s="372"/>
      <c r="E1179" s="253"/>
      <c r="F1179" s="372"/>
      <c r="G1179" s="372"/>
      <c r="H1179" s="372"/>
      <c r="I1179" s="253"/>
      <c r="J1179" s="372"/>
      <c r="K1179" s="372"/>
      <c r="L1179" s="372"/>
      <c r="M1179" s="236"/>
    </row>
    <row r="1180" spans="1:13" x14ac:dyDescent="0.2">
      <c r="A1180" s="258"/>
      <c r="B1180" s="259"/>
      <c r="C1180" s="259"/>
      <c r="D1180" s="259"/>
      <c r="E1180" s="259"/>
      <c r="F1180" s="259"/>
      <c r="G1180" s="259"/>
      <c r="H1180" s="259"/>
      <c r="I1180" s="259"/>
      <c r="J1180" s="259"/>
      <c r="K1180" s="259"/>
      <c r="L1180" s="259"/>
      <c r="M1180" s="236"/>
    </row>
    <row r="1181" spans="1:13" x14ac:dyDescent="0.2">
      <c r="A1181" s="258"/>
      <c r="B1181" s="259"/>
      <c r="C1181" s="259"/>
      <c r="D1181" s="259"/>
      <c r="E1181" s="259"/>
      <c r="F1181" s="259"/>
      <c r="G1181" s="259"/>
      <c r="H1181" s="259"/>
      <c r="I1181" s="259"/>
      <c r="J1181" s="259"/>
      <c r="K1181" s="259"/>
      <c r="L1181" s="259"/>
      <c r="M1181" s="236"/>
    </row>
    <row r="1182" spans="1:13" x14ac:dyDescent="0.2">
      <c r="A1182" s="237"/>
      <c r="B1182" s="302"/>
      <c r="C1182" s="302"/>
      <c r="D1182" s="302"/>
      <c r="E1182" s="303"/>
      <c r="F1182" s="302"/>
      <c r="G1182" s="302"/>
      <c r="H1182" s="302"/>
      <c r="I1182" s="303"/>
      <c r="J1182" s="302"/>
      <c r="K1182" s="302"/>
      <c r="L1182" s="302"/>
      <c r="M1182" s="236"/>
    </row>
    <row r="1183" spans="1:13" x14ac:dyDescent="0.2">
      <c r="A1183" s="237"/>
      <c r="B1183" s="302"/>
      <c r="C1183" s="302"/>
      <c r="D1183" s="302"/>
      <c r="E1183" s="303"/>
      <c r="F1183" s="302"/>
      <c r="G1183" s="302"/>
      <c r="H1183" s="302"/>
      <c r="I1183" s="303"/>
      <c r="J1183" s="302"/>
      <c r="K1183" s="302"/>
      <c r="L1183" s="302"/>
      <c r="M1183" s="236"/>
    </row>
    <row r="1184" spans="1:13" x14ac:dyDescent="0.2">
      <c r="A1184" s="237"/>
      <c r="B1184" s="302"/>
      <c r="C1184" s="302"/>
      <c r="D1184" s="302"/>
      <c r="E1184" s="303"/>
      <c r="F1184" s="302"/>
      <c r="G1184" s="302"/>
      <c r="H1184" s="302"/>
      <c r="I1184" s="303"/>
      <c r="J1184" s="302"/>
      <c r="K1184" s="302"/>
      <c r="L1184" s="302"/>
      <c r="M1184" s="236"/>
    </row>
    <row r="1185" spans="1:13" x14ac:dyDescent="0.2">
      <c r="A1185" s="237"/>
      <c r="B1185" s="302"/>
      <c r="C1185" s="302"/>
      <c r="D1185" s="302"/>
      <c r="E1185" s="303"/>
      <c r="F1185" s="302"/>
      <c r="G1185" s="302"/>
      <c r="H1185" s="302"/>
      <c r="I1185" s="303"/>
      <c r="J1185" s="302"/>
      <c r="K1185" s="302"/>
      <c r="L1185" s="302"/>
      <c r="M1185" s="236"/>
    </row>
    <row r="1186" spans="1:13" x14ac:dyDescent="0.2">
      <c r="A1186" s="237"/>
      <c r="B1186" s="302"/>
      <c r="C1186" s="302"/>
      <c r="D1186" s="302"/>
      <c r="E1186" s="303"/>
      <c r="F1186" s="302"/>
      <c r="G1186" s="302"/>
      <c r="H1186" s="302"/>
      <c r="I1186" s="303"/>
      <c r="J1186" s="302"/>
      <c r="K1186" s="302"/>
      <c r="L1186" s="302"/>
      <c r="M1186" s="236"/>
    </row>
    <row r="1187" spans="1:13" x14ac:dyDescent="0.2">
      <c r="A1187" s="237"/>
      <c r="B1187" s="302"/>
      <c r="C1187" s="302"/>
      <c r="D1187" s="302"/>
      <c r="E1187" s="303"/>
      <c r="F1187" s="302"/>
      <c r="G1187" s="302"/>
      <c r="H1187" s="302"/>
      <c r="I1187" s="303"/>
      <c r="J1187" s="302"/>
      <c r="K1187" s="302"/>
      <c r="L1187" s="302"/>
      <c r="M1187" s="236"/>
    </row>
    <row r="1188" spans="1:13" x14ac:dyDescent="0.2">
      <c r="A1188" s="237"/>
      <c r="B1188" s="302"/>
      <c r="C1188" s="302"/>
      <c r="D1188" s="302"/>
      <c r="E1188" s="303"/>
      <c r="F1188" s="302"/>
      <c r="G1188" s="302"/>
      <c r="H1188" s="302"/>
      <c r="I1188" s="303"/>
      <c r="J1188" s="302"/>
      <c r="K1188" s="302"/>
      <c r="L1188" s="302"/>
      <c r="M1188" s="236"/>
    </row>
    <row r="1189" spans="1:13" x14ac:dyDescent="0.2">
      <c r="A1189" s="237"/>
      <c r="B1189" s="302"/>
      <c r="C1189" s="302"/>
      <c r="D1189" s="302"/>
      <c r="E1189" s="303"/>
      <c r="F1189" s="302"/>
      <c r="G1189" s="302"/>
      <c r="H1189" s="302"/>
      <c r="I1189" s="303"/>
      <c r="J1189" s="302"/>
      <c r="K1189" s="302"/>
      <c r="L1189" s="302"/>
      <c r="M1189" s="236"/>
    </row>
    <row r="1190" spans="1:13" x14ac:dyDescent="0.2">
      <c r="A1190" s="237"/>
      <c r="B1190" s="302"/>
      <c r="C1190" s="302"/>
      <c r="D1190" s="302"/>
      <c r="E1190" s="303"/>
      <c r="F1190" s="302"/>
      <c r="G1190" s="302"/>
      <c r="H1190" s="302"/>
      <c r="I1190" s="303"/>
      <c r="J1190" s="302"/>
      <c r="K1190" s="302"/>
      <c r="L1190" s="302"/>
      <c r="M1190" s="236"/>
    </row>
    <row r="1191" spans="1:13" x14ac:dyDescent="0.2">
      <c r="A1191" s="237"/>
      <c r="B1191" s="302"/>
      <c r="C1191" s="302"/>
      <c r="D1191" s="302"/>
      <c r="E1191" s="303"/>
      <c r="F1191" s="302"/>
      <c r="G1191" s="302"/>
      <c r="H1191" s="302"/>
      <c r="I1191" s="303"/>
      <c r="J1191" s="302"/>
      <c r="K1191" s="302"/>
      <c r="L1191" s="302"/>
      <c r="M1191" s="236"/>
    </row>
    <row r="1192" spans="1:13" x14ac:dyDescent="0.2">
      <c r="A1192" s="237"/>
      <c r="B1192" s="303"/>
      <c r="C1192" s="303"/>
      <c r="D1192" s="303"/>
      <c r="E1192" s="303"/>
      <c r="F1192" s="303"/>
      <c r="G1192" s="303"/>
      <c r="H1192" s="303"/>
      <c r="I1192" s="303"/>
      <c r="J1192" s="303"/>
      <c r="K1192" s="303"/>
      <c r="L1192" s="303"/>
      <c r="M1192" s="236"/>
    </row>
    <row r="1193" spans="1:13" x14ac:dyDescent="0.2">
      <c r="A1193" s="237"/>
      <c r="B1193" s="237"/>
      <c r="C1193" s="237"/>
      <c r="D1193" s="237"/>
      <c r="E1193" s="237"/>
      <c r="F1193" s="237"/>
      <c r="G1193" s="237"/>
      <c r="H1193" s="237"/>
      <c r="I1193" s="237"/>
      <c r="J1193" s="237"/>
      <c r="K1193" s="237"/>
      <c r="L1193" s="240"/>
      <c r="M1193" s="236"/>
    </row>
    <row r="1194" spans="1:13" x14ac:dyDescent="0.2">
      <c r="A1194" s="237"/>
      <c r="B1194" s="237"/>
      <c r="C1194" s="237"/>
      <c r="D1194" s="237"/>
      <c r="E1194" s="237"/>
      <c r="F1194" s="237"/>
      <c r="G1194" s="237"/>
      <c r="H1194" s="237"/>
      <c r="I1194" s="237"/>
      <c r="J1194" s="237"/>
      <c r="K1194" s="237"/>
      <c r="L1194" s="284"/>
      <c r="M1194" s="236"/>
    </row>
    <row r="1195" spans="1:13" x14ac:dyDescent="0.2">
      <c r="A1195" s="258"/>
      <c r="B1195" s="241"/>
      <c r="C1195" s="241"/>
      <c r="D1195" s="241"/>
      <c r="E1195" s="241"/>
      <c r="F1195" s="241"/>
      <c r="G1195" s="241"/>
      <c r="H1195" s="241"/>
      <c r="I1195" s="241"/>
      <c r="J1195" s="241"/>
      <c r="K1195" s="241"/>
      <c r="L1195" s="236"/>
      <c r="M1195" s="236"/>
    </row>
    <row r="1196" spans="1:13" x14ac:dyDescent="0.2">
      <c r="A1196" s="241"/>
      <c r="B1196" s="372"/>
      <c r="C1196" s="372"/>
      <c r="D1196" s="372"/>
      <c r="E1196" s="253"/>
      <c r="F1196" s="372"/>
      <c r="G1196" s="372"/>
      <c r="H1196" s="372"/>
      <c r="I1196" s="253"/>
      <c r="J1196" s="372"/>
      <c r="K1196" s="372"/>
      <c r="L1196" s="372"/>
      <c r="M1196" s="236"/>
    </row>
    <row r="1197" spans="1:13" x14ac:dyDescent="0.2">
      <c r="A1197" s="258"/>
      <c r="B1197" s="259"/>
      <c r="C1197" s="259"/>
      <c r="D1197" s="259"/>
      <c r="E1197" s="259"/>
      <c r="F1197" s="259"/>
      <c r="G1197" s="259"/>
      <c r="H1197" s="259"/>
      <c r="I1197" s="259"/>
      <c r="J1197" s="259"/>
      <c r="K1197" s="259"/>
      <c r="L1197" s="259"/>
      <c r="M1197" s="236"/>
    </row>
    <row r="1198" spans="1:13" x14ac:dyDescent="0.2">
      <c r="A1198" s="258"/>
      <c r="B1198" s="259"/>
      <c r="C1198" s="259"/>
      <c r="D1198" s="259"/>
      <c r="E1198" s="259"/>
      <c r="F1198" s="259"/>
      <c r="G1198" s="259"/>
      <c r="H1198" s="259"/>
      <c r="I1198" s="259"/>
      <c r="J1198" s="259"/>
      <c r="K1198" s="259"/>
      <c r="L1198" s="259"/>
      <c r="M1198" s="236"/>
    </row>
    <row r="1199" spans="1:13" x14ac:dyDescent="0.2">
      <c r="A1199" s="237"/>
      <c r="B1199" s="302"/>
      <c r="C1199" s="302"/>
      <c r="D1199" s="302"/>
      <c r="E1199" s="303"/>
      <c r="F1199" s="302"/>
      <c r="G1199" s="302"/>
      <c r="H1199" s="302"/>
      <c r="I1199" s="303"/>
      <c r="J1199" s="302"/>
      <c r="K1199" s="302"/>
      <c r="L1199" s="302"/>
      <c r="M1199" s="236"/>
    </row>
    <row r="1200" spans="1:13" x14ac:dyDescent="0.2">
      <c r="A1200" s="237"/>
      <c r="B1200" s="302"/>
      <c r="C1200" s="302"/>
      <c r="D1200" s="302"/>
      <c r="E1200" s="303"/>
      <c r="F1200" s="302"/>
      <c r="G1200" s="302"/>
      <c r="H1200" s="302"/>
      <c r="I1200" s="303"/>
      <c r="J1200" s="302"/>
      <c r="K1200" s="302"/>
      <c r="L1200" s="302"/>
      <c r="M1200" s="236"/>
    </row>
    <row r="1201" spans="1:13" x14ac:dyDescent="0.2">
      <c r="A1201" s="237"/>
      <c r="B1201" s="302"/>
      <c r="C1201" s="302"/>
      <c r="D1201" s="302"/>
      <c r="E1201" s="303"/>
      <c r="F1201" s="302"/>
      <c r="G1201" s="302"/>
      <c r="H1201" s="302"/>
      <c r="I1201" s="303"/>
      <c r="J1201" s="302"/>
      <c r="K1201" s="302"/>
      <c r="L1201" s="302"/>
      <c r="M1201" s="236"/>
    </row>
    <row r="1202" spans="1:13" x14ac:dyDescent="0.2">
      <c r="A1202" s="237"/>
      <c r="B1202" s="302"/>
      <c r="C1202" s="302"/>
      <c r="D1202" s="302"/>
      <c r="E1202" s="303"/>
      <c r="F1202" s="302"/>
      <c r="G1202" s="302"/>
      <c r="H1202" s="302"/>
      <c r="I1202" s="303"/>
      <c r="J1202" s="302"/>
      <c r="K1202" s="302"/>
      <c r="L1202" s="302"/>
      <c r="M1202" s="236"/>
    </row>
    <row r="1203" spans="1:13" x14ac:dyDescent="0.2">
      <c r="A1203" s="237"/>
      <c r="B1203" s="302"/>
      <c r="C1203" s="302"/>
      <c r="D1203" s="302"/>
      <c r="E1203" s="303"/>
      <c r="F1203" s="302"/>
      <c r="G1203" s="302"/>
      <c r="H1203" s="302"/>
      <c r="I1203" s="303"/>
      <c r="J1203" s="302"/>
      <c r="K1203" s="302"/>
      <c r="L1203" s="302"/>
      <c r="M1203" s="236"/>
    </row>
    <row r="1204" spans="1:13" x14ac:dyDescent="0.2">
      <c r="A1204" s="237"/>
      <c r="B1204" s="302"/>
      <c r="C1204" s="302"/>
      <c r="D1204" s="302"/>
      <c r="E1204" s="303"/>
      <c r="F1204" s="302"/>
      <c r="G1204" s="302"/>
      <c r="H1204" s="302"/>
      <c r="I1204" s="303"/>
      <c r="J1204" s="302"/>
      <c r="K1204" s="302"/>
      <c r="L1204" s="302"/>
      <c r="M1204" s="236"/>
    </row>
    <row r="1205" spans="1:13" x14ac:dyDescent="0.2">
      <c r="A1205" s="237"/>
      <c r="B1205" s="302"/>
      <c r="C1205" s="302"/>
      <c r="D1205" s="302"/>
      <c r="E1205" s="303"/>
      <c r="F1205" s="302"/>
      <c r="G1205" s="302"/>
      <c r="H1205" s="302"/>
      <c r="I1205" s="303"/>
      <c r="J1205" s="302"/>
      <c r="K1205" s="302"/>
      <c r="L1205" s="302"/>
      <c r="M1205" s="236"/>
    </row>
    <row r="1206" spans="1:13" x14ac:dyDescent="0.2">
      <c r="A1206" s="237"/>
      <c r="B1206" s="302"/>
      <c r="C1206" s="302"/>
      <c r="D1206" s="302"/>
      <c r="E1206" s="303"/>
      <c r="F1206" s="302"/>
      <c r="G1206" s="302"/>
      <c r="H1206" s="302"/>
      <c r="I1206" s="303"/>
      <c r="J1206" s="302"/>
      <c r="K1206" s="302"/>
      <c r="L1206" s="302"/>
      <c r="M1206" s="236"/>
    </row>
    <row r="1207" spans="1:13" x14ac:dyDescent="0.2">
      <c r="A1207" s="237"/>
      <c r="B1207" s="302"/>
      <c r="C1207" s="302"/>
      <c r="D1207" s="302"/>
      <c r="E1207" s="303"/>
      <c r="F1207" s="302"/>
      <c r="G1207" s="302"/>
      <c r="H1207" s="302"/>
      <c r="I1207" s="303"/>
      <c r="J1207" s="302"/>
      <c r="K1207" s="302"/>
      <c r="L1207" s="302"/>
      <c r="M1207" s="236"/>
    </row>
    <row r="1208" spans="1:13" x14ac:dyDescent="0.2">
      <c r="A1208" s="237"/>
      <c r="B1208" s="302"/>
      <c r="C1208" s="302"/>
      <c r="D1208" s="302"/>
      <c r="E1208" s="303"/>
      <c r="F1208" s="302"/>
      <c r="G1208" s="302"/>
      <c r="H1208" s="302"/>
      <c r="I1208" s="303"/>
      <c r="J1208" s="302"/>
      <c r="K1208" s="302"/>
      <c r="L1208" s="302"/>
      <c r="M1208" s="236"/>
    </row>
    <row r="1209" spans="1:13" x14ac:dyDescent="0.2">
      <c r="A1209" s="237"/>
      <c r="B1209" s="303"/>
      <c r="C1209" s="303"/>
      <c r="D1209" s="303"/>
      <c r="E1209" s="303"/>
      <c r="F1209" s="303"/>
      <c r="G1209" s="303"/>
      <c r="H1209" s="303"/>
      <c r="I1209" s="303"/>
      <c r="J1209" s="303"/>
      <c r="K1209" s="303"/>
      <c r="L1209" s="303"/>
      <c r="M1209" s="236"/>
    </row>
    <row r="1210" spans="1:13" x14ac:dyDescent="0.2">
      <c r="A1210" s="237"/>
      <c r="B1210" s="237"/>
      <c r="C1210" s="237"/>
      <c r="D1210" s="237"/>
      <c r="E1210" s="237"/>
      <c r="F1210" s="237"/>
      <c r="G1210" s="237"/>
      <c r="H1210" s="237"/>
      <c r="I1210" s="237"/>
      <c r="J1210" s="237"/>
      <c r="K1210" s="237"/>
      <c r="L1210" s="240"/>
      <c r="M1210" s="236"/>
    </row>
    <row r="1211" spans="1:13" x14ac:dyDescent="0.2">
      <c r="A1211" s="237"/>
      <c r="B1211" s="237"/>
      <c r="C1211" s="237"/>
      <c r="D1211" s="237"/>
      <c r="E1211" s="237"/>
      <c r="F1211" s="237"/>
      <c r="G1211" s="237"/>
      <c r="H1211" s="237"/>
      <c r="I1211" s="237"/>
      <c r="J1211" s="237"/>
      <c r="K1211" s="237"/>
      <c r="L1211" s="284"/>
      <c r="M1211" s="236"/>
    </row>
    <row r="1212" spans="1:13" x14ac:dyDescent="0.2">
      <c r="A1212" s="258"/>
      <c r="B1212" s="241"/>
      <c r="C1212" s="241"/>
      <c r="D1212" s="241"/>
      <c r="E1212" s="241"/>
      <c r="F1212" s="241"/>
      <c r="G1212" s="241"/>
      <c r="H1212" s="241"/>
      <c r="I1212" s="241"/>
      <c r="J1212" s="241"/>
      <c r="K1212" s="241"/>
      <c r="L1212" s="236"/>
      <c r="M1212" s="236"/>
    </row>
    <row r="1213" spans="1:13" x14ac:dyDescent="0.2">
      <c r="A1213" s="241"/>
      <c r="B1213" s="372"/>
      <c r="C1213" s="372"/>
      <c r="D1213" s="372"/>
      <c r="E1213" s="253"/>
      <c r="F1213" s="372"/>
      <c r="G1213" s="372"/>
      <c r="H1213" s="372"/>
      <c r="I1213" s="253"/>
      <c r="J1213" s="372"/>
      <c r="K1213" s="372"/>
      <c r="L1213" s="372"/>
      <c r="M1213" s="236"/>
    </row>
    <row r="1214" spans="1:13" x14ac:dyDescent="0.2">
      <c r="A1214" s="258"/>
      <c r="B1214" s="259"/>
      <c r="C1214" s="259"/>
      <c r="D1214" s="259"/>
      <c r="E1214" s="259"/>
      <c r="F1214" s="259"/>
      <c r="G1214" s="259"/>
      <c r="H1214" s="259"/>
      <c r="I1214" s="259"/>
      <c r="J1214" s="259"/>
      <c r="K1214" s="259"/>
      <c r="L1214" s="259"/>
      <c r="M1214" s="236"/>
    </row>
    <row r="1215" spans="1:13" x14ac:dyDescent="0.2">
      <c r="A1215" s="258"/>
      <c r="B1215" s="259"/>
      <c r="C1215" s="259"/>
      <c r="D1215" s="259"/>
      <c r="E1215" s="259"/>
      <c r="F1215" s="259"/>
      <c r="G1215" s="259"/>
      <c r="H1215" s="259"/>
      <c r="I1215" s="259"/>
      <c r="J1215" s="259"/>
      <c r="K1215" s="259"/>
      <c r="L1215" s="259"/>
      <c r="M1215" s="236"/>
    </row>
    <row r="1216" spans="1:13" x14ac:dyDescent="0.2">
      <c r="A1216" s="237"/>
      <c r="B1216" s="302"/>
      <c r="C1216" s="302"/>
      <c r="D1216" s="302"/>
      <c r="E1216" s="303"/>
      <c r="F1216" s="302"/>
      <c r="G1216" s="302"/>
      <c r="H1216" s="302"/>
      <c r="I1216" s="303"/>
      <c r="J1216" s="302"/>
      <c r="K1216" s="302"/>
      <c r="L1216" s="302"/>
      <c r="M1216" s="236"/>
    </row>
    <row r="1217" spans="1:13" x14ac:dyDescent="0.2">
      <c r="A1217" s="237"/>
      <c r="B1217" s="302"/>
      <c r="C1217" s="302"/>
      <c r="D1217" s="302"/>
      <c r="E1217" s="303"/>
      <c r="F1217" s="302"/>
      <c r="G1217" s="302"/>
      <c r="H1217" s="302"/>
      <c r="I1217" s="303"/>
      <c r="J1217" s="302"/>
      <c r="K1217" s="302"/>
      <c r="L1217" s="302"/>
      <c r="M1217" s="236"/>
    </row>
    <row r="1218" spans="1:13" x14ac:dyDescent="0.2">
      <c r="A1218" s="237"/>
      <c r="B1218" s="302"/>
      <c r="C1218" s="302"/>
      <c r="D1218" s="302"/>
      <c r="E1218" s="303"/>
      <c r="F1218" s="302"/>
      <c r="G1218" s="302"/>
      <c r="H1218" s="302"/>
      <c r="I1218" s="303"/>
      <c r="J1218" s="302"/>
      <c r="K1218" s="302"/>
      <c r="L1218" s="302"/>
      <c r="M1218" s="236"/>
    </row>
    <row r="1219" spans="1:13" x14ac:dyDescent="0.2">
      <c r="A1219" s="237"/>
      <c r="B1219" s="302"/>
      <c r="C1219" s="302"/>
      <c r="D1219" s="302"/>
      <c r="E1219" s="303"/>
      <c r="F1219" s="302"/>
      <c r="G1219" s="302"/>
      <c r="H1219" s="302"/>
      <c r="I1219" s="303"/>
      <c r="J1219" s="302"/>
      <c r="K1219" s="302"/>
      <c r="L1219" s="302"/>
      <c r="M1219" s="236"/>
    </row>
    <row r="1220" spans="1:13" x14ac:dyDescent="0.2">
      <c r="A1220" s="237"/>
      <c r="B1220" s="302"/>
      <c r="C1220" s="302"/>
      <c r="D1220" s="302"/>
      <c r="E1220" s="303"/>
      <c r="F1220" s="302"/>
      <c r="G1220" s="302"/>
      <c r="H1220" s="302"/>
      <c r="I1220" s="303"/>
      <c r="J1220" s="302"/>
      <c r="K1220" s="302"/>
      <c r="L1220" s="302"/>
      <c r="M1220" s="236"/>
    </row>
    <row r="1221" spans="1:13" x14ac:dyDescent="0.2">
      <c r="A1221" s="237"/>
      <c r="B1221" s="302"/>
      <c r="C1221" s="302"/>
      <c r="D1221" s="302"/>
      <c r="E1221" s="303"/>
      <c r="F1221" s="302"/>
      <c r="G1221" s="302"/>
      <c r="H1221" s="302"/>
      <c r="I1221" s="303"/>
      <c r="J1221" s="302"/>
      <c r="K1221" s="302"/>
      <c r="L1221" s="302"/>
      <c r="M1221" s="236"/>
    </row>
    <row r="1222" spans="1:13" x14ac:dyDescent="0.2">
      <c r="A1222" s="237"/>
      <c r="B1222" s="302"/>
      <c r="C1222" s="302"/>
      <c r="D1222" s="302"/>
      <c r="E1222" s="303"/>
      <c r="F1222" s="302"/>
      <c r="G1222" s="302"/>
      <c r="H1222" s="302"/>
      <c r="I1222" s="303"/>
      <c r="J1222" s="302"/>
      <c r="K1222" s="302"/>
      <c r="L1222" s="302"/>
      <c r="M1222" s="236"/>
    </row>
    <row r="1223" spans="1:13" x14ac:dyDescent="0.2">
      <c r="A1223" s="237"/>
      <c r="B1223" s="302"/>
      <c r="C1223" s="302"/>
      <c r="D1223" s="302"/>
      <c r="E1223" s="303"/>
      <c r="F1223" s="302"/>
      <c r="G1223" s="302"/>
      <c r="H1223" s="302"/>
      <c r="I1223" s="303"/>
      <c r="J1223" s="302"/>
      <c r="K1223" s="302"/>
      <c r="L1223" s="302"/>
      <c r="M1223" s="236"/>
    </row>
    <row r="1224" spans="1:13" ht="13.5" customHeight="1" x14ac:dyDescent="0.2">
      <c r="A1224" s="237"/>
      <c r="B1224" s="302"/>
      <c r="C1224" s="302"/>
      <c r="D1224" s="302"/>
      <c r="E1224" s="303"/>
      <c r="F1224" s="302"/>
      <c r="G1224" s="302"/>
      <c r="H1224" s="302"/>
      <c r="I1224" s="303"/>
      <c r="J1224" s="302"/>
      <c r="K1224" s="302"/>
      <c r="L1224" s="302"/>
      <c r="M1224" s="236"/>
    </row>
    <row r="1225" spans="1:13" ht="13.5" customHeight="1" x14ac:dyDescent="0.2">
      <c r="A1225" s="237"/>
      <c r="B1225" s="302"/>
      <c r="C1225" s="302"/>
      <c r="D1225" s="302"/>
      <c r="E1225" s="303"/>
      <c r="F1225" s="302"/>
      <c r="G1225" s="302"/>
      <c r="H1225" s="302"/>
      <c r="I1225" s="303"/>
      <c r="J1225" s="302"/>
      <c r="K1225" s="302"/>
      <c r="L1225" s="302"/>
      <c r="M1225" s="236"/>
    </row>
    <row r="1226" spans="1:13" x14ac:dyDescent="0.2">
      <c r="A1226" s="237"/>
      <c r="B1226" s="303"/>
      <c r="C1226" s="303"/>
      <c r="D1226" s="303"/>
      <c r="E1226" s="303"/>
      <c r="F1226" s="303"/>
      <c r="G1226" s="303"/>
      <c r="H1226" s="303"/>
      <c r="I1226" s="303"/>
      <c r="J1226" s="303"/>
      <c r="K1226" s="303"/>
      <c r="L1226" s="303"/>
      <c r="M1226" s="236"/>
    </row>
    <row r="1227" spans="1:13" x14ac:dyDescent="0.2">
      <c r="A1227" s="237"/>
      <c r="B1227" s="237"/>
      <c r="C1227" s="237"/>
      <c r="D1227" s="237"/>
      <c r="E1227" s="237"/>
      <c r="F1227" s="237"/>
      <c r="G1227" s="237"/>
      <c r="H1227" s="237"/>
      <c r="I1227" s="237"/>
      <c r="J1227" s="237"/>
      <c r="K1227" s="237"/>
      <c r="L1227" s="240"/>
      <c r="M1227" s="236"/>
    </row>
    <row r="1228" spans="1:13" x14ac:dyDescent="0.2">
      <c r="A1228" s="237"/>
      <c r="B1228" s="237"/>
      <c r="C1228" s="237"/>
      <c r="D1228" s="237"/>
      <c r="E1228" s="237"/>
      <c r="F1228" s="237"/>
      <c r="G1228" s="237"/>
      <c r="H1228" s="237"/>
      <c r="I1228" s="237"/>
      <c r="J1228" s="237"/>
      <c r="K1228" s="237"/>
      <c r="L1228" s="284"/>
      <c r="M1228" s="236"/>
    </row>
    <row r="1229" spans="1:13" x14ac:dyDescent="0.2">
      <c r="A1229" s="258"/>
      <c r="B1229" s="241"/>
      <c r="C1229" s="241"/>
      <c r="D1229" s="241"/>
      <c r="E1229" s="241"/>
      <c r="F1229" s="241"/>
      <c r="G1229" s="241"/>
      <c r="H1229" s="241"/>
      <c r="I1229" s="241"/>
      <c r="J1229" s="241"/>
      <c r="K1229" s="241"/>
      <c r="L1229" s="236"/>
      <c r="M1229" s="236"/>
    </row>
    <row r="1230" spans="1:13" x14ac:dyDescent="0.2">
      <c r="A1230" s="241"/>
      <c r="B1230" s="372"/>
      <c r="C1230" s="372"/>
      <c r="D1230" s="372"/>
      <c r="E1230" s="253"/>
      <c r="F1230" s="372"/>
      <c r="G1230" s="372"/>
      <c r="H1230" s="372"/>
      <c r="I1230" s="253"/>
      <c r="J1230" s="372"/>
      <c r="K1230" s="372"/>
      <c r="L1230" s="372"/>
      <c r="M1230" s="236"/>
    </row>
    <row r="1231" spans="1:13" x14ac:dyDescent="0.2">
      <c r="A1231" s="258"/>
      <c r="B1231" s="259"/>
      <c r="C1231" s="259"/>
      <c r="D1231" s="259"/>
      <c r="E1231" s="259"/>
      <c r="F1231" s="259"/>
      <c r="G1231" s="259"/>
      <c r="H1231" s="259"/>
      <c r="I1231" s="259"/>
      <c r="J1231" s="259"/>
      <c r="K1231" s="259"/>
      <c r="L1231" s="259"/>
      <c r="M1231" s="236"/>
    </row>
    <row r="1232" spans="1:13" x14ac:dyDescent="0.2">
      <c r="A1232" s="258"/>
      <c r="B1232" s="259"/>
      <c r="C1232" s="259"/>
      <c r="D1232" s="259"/>
      <c r="E1232" s="259"/>
      <c r="F1232" s="259"/>
      <c r="G1232" s="259"/>
      <c r="H1232" s="259"/>
      <c r="I1232" s="259"/>
      <c r="J1232" s="259"/>
      <c r="K1232" s="259"/>
      <c r="L1232" s="259"/>
      <c r="M1232" s="236"/>
    </row>
    <row r="1233" spans="1:13" x14ac:dyDescent="0.2">
      <c r="A1233" s="237"/>
      <c r="B1233" s="302"/>
      <c r="C1233" s="302"/>
      <c r="D1233" s="302"/>
      <c r="E1233" s="303"/>
      <c r="F1233" s="302"/>
      <c r="G1233" s="302"/>
      <c r="H1233" s="302"/>
      <c r="I1233" s="303"/>
      <c r="J1233" s="302"/>
      <c r="K1233" s="302"/>
      <c r="L1233" s="302"/>
      <c r="M1233" s="236"/>
    </row>
    <row r="1234" spans="1:13" x14ac:dyDescent="0.2">
      <c r="A1234" s="237"/>
      <c r="B1234" s="302"/>
      <c r="C1234" s="302"/>
      <c r="D1234" s="302"/>
      <c r="E1234" s="303"/>
      <c r="F1234" s="302"/>
      <c r="G1234" s="302"/>
      <c r="H1234" s="302"/>
      <c r="I1234" s="303"/>
      <c r="J1234" s="302"/>
      <c r="K1234" s="302"/>
      <c r="L1234" s="302"/>
      <c r="M1234" s="236"/>
    </row>
    <row r="1235" spans="1:13" x14ac:dyDescent="0.2">
      <c r="A1235" s="237"/>
      <c r="B1235" s="302"/>
      <c r="C1235" s="302"/>
      <c r="D1235" s="302"/>
      <c r="E1235" s="303"/>
      <c r="F1235" s="302"/>
      <c r="G1235" s="302"/>
      <c r="H1235" s="302"/>
      <c r="I1235" s="303"/>
      <c r="J1235" s="302"/>
      <c r="K1235" s="302"/>
      <c r="L1235" s="302"/>
      <c r="M1235" s="236"/>
    </row>
    <row r="1236" spans="1:13" x14ac:dyDescent="0.2">
      <c r="A1236" s="237"/>
      <c r="B1236" s="302"/>
      <c r="C1236" s="302"/>
      <c r="D1236" s="302"/>
      <c r="E1236" s="303"/>
      <c r="F1236" s="302"/>
      <c r="G1236" s="302"/>
      <c r="H1236" s="302"/>
      <c r="I1236" s="303"/>
      <c r="J1236" s="302"/>
      <c r="K1236" s="302"/>
      <c r="L1236" s="302"/>
      <c r="M1236" s="236"/>
    </row>
    <row r="1237" spans="1:13" x14ac:dyDescent="0.2">
      <c r="A1237" s="237"/>
      <c r="B1237" s="302"/>
      <c r="C1237" s="302"/>
      <c r="D1237" s="302"/>
      <c r="E1237" s="303"/>
      <c r="F1237" s="302"/>
      <c r="G1237" s="302"/>
      <c r="H1237" s="302"/>
      <c r="I1237" s="303"/>
      <c r="J1237" s="302"/>
      <c r="K1237" s="302"/>
      <c r="L1237" s="302"/>
      <c r="M1237" s="236"/>
    </row>
    <row r="1238" spans="1:13" x14ac:dyDescent="0.2">
      <c r="A1238" s="237"/>
      <c r="B1238" s="302"/>
      <c r="C1238" s="302"/>
      <c r="D1238" s="302"/>
      <c r="E1238" s="303"/>
      <c r="F1238" s="302"/>
      <c r="G1238" s="302"/>
      <c r="H1238" s="302"/>
      <c r="I1238" s="303"/>
      <c r="J1238" s="302"/>
      <c r="K1238" s="302"/>
      <c r="L1238" s="302"/>
      <c r="M1238" s="236"/>
    </row>
    <row r="1239" spans="1:13" x14ac:dyDescent="0.2">
      <c r="A1239" s="237"/>
      <c r="B1239" s="302"/>
      <c r="C1239" s="302"/>
      <c r="D1239" s="302"/>
      <c r="E1239" s="303"/>
      <c r="F1239" s="302"/>
      <c r="G1239" s="302"/>
      <c r="H1239" s="302"/>
      <c r="I1239" s="303"/>
      <c r="J1239" s="302"/>
      <c r="K1239" s="302"/>
      <c r="L1239" s="302"/>
      <c r="M1239" s="236"/>
    </row>
    <row r="1240" spans="1:13" x14ac:dyDescent="0.2">
      <c r="A1240" s="237"/>
      <c r="B1240" s="302"/>
      <c r="C1240" s="302"/>
      <c r="D1240" s="302"/>
      <c r="E1240" s="303"/>
      <c r="F1240" s="302"/>
      <c r="G1240" s="302"/>
      <c r="H1240" s="302"/>
      <c r="I1240" s="303"/>
      <c r="J1240" s="302"/>
      <c r="K1240" s="302"/>
      <c r="L1240" s="302"/>
      <c r="M1240" s="236"/>
    </row>
    <row r="1241" spans="1:13" x14ac:dyDescent="0.2">
      <c r="A1241" s="237"/>
      <c r="B1241" s="302"/>
      <c r="C1241" s="302"/>
      <c r="D1241" s="302"/>
      <c r="E1241" s="303"/>
      <c r="F1241" s="302"/>
      <c r="G1241" s="302"/>
      <c r="H1241" s="302"/>
      <c r="I1241" s="303"/>
      <c r="J1241" s="302"/>
      <c r="K1241" s="302"/>
      <c r="L1241" s="302"/>
      <c r="M1241" s="236"/>
    </row>
    <row r="1242" spans="1:13" x14ac:dyDescent="0.2">
      <c r="A1242" s="237"/>
      <c r="B1242" s="302"/>
      <c r="C1242" s="302"/>
      <c r="D1242" s="302"/>
      <c r="E1242" s="303"/>
      <c r="F1242" s="302"/>
      <c r="G1242" s="302"/>
      <c r="H1242" s="302"/>
      <c r="I1242" s="303"/>
      <c r="J1242" s="302"/>
      <c r="K1242" s="302"/>
      <c r="L1242" s="302"/>
      <c r="M1242" s="236"/>
    </row>
    <row r="1243" spans="1:13" x14ac:dyDescent="0.2">
      <c r="A1243" s="237"/>
      <c r="B1243" s="303"/>
      <c r="C1243" s="303"/>
      <c r="D1243" s="303"/>
      <c r="E1243" s="303"/>
      <c r="F1243" s="303"/>
      <c r="G1243" s="303"/>
      <c r="H1243" s="303"/>
      <c r="I1243" s="303"/>
      <c r="J1243" s="303"/>
      <c r="K1243" s="303"/>
      <c r="L1243" s="303"/>
      <c r="M1243" s="236"/>
    </row>
    <row r="1244" spans="1:13" x14ac:dyDescent="0.2">
      <c r="A1244" s="237"/>
      <c r="B1244" s="237"/>
      <c r="C1244" s="237"/>
      <c r="D1244" s="237"/>
      <c r="E1244" s="237"/>
      <c r="F1244" s="237"/>
      <c r="G1244" s="237"/>
      <c r="H1244" s="237"/>
      <c r="I1244" s="237"/>
      <c r="J1244" s="237"/>
      <c r="K1244" s="237"/>
      <c r="L1244" s="240"/>
      <c r="M1244" s="236"/>
    </row>
    <row r="1245" spans="1:13" x14ac:dyDescent="0.2">
      <c r="A1245" s="237"/>
      <c r="B1245" s="237"/>
      <c r="C1245" s="237"/>
      <c r="D1245" s="237"/>
      <c r="E1245" s="237"/>
      <c r="F1245" s="237"/>
      <c r="G1245" s="237"/>
      <c r="H1245" s="237"/>
      <c r="I1245" s="237"/>
      <c r="J1245" s="237"/>
      <c r="K1245" s="237"/>
      <c r="L1245" s="284"/>
      <c r="M1245" s="236"/>
    </row>
    <row r="1246" spans="1:13" x14ac:dyDescent="0.2">
      <c r="A1246" s="258"/>
      <c r="B1246" s="241"/>
      <c r="C1246" s="241"/>
      <c r="D1246" s="241"/>
      <c r="E1246" s="241"/>
      <c r="F1246" s="241"/>
      <c r="G1246" s="241"/>
      <c r="H1246" s="241"/>
      <c r="I1246" s="241"/>
      <c r="J1246" s="241"/>
      <c r="K1246" s="241"/>
      <c r="L1246" s="236"/>
      <c r="M1246" s="236"/>
    </row>
    <row r="1247" spans="1:13" x14ac:dyDescent="0.2">
      <c r="A1247" s="241"/>
      <c r="B1247" s="372"/>
      <c r="C1247" s="372"/>
      <c r="D1247" s="372"/>
      <c r="E1247" s="253"/>
      <c r="F1247" s="372"/>
      <c r="G1247" s="372"/>
      <c r="H1247" s="372"/>
      <c r="I1247" s="253"/>
      <c r="J1247" s="372"/>
      <c r="K1247" s="372"/>
      <c r="L1247" s="372"/>
      <c r="M1247" s="236"/>
    </row>
    <row r="1248" spans="1:13" x14ac:dyDescent="0.2">
      <c r="A1248" s="258"/>
      <c r="B1248" s="259"/>
      <c r="C1248" s="259"/>
      <c r="D1248" s="259"/>
      <c r="E1248" s="259"/>
      <c r="F1248" s="259"/>
      <c r="G1248" s="259"/>
      <c r="H1248" s="259"/>
      <c r="I1248" s="259"/>
      <c r="J1248" s="259"/>
      <c r="K1248" s="259"/>
      <c r="L1248" s="259"/>
      <c r="M1248" s="236"/>
    </row>
    <row r="1249" spans="1:13" x14ac:dyDescent="0.2">
      <c r="A1249" s="258"/>
      <c r="B1249" s="259"/>
      <c r="C1249" s="259"/>
      <c r="D1249" s="259"/>
      <c r="E1249" s="259"/>
      <c r="F1249" s="259"/>
      <c r="G1249" s="259"/>
      <c r="H1249" s="259"/>
      <c r="I1249" s="259"/>
      <c r="J1249" s="259"/>
      <c r="K1249" s="259"/>
      <c r="L1249" s="259"/>
      <c r="M1249" s="236"/>
    </row>
    <row r="1250" spans="1:13" x14ac:dyDescent="0.2">
      <c r="A1250" s="237"/>
      <c r="B1250" s="302"/>
      <c r="C1250" s="302"/>
      <c r="D1250" s="302"/>
      <c r="E1250" s="303"/>
      <c r="F1250" s="302"/>
      <c r="G1250" s="302"/>
      <c r="H1250" s="302"/>
      <c r="I1250" s="303"/>
      <c r="J1250" s="302"/>
      <c r="K1250" s="302"/>
      <c r="L1250" s="302"/>
      <c r="M1250" s="236"/>
    </row>
    <row r="1251" spans="1:13" x14ac:dyDescent="0.2">
      <c r="A1251" s="237"/>
      <c r="B1251" s="302"/>
      <c r="C1251" s="302"/>
      <c r="D1251" s="302"/>
      <c r="E1251" s="303"/>
      <c r="F1251" s="302"/>
      <c r="G1251" s="302"/>
      <c r="H1251" s="302"/>
      <c r="I1251" s="303"/>
      <c r="J1251" s="302"/>
      <c r="K1251" s="302"/>
      <c r="L1251" s="302"/>
      <c r="M1251" s="236"/>
    </row>
    <row r="1252" spans="1:13" x14ac:dyDescent="0.2">
      <c r="A1252" s="237"/>
      <c r="B1252" s="302"/>
      <c r="C1252" s="302"/>
      <c r="D1252" s="302"/>
      <c r="E1252" s="303"/>
      <c r="F1252" s="302"/>
      <c r="G1252" s="302"/>
      <c r="H1252" s="302"/>
      <c r="I1252" s="303"/>
      <c r="J1252" s="302"/>
      <c r="K1252" s="302"/>
      <c r="L1252" s="302"/>
      <c r="M1252" s="236"/>
    </row>
    <row r="1253" spans="1:13" x14ac:dyDescent="0.2">
      <c r="A1253" s="237"/>
      <c r="B1253" s="302"/>
      <c r="C1253" s="302"/>
      <c r="D1253" s="302"/>
      <c r="E1253" s="303"/>
      <c r="F1253" s="302"/>
      <c r="G1253" s="302"/>
      <c r="H1253" s="302"/>
      <c r="I1253" s="303"/>
      <c r="J1253" s="302"/>
      <c r="K1253" s="302"/>
      <c r="L1253" s="302"/>
      <c r="M1253" s="236"/>
    </row>
    <row r="1254" spans="1:13" x14ac:dyDescent="0.2">
      <c r="A1254" s="237"/>
      <c r="B1254" s="302"/>
      <c r="C1254" s="302"/>
      <c r="D1254" s="302"/>
      <c r="E1254" s="303"/>
      <c r="F1254" s="302"/>
      <c r="G1254" s="302"/>
      <c r="H1254" s="302"/>
      <c r="I1254" s="303"/>
      <c r="J1254" s="302"/>
      <c r="K1254" s="302"/>
      <c r="L1254" s="302"/>
      <c r="M1254" s="236"/>
    </row>
    <row r="1255" spans="1:13" x14ac:dyDescent="0.2">
      <c r="A1255" s="237"/>
      <c r="B1255" s="302"/>
      <c r="C1255" s="302"/>
      <c r="D1255" s="302"/>
      <c r="E1255" s="303"/>
      <c r="F1255" s="302"/>
      <c r="G1255" s="302"/>
      <c r="H1255" s="302"/>
      <c r="I1255" s="303"/>
      <c r="J1255" s="302"/>
      <c r="K1255" s="302"/>
      <c r="L1255" s="302"/>
      <c r="M1255" s="236"/>
    </row>
    <row r="1256" spans="1:13" x14ac:dyDescent="0.2">
      <c r="A1256" s="237"/>
      <c r="B1256" s="302"/>
      <c r="C1256" s="302"/>
      <c r="D1256" s="302"/>
      <c r="E1256" s="303"/>
      <c r="F1256" s="302"/>
      <c r="G1256" s="302"/>
      <c r="H1256" s="302"/>
      <c r="I1256" s="303"/>
      <c r="J1256" s="302"/>
      <c r="K1256" s="302"/>
      <c r="L1256" s="302"/>
      <c r="M1256" s="236"/>
    </row>
    <row r="1257" spans="1:13" x14ac:dyDescent="0.2">
      <c r="A1257" s="237"/>
      <c r="B1257" s="302"/>
      <c r="C1257" s="302"/>
      <c r="D1257" s="302"/>
      <c r="E1257" s="303"/>
      <c r="F1257" s="302"/>
      <c r="G1257" s="302"/>
      <c r="H1257" s="302"/>
      <c r="I1257" s="303"/>
      <c r="J1257" s="302"/>
      <c r="K1257" s="302"/>
      <c r="L1257" s="302"/>
      <c r="M1257" s="236"/>
    </row>
    <row r="1258" spans="1:13" x14ac:dyDescent="0.2">
      <c r="A1258" s="237"/>
      <c r="B1258" s="302"/>
      <c r="C1258" s="302"/>
      <c r="D1258" s="302"/>
      <c r="E1258" s="303"/>
      <c r="F1258" s="302"/>
      <c r="G1258" s="302"/>
      <c r="H1258" s="302"/>
      <c r="I1258" s="303"/>
      <c r="J1258" s="302"/>
      <c r="K1258" s="302"/>
      <c r="L1258" s="302"/>
      <c r="M1258" s="236"/>
    </row>
    <row r="1259" spans="1:13" x14ac:dyDescent="0.2">
      <c r="A1259" s="237"/>
      <c r="B1259" s="302"/>
      <c r="C1259" s="302"/>
      <c r="D1259" s="302"/>
      <c r="E1259" s="303"/>
      <c r="F1259" s="302"/>
      <c r="G1259" s="302"/>
      <c r="H1259" s="302"/>
      <c r="I1259" s="303"/>
      <c r="J1259" s="302"/>
      <c r="K1259" s="302"/>
      <c r="L1259" s="302"/>
      <c r="M1259" s="236"/>
    </row>
    <row r="1260" spans="1:13" x14ac:dyDescent="0.2">
      <c r="A1260" s="237"/>
      <c r="B1260" s="303"/>
      <c r="C1260" s="303"/>
      <c r="D1260" s="303"/>
      <c r="E1260" s="303"/>
      <c r="F1260" s="303"/>
      <c r="G1260" s="303"/>
      <c r="H1260" s="303"/>
      <c r="I1260" s="303"/>
      <c r="J1260" s="303"/>
      <c r="K1260" s="303"/>
      <c r="L1260" s="303"/>
      <c r="M1260" s="236"/>
    </row>
    <row r="1261" spans="1:13" x14ac:dyDescent="0.2">
      <c r="A1261" s="237"/>
      <c r="B1261" s="237"/>
      <c r="C1261" s="237"/>
      <c r="D1261" s="237"/>
      <c r="E1261" s="237"/>
      <c r="F1261" s="237"/>
      <c r="G1261" s="237"/>
      <c r="H1261" s="237"/>
      <c r="I1261" s="237"/>
      <c r="J1261" s="237"/>
      <c r="K1261" s="237"/>
      <c r="L1261" s="240"/>
      <c r="M1261" s="236"/>
    </row>
    <row r="1262" spans="1:13" x14ac:dyDescent="0.2">
      <c r="A1262" s="237"/>
      <c r="B1262" s="237"/>
      <c r="C1262" s="237"/>
      <c r="D1262" s="237"/>
      <c r="E1262" s="237"/>
      <c r="F1262" s="237"/>
      <c r="G1262" s="237"/>
      <c r="H1262" s="237"/>
      <c r="I1262" s="237"/>
      <c r="J1262" s="237"/>
      <c r="K1262" s="237"/>
      <c r="L1262" s="284"/>
      <c r="M1262" s="236"/>
    </row>
    <row r="1263" spans="1:13" x14ac:dyDescent="0.2">
      <c r="A1263" s="258"/>
      <c r="B1263" s="241"/>
      <c r="C1263" s="241"/>
      <c r="D1263" s="241"/>
      <c r="E1263" s="241"/>
      <c r="F1263" s="241"/>
      <c r="G1263" s="241"/>
      <c r="H1263" s="241"/>
      <c r="I1263" s="241"/>
      <c r="J1263" s="241"/>
      <c r="K1263" s="241"/>
      <c r="L1263" s="236"/>
      <c r="M1263" s="236"/>
    </row>
    <row r="1264" spans="1:13" x14ac:dyDescent="0.2">
      <c r="A1264" s="241"/>
      <c r="B1264" s="372"/>
      <c r="C1264" s="372"/>
      <c r="D1264" s="372"/>
      <c r="E1264" s="253"/>
      <c r="F1264" s="372"/>
      <c r="G1264" s="372"/>
      <c r="H1264" s="372"/>
      <c r="I1264" s="253"/>
      <c r="J1264" s="372"/>
      <c r="K1264" s="372"/>
      <c r="L1264" s="372"/>
      <c r="M1264" s="236"/>
    </row>
    <row r="1265" spans="1:13" x14ac:dyDescent="0.2">
      <c r="A1265" s="258"/>
      <c r="B1265" s="259"/>
      <c r="C1265" s="259"/>
      <c r="D1265" s="259"/>
      <c r="E1265" s="259"/>
      <c r="F1265" s="259"/>
      <c r="G1265" s="259"/>
      <c r="H1265" s="259"/>
      <c r="I1265" s="259"/>
      <c r="J1265" s="259"/>
      <c r="K1265" s="259"/>
      <c r="L1265" s="259"/>
      <c r="M1265" s="236"/>
    </row>
    <row r="1266" spans="1:13" x14ac:dyDescent="0.2">
      <c r="A1266" s="258"/>
      <c r="B1266" s="259"/>
      <c r="C1266" s="259"/>
      <c r="D1266" s="259"/>
      <c r="E1266" s="259"/>
      <c r="F1266" s="259"/>
      <c r="G1266" s="259"/>
      <c r="H1266" s="259"/>
      <c r="I1266" s="259"/>
      <c r="J1266" s="259"/>
      <c r="K1266" s="259"/>
      <c r="L1266" s="259"/>
      <c r="M1266" s="236"/>
    </row>
    <row r="1267" spans="1:13" x14ac:dyDescent="0.2">
      <c r="A1267" s="237"/>
      <c r="B1267" s="302"/>
      <c r="C1267" s="302"/>
      <c r="D1267" s="302"/>
      <c r="E1267" s="303"/>
      <c r="F1267" s="302"/>
      <c r="G1267" s="302"/>
      <c r="H1267" s="302"/>
      <c r="I1267" s="303"/>
      <c r="J1267" s="302"/>
      <c r="K1267" s="302"/>
      <c r="L1267" s="302"/>
      <c r="M1267" s="236"/>
    </row>
    <row r="1268" spans="1:13" x14ac:dyDescent="0.2">
      <c r="A1268" s="237"/>
      <c r="B1268" s="302"/>
      <c r="C1268" s="302"/>
      <c r="D1268" s="302"/>
      <c r="E1268" s="303"/>
      <c r="F1268" s="302"/>
      <c r="G1268" s="302"/>
      <c r="H1268" s="302"/>
      <c r="I1268" s="303"/>
      <c r="J1268" s="302"/>
      <c r="K1268" s="302"/>
      <c r="L1268" s="302"/>
      <c r="M1268" s="236"/>
    </row>
    <row r="1269" spans="1:13" x14ac:dyDescent="0.2">
      <c r="A1269" s="237"/>
      <c r="B1269" s="302"/>
      <c r="C1269" s="302"/>
      <c r="D1269" s="302"/>
      <c r="E1269" s="303"/>
      <c r="F1269" s="302"/>
      <c r="G1269" s="302"/>
      <c r="H1269" s="302"/>
      <c r="I1269" s="303"/>
      <c r="J1269" s="302"/>
      <c r="K1269" s="302"/>
      <c r="L1269" s="302"/>
      <c r="M1269" s="236"/>
    </row>
    <row r="1270" spans="1:13" x14ac:dyDescent="0.2">
      <c r="A1270" s="237"/>
      <c r="B1270" s="302"/>
      <c r="C1270" s="302"/>
      <c r="D1270" s="302"/>
      <c r="E1270" s="303"/>
      <c r="F1270" s="302"/>
      <c r="G1270" s="302"/>
      <c r="H1270" s="302"/>
      <c r="I1270" s="303"/>
      <c r="J1270" s="302"/>
      <c r="K1270" s="302"/>
      <c r="L1270" s="302"/>
      <c r="M1270" s="236"/>
    </row>
    <row r="1271" spans="1:13" x14ac:dyDescent="0.2">
      <c r="A1271" s="237"/>
      <c r="B1271" s="302"/>
      <c r="C1271" s="302"/>
      <c r="D1271" s="302"/>
      <c r="E1271" s="303"/>
      <c r="F1271" s="302"/>
      <c r="G1271" s="302"/>
      <c r="H1271" s="302"/>
      <c r="I1271" s="303"/>
      <c r="J1271" s="302"/>
      <c r="K1271" s="302"/>
      <c r="L1271" s="302"/>
      <c r="M1271" s="236"/>
    </row>
    <row r="1272" spans="1:13" x14ac:dyDescent="0.2">
      <c r="A1272" s="237"/>
      <c r="B1272" s="302"/>
      <c r="C1272" s="302"/>
      <c r="D1272" s="302"/>
      <c r="E1272" s="303"/>
      <c r="F1272" s="302"/>
      <c r="G1272" s="302"/>
      <c r="H1272" s="302"/>
      <c r="I1272" s="303"/>
      <c r="J1272" s="302"/>
      <c r="K1272" s="302"/>
      <c r="L1272" s="302"/>
      <c r="M1272" s="236"/>
    </row>
    <row r="1273" spans="1:13" x14ac:dyDescent="0.2">
      <c r="A1273" s="237"/>
      <c r="B1273" s="302"/>
      <c r="C1273" s="302"/>
      <c r="D1273" s="302"/>
      <c r="E1273" s="303"/>
      <c r="F1273" s="302"/>
      <c r="G1273" s="302"/>
      <c r="H1273" s="302"/>
      <c r="I1273" s="303"/>
      <c r="J1273" s="302"/>
      <c r="K1273" s="302"/>
      <c r="L1273" s="302"/>
      <c r="M1273" s="236"/>
    </row>
    <row r="1274" spans="1:13" x14ac:dyDescent="0.2">
      <c r="A1274" s="237"/>
      <c r="B1274" s="302"/>
      <c r="C1274" s="302"/>
      <c r="D1274" s="302"/>
      <c r="E1274" s="303"/>
      <c r="F1274" s="302"/>
      <c r="G1274" s="302"/>
      <c r="H1274" s="302"/>
      <c r="I1274" s="303"/>
      <c r="J1274" s="302"/>
      <c r="K1274" s="302"/>
      <c r="L1274" s="302"/>
      <c r="M1274" s="236"/>
    </row>
    <row r="1275" spans="1:13" x14ac:dyDescent="0.2">
      <c r="A1275" s="237"/>
      <c r="B1275" s="302"/>
      <c r="C1275" s="302"/>
      <c r="D1275" s="302"/>
      <c r="E1275" s="303"/>
      <c r="F1275" s="302"/>
      <c r="G1275" s="302"/>
      <c r="H1275" s="302"/>
      <c r="I1275" s="303"/>
      <c r="J1275" s="302"/>
      <c r="K1275" s="302"/>
      <c r="L1275" s="302"/>
      <c r="M1275" s="236"/>
    </row>
    <row r="1276" spans="1:13" x14ac:dyDescent="0.2">
      <c r="A1276" s="237"/>
      <c r="B1276" s="302"/>
      <c r="C1276" s="302"/>
      <c r="D1276" s="302"/>
      <c r="E1276" s="303"/>
      <c r="F1276" s="302"/>
      <c r="G1276" s="302"/>
      <c r="H1276" s="302"/>
      <c r="I1276" s="303"/>
      <c r="J1276" s="302"/>
      <c r="K1276" s="302"/>
      <c r="L1276" s="302"/>
      <c r="M1276" s="236"/>
    </row>
    <row r="1277" spans="1:13" x14ac:dyDescent="0.2">
      <c r="A1277" s="237"/>
      <c r="B1277" s="303"/>
      <c r="C1277" s="303"/>
      <c r="D1277" s="303"/>
      <c r="E1277" s="303"/>
      <c r="F1277" s="303"/>
      <c r="G1277" s="303"/>
      <c r="H1277" s="303"/>
      <c r="I1277" s="303"/>
      <c r="J1277" s="303"/>
      <c r="K1277" s="303"/>
      <c r="L1277" s="303"/>
      <c r="M1277" s="236"/>
    </row>
    <row r="1278" spans="1:13" x14ac:dyDescent="0.2">
      <c r="A1278" s="237"/>
      <c r="B1278" s="237"/>
      <c r="C1278" s="237"/>
      <c r="D1278" s="237"/>
      <c r="E1278" s="237"/>
      <c r="F1278" s="237"/>
      <c r="G1278" s="237"/>
      <c r="H1278" s="237"/>
      <c r="I1278" s="237"/>
      <c r="J1278" s="237"/>
      <c r="K1278" s="237"/>
      <c r="L1278" s="240"/>
      <c r="M1278" s="236"/>
    </row>
    <row r="1279" spans="1:13" x14ac:dyDescent="0.2">
      <c r="A1279" s="237"/>
      <c r="B1279" s="237"/>
      <c r="C1279" s="237"/>
      <c r="D1279" s="237"/>
      <c r="E1279" s="237"/>
      <c r="F1279" s="237"/>
      <c r="G1279" s="237"/>
      <c r="H1279" s="237"/>
      <c r="I1279" s="237"/>
      <c r="J1279" s="237"/>
      <c r="K1279" s="237"/>
      <c r="L1279" s="284"/>
      <c r="M1279" s="236"/>
    </row>
    <row r="1280" spans="1:13" x14ac:dyDescent="0.2">
      <c r="A1280" s="258"/>
      <c r="B1280" s="241"/>
      <c r="C1280" s="241"/>
      <c r="D1280" s="241"/>
      <c r="E1280" s="241"/>
      <c r="F1280" s="241"/>
      <c r="G1280" s="241"/>
      <c r="H1280" s="241"/>
      <c r="I1280" s="241"/>
      <c r="J1280" s="241"/>
      <c r="K1280" s="241"/>
      <c r="L1280" s="236"/>
      <c r="M1280" s="236"/>
    </row>
    <row r="1281" spans="1:13" x14ac:dyDescent="0.2">
      <c r="A1281" s="241"/>
      <c r="B1281" s="372"/>
      <c r="C1281" s="372"/>
      <c r="D1281" s="372"/>
      <c r="E1281" s="253"/>
      <c r="F1281" s="372"/>
      <c r="G1281" s="372"/>
      <c r="H1281" s="372"/>
      <c r="I1281" s="253"/>
      <c r="J1281" s="372"/>
      <c r="K1281" s="372"/>
      <c r="L1281" s="372"/>
      <c r="M1281" s="236"/>
    </row>
    <row r="1282" spans="1:13" x14ac:dyDescent="0.2">
      <c r="A1282" s="258"/>
      <c r="B1282" s="259"/>
      <c r="C1282" s="259"/>
      <c r="D1282" s="259"/>
      <c r="E1282" s="259"/>
      <c r="F1282" s="259"/>
      <c r="G1282" s="259"/>
      <c r="H1282" s="259"/>
      <c r="I1282" s="259"/>
      <c r="J1282" s="259"/>
      <c r="K1282" s="259"/>
      <c r="L1282" s="259"/>
      <c r="M1282" s="236"/>
    </row>
    <row r="1283" spans="1:13" x14ac:dyDescent="0.2">
      <c r="A1283" s="258"/>
      <c r="B1283" s="259"/>
      <c r="C1283" s="259"/>
      <c r="D1283" s="259"/>
      <c r="E1283" s="259"/>
      <c r="F1283" s="259"/>
      <c r="G1283" s="259"/>
      <c r="H1283" s="259"/>
      <c r="I1283" s="259"/>
      <c r="J1283" s="259"/>
      <c r="K1283" s="259"/>
      <c r="L1283" s="259"/>
      <c r="M1283" s="236"/>
    </row>
    <row r="1284" spans="1:13" x14ac:dyDescent="0.2">
      <c r="A1284" s="237"/>
      <c r="B1284" s="302"/>
      <c r="C1284" s="302"/>
      <c r="D1284" s="302"/>
      <c r="E1284" s="303"/>
      <c r="F1284" s="302"/>
      <c r="G1284" s="302"/>
      <c r="H1284" s="302"/>
      <c r="I1284" s="303"/>
      <c r="J1284" s="302"/>
      <c r="K1284" s="302"/>
      <c r="L1284" s="302"/>
      <c r="M1284" s="236"/>
    </row>
    <row r="1285" spans="1:13" x14ac:dyDescent="0.2">
      <c r="A1285" s="237"/>
      <c r="B1285" s="302"/>
      <c r="C1285" s="302"/>
      <c r="D1285" s="302"/>
      <c r="E1285" s="303"/>
      <c r="F1285" s="302"/>
      <c r="G1285" s="302"/>
      <c r="H1285" s="302"/>
      <c r="I1285" s="303"/>
      <c r="J1285" s="302"/>
      <c r="K1285" s="302"/>
      <c r="L1285" s="302"/>
      <c r="M1285" s="236"/>
    </row>
    <row r="1286" spans="1:13" x14ac:dyDescent="0.2">
      <c r="A1286" s="237"/>
      <c r="B1286" s="302"/>
      <c r="C1286" s="302"/>
      <c r="D1286" s="302"/>
      <c r="E1286" s="303"/>
      <c r="F1286" s="302"/>
      <c r="G1286" s="302"/>
      <c r="H1286" s="302"/>
      <c r="I1286" s="303"/>
      <c r="J1286" s="302"/>
      <c r="K1286" s="302"/>
      <c r="L1286" s="302"/>
      <c r="M1286" s="236"/>
    </row>
    <row r="1287" spans="1:13" x14ac:dyDescent="0.2">
      <c r="A1287" s="237"/>
      <c r="B1287" s="302"/>
      <c r="C1287" s="302"/>
      <c r="D1287" s="302"/>
      <c r="E1287" s="303"/>
      <c r="F1287" s="302"/>
      <c r="G1287" s="302"/>
      <c r="H1287" s="302"/>
      <c r="I1287" s="303"/>
      <c r="J1287" s="302"/>
      <c r="K1287" s="302"/>
      <c r="L1287" s="302"/>
      <c r="M1287" s="236"/>
    </row>
    <row r="1288" spans="1:13" x14ac:dyDescent="0.2">
      <c r="A1288" s="237"/>
      <c r="B1288" s="302"/>
      <c r="C1288" s="302"/>
      <c r="D1288" s="302"/>
      <c r="E1288" s="303"/>
      <c r="F1288" s="302"/>
      <c r="G1288" s="302"/>
      <c r="H1288" s="302"/>
      <c r="I1288" s="303"/>
      <c r="J1288" s="302"/>
      <c r="K1288" s="302"/>
      <c r="L1288" s="302"/>
      <c r="M1288" s="236"/>
    </row>
    <row r="1289" spans="1:13" x14ac:dyDescent="0.2">
      <c r="A1289" s="237"/>
      <c r="B1289" s="302"/>
      <c r="C1289" s="302"/>
      <c r="D1289" s="302"/>
      <c r="E1289" s="303"/>
      <c r="F1289" s="302"/>
      <c r="G1289" s="302"/>
      <c r="H1289" s="302"/>
      <c r="I1289" s="303"/>
      <c r="J1289" s="302"/>
      <c r="K1289" s="302"/>
      <c r="L1289" s="302"/>
      <c r="M1289" s="236"/>
    </row>
    <row r="1290" spans="1:13" x14ac:dyDescent="0.2">
      <c r="A1290" s="237"/>
      <c r="B1290" s="302"/>
      <c r="C1290" s="302"/>
      <c r="D1290" s="302"/>
      <c r="E1290" s="303"/>
      <c r="F1290" s="302"/>
      <c r="G1290" s="302"/>
      <c r="H1290" s="302"/>
      <c r="I1290" s="303"/>
      <c r="J1290" s="302"/>
      <c r="K1290" s="302"/>
      <c r="L1290" s="302"/>
      <c r="M1290" s="236"/>
    </row>
    <row r="1291" spans="1:13" x14ac:dyDescent="0.2">
      <c r="A1291" s="237"/>
      <c r="B1291" s="302"/>
      <c r="C1291" s="302"/>
      <c r="D1291" s="302"/>
      <c r="E1291" s="303"/>
      <c r="F1291" s="302"/>
      <c r="G1291" s="302"/>
      <c r="H1291" s="302"/>
      <c r="I1291" s="303"/>
      <c r="J1291" s="302"/>
      <c r="K1291" s="302"/>
      <c r="L1291" s="302"/>
      <c r="M1291" s="236"/>
    </row>
    <row r="1292" spans="1:13" x14ac:dyDescent="0.2">
      <c r="A1292" s="237"/>
      <c r="B1292" s="302"/>
      <c r="C1292" s="302"/>
      <c r="D1292" s="302"/>
      <c r="E1292" s="303"/>
      <c r="F1292" s="302"/>
      <c r="G1292" s="302"/>
      <c r="H1292" s="302"/>
      <c r="I1292" s="303"/>
      <c r="J1292" s="302"/>
      <c r="K1292" s="302"/>
      <c r="L1292" s="302"/>
      <c r="M1292" s="236"/>
    </row>
    <row r="1293" spans="1:13" x14ac:dyDescent="0.2">
      <c r="A1293" s="237"/>
      <c r="B1293" s="302"/>
      <c r="C1293" s="302"/>
      <c r="D1293" s="302"/>
      <c r="E1293" s="303"/>
      <c r="F1293" s="302"/>
      <c r="G1293" s="302"/>
      <c r="H1293" s="302"/>
      <c r="I1293" s="303"/>
      <c r="J1293" s="302"/>
      <c r="K1293" s="302"/>
      <c r="L1293" s="302"/>
      <c r="M1293" s="236"/>
    </row>
    <row r="1294" spans="1:13" x14ac:dyDescent="0.2">
      <c r="A1294" s="237"/>
      <c r="B1294" s="303"/>
      <c r="C1294" s="303"/>
      <c r="D1294" s="303"/>
      <c r="E1294" s="303"/>
      <c r="F1294" s="303"/>
      <c r="G1294" s="303"/>
      <c r="H1294" s="303"/>
      <c r="I1294" s="303"/>
      <c r="J1294" s="303"/>
      <c r="K1294" s="303"/>
      <c r="L1294" s="303"/>
      <c r="M1294" s="236"/>
    </row>
    <row r="1295" spans="1:13" x14ac:dyDescent="0.2">
      <c r="A1295" s="237"/>
      <c r="B1295" s="237"/>
      <c r="C1295" s="237"/>
      <c r="D1295" s="237"/>
      <c r="E1295" s="237"/>
      <c r="F1295" s="237"/>
      <c r="G1295" s="237"/>
      <c r="H1295" s="237"/>
      <c r="I1295" s="237"/>
      <c r="J1295" s="237"/>
      <c r="K1295" s="237"/>
      <c r="L1295" s="240"/>
      <c r="M1295" s="236"/>
    </row>
    <row r="1296" spans="1:13" x14ac:dyDescent="0.2">
      <c r="A1296" s="237"/>
      <c r="B1296" s="237"/>
      <c r="C1296" s="237"/>
      <c r="D1296" s="237"/>
      <c r="E1296" s="237"/>
      <c r="F1296" s="237"/>
      <c r="G1296" s="237"/>
      <c r="H1296" s="237"/>
      <c r="I1296" s="237"/>
      <c r="J1296" s="237"/>
      <c r="K1296" s="237"/>
      <c r="L1296" s="284"/>
      <c r="M1296" s="236"/>
    </row>
    <row r="1297" spans="1:13" x14ac:dyDescent="0.2">
      <c r="A1297" s="258"/>
      <c r="B1297" s="241"/>
      <c r="C1297" s="241"/>
      <c r="D1297" s="241"/>
      <c r="E1297" s="241"/>
      <c r="F1297" s="241"/>
      <c r="G1297" s="241"/>
      <c r="H1297" s="241"/>
      <c r="I1297" s="241"/>
      <c r="J1297" s="241"/>
      <c r="K1297" s="241"/>
      <c r="L1297" s="236"/>
      <c r="M1297" s="236"/>
    </row>
    <row r="1298" spans="1:13" x14ac:dyDescent="0.2">
      <c r="A1298" s="241"/>
      <c r="B1298" s="372"/>
      <c r="C1298" s="372"/>
      <c r="D1298" s="372"/>
      <c r="E1298" s="253"/>
      <c r="F1298" s="372"/>
      <c r="G1298" s="372"/>
      <c r="H1298" s="372"/>
      <c r="I1298" s="253"/>
      <c r="J1298" s="372"/>
      <c r="K1298" s="372"/>
      <c r="L1298" s="372"/>
      <c r="M1298" s="236"/>
    </row>
    <row r="1299" spans="1:13" x14ac:dyDescent="0.2">
      <c r="A1299" s="258"/>
      <c r="B1299" s="259"/>
      <c r="C1299" s="259"/>
      <c r="D1299" s="259"/>
      <c r="E1299" s="259"/>
      <c r="F1299" s="259"/>
      <c r="G1299" s="259"/>
      <c r="H1299" s="259"/>
      <c r="I1299" s="259"/>
      <c r="J1299" s="259"/>
      <c r="K1299" s="259"/>
      <c r="L1299" s="259"/>
      <c r="M1299" s="236"/>
    </row>
    <row r="1300" spans="1:13" x14ac:dyDescent="0.2">
      <c r="A1300" s="258"/>
      <c r="B1300" s="259"/>
      <c r="C1300" s="259"/>
      <c r="D1300" s="259"/>
      <c r="E1300" s="259"/>
      <c r="F1300" s="259"/>
      <c r="G1300" s="259"/>
      <c r="H1300" s="259"/>
      <c r="I1300" s="259"/>
      <c r="J1300" s="259"/>
      <c r="K1300" s="259"/>
      <c r="L1300" s="259"/>
      <c r="M1300" s="236"/>
    </row>
    <row r="1301" spans="1:13" x14ac:dyDescent="0.2">
      <c r="A1301" s="237"/>
      <c r="B1301" s="302"/>
      <c r="C1301" s="302"/>
      <c r="D1301" s="302"/>
      <c r="E1301" s="303"/>
      <c r="F1301" s="302"/>
      <c r="G1301" s="302"/>
      <c r="H1301" s="302"/>
      <c r="I1301" s="303"/>
      <c r="J1301" s="302"/>
      <c r="K1301" s="302"/>
      <c r="L1301" s="302"/>
      <c r="M1301" s="236"/>
    </row>
    <row r="1302" spans="1:13" x14ac:dyDescent="0.2">
      <c r="A1302" s="237"/>
      <c r="B1302" s="302"/>
      <c r="C1302" s="302"/>
      <c r="D1302" s="302"/>
      <c r="E1302" s="303"/>
      <c r="F1302" s="302"/>
      <c r="G1302" s="302"/>
      <c r="H1302" s="302"/>
      <c r="I1302" s="303"/>
      <c r="J1302" s="302"/>
      <c r="K1302" s="302"/>
      <c r="L1302" s="302"/>
      <c r="M1302" s="236"/>
    </row>
    <row r="1303" spans="1:13" x14ac:dyDescent="0.2">
      <c r="A1303" s="237"/>
      <c r="B1303" s="302"/>
      <c r="C1303" s="302"/>
      <c r="D1303" s="302"/>
      <c r="E1303" s="303"/>
      <c r="F1303" s="302"/>
      <c r="G1303" s="302"/>
      <c r="H1303" s="302"/>
      <c r="I1303" s="303"/>
      <c r="J1303" s="302"/>
      <c r="K1303" s="302"/>
      <c r="L1303" s="302"/>
      <c r="M1303" s="236"/>
    </row>
    <row r="1304" spans="1:13" x14ac:dyDescent="0.2">
      <c r="A1304" s="237"/>
      <c r="B1304" s="302"/>
      <c r="C1304" s="302"/>
      <c r="D1304" s="302"/>
      <c r="E1304" s="303"/>
      <c r="F1304" s="302"/>
      <c r="G1304" s="302"/>
      <c r="H1304" s="302"/>
      <c r="I1304" s="303"/>
      <c r="J1304" s="302"/>
      <c r="K1304" s="302"/>
      <c r="L1304" s="302"/>
      <c r="M1304" s="236"/>
    </row>
    <row r="1305" spans="1:13" x14ac:dyDescent="0.2">
      <c r="A1305" s="237"/>
      <c r="B1305" s="302"/>
      <c r="C1305" s="302"/>
      <c r="D1305" s="302"/>
      <c r="E1305" s="303"/>
      <c r="F1305" s="302"/>
      <c r="G1305" s="302"/>
      <c r="H1305" s="302"/>
      <c r="I1305" s="303"/>
      <c r="J1305" s="302"/>
      <c r="K1305" s="302"/>
      <c r="L1305" s="302"/>
      <c r="M1305" s="236"/>
    </row>
    <row r="1306" spans="1:13" x14ac:dyDescent="0.2">
      <c r="A1306" s="237"/>
      <c r="B1306" s="302"/>
      <c r="C1306" s="302"/>
      <c r="D1306" s="302"/>
      <c r="E1306" s="303"/>
      <c r="F1306" s="302"/>
      <c r="G1306" s="302"/>
      <c r="H1306" s="302"/>
      <c r="I1306" s="303"/>
      <c r="J1306" s="302"/>
      <c r="K1306" s="302"/>
      <c r="L1306" s="302"/>
      <c r="M1306" s="236"/>
    </row>
    <row r="1307" spans="1:13" x14ac:dyDescent="0.2">
      <c r="A1307" s="237"/>
      <c r="B1307" s="302"/>
      <c r="C1307" s="302"/>
      <c r="D1307" s="302"/>
      <c r="E1307" s="303"/>
      <c r="F1307" s="302"/>
      <c r="G1307" s="302"/>
      <c r="H1307" s="302"/>
      <c r="I1307" s="303"/>
      <c r="J1307" s="302"/>
      <c r="K1307" s="302"/>
      <c r="L1307" s="302"/>
      <c r="M1307" s="236"/>
    </row>
    <row r="1308" spans="1:13" x14ac:dyDescent="0.2">
      <c r="A1308" s="237"/>
      <c r="B1308" s="302"/>
      <c r="C1308" s="302"/>
      <c r="D1308" s="302"/>
      <c r="E1308" s="303"/>
      <c r="F1308" s="302"/>
      <c r="G1308" s="302"/>
      <c r="H1308" s="302"/>
      <c r="I1308" s="303"/>
      <c r="J1308" s="302"/>
      <c r="K1308" s="302"/>
      <c r="L1308" s="302"/>
      <c r="M1308" s="236"/>
    </row>
    <row r="1309" spans="1:13" x14ac:dyDescent="0.2">
      <c r="A1309" s="237"/>
      <c r="B1309" s="302"/>
      <c r="C1309" s="302"/>
      <c r="D1309" s="302"/>
      <c r="E1309" s="303"/>
      <c r="F1309" s="302"/>
      <c r="G1309" s="302"/>
      <c r="H1309" s="302"/>
      <c r="I1309" s="303"/>
      <c r="J1309" s="302"/>
      <c r="K1309" s="302"/>
      <c r="L1309" s="302"/>
      <c r="M1309" s="236"/>
    </row>
    <row r="1310" spans="1:13" x14ac:dyDescent="0.2">
      <c r="A1310" s="237"/>
      <c r="B1310" s="302"/>
      <c r="C1310" s="302"/>
      <c r="D1310" s="302"/>
      <c r="E1310" s="303"/>
      <c r="F1310" s="302"/>
      <c r="G1310" s="302"/>
      <c r="H1310" s="302"/>
      <c r="I1310" s="303"/>
      <c r="J1310" s="302"/>
      <c r="K1310" s="302"/>
      <c r="L1310" s="302"/>
      <c r="M1310" s="236"/>
    </row>
    <row r="1311" spans="1:13" x14ac:dyDescent="0.2">
      <c r="A1311" s="237"/>
      <c r="B1311" s="303"/>
      <c r="C1311" s="303"/>
      <c r="D1311" s="303"/>
      <c r="E1311" s="303"/>
      <c r="F1311" s="303"/>
      <c r="G1311" s="303"/>
      <c r="H1311" s="303"/>
      <c r="I1311" s="303"/>
      <c r="J1311" s="303"/>
      <c r="K1311" s="303"/>
      <c r="L1311" s="303"/>
      <c r="M1311" s="236"/>
    </row>
    <row r="1312" spans="1:13" x14ac:dyDescent="0.2">
      <c r="A1312" s="237"/>
      <c r="B1312" s="237"/>
      <c r="C1312" s="237"/>
      <c r="D1312" s="237"/>
      <c r="E1312" s="237"/>
      <c r="F1312" s="237"/>
      <c r="G1312" s="237"/>
      <c r="H1312" s="237"/>
      <c r="I1312" s="237"/>
      <c r="J1312" s="237"/>
      <c r="K1312" s="237"/>
      <c r="L1312" s="240"/>
      <c r="M1312" s="236"/>
    </row>
  </sheetData>
  <mergeCells count="231">
    <mergeCell ref="B6:D6"/>
    <mergeCell ref="F6:H6"/>
    <mergeCell ref="J6:L6"/>
    <mergeCell ref="N6:O6"/>
    <mergeCell ref="Q6:R6"/>
    <mergeCell ref="T6:U6"/>
    <mergeCell ref="B74:D74"/>
    <mergeCell ref="F74:H74"/>
    <mergeCell ref="J74:L74"/>
    <mergeCell ref="B91:D91"/>
    <mergeCell ref="F91:H91"/>
    <mergeCell ref="J91:L91"/>
    <mergeCell ref="B40:D40"/>
    <mergeCell ref="F40:H40"/>
    <mergeCell ref="J40:L40"/>
    <mergeCell ref="B57:D57"/>
    <mergeCell ref="F57:H57"/>
    <mergeCell ref="J57:L57"/>
    <mergeCell ref="B142:D142"/>
    <mergeCell ref="F142:H142"/>
    <mergeCell ref="J142:L142"/>
    <mergeCell ref="B159:D159"/>
    <mergeCell ref="F159:H159"/>
    <mergeCell ref="J159:L159"/>
    <mergeCell ref="B108:D108"/>
    <mergeCell ref="F108:H108"/>
    <mergeCell ref="J108:L108"/>
    <mergeCell ref="B125:D125"/>
    <mergeCell ref="F125:H125"/>
    <mergeCell ref="J125:L125"/>
    <mergeCell ref="B210:D210"/>
    <mergeCell ref="F210:H210"/>
    <mergeCell ref="J210:L210"/>
    <mergeCell ref="B227:D227"/>
    <mergeCell ref="F227:H227"/>
    <mergeCell ref="J227:L227"/>
    <mergeCell ref="B176:D176"/>
    <mergeCell ref="F176:H176"/>
    <mergeCell ref="J176:L176"/>
    <mergeCell ref="B193:D193"/>
    <mergeCell ref="F193:H193"/>
    <mergeCell ref="J193:L193"/>
    <mergeCell ref="B278:D278"/>
    <mergeCell ref="F278:H278"/>
    <mergeCell ref="J278:L278"/>
    <mergeCell ref="B295:D295"/>
    <mergeCell ref="F295:H295"/>
    <mergeCell ref="J295:L295"/>
    <mergeCell ref="B244:D244"/>
    <mergeCell ref="F244:H244"/>
    <mergeCell ref="J244:L244"/>
    <mergeCell ref="B261:D261"/>
    <mergeCell ref="F261:H261"/>
    <mergeCell ref="J261:L261"/>
    <mergeCell ref="B346:D346"/>
    <mergeCell ref="F346:H346"/>
    <mergeCell ref="J346:L346"/>
    <mergeCell ref="B363:D363"/>
    <mergeCell ref="F363:H363"/>
    <mergeCell ref="J363:L363"/>
    <mergeCell ref="B312:D312"/>
    <mergeCell ref="F312:H312"/>
    <mergeCell ref="J312:L312"/>
    <mergeCell ref="B329:D329"/>
    <mergeCell ref="F329:H329"/>
    <mergeCell ref="J329:L329"/>
    <mergeCell ref="B414:D414"/>
    <mergeCell ref="F414:H414"/>
    <mergeCell ref="J414:L414"/>
    <mergeCell ref="B431:D431"/>
    <mergeCell ref="F431:H431"/>
    <mergeCell ref="J431:L431"/>
    <mergeCell ref="B380:D380"/>
    <mergeCell ref="F380:H380"/>
    <mergeCell ref="J380:L380"/>
    <mergeCell ref="B397:D397"/>
    <mergeCell ref="F397:H397"/>
    <mergeCell ref="J397:L397"/>
    <mergeCell ref="B482:D482"/>
    <mergeCell ref="F482:H482"/>
    <mergeCell ref="J482:L482"/>
    <mergeCell ref="B499:D499"/>
    <mergeCell ref="F499:H499"/>
    <mergeCell ref="J499:L499"/>
    <mergeCell ref="B448:D448"/>
    <mergeCell ref="F448:H448"/>
    <mergeCell ref="J448:L448"/>
    <mergeCell ref="B465:D465"/>
    <mergeCell ref="F465:H465"/>
    <mergeCell ref="J465:L465"/>
    <mergeCell ref="B550:D550"/>
    <mergeCell ref="F550:H550"/>
    <mergeCell ref="J550:L550"/>
    <mergeCell ref="B567:D567"/>
    <mergeCell ref="F567:H567"/>
    <mergeCell ref="J567:L567"/>
    <mergeCell ref="B516:D516"/>
    <mergeCell ref="F516:H516"/>
    <mergeCell ref="J516:L516"/>
    <mergeCell ref="B533:D533"/>
    <mergeCell ref="F533:H533"/>
    <mergeCell ref="J533:L533"/>
    <mergeCell ref="B618:D618"/>
    <mergeCell ref="F618:H618"/>
    <mergeCell ref="J618:L618"/>
    <mergeCell ref="B635:D635"/>
    <mergeCell ref="F635:H635"/>
    <mergeCell ref="J635:L635"/>
    <mergeCell ref="B584:D584"/>
    <mergeCell ref="F584:H584"/>
    <mergeCell ref="J584:L584"/>
    <mergeCell ref="B601:D601"/>
    <mergeCell ref="F601:H601"/>
    <mergeCell ref="J601:L601"/>
    <mergeCell ref="B686:D686"/>
    <mergeCell ref="F686:H686"/>
    <mergeCell ref="J686:L686"/>
    <mergeCell ref="B703:D703"/>
    <mergeCell ref="F703:H703"/>
    <mergeCell ref="J703:L703"/>
    <mergeCell ref="B652:D652"/>
    <mergeCell ref="F652:H652"/>
    <mergeCell ref="J652:L652"/>
    <mergeCell ref="B669:D669"/>
    <mergeCell ref="F669:H669"/>
    <mergeCell ref="J669:L669"/>
    <mergeCell ref="B754:D754"/>
    <mergeCell ref="F754:H754"/>
    <mergeCell ref="J754:L754"/>
    <mergeCell ref="B771:D771"/>
    <mergeCell ref="F771:H771"/>
    <mergeCell ref="J771:L771"/>
    <mergeCell ref="B720:D720"/>
    <mergeCell ref="F720:H720"/>
    <mergeCell ref="J720:L720"/>
    <mergeCell ref="B737:D737"/>
    <mergeCell ref="F737:H737"/>
    <mergeCell ref="J737:L737"/>
    <mergeCell ref="B822:D822"/>
    <mergeCell ref="F822:H822"/>
    <mergeCell ref="J822:L822"/>
    <mergeCell ref="B839:D839"/>
    <mergeCell ref="F839:H839"/>
    <mergeCell ref="J839:L839"/>
    <mergeCell ref="B788:D788"/>
    <mergeCell ref="F788:H788"/>
    <mergeCell ref="J788:L788"/>
    <mergeCell ref="B805:D805"/>
    <mergeCell ref="F805:H805"/>
    <mergeCell ref="J805:L805"/>
    <mergeCell ref="B890:D890"/>
    <mergeCell ref="F890:H890"/>
    <mergeCell ref="J890:L890"/>
    <mergeCell ref="B907:D907"/>
    <mergeCell ref="F907:H907"/>
    <mergeCell ref="J907:L907"/>
    <mergeCell ref="B856:D856"/>
    <mergeCell ref="F856:H856"/>
    <mergeCell ref="J856:L856"/>
    <mergeCell ref="B873:D873"/>
    <mergeCell ref="F873:H873"/>
    <mergeCell ref="J873:L873"/>
    <mergeCell ref="B958:D958"/>
    <mergeCell ref="F958:H958"/>
    <mergeCell ref="J958:L958"/>
    <mergeCell ref="B975:D975"/>
    <mergeCell ref="F975:H975"/>
    <mergeCell ref="J975:L975"/>
    <mergeCell ref="B924:D924"/>
    <mergeCell ref="F924:H924"/>
    <mergeCell ref="J924:L924"/>
    <mergeCell ref="B941:D941"/>
    <mergeCell ref="F941:H941"/>
    <mergeCell ref="J941:L941"/>
    <mergeCell ref="B1026:D1026"/>
    <mergeCell ref="F1026:H1026"/>
    <mergeCell ref="J1026:L1026"/>
    <mergeCell ref="B1043:D1043"/>
    <mergeCell ref="F1043:H1043"/>
    <mergeCell ref="J1043:L1043"/>
    <mergeCell ref="B992:D992"/>
    <mergeCell ref="F992:H992"/>
    <mergeCell ref="J992:L992"/>
    <mergeCell ref="B1009:D1009"/>
    <mergeCell ref="F1009:H1009"/>
    <mergeCell ref="J1009:L1009"/>
    <mergeCell ref="B1094:D1094"/>
    <mergeCell ref="F1094:H1094"/>
    <mergeCell ref="J1094:L1094"/>
    <mergeCell ref="B1111:D1111"/>
    <mergeCell ref="F1111:H1111"/>
    <mergeCell ref="J1111:L1111"/>
    <mergeCell ref="B1060:D1060"/>
    <mergeCell ref="F1060:H1060"/>
    <mergeCell ref="J1060:L1060"/>
    <mergeCell ref="B1077:D1077"/>
    <mergeCell ref="F1077:H1077"/>
    <mergeCell ref="J1077:L1077"/>
    <mergeCell ref="B1162:D1162"/>
    <mergeCell ref="F1162:H1162"/>
    <mergeCell ref="J1162:L1162"/>
    <mergeCell ref="B1179:D1179"/>
    <mergeCell ref="F1179:H1179"/>
    <mergeCell ref="J1179:L1179"/>
    <mergeCell ref="B1128:D1128"/>
    <mergeCell ref="F1128:H1128"/>
    <mergeCell ref="J1128:L1128"/>
    <mergeCell ref="B1145:D1145"/>
    <mergeCell ref="F1145:H1145"/>
    <mergeCell ref="J1145:L1145"/>
    <mergeCell ref="B1230:D1230"/>
    <mergeCell ref="F1230:H1230"/>
    <mergeCell ref="J1230:L1230"/>
    <mergeCell ref="B1247:D1247"/>
    <mergeCell ref="F1247:H1247"/>
    <mergeCell ref="J1247:L1247"/>
    <mergeCell ref="B1196:D1196"/>
    <mergeCell ref="F1196:H1196"/>
    <mergeCell ref="J1196:L1196"/>
    <mergeCell ref="B1213:D1213"/>
    <mergeCell ref="F1213:H1213"/>
    <mergeCell ref="J1213:L1213"/>
    <mergeCell ref="B1298:D1298"/>
    <mergeCell ref="F1298:H1298"/>
    <mergeCell ref="J1298:L1298"/>
    <mergeCell ref="B1264:D1264"/>
    <mergeCell ref="F1264:H1264"/>
    <mergeCell ref="J1264:L1264"/>
    <mergeCell ref="B1281:D1281"/>
    <mergeCell ref="F1281:H1281"/>
    <mergeCell ref="J1281:L1281"/>
  </mergeCells>
  <pageMargins left="0.7" right="0.7" top="0.75" bottom="0.75" header="0.3" footer="0.3"/>
  <pageSetup paperSize="9" scale="78" orientation="landscape" r:id="rId1"/>
  <rowBreaks count="1" manualBreakCount="1">
    <brk id="38" max="20" man="1"/>
  </rowBreaks>
  <colBreaks count="1" manualBreakCount="1">
    <brk id="21" max="1048575" man="1"/>
  </colBreaks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63"/>
  <dimension ref="A1:AU54"/>
  <sheetViews>
    <sheetView showGridLines="0" zoomScale="85" zoomScaleNormal="85" workbookViewId="0"/>
  </sheetViews>
  <sheetFormatPr defaultColWidth="9.140625" defaultRowHeight="12.75" x14ac:dyDescent="0.2"/>
  <cols>
    <col min="1" max="1" width="39.28515625" customWidth="1"/>
    <col min="2" max="4" width="4.140625" bestFit="1" customWidth="1"/>
    <col min="5" max="5" width="5.7109375" bestFit="1" customWidth="1"/>
    <col min="6" max="6" width="2.85546875" customWidth="1"/>
    <col min="7" max="9" width="4.140625" bestFit="1" customWidth="1"/>
    <col min="10" max="10" width="5.7109375" bestFit="1" customWidth="1"/>
    <col min="11" max="11" width="2.85546875" customWidth="1"/>
    <col min="12" max="14" width="4.140625" bestFit="1" customWidth="1"/>
    <col min="15" max="15" width="5.7109375" bestFit="1" customWidth="1"/>
    <col min="16" max="16" width="6.7109375" customWidth="1"/>
    <col min="17" max="17" width="39.28515625" customWidth="1"/>
    <col min="18" max="18" width="6.7109375" customWidth="1"/>
    <col min="19" max="20" width="5.7109375" customWidth="1"/>
    <col min="21" max="21" width="6.7109375" customWidth="1"/>
    <col min="22" max="22" width="2.85546875" customWidth="1"/>
    <col min="23" max="23" width="6.7109375" customWidth="1"/>
    <col min="24" max="25" width="5.7109375" customWidth="1"/>
    <col min="26" max="26" width="6.7109375" customWidth="1"/>
    <col min="27" max="27" width="2.85546875" customWidth="1"/>
    <col min="28" max="29" width="6.7109375" customWidth="1"/>
    <col min="30" max="30" width="5.7109375" customWidth="1"/>
    <col min="31" max="31" width="6.7109375" customWidth="1"/>
    <col min="32" max="32" width="6.85546875" customWidth="1"/>
    <col min="33" max="33" width="39.28515625" customWidth="1"/>
    <col min="34" max="34" width="6.7109375" customWidth="1"/>
    <col min="35" max="36" width="5.7109375" customWidth="1"/>
    <col min="37" max="37" width="6.7109375" customWidth="1"/>
    <col min="38" max="38" width="2.85546875" customWidth="1"/>
    <col min="39" max="39" width="6.7109375" customWidth="1"/>
    <col min="40" max="41" width="5.7109375" customWidth="1"/>
    <col min="42" max="42" width="6.7109375" customWidth="1"/>
    <col min="43" max="43" width="2.85546875" customWidth="1"/>
    <col min="44" max="45" width="6.7109375" customWidth="1"/>
    <col min="46" max="46" width="5.7109375" customWidth="1"/>
    <col min="47" max="47" width="6.7109375" customWidth="1"/>
  </cols>
  <sheetData>
    <row r="1" spans="1:47" ht="15.75" x14ac:dyDescent="0.25">
      <c r="A1" s="18" t="str">
        <f>CONCATENATE("Occupation Table 5  Employment Change by Status (SOC 2020), ",B$5,"-",L$5,", ",Info!B5)</f>
        <v>Occupation Table 5  Employment Change by Status (SOC 2020), 2015-2035, North East</v>
      </c>
      <c r="Q1" s="18" t="str">
        <f>CONCATENATE("Occupation Table 5.1  Males: Employment Change by Status (SOC 2020), ",B$5,"-",L$5,", ",Info!B5)</f>
        <v>Occupation Table 5.1  Males: Employment Change by Status (SOC 2020), 2015-2035, North East</v>
      </c>
      <c r="AG1" s="18" t="str">
        <f>CONCATENATE("Occupation Table 5.2  Females: Employment Change by Status (SOC 2020), ",R$5,"-",AB$5,", ",Info!B5)</f>
        <v>Occupation Table 5.2  Females: Employment Change by Status (SOC 2020), 2015-2035, North East</v>
      </c>
    </row>
    <row r="2" spans="1:47" x14ac:dyDescent="0.2">
      <c r="A2" s="1" t="s">
        <v>536</v>
      </c>
    </row>
    <row r="3" spans="1:47" x14ac:dyDescent="0.2">
      <c r="O3" s="15" t="s">
        <v>35</v>
      </c>
      <c r="AE3" s="15" t="s">
        <v>35</v>
      </c>
      <c r="AU3" s="15" t="s">
        <v>35</v>
      </c>
    </row>
    <row r="4" spans="1:47" x14ac:dyDescent="0.2">
      <c r="A4" s="35"/>
      <c r="B4" s="35"/>
      <c r="C4" s="35"/>
      <c r="D4" s="35"/>
      <c r="E4" s="35"/>
      <c r="F4" s="35"/>
      <c r="G4" s="35"/>
      <c r="H4" s="35"/>
      <c r="I4" s="35"/>
      <c r="J4" s="35"/>
      <c r="K4" s="35"/>
      <c r="L4" s="35"/>
      <c r="M4" s="35"/>
      <c r="N4" s="35"/>
      <c r="O4" s="35"/>
      <c r="Q4" s="35"/>
      <c r="R4" s="35"/>
      <c r="S4" s="35"/>
      <c r="T4" s="35"/>
      <c r="U4" s="35"/>
      <c r="V4" s="35"/>
      <c r="W4" s="35"/>
      <c r="X4" s="35"/>
      <c r="Y4" s="35"/>
      <c r="Z4" s="35"/>
      <c r="AA4" s="35"/>
      <c r="AB4" s="35"/>
      <c r="AC4" s="35"/>
      <c r="AD4" s="35"/>
      <c r="AE4" s="35"/>
      <c r="AG4" s="35"/>
      <c r="AH4" s="35"/>
      <c r="AI4" s="35"/>
      <c r="AJ4" s="35"/>
      <c r="AK4" s="35"/>
      <c r="AL4" s="35"/>
      <c r="AM4" s="35"/>
      <c r="AN4" s="35"/>
      <c r="AO4" s="35"/>
      <c r="AP4" s="35"/>
      <c r="AQ4" s="35"/>
      <c r="AR4" s="35"/>
      <c r="AS4" s="35"/>
      <c r="AT4" s="35"/>
      <c r="AU4" s="35"/>
    </row>
    <row r="5" spans="1:47" x14ac:dyDescent="0.2">
      <c r="B5" s="375">
        <v>2015</v>
      </c>
      <c r="C5" s="375"/>
      <c r="D5" s="375"/>
      <c r="E5" s="375"/>
      <c r="F5" s="1"/>
      <c r="G5" s="375">
        <v>2020</v>
      </c>
      <c r="H5" s="375"/>
      <c r="I5" s="375"/>
      <c r="J5" s="375"/>
      <c r="K5" s="1"/>
      <c r="L5" s="375">
        <v>2035</v>
      </c>
      <c r="M5" s="375"/>
      <c r="N5" s="375"/>
      <c r="O5" s="375"/>
      <c r="R5" s="375">
        <f>B5</f>
        <v>2015</v>
      </c>
      <c r="S5" s="375"/>
      <c r="T5" s="375"/>
      <c r="U5" s="375"/>
      <c r="V5" s="1"/>
      <c r="W5" s="375">
        <f>G5</f>
        <v>2020</v>
      </c>
      <c r="X5" s="375"/>
      <c r="Y5" s="375"/>
      <c r="Z5" s="375"/>
      <c r="AA5" s="1"/>
      <c r="AB5" s="375">
        <f>L5</f>
        <v>2035</v>
      </c>
      <c r="AC5" s="375"/>
      <c r="AD5" s="375"/>
      <c r="AE5" s="375"/>
      <c r="AH5" s="375">
        <f>B5</f>
        <v>2015</v>
      </c>
      <c r="AI5" s="375"/>
      <c r="AJ5" s="375"/>
      <c r="AK5" s="375"/>
      <c r="AL5" s="1"/>
      <c r="AM5" s="375">
        <f>G5</f>
        <v>2020</v>
      </c>
      <c r="AN5" s="375"/>
      <c r="AO5" s="375"/>
      <c r="AP5" s="375"/>
      <c r="AQ5" s="1"/>
      <c r="AR5" s="375">
        <f>L5</f>
        <v>2035</v>
      </c>
      <c r="AS5" s="375"/>
      <c r="AT5" s="375"/>
      <c r="AU5" s="375"/>
    </row>
    <row r="6" spans="1:47" x14ac:dyDescent="0.2">
      <c r="A6" s="40" t="s">
        <v>13</v>
      </c>
      <c r="B6" s="337" t="s">
        <v>339</v>
      </c>
      <c r="C6" s="337" t="s">
        <v>341</v>
      </c>
      <c r="D6" s="337" t="s">
        <v>337</v>
      </c>
      <c r="E6" s="337" t="s">
        <v>32</v>
      </c>
      <c r="F6" s="338"/>
      <c r="G6" s="337" t="s">
        <v>339</v>
      </c>
      <c r="H6" s="337" t="s">
        <v>341</v>
      </c>
      <c r="I6" s="337" t="s">
        <v>337</v>
      </c>
      <c r="J6" s="337" t="s">
        <v>32</v>
      </c>
      <c r="K6" s="338"/>
      <c r="L6" s="337" t="s">
        <v>339</v>
      </c>
      <c r="M6" s="337" t="s">
        <v>341</v>
      </c>
      <c r="N6" s="337" t="s">
        <v>337</v>
      </c>
      <c r="O6" s="337" t="s">
        <v>32</v>
      </c>
      <c r="Q6" s="40" t="s">
        <v>13</v>
      </c>
      <c r="R6" s="337" t="s">
        <v>339</v>
      </c>
      <c r="S6" s="337" t="s">
        <v>341</v>
      </c>
      <c r="T6" s="337" t="s">
        <v>337</v>
      </c>
      <c r="U6" s="337" t="s">
        <v>32</v>
      </c>
      <c r="V6" s="338"/>
      <c r="W6" s="337" t="s">
        <v>339</v>
      </c>
      <c r="X6" s="337" t="s">
        <v>341</v>
      </c>
      <c r="Y6" s="337" t="s">
        <v>337</v>
      </c>
      <c r="Z6" s="337" t="s">
        <v>32</v>
      </c>
      <c r="AA6" s="338"/>
      <c r="AB6" s="337" t="s">
        <v>339</v>
      </c>
      <c r="AC6" s="337" t="s">
        <v>341</v>
      </c>
      <c r="AD6" s="337" t="s">
        <v>337</v>
      </c>
      <c r="AE6" s="337" t="s">
        <v>32</v>
      </c>
      <c r="AG6" s="40" t="s">
        <v>13</v>
      </c>
      <c r="AH6" s="337" t="s">
        <v>339</v>
      </c>
      <c r="AI6" s="337" t="s">
        <v>341</v>
      </c>
      <c r="AJ6" s="337" t="s">
        <v>337</v>
      </c>
      <c r="AK6" s="337" t="s">
        <v>32</v>
      </c>
      <c r="AL6" s="338"/>
      <c r="AM6" s="337" t="s">
        <v>339</v>
      </c>
      <c r="AN6" s="337" t="s">
        <v>341</v>
      </c>
      <c r="AO6" s="337" t="s">
        <v>337</v>
      </c>
      <c r="AP6" s="337" t="s">
        <v>32</v>
      </c>
      <c r="AQ6" s="338"/>
      <c r="AR6" s="337" t="s">
        <v>339</v>
      </c>
      <c r="AS6" s="337" t="s">
        <v>341</v>
      </c>
      <c r="AT6" s="337" t="s">
        <v>337</v>
      </c>
      <c r="AU6" s="337" t="s">
        <v>32</v>
      </c>
    </row>
    <row r="7" spans="1:47" x14ac:dyDescent="0.2"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S7" s="10"/>
      <c r="T7" s="10"/>
      <c r="U7" s="10"/>
      <c r="V7" s="10"/>
      <c r="W7" s="10"/>
      <c r="X7" s="10"/>
      <c r="Y7" s="10"/>
      <c r="Z7" s="10"/>
      <c r="AA7" s="10"/>
      <c r="AB7" s="10"/>
      <c r="AC7" s="10"/>
      <c r="AD7" s="10"/>
      <c r="AE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</row>
    <row r="8" spans="1:47" x14ac:dyDescent="0.2">
      <c r="A8" t="str">
        <f>name!E4</f>
        <v>Managers, directors and senior officials</v>
      </c>
      <c r="B8" s="11">
        <v>59.668305549938495</v>
      </c>
      <c r="C8" s="11">
        <v>8.1097843632303075</v>
      </c>
      <c r="D8" s="11">
        <v>20.798503161229732</v>
      </c>
      <c r="E8" s="11">
        <f>SUM(B8:D8)</f>
        <v>88.576593074398531</v>
      </c>
      <c r="F8" s="11"/>
      <c r="G8" s="11">
        <v>68.531623367185475</v>
      </c>
      <c r="H8" s="11">
        <v>11.795020684687943</v>
      </c>
      <c r="I8" s="11">
        <v>19.401104032383838</v>
      </c>
      <c r="J8" s="11">
        <f>SUM(G8:I8)</f>
        <v>99.727748084257257</v>
      </c>
      <c r="K8" s="11"/>
      <c r="L8" s="11">
        <v>79.396207067646259</v>
      </c>
      <c r="M8" s="11">
        <v>15.509763234753017</v>
      </c>
      <c r="N8" s="11">
        <v>21.203913722539301</v>
      </c>
      <c r="O8" s="11">
        <f>SUM(L8:N8)</f>
        <v>116.10988402493858</v>
      </c>
      <c r="Q8" s="10" t="str">
        <f>name!E4</f>
        <v>Managers, directors and senior officials</v>
      </c>
      <c r="R8" s="11">
        <v>41.839978778626211</v>
      </c>
      <c r="S8" s="11">
        <v>2.6700199879887543</v>
      </c>
      <c r="T8" s="11">
        <v>12.964612875464702</v>
      </c>
      <c r="U8" s="11">
        <f>SUM(R8:T8)</f>
        <v>57.474611642079665</v>
      </c>
      <c r="V8" s="11"/>
      <c r="W8" s="11">
        <v>47.371818689112494</v>
      </c>
      <c r="X8" s="11">
        <v>4.131891429866724</v>
      </c>
      <c r="Y8" s="11">
        <v>9.8387168207513742</v>
      </c>
      <c r="Z8" s="11">
        <f>SUM(W8:Y8)</f>
        <v>61.342426939730593</v>
      </c>
      <c r="AA8" s="11"/>
      <c r="AB8" s="11">
        <v>50.952475995861747</v>
      </c>
      <c r="AC8" s="11">
        <v>5.9322493323558358</v>
      </c>
      <c r="AD8" s="11">
        <v>11.701423777329623</v>
      </c>
      <c r="AE8" s="11">
        <f>SUM(AB8:AD8)</f>
        <v>68.586149105547207</v>
      </c>
      <c r="AG8" s="10" t="str">
        <f>name!E4</f>
        <v>Managers, directors and senior officials</v>
      </c>
      <c r="AH8" s="11">
        <v>17.828326771312245</v>
      </c>
      <c r="AI8" s="11">
        <v>5.4397643752415492</v>
      </c>
      <c r="AJ8" s="11">
        <v>7.8338902857650012</v>
      </c>
      <c r="AK8" s="11">
        <f>SUM(AH8:AJ8)</f>
        <v>31.101981432318794</v>
      </c>
      <c r="AL8" s="11"/>
      <c r="AM8" s="11">
        <v>21.15980467807298</v>
      </c>
      <c r="AN8" s="11">
        <v>7.6631292548212135</v>
      </c>
      <c r="AO8" s="11">
        <v>9.5623872116324691</v>
      </c>
      <c r="AP8" s="11">
        <f>SUM(AM8:AO8)</f>
        <v>38.385321144526664</v>
      </c>
      <c r="AQ8" s="11"/>
      <c r="AR8" s="11">
        <v>28.443731071784605</v>
      </c>
      <c r="AS8" s="11">
        <v>9.5775139023971789</v>
      </c>
      <c r="AT8" s="11">
        <v>9.5024899452096925</v>
      </c>
      <c r="AU8" s="11">
        <f>SUM(AR8:AT8)</f>
        <v>47.523734919391472</v>
      </c>
    </row>
    <row r="9" spans="1:47" x14ac:dyDescent="0.2">
      <c r="A9" t="str">
        <f>name!E5</f>
        <v>Professional occupations</v>
      </c>
      <c r="B9" s="11">
        <v>166.60605452811561</v>
      </c>
      <c r="C9" s="11">
        <v>43.057176834973959</v>
      </c>
      <c r="D9" s="11">
        <v>21.827493824663353</v>
      </c>
      <c r="E9" s="11">
        <f t="shared" ref="E9:E18" si="0">SUM(B9:D9)</f>
        <v>231.4907251877529</v>
      </c>
      <c r="F9" s="11"/>
      <c r="G9" s="11">
        <v>184.30839631233158</v>
      </c>
      <c r="H9" s="11">
        <v>52.556920262649371</v>
      </c>
      <c r="I9" s="11">
        <v>17.888920506748356</v>
      </c>
      <c r="J9" s="11">
        <f t="shared" ref="J9:J16" si="1">SUM(G9:I9)</f>
        <v>254.75423708172931</v>
      </c>
      <c r="K9" s="11"/>
      <c r="L9" s="11">
        <v>223.95760901385901</v>
      </c>
      <c r="M9" s="11">
        <v>67.09752256860375</v>
      </c>
      <c r="N9" s="11">
        <v>15.731971310891081</v>
      </c>
      <c r="O9" s="11">
        <f t="shared" ref="O9:O16" si="2">SUM(L9:N9)</f>
        <v>306.78710289335385</v>
      </c>
      <c r="Q9" s="10" t="str">
        <f>name!E5</f>
        <v>Professional occupations</v>
      </c>
      <c r="R9" s="11">
        <v>92.430111251436813</v>
      </c>
      <c r="S9" s="11">
        <v>6.3340299254765267</v>
      </c>
      <c r="T9" s="11">
        <v>13.620890259983135</v>
      </c>
      <c r="U9" s="11">
        <f t="shared" ref="U9:U16" si="3">SUM(R9:T9)</f>
        <v>112.38503143689647</v>
      </c>
      <c r="V9" s="11"/>
      <c r="W9" s="11">
        <v>98.810700285471881</v>
      </c>
      <c r="X9" s="11">
        <v>8.950737762148874</v>
      </c>
      <c r="Y9" s="11">
        <v>8.3758610855053455</v>
      </c>
      <c r="Z9" s="11">
        <f t="shared" ref="Z9:Z16" si="4">SUM(W9:Y9)</f>
        <v>116.13729913312611</v>
      </c>
      <c r="AA9" s="11"/>
      <c r="AB9" s="11">
        <v>114.27608015436476</v>
      </c>
      <c r="AC9" s="11">
        <v>11.798892052219626</v>
      </c>
      <c r="AD9" s="11">
        <v>7.2805283570131545</v>
      </c>
      <c r="AE9" s="11">
        <f t="shared" ref="AE9:AE16" si="5">SUM(AB9:AD9)</f>
        <v>133.35550056359756</v>
      </c>
      <c r="AG9" s="10" t="str">
        <f>name!E5</f>
        <v>Professional occupations</v>
      </c>
      <c r="AH9" s="11">
        <v>74.175943276678666</v>
      </c>
      <c r="AI9" s="11">
        <v>36.723146909497423</v>
      </c>
      <c r="AJ9" s="11">
        <v>8.2066035646802149</v>
      </c>
      <c r="AK9" s="11">
        <f t="shared" ref="AK9:AK18" si="6">SUM(AH9:AJ9)</f>
        <v>119.10569375085632</v>
      </c>
      <c r="AL9" s="11"/>
      <c r="AM9" s="11">
        <v>85.4976960268596</v>
      </c>
      <c r="AN9" s="11">
        <v>43.606182500500509</v>
      </c>
      <c r="AO9" s="11">
        <v>9.5130594212429926</v>
      </c>
      <c r="AP9" s="11">
        <f t="shared" ref="AP9:AP18" si="7">SUM(AM9:AO9)</f>
        <v>138.61693794860309</v>
      </c>
      <c r="AQ9" s="11"/>
      <c r="AR9" s="11">
        <v>109.68152885949422</v>
      </c>
      <c r="AS9" s="11">
        <v>55.298630516384108</v>
      </c>
      <c r="AT9" s="11">
        <v>8.4514429538779261</v>
      </c>
      <c r="AU9" s="11">
        <f t="shared" ref="AU9:AU18" si="8">SUM(AR9:AT9)</f>
        <v>173.43160232975623</v>
      </c>
    </row>
    <row r="10" spans="1:47" x14ac:dyDescent="0.2">
      <c r="A10" t="str">
        <f>name!E6</f>
        <v>Associate professional occupations</v>
      </c>
      <c r="B10" s="11">
        <v>86.885487632929426</v>
      </c>
      <c r="C10" s="11">
        <v>24.904720012354986</v>
      </c>
      <c r="D10" s="11">
        <v>17.276945942936777</v>
      </c>
      <c r="E10" s="11">
        <f t="shared" si="0"/>
        <v>129.06715358822117</v>
      </c>
      <c r="F10" s="11"/>
      <c r="G10" s="11">
        <v>96.612708573503269</v>
      </c>
      <c r="H10" s="11">
        <v>29.178862974781957</v>
      </c>
      <c r="I10" s="11">
        <v>14.480580788317061</v>
      </c>
      <c r="J10" s="11">
        <f t="shared" si="1"/>
        <v>140.27215233660229</v>
      </c>
      <c r="K10" s="11"/>
      <c r="L10" s="11">
        <v>100.68637068690262</v>
      </c>
      <c r="M10" s="11">
        <v>31.905736484781087</v>
      </c>
      <c r="N10" s="11">
        <v>14.266082506799489</v>
      </c>
      <c r="O10" s="11">
        <f t="shared" si="2"/>
        <v>146.8581896784832</v>
      </c>
      <c r="Q10" s="10" t="str">
        <f>name!E6</f>
        <v>Associate professional occupations</v>
      </c>
      <c r="R10" s="11">
        <v>53.70887925133227</v>
      </c>
      <c r="S10" s="11">
        <v>4.4707181901656101</v>
      </c>
      <c r="T10" s="11">
        <v>8.543110675823252</v>
      </c>
      <c r="U10" s="11">
        <f t="shared" si="3"/>
        <v>66.722708117321133</v>
      </c>
      <c r="V10" s="11"/>
      <c r="W10" s="11">
        <v>58.975012891375677</v>
      </c>
      <c r="X10" s="11">
        <v>6.2182762759336132</v>
      </c>
      <c r="Y10" s="11">
        <v>6.64889969605166</v>
      </c>
      <c r="Z10" s="11">
        <f t="shared" si="4"/>
        <v>71.842188863360946</v>
      </c>
      <c r="AA10" s="11"/>
      <c r="AB10" s="11">
        <v>55.373256691472463</v>
      </c>
      <c r="AC10" s="11">
        <v>5.6912635682126256</v>
      </c>
      <c r="AD10" s="11">
        <v>6.5970690489302681</v>
      </c>
      <c r="AE10" s="11">
        <f t="shared" si="5"/>
        <v>67.661589308615362</v>
      </c>
      <c r="AG10" s="10" t="str">
        <f>name!E6</f>
        <v>Associate professional occupations</v>
      </c>
      <c r="AH10" s="11">
        <v>33.176608381597184</v>
      </c>
      <c r="AI10" s="11">
        <v>20.434001822189373</v>
      </c>
      <c r="AJ10" s="11">
        <v>8.7338352671135215</v>
      </c>
      <c r="AK10" s="11">
        <f t="shared" si="6"/>
        <v>62.344445470900077</v>
      </c>
      <c r="AL10" s="11"/>
      <c r="AM10" s="11">
        <v>37.637695682127635</v>
      </c>
      <c r="AN10" s="11">
        <v>22.960586698848346</v>
      </c>
      <c r="AO10" s="11">
        <v>7.8316810922654048</v>
      </c>
      <c r="AP10" s="11">
        <f t="shared" si="7"/>
        <v>68.429963473241386</v>
      </c>
      <c r="AQ10" s="11"/>
      <c r="AR10" s="11">
        <v>45.313113995430122</v>
      </c>
      <c r="AS10" s="11">
        <v>26.214472916568457</v>
      </c>
      <c r="AT10" s="11">
        <v>7.6690134578692275</v>
      </c>
      <c r="AU10" s="11">
        <f t="shared" si="8"/>
        <v>79.196600369867809</v>
      </c>
    </row>
    <row r="11" spans="1:47" x14ac:dyDescent="0.2">
      <c r="A11" t="str">
        <f>name!E7</f>
        <v>Administrative and secretarial occupations</v>
      </c>
      <c r="B11" s="11">
        <v>80.0907624745156</v>
      </c>
      <c r="C11" s="11">
        <v>53.550412779968859</v>
      </c>
      <c r="D11" s="11">
        <v>6.1096100512876816</v>
      </c>
      <c r="E11" s="11">
        <f t="shared" si="0"/>
        <v>139.75078530577215</v>
      </c>
      <c r="F11" s="11"/>
      <c r="G11" s="11">
        <v>76.700476717735157</v>
      </c>
      <c r="H11" s="11">
        <v>51.26393824402227</v>
      </c>
      <c r="I11" s="11">
        <v>4.7266791735280425</v>
      </c>
      <c r="J11" s="11">
        <f t="shared" si="1"/>
        <v>132.69109413528548</v>
      </c>
      <c r="K11" s="11"/>
      <c r="L11" s="11">
        <v>67.601534741337616</v>
      </c>
      <c r="M11" s="11">
        <v>43.501339017245542</v>
      </c>
      <c r="N11" s="11">
        <v>6.1203270189205448</v>
      </c>
      <c r="O11" s="11">
        <f t="shared" si="2"/>
        <v>117.22320077750371</v>
      </c>
      <c r="Q11" s="10" t="str">
        <f>name!E7</f>
        <v>Administrative and secretarial occupations</v>
      </c>
      <c r="R11" s="11">
        <v>28.479473035753379</v>
      </c>
      <c r="S11" s="11">
        <v>5.9585084337051004</v>
      </c>
      <c r="T11" s="11">
        <v>2.0069911710657928</v>
      </c>
      <c r="U11" s="11">
        <f t="shared" si="3"/>
        <v>36.44497264052427</v>
      </c>
      <c r="V11" s="11"/>
      <c r="W11" s="11">
        <v>30.103253828917556</v>
      </c>
      <c r="X11" s="11">
        <v>7.0664307761791418</v>
      </c>
      <c r="Y11" s="11">
        <v>1.2303699681563041</v>
      </c>
      <c r="Z11" s="11">
        <f t="shared" si="4"/>
        <v>38.400054573253001</v>
      </c>
      <c r="AA11" s="11"/>
      <c r="AB11" s="11">
        <v>32.072827016229638</v>
      </c>
      <c r="AC11" s="11">
        <v>7.0783404459036614</v>
      </c>
      <c r="AD11" s="11">
        <v>1.850319885094357</v>
      </c>
      <c r="AE11" s="11">
        <f t="shared" si="5"/>
        <v>41.001487347227659</v>
      </c>
      <c r="AG11" s="10" t="str">
        <f>name!E7</f>
        <v>Administrative and secretarial occupations</v>
      </c>
      <c r="AH11" s="11">
        <v>51.611289438762192</v>
      </c>
      <c r="AI11" s="11">
        <v>47.591904346263746</v>
      </c>
      <c r="AJ11" s="11">
        <v>4.1026188802218986</v>
      </c>
      <c r="AK11" s="11">
        <f t="shared" si="6"/>
        <v>103.30581266524784</v>
      </c>
      <c r="AL11" s="11"/>
      <c r="AM11" s="11">
        <v>46.597222888817633</v>
      </c>
      <c r="AN11" s="11">
        <v>44.197507467843096</v>
      </c>
      <c r="AO11" s="11">
        <v>3.4963092053717384</v>
      </c>
      <c r="AP11" s="11">
        <f t="shared" si="7"/>
        <v>94.291039562032466</v>
      </c>
      <c r="AQ11" s="11"/>
      <c r="AR11" s="11">
        <v>35.528707725107935</v>
      </c>
      <c r="AS11" s="11">
        <v>36.422998571341893</v>
      </c>
      <c r="AT11" s="11">
        <v>4.2700071338261925</v>
      </c>
      <c r="AU11" s="11">
        <f t="shared" si="8"/>
        <v>76.221713430276026</v>
      </c>
    </row>
    <row r="12" spans="1:47" x14ac:dyDescent="0.2">
      <c r="A12" t="str">
        <f>name!E8</f>
        <v>Skilled trades occupations</v>
      </c>
      <c r="B12" s="11">
        <v>88.566473820820917</v>
      </c>
      <c r="C12" s="11">
        <v>10.928168438048258</v>
      </c>
      <c r="D12" s="11">
        <v>31.601590732125011</v>
      </c>
      <c r="E12" s="11">
        <f t="shared" si="0"/>
        <v>131.0962329909942</v>
      </c>
      <c r="F12" s="11"/>
      <c r="G12" s="11">
        <v>72.388256809060707</v>
      </c>
      <c r="H12" s="11">
        <v>8.9353156812427219</v>
      </c>
      <c r="I12" s="11">
        <v>28.71875183972859</v>
      </c>
      <c r="J12" s="11">
        <f t="shared" si="1"/>
        <v>110.04232433003202</v>
      </c>
      <c r="K12" s="11"/>
      <c r="L12" s="11">
        <v>60.537777433026712</v>
      </c>
      <c r="M12" s="11">
        <v>9.8130308717467543</v>
      </c>
      <c r="N12" s="11">
        <v>29.676555895727944</v>
      </c>
      <c r="O12" s="11">
        <f t="shared" si="2"/>
        <v>100.02736420050141</v>
      </c>
      <c r="Q12" s="10" t="str">
        <f>name!E8</f>
        <v>Skilled trades occupations</v>
      </c>
      <c r="R12" s="11">
        <v>83.523788850030627</v>
      </c>
      <c r="S12" s="11">
        <v>6.7237586367289133</v>
      </c>
      <c r="T12" s="11">
        <v>27.184384284233726</v>
      </c>
      <c r="U12" s="11">
        <f t="shared" si="3"/>
        <v>117.43193177099327</v>
      </c>
      <c r="V12" s="11"/>
      <c r="W12" s="11">
        <v>66.770671100958566</v>
      </c>
      <c r="X12" s="11">
        <v>5.2993382436453995</v>
      </c>
      <c r="Y12" s="11">
        <v>24.031788352059817</v>
      </c>
      <c r="Z12" s="11">
        <f t="shared" si="4"/>
        <v>96.10179769666378</v>
      </c>
      <c r="AA12" s="11"/>
      <c r="AB12" s="11">
        <v>54.60018293969619</v>
      </c>
      <c r="AC12" s="11">
        <v>5.98988993793456</v>
      </c>
      <c r="AD12" s="11">
        <v>23.730490685178754</v>
      </c>
      <c r="AE12" s="11">
        <f t="shared" si="5"/>
        <v>84.320563562809497</v>
      </c>
      <c r="AG12" s="10" t="str">
        <f>name!E8</f>
        <v>Skilled trades occupations</v>
      </c>
      <c r="AH12" s="11">
        <v>5.0426849707902699</v>
      </c>
      <c r="AI12" s="11">
        <v>4.204409801319354</v>
      </c>
      <c r="AJ12" s="11">
        <v>4.4172064478913002</v>
      </c>
      <c r="AK12" s="11">
        <f t="shared" si="6"/>
        <v>13.664301220000922</v>
      </c>
      <c r="AL12" s="11"/>
      <c r="AM12" s="11">
        <v>5.6175857081021752</v>
      </c>
      <c r="AN12" s="11">
        <v>3.6359774375973117</v>
      </c>
      <c r="AO12" s="11">
        <v>4.6869634876687725</v>
      </c>
      <c r="AP12" s="11">
        <f t="shared" si="7"/>
        <v>13.940526633368261</v>
      </c>
      <c r="AQ12" s="11"/>
      <c r="AR12" s="11">
        <v>5.9375944933305416</v>
      </c>
      <c r="AS12" s="11">
        <v>3.823140933812192</v>
      </c>
      <c r="AT12" s="11">
        <v>5.9460652105491736</v>
      </c>
      <c r="AU12" s="11">
        <f t="shared" si="8"/>
        <v>15.706800637691908</v>
      </c>
    </row>
    <row r="13" spans="1:47" x14ac:dyDescent="0.2">
      <c r="A13" t="str">
        <f>name!E9</f>
        <v>Caring, leisure and other service occupations</v>
      </c>
      <c r="B13" s="11">
        <v>58.145062282232125</v>
      </c>
      <c r="C13" s="11">
        <v>49.233398260550956</v>
      </c>
      <c r="D13" s="11">
        <v>10.091897763749511</v>
      </c>
      <c r="E13" s="11">
        <f t="shared" si="0"/>
        <v>117.47035830653259</v>
      </c>
      <c r="F13" s="11"/>
      <c r="G13" s="11">
        <v>54.619425494335623</v>
      </c>
      <c r="H13" s="11">
        <v>48.471235483663122</v>
      </c>
      <c r="I13" s="11">
        <v>10.344835070867594</v>
      </c>
      <c r="J13" s="11">
        <f t="shared" si="1"/>
        <v>113.43549604886633</v>
      </c>
      <c r="K13" s="11"/>
      <c r="L13" s="11">
        <v>61.11591695209578</v>
      </c>
      <c r="M13" s="11">
        <v>52.017961246359221</v>
      </c>
      <c r="N13" s="11">
        <v>11.642739252699727</v>
      </c>
      <c r="O13" s="11">
        <f t="shared" si="2"/>
        <v>124.77661745115472</v>
      </c>
      <c r="Q13" s="10" t="str">
        <f>name!E9</f>
        <v>Caring, leisure and other service occupations</v>
      </c>
      <c r="R13" s="11">
        <v>12.598897617015114</v>
      </c>
      <c r="S13" s="11">
        <v>5.6661015445930349</v>
      </c>
      <c r="T13" s="11">
        <v>1.8639001206098642</v>
      </c>
      <c r="U13" s="11">
        <f t="shared" si="3"/>
        <v>20.128899282218011</v>
      </c>
      <c r="V13" s="11"/>
      <c r="W13" s="11">
        <v>12.725715364731828</v>
      </c>
      <c r="X13" s="11">
        <v>6.6549747691977466</v>
      </c>
      <c r="Y13" s="11">
        <v>1.1664507537058131</v>
      </c>
      <c r="Z13" s="11">
        <f t="shared" si="4"/>
        <v>20.54714088763539</v>
      </c>
      <c r="AA13" s="11"/>
      <c r="AB13" s="11">
        <v>15.106003508518739</v>
      </c>
      <c r="AC13" s="11">
        <v>8.0562710387907988</v>
      </c>
      <c r="AD13" s="11">
        <v>1.8032301108959354</v>
      </c>
      <c r="AE13" s="11">
        <f t="shared" si="5"/>
        <v>24.965504658205472</v>
      </c>
      <c r="AG13" s="10" t="str">
        <f>name!E9</f>
        <v>Caring, leisure and other service occupations</v>
      </c>
      <c r="AH13" s="11">
        <v>45.546164665216999</v>
      </c>
      <c r="AI13" s="11">
        <v>43.56729671595793</v>
      </c>
      <c r="AJ13" s="11">
        <v>8.2279976431396502</v>
      </c>
      <c r="AK13" s="11">
        <f t="shared" si="6"/>
        <v>97.341459024314574</v>
      </c>
      <c r="AL13" s="11"/>
      <c r="AM13" s="11">
        <v>41.893710129603797</v>
      </c>
      <c r="AN13" s="11">
        <v>41.816260714465365</v>
      </c>
      <c r="AO13" s="11">
        <v>9.1783843171617789</v>
      </c>
      <c r="AP13" s="11">
        <f t="shared" si="7"/>
        <v>92.888355161230947</v>
      </c>
      <c r="AQ13" s="11"/>
      <c r="AR13" s="11">
        <v>46.009913443577048</v>
      </c>
      <c r="AS13" s="11">
        <v>43.961690207568402</v>
      </c>
      <c r="AT13" s="11">
        <v>9.8395091418037914</v>
      </c>
      <c r="AU13" s="11">
        <f t="shared" si="8"/>
        <v>99.811112792949231</v>
      </c>
    </row>
    <row r="14" spans="1:47" x14ac:dyDescent="0.2">
      <c r="A14" t="str">
        <f>name!E10</f>
        <v>Sales and customer service occupations</v>
      </c>
      <c r="B14" s="11">
        <v>49.564338851576615</v>
      </c>
      <c r="C14" s="11">
        <v>77.240864059307555</v>
      </c>
      <c r="D14" s="11">
        <v>8.9842015203953753</v>
      </c>
      <c r="E14" s="11">
        <f t="shared" si="0"/>
        <v>135.78940443127954</v>
      </c>
      <c r="F14" s="11"/>
      <c r="G14" s="11">
        <v>47.0889999104309</v>
      </c>
      <c r="H14" s="11">
        <v>73.700243160154628</v>
      </c>
      <c r="I14" s="11">
        <v>5.1734806130606001</v>
      </c>
      <c r="J14" s="11">
        <f t="shared" si="1"/>
        <v>125.96272368364613</v>
      </c>
      <c r="K14" s="11"/>
      <c r="L14" s="11">
        <v>49.517618451439873</v>
      </c>
      <c r="M14" s="11">
        <v>74.974988609920203</v>
      </c>
      <c r="N14" s="11">
        <v>4.1983956492604042</v>
      </c>
      <c r="O14" s="11">
        <f t="shared" si="2"/>
        <v>128.69100271062047</v>
      </c>
      <c r="Q14" s="10" t="str">
        <f>name!E10</f>
        <v>Sales and customer service occupations</v>
      </c>
      <c r="R14" s="11">
        <v>17.616583650626925</v>
      </c>
      <c r="S14" s="11">
        <v>20.826976440126192</v>
      </c>
      <c r="T14" s="11">
        <v>5.043045408629161</v>
      </c>
      <c r="U14" s="11">
        <f t="shared" si="3"/>
        <v>43.486605499382279</v>
      </c>
      <c r="V14" s="11"/>
      <c r="W14" s="11">
        <v>19.120832602943523</v>
      </c>
      <c r="X14" s="11">
        <v>20.387071991335795</v>
      </c>
      <c r="Y14" s="11">
        <v>2.74979418264647</v>
      </c>
      <c r="Z14" s="11">
        <f t="shared" si="4"/>
        <v>42.257698776925785</v>
      </c>
      <c r="AA14" s="11"/>
      <c r="AB14" s="11">
        <v>22.314211576147468</v>
      </c>
      <c r="AC14" s="11">
        <v>21.87320481082077</v>
      </c>
      <c r="AD14" s="11">
        <v>2.3912311028796784</v>
      </c>
      <c r="AE14" s="11">
        <f t="shared" si="5"/>
        <v>46.578647489847917</v>
      </c>
      <c r="AG14" s="10" t="str">
        <f>name!E10</f>
        <v>Sales and customer service occupations</v>
      </c>
      <c r="AH14" s="11">
        <v>31.947755200949668</v>
      </c>
      <c r="AI14" s="11">
        <v>56.413887619181367</v>
      </c>
      <c r="AJ14" s="11">
        <v>3.9411561117662166</v>
      </c>
      <c r="AK14" s="11">
        <f t="shared" si="6"/>
        <v>92.302798931897257</v>
      </c>
      <c r="AL14" s="11"/>
      <c r="AM14" s="11">
        <v>27.96816730748742</v>
      </c>
      <c r="AN14" s="11">
        <v>53.313171168818862</v>
      </c>
      <c r="AO14" s="11">
        <v>2.4236864304141332</v>
      </c>
      <c r="AP14" s="11">
        <f t="shared" si="7"/>
        <v>83.705024906720411</v>
      </c>
      <c r="AQ14" s="11"/>
      <c r="AR14" s="11">
        <v>27.203406875292377</v>
      </c>
      <c r="AS14" s="11">
        <v>53.101783799099401</v>
      </c>
      <c r="AT14" s="11">
        <v>1.8071645463807247</v>
      </c>
      <c r="AU14" s="11">
        <f t="shared" si="8"/>
        <v>82.1123552207725</v>
      </c>
    </row>
    <row r="15" spans="1:47" x14ac:dyDescent="0.2">
      <c r="A15" t="str">
        <f>name!E11</f>
        <v>Process, plant and machine operatives</v>
      </c>
      <c r="B15" s="11">
        <v>65.95010537659266</v>
      </c>
      <c r="C15" s="11">
        <v>9.528082169685808</v>
      </c>
      <c r="D15" s="11">
        <v>9.3390918645644341</v>
      </c>
      <c r="E15" s="11">
        <f t="shared" si="0"/>
        <v>84.8172794108429</v>
      </c>
      <c r="F15" s="11"/>
      <c r="G15" s="11">
        <v>56.974225945115208</v>
      </c>
      <c r="H15" s="11">
        <v>10.061474896271699</v>
      </c>
      <c r="I15" s="11">
        <v>11.598836962608326</v>
      </c>
      <c r="J15" s="11">
        <f t="shared" si="1"/>
        <v>78.634537803995244</v>
      </c>
      <c r="K15" s="11"/>
      <c r="L15" s="11">
        <v>54.752582750382999</v>
      </c>
      <c r="M15" s="11">
        <v>12.486895740192729</v>
      </c>
      <c r="N15" s="11">
        <v>13.230448270171379</v>
      </c>
      <c r="O15" s="11">
        <f t="shared" si="2"/>
        <v>80.4699267607471</v>
      </c>
      <c r="Q15" s="10" t="str">
        <f>name!E11</f>
        <v>Process, plant and machine operatives</v>
      </c>
      <c r="R15" s="11">
        <v>59.726607873652448</v>
      </c>
      <c r="S15" s="11">
        <v>7.4790701523491974</v>
      </c>
      <c r="T15" s="11">
        <v>8.4592529850869447</v>
      </c>
      <c r="U15" s="11">
        <f t="shared" si="3"/>
        <v>75.664931011088598</v>
      </c>
      <c r="V15" s="11"/>
      <c r="W15" s="11">
        <v>51.927621013584996</v>
      </c>
      <c r="X15" s="11">
        <v>8.4477379363642662</v>
      </c>
      <c r="Y15" s="11">
        <v>10.733455777486693</v>
      </c>
      <c r="Z15" s="11">
        <f t="shared" si="4"/>
        <v>71.108814727435956</v>
      </c>
      <c r="AA15" s="11"/>
      <c r="AB15" s="11">
        <v>49.572095015261347</v>
      </c>
      <c r="AC15" s="11">
        <v>10.042937342159345</v>
      </c>
      <c r="AD15" s="11">
        <v>12.123926508452389</v>
      </c>
      <c r="AE15" s="11">
        <f t="shared" si="5"/>
        <v>71.738958865873073</v>
      </c>
      <c r="AG15" s="10" t="str">
        <f>name!E11</f>
        <v>Process, plant and machine operatives</v>
      </c>
      <c r="AH15" s="11">
        <v>6.2234975029402344</v>
      </c>
      <c r="AI15" s="11">
        <v>2.0490120173366209</v>
      </c>
      <c r="AJ15" s="11">
        <v>0.87983887947749484</v>
      </c>
      <c r="AK15" s="11">
        <f t="shared" si="6"/>
        <v>9.1523483997543504</v>
      </c>
      <c r="AL15" s="11"/>
      <c r="AM15" s="11">
        <v>5.046604931530239</v>
      </c>
      <c r="AN15" s="11">
        <v>1.613736959907446</v>
      </c>
      <c r="AO15" s="11">
        <v>0.86538118512164641</v>
      </c>
      <c r="AP15" s="11">
        <f t="shared" si="7"/>
        <v>7.5257230765593315</v>
      </c>
      <c r="AQ15" s="11"/>
      <c r="AR15" s="11">
        <v>5.180487735121595</v>
      </c>
      <c r="AS15" s="11">
        <v>2.4439583980333763</v>
      </c>
      <c r="AT15" s="11">
        <v>1.1065217617189833</v>
      </c>
      <c r="AU15" s="11">
        <f t="shared" si="8"/>
        <v>8.7309678948739542</v>
      </c>
    </row>
    <row r="16" spans="1:47" x14ac:dyDescent="0.2">
      <c r="A16" t="str">
        <f>name!E12</f>
        <v>Elementary occupations</v>
      </c>
      <c r="B16" s="11">
        <v>63.87740948217413</v>
      </c>
      <c r="C16" s="11">
        <v>75.499393084312729</v>
      </c>
      <c r="D16" s="11">
        <v>10.267665139371815</v>
      </c>
      <c r="E16" s="11">
        <f t="shared" si="0"/>
        <v>149.64446770585866</v>
      </c>
      <c r="F16" s="11"/>
      <c r="G16" s="11">
        <v>59.127886870604634</v>
      </c>
      <c r="H16" s="11">
        <v>67.240988612693641</v>
      </c>
      <c r="I16" s="11">
        <v>7.4498110125777108</v>
      </c>
      <c r="J16" s="11">
        <f t="shared" si="1"/>
        <v>133.81868649587597</v>
      </c>
      <c r="K16" s="11"/>
      <c r="L16" s="11">
        <v>60.097382904069555</v>
      </c>
      <c r="M16" s="11">
        <v>59.753762225674073</v>
      </c>
      <c r="N16" s="11">
        <v>10.202566373166869</v>
      </c>
      <c r="O16" s="11">
        <f t="shared" si="2"/>
        <v>130.05371150291049</v>
      </c>
      <c r="Q16" s="10" t="str">
        <f>name!E12</f>
        <v>Elementary occupations</v>
      </c>
      <c r="R16" s="11">
        <v>45.95567969129749</v>
      </c>
      <c r="S16" s="11">
        <v>27.266816689491414</v>
      </c>
      <c r="T16" s="11">
        <v>4.188812219414995</v>
      </c>
      <c r="U16" s="11">
        <f t="shared" si="3"/>
        <v>77.411308600203895</v>
      </c>
      <c r="V16" s="11"/>
      <c r="W16" s="11">
        <v>42.396374222533083</v>
      </c>
      <c r="X16" s="11">
        <v>27.250540815339985</v>
      </c>
      <c r="Y16" s="11">
        <v>4.0416633634628223</v>
      </c>
      <c r="Z16" s="11">
        <f t="shared" si="4"/>
        <v>73.688578401335889</v>
      </c>
      <c r="AA16" s="11"/>
      <c r="AB16" s="11">
        <v>38.610867102789534</v>
      </c>
      <c r="AC16" s="11">
        <v>26.81695147143467</v>
      </c>
      <c r="AD16" s="11">
        <v>5.4667805239016012</v>
      </c>
      <c r="AE16" s="11">
        <f t="shared" si="5"/>
        <v>70.894599098125809</v>
      </c>
      <c r="AG16" s="10" t="str">
        <f>name!E12</f>
        <v>Elementary occupations</v>
      </c>
      <c r="AH16" s="11">
        <v>17.921729790876636</v>
      </c>
      <c r="AI16" s="11">
        <v>48.232576394821365</v>
      </c>
      <c r="AJ16" s="11">
        <v>6.078852919956824</v>
      </c>
      <c r="AK16" s="11">
        <f t="shared" si="6"/>
        <v>72.233159105654835</v>
      </c>
      <c r="AL16" s="11"/>
      <c r="AM16" s="11">
        <v>16.731512648071622</v>
      </c>
      <c r="AN16" s="11">
        <v>39.99044779735361</v>
      </c>
      <c r="AO16" s="11">
        <v>3.4081476491148921</v>
      </c>
      <c r="AP16" s="11">
        <f t="shared" si="7"/>
        <v>60.130108094540127</v>
      </c>
      <c r="AQ16" s="11"/>
      <c r="AR16" s="11">
        <v>21.486515801279992</v>
      </c>
      <c r="AS16" s="11">
        <v>32.936810754239339</v>
      </c>
      <c r="AT16" s="11">
        <v>4.7357858492652678</v>
      </c>
      <c r="AU16" s="11">
        <f t="shared" si="8"/>
        <v>59.159112404784601</v>
      </c>
    </row>
    <row r="17" spans="1:47" x14ac:dyDescent="0.2">
      <c r="B17" s="11"/>
      <c r="C17" s="11"/>
      <c r="D17" s="11"/>
      <c r="E17" s="11"/>
      <c r="F17" s="11"/>
      <c r="G17" s="11"/>
      <c r="H17" s="11"/>
      <c r="I17" s="11"/>
      <c r="J17" s="11"/>
      <c r="K17" s="11"/>
      <c r="L17" s="11"/>
      <c r="M17" s="11"/>
      <c r="N17" s="11"/>
      <c r="O17" s="11"/>
      <c r="Q17" s="10"/>
      <c r="R17" s="11"/>
      <c r="S17" s="11"/>
      <c r="T17" s="11"/>
      <c r="U17" s="11"/>
      <c r="V17" s="11"/>
      <c r="W17" s="11"/>
      <c r="X17" s="11"/>
      <c r="Y17" s="11"/>
      <c r="Z17" s="11"/>
      <c r="AA17" s="11"/>
      <c r="AB17" s="11"/>
      <c r="AC17" s="11"/>
      <c r="AD17" s="11"/>
      <c r="AE17" s="11"/>
      <c r="AH17" s="11"/>
      <c r="AI17" s="11"/>
      <c r="AJ17" s="11"/>
      <c r="AK17" s="11"/>
      <c r="AL17" s="11"/>
      <c r="AM17" s="11"/>
      <c r="AN17" s="11"/>
      <c r="AO17" s="11"/>
      <c r="AP17" s="11"/>
      <c r="AQ17" s="11"/>
      <c r="AR17" s="11"/>
      <c r="AS17" s="11"/>
      <c r="AT17" s="11"/>
      <c r="AU17" s="11"/>
    </row>
    <row r="18" spans="1:47" x14ac:dyDescent="0.2">
      <c r="A18" s="23" t="str">
        <f>name!E3</f>
        <v>All occupations</v>
      </c>
      <c r="B18" s="33">
        <f>SUM(B8:B16)</f>
        <v>719.35399999889557</v>
      </c>
      <c r="C18" s="33">
        <f t="shared" ref="C18:D18" si="9">SUM(C8:C16)</f>
        <v>352.05200000243343</v>
      </c>
      <c r="D18" s="33">
        <f t="shared" si="9"/>
        <v>136.29700000032369</v>
      </c>
      <c r="E18" s="33">
        <f t="shared" si="0"/>
        <v>1207.7030000016525</v>
      </c>
      <c r="F18" s="33"/>
      <c r="G18" s="33">
        <f>SUM(G8:G16)</f>
        <v>716.3520000003025</v>
      </c>
      <c r="H18" s="33">
        <f t="shared" ref="H18:I18" si="10">SUM(H8:H16)</f>
        <v>353.20400000016735</v>
      </c>
      <c r="I18" s="33">
        <f t="shared" si="10"/>
        <v>119.78299999982012</v>
      </c>
      <c r="J18" s="33">
        <f t="shared" ref="J18" si="11">SUM(G18:I18)</f>
        <v>1189.3390000002898</v>
      </c>
      <c r="K18" s="33"/>
      <c r="L18" s="33">
        <f>SUM(L8:L16)</f>
        <v>757.66300000076046</v>
      </c>
      <c r="M18" s="33">
        <f t="shared" ref="M18:N18" si="12">SUM(M8:M16)</f>
        <v>367.06099999927636</v>
      </c>
      <c r="N18" s="33">
        <f t="shared" si="12"/>
        <v>126.27300000017675</v>
      </c>
      <c r="O18" s="33">
        <f t="shared" ref="O18" si="13">SUM(L18:N18)</f>
        <v>1250.9970000002136</v>
      </c>
      <c r="Q18" s="231" t="str">
        <f>name!E3</f>
        <v>All occupations</v>
      </c>
      <c r="R18" s="33">
        <f>SUM(R8:R16)</f>
        <v>435.87999999977126</v>
      </c>
      <c r="S18" s="33">
        <f t="shared" ref="S18:T18" si="14">SUM(S8:S16)</f>
        <v>87.396000000624753</v>
      </c>
      <c r="T18" s="33">
        <f t="shared" si="14"/>
        <v>83.875000000311573</v>
      </c>
      <c r="U18" s="33">
        <f t="shared" ref="U18" si="15">SUM(R18:T18)</f>
        <v>607.15100000070765</v>
      </c>
      <c r="V18" s="33"/>
      <c r="W18" s="33">
        <f>SUM(W8:W16)</f>
        <v>428.20199999962972</v>
      </c>
      <c r="X18" s="33">
        <f t="shared" ref="X18:Y18" si="16">SUM(X8:X16)</f>
        <v>94.40700000001155</v>
      </c>
      <c r="Y18" s="33">
        <f t="shared" si="16"/>
        <v>68.816999999826294</v>
      </c>
      <c r="Z18" s="33">
        <f t="shared" ref="Z18" si="17">SUM(W18:Y18)</f>
        <v>591.42599999946754</v>
      </c>
      <c r="AA18" s="33"/>
      <c r="AB18" s="33">
        <f>SUM(AB8:AB16)</f>
        <v>432.87800000034184</v>
      </c>
      <c r="AC18" s="33">
        <f t="shared" ref="AC18:AD18" si="18">SUM(AC8:AC16)</f>
        <v>103.27999999983189</v>
      </c>
      <c r="AD18" s="33">
        <f t="shared" si="18"/>
        <v>72.944999999675773</v>
      </c>
      <c r="AE18" s="33">
        <f t="shared" ref="AE18" si="19">SUM(AB18:AD18)</f>
        <v>609.10299999984954</v>
      </c>
      <c r="AG18" s="231" t="str">
        <f>name!E3</f>
        <v>All occupations</v>
      </c>
      <c r="AH18" s="33">
        <f>SUM(AH8:AH16)</f>
        <v>283.47399999912403</v>
      </c>
      <c r="AI18" s="33">
        <f t="shared" ref="AI18:AJ18" si="20">SUM(AI8:AI16)</f>
        <v>264.65600000180871</v>
      </c>
      <c r="AJ18" s="33">
        <f t="shared" si="20"/>
        <v>52.422000000012126</v>
      </c>
      <c r="AK18" s="33">
        <f t="shared" si="6"/>
        <v>600.55200000094487</v>
      </c>
      <c r="AL18" s="33"/>
      <c r="AM18" s="33">
        <f>SUM(AM8:AM16)</f>
        <v>288.15000000067306</v>
      </c>
      <c r="AN18" s="33">
        <f t="shared" ref="AN18:AO18" si="21">SUM(AN8:AN16)</f>
        <v>258.79700000015572</v>
      </c>
      <c r="AO18" s="33">
        <f t="shared" si="21"/>
        <v>50.965999999993834</v>
      </c>
      <c r="AP18" s="33">
        <f t="shared" si="7"/>
        <v>597.91300000082265</v>
      </c>
      <c r="AQ18" s="33"/>
      <c r="AR18" s="33">
        <f>SUM(AR8:AR16)</f>
        <v>324.78500000041845</v>
      </c>
      <c r="AS18" s="33">
        <f t="shared" ref="AS18:AT18" si="22">SUM(AS8:AS16)</f>
        <v>263.78099999944436</v>
      </c>
      <c r="AT18" s="33">
        <f t="shared" si="22"/>
        <v>53.328000000500971</v>
      </c>
      <c r="AU18" s="33">
        <f t="shared" si="8"/>
        <v>641.8940000003638</v>
      </c>
    </row>
    <row r="19" spans="1:47" x14ac:dyDescent="0.2">
      <c r="B19" s="11"/>
      <c r="C19" s="11"/>
      <c r="D19" s="11"/>
      <c r="E19" s="11"/>
      <c r="F19" s="11"/>
      <c r="G19" s="11"/>
      <c r="H19" s="11"/>
      <c r="I19" s="11"/>
      <c r="J19" s="11"/>
      <c r="K19" s="11"/>
      <c r="L19" s="11"/>
      <c r="M19" s="11"/>
      <c r="N19" s="11"/>
      <c r="O19" s="11"/>
      <c r="R19" s="11"/>
      <c r="S19" s="11"/>
      <c r="T19" s="11"/>
      <c r="U19" s="11"/>
      <c r="V19" s="11"/>
      <c r="W19" s="11"/>
      <c r="X19" s="11"/>
      <c r="Y19" s="11"/>
      <c r="Z19" s="11"/>
      <c r="AA19" s="11"/>
      <c r="AB19" s="11"/>
      <c r="AC19" s="11"/>
      <c r="AD19" s="11"/>
      <c r="AE19" s="11"/>
      <c r="AH19" s="11"/>
      <c r="AI19" s="11"/>
      <c r="AJ19" s="11"/>
      <c r="AK19" s="11"/>
      <c r="AL19" s="11"/>
      <c r="AM19" s="11"/>
      <c r="AN19" s="11"/>
      <c r="AO19" s="11"/>
      <c r="AP19" s="11"/>
      <c r="AQ19" s="11"/>
      <c r="AR19" s="11"/>
      <c r="AS19" s="11"/>
      <c r="AT19" s="11"/>
      <c r="AU19" s="11"/>
    </row>
    <row r="20" spans="1:47" x14ac:dyDescent="0.2">
      <c r="B20" s="11"/>
      <c r="C20" s="11"/>
      <c r="D20" s="11"/>
      <c r="E20" s="11"/>
      <c r="F20" s="11"/>
      <c r="G20" s="11"/>
      <c r="H20" s="11"/>
      <c r="I20" s="11"/>
      <c r="J20" s="11"/>
      <c r="K20" s="11"/>
      <c r="L20" s="11"/>
      <c r="M20" s="11"/>
      <c r="N20" s="11"/>
      <c r="O20" s="11"/>
      <c r="R20" s="11"/>
      <c r="S20" s="11"/>
      <c r="T20" s="11"/>
      <c r="U20" s="11"/>
      <c r="V20" s="11"/>
      <c r="W20" s="11"/>
      <c r="X20" s="11"/>
      <c r="Y20" s="11"/>
      <c r="Z20" s="11"/>
      <c r="AA20" s="11"/>
      <c r="AB20" s="11"/>
      <c r="AC20" s="11"/>
      <c r="AD20" s="11"/>
      <c r="AE20" s="11"/>
      <c r="AH20" s="11"/>
      <c r="AI20" s="11"/>
      <c r="AJ20" s="11"/>
      <c r="AK20" s="11"/>
      <c r="AL20" s="11"/>
      <c r="AM20" s="11"/>
      <c r="AN20" s="11"/>
      <c r="AO20" s="11"/>
      <c r="AP20" s="11"/>
      <c r="AQ20" s="11"/>
      <c r="AR20" s="11"/>
      <c r="AS20" s="11"/>
      <c r="AT20" s="11"/>
      <c r="AU20" s="11"/>
    </row>
    <row r="21" spans="1:47" x14ac:dyDescent="0.2">
      <c r="B21" s="11"/>
      <c r="C21" s="11"/>
      <c r="D21" s="11"/>
      <c r="E21" s="11"/>
      <c r="F21" s="11"/>
      <c r="G21" s="11"/>
      <c r="H21" s="11"/>
      <c r="I21" s="11"/>
      <c r="J21" s="11"/>
      <c r="K21" s="11"/>
      <c r="L21" s="11"/>
      <c r="M21" s="11"/>
      <c r="N21" s="11"/>
      <c r="O21" s="15" t="s">
        <v>34</v>
      </c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5" t="s">
        <v>34</v>
      </c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5" t="s">
        <v>34</v>
      </c>
    </row>
    <row r="22" spans="1:47" x14ac:dyDescent="0.2">
      <c r="A22" s="35"/>
      <c r="B22" s="64"/>
      <c r="C22" s="64"/>
      <c r="D22" s="64"/>
      <c r="E22" s="64"/>
      <c r="F22" s="64"/>
      <c r="G22" s="64"/>
      <c r="H22" s="64"/>
      <c r="I22" s="64"/>
      <c r="J22" s="64"/>
      <c r="K22" s="64"/>
      <c r="L22" s="64"/>
      <c r="M22" s="64"/>
      <c r="N22" s="64"/>
      <c r="O22" s="64"/>
      <c r="Q22" s="35"/>
      <c r="R22" s="64"/>
      <c r="S22" s="64"/>
      <c r="T22" s="64"/>
      <c r="U22" s="64"/>
      <c r="V22" s="64"/>
      <c r="W22" s="64"/>
      <c r="X22" s="64"/>
      <c r="Y22" s="64"/>
      <c r="Z22" s="64"/>
      <c r="AA22" s="64"/>
      <c r="AB22" s="64"/>
      <c r="AC22" s="64"/>
      <c r="AD22" s="64"/>
      <c r="AE22" s="64"/>
      <c r="AG22" s="35"/>
      <c r="AH22" s="64"/>
      <c r="AI22" s="64"/>
      <c r="AJ22" s="64"/>
      <c r="AK22" s="64"/>
      <c r="AL22" s="64"/>
      <c r="AM22" s="64"/>
      <c r="AN22" s="64"/>
      <c r="AO22" s="64"/>
      <c r="AP22" s="64"/>
      <c r="AQ22" s="64"/>
      <c r="AR22" s="64"/>
      <c r="AS22" s="64"/>
      <c r="AT22" s="64"/>
      <c r="AU22" s="64"/>
    </row>
    <row r="23" spans="1:47" x14ac:dyDescent="0.2">
      <c r="B23" s="375">
        <f>B5</f>
        <v>2015</v>
      </c>
      <c r="C23" s="375"/>
      <c r="D23" s="375"/>
      <c r="E23" s="375"/>
      <c r="F23" s="1"/>
      <c r="G23" s="375">
        <f>G5</f>
        <v>2020</v>
      </c>
      <c r="H23" s="375"/>
      <c r="I23" s="375"/>
      <c r="J23" s="375"/>
      <c r="K23" s="1"/>
      <c r="L23" s="375">
        <f>L5</f>
        <v>2035</v>
      </c>
      <c r="M23" s="375"/>
      <c r="N23" s="375"/>
      <c r="O23" s="375"/>
      <c r="R23" s="375">
        <f>R5</f>
        <v>2015</v>
      </c>
      <c r="S23" s="375"/>
      <c r="T23" s="375"/>
      <c r="U23" s="375"/>
      <c r="V23" s="1"/>
      <c r="W23" s="375">
        <f>W5</f>
        <v>2020</v>
      </c>
      <c r="X23" s="375"/>
      <c r="Y23" s="375"/>
      <c r="Z23" s="375"/>
      <c r="AA23" s="1"/>
      <c r="AB23" s="375">
        <f>AB5</f>
        <v>2035</v>
      </c>
      <c r="AC23" s="375"/>
      <c r="AD23" s="375"/>
      <c r="AE23" s="375"/>
      <c r="AH23" s="375">
        <f>AH5</f>
        <v>2015</v>
      </c>
      <c r="AI23" s="375"/>
      <c r="AJ23" s="375"/>
      <c r="AK23" s="375"/>
      <c r="AL23" s="1"/>
      <c r="AM23" s="375">
        <f>AM5</f>
        <v>2020</v>
      </c>
      <c r="AN23" s="375"/>
      <c r="AO23" s="375"/>
      <c r="AP23" s="375"/>
      <c r="AQ23" s="1"/>
      <c r="AR23" s="375">
        <f>AR5</f>
        <v>2035</v>
      </c>
      <c r="AS23" s="375"/>
      <c r="AT23" s="375"/>
      <c r="AU23" s="375"/>
    </row>
    <row r="24" spans="1:47" x14ac:dyDescent="0.2">
      <c r="A24" s="40" t="s">
        <v>463</v>
      </c>
      <c r="B24" s="337" t="s">
        <v>339</v>
      </c>
      <c r="C24" s="337" t="s">
        <v>341</v>
      </c>
      <c r="D24" s="337" t="s">
        <v>337</v>
      </c>
      <c r="E24" s="337" t="s">
        <v>32</v>
      </c>
      <c r="F24" s="338"/>
      <c r="G24" s="337" t="s">
        <v>339</v>
      </c>
      <c r="H24" s="337" t="s">
        <v>341</v>
      </c>
      <c r="I24" s="337" t="s">
        <v>337</v>
      </c>
      <c r="J24" s="337" t="s">
        <v>32</v>
      </c>
      <c r="K24" s="338"/>
      <c r="L24" s="337" t="s">
        <v>339</v>
      </c>
      <c r="M24" s="337" t="s">
        <v>341</v>
      </c>
      <c r="N24" s="337" t="s">
        <v>337</v>
      </c>
      <c r="O24" s="337" t="s">
        <v>32</v>
      </c>
      <c r="Q24" s="40" t="s">
        <v>463</v>
      </c>
      <c r="R24" s="337" t="s">
        <v>339</v>
      </c>
      <c r="S24" s="337" t="s">
        <v>341</v>
      </c>
      <c r="T24" s="337" t="s">
        <v>337</v>
      </c>
      <c r="U24" s="337" t="s">
        <v>32</v>
      </c>
      <c r="V24" s="338"/>
      <c r="W24" s="337" t="s">
        <v>339</v>
      </c>
      <c r="X24" s="337" t="s">
        <v>341</v>
      </c>
      <c r="Y24" s="337" t="s">
        <v>337</v>
      </c>
      <c r="Z24" s="337" t="s">
        <v>32</v>
      </c>
      <c r="AA24" s="338"/>
      <c r="AB24" s="337" t="s">
        <v>339</v>
      </c>
      <c r="AC24" s="337" t="s">
        <v>341</v>
      </c>
      <c r="AD24" s="337" t="s">
        <v>337</v>
      </c>
      <c r="AE24" s="337" t="s">
        <v>32</v>
      </c>
      <c r="AG24" s="40" t="s">
        <v>463</v>
      </c>
      <c r="AH24" s="337" t="s">
        <v>339</v>
      </c>
      <c r="AI24" s="337" t="s">
        <v>341</v>
      </c>
      <c r="AJ24" s="337" t="s">
        <v>337</v>
      </c>
      <c r="AK24" s="337" t="s">
        <v>32</v>
      </c>
      <c r="AL24" s="338"/>
      <c r="AM24" s="337" t="s">
        <v>339</v>
      </c>
      <c r="AN24" s="337" t="s">
        <v>341</v>
      </c>
      <c r="AO24" s="337" t="s">
        <v>337</v>
      </c>
      <c r="AP24" s="337" t="s">
        <v>32</v>
      </c>
      <c r="AQ24" s="338"/>
      <c r="AR24" s="337" t="s">
        <v>339</v>
      </c>
      <c r="AS24" s="337" t="s">
        <v>341</v>
      </c>
      <c r="AT24" s="337" t="s">
        <v>337</v>
      </c>
      <c r="AU24" s="337" t="s">
        <v>32</v>
      </c>
    </row>
    <row r="25" spans="1:47" x14ac:dyDescent="0.2">
      <c r="A25" s="1"/>
      <c r="B25" s="16"/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Q25" s="1"/>
      <c r="R25" s="16"/>
      <c r="S25" s="16"/>
      <c r="T25" s="16"/>
      <c r="U25" s="16"/>
      <c r="V25" s="16"/>
      <c r="W25" s="16"/>
      <c r="X25" s="16"/>
      <c r="Y25" s="16"/>
      <c r="Z25" s="16"/>
      <c r="AA25" s="16"/>
      <c r="AB25" s="16"/>
      <c r="AC25" s="16"/>
      <c r="AD25" s="16"/>
      <c r="AE25" s="16"/>
      <c r="AG25" s="1"/>
      <c r="AH25" s="16"/>
      <c r="AI25" s="16"/>
      <c r="AJ25" s="16"/>
      <c r="AK25" s="16"/>
      <c r="AL25" s="16"/>
      <c r="AM25" s="16"/>
      <c r="AN25" s="16"/>
      <c r="AO25" s="16"/>
      <c r="AP25" s="16"/>
      <c r="AQ25" s="16"/>
      <c r="AR25" s="16"/>
      <c r="AS25" s="16"/>
      <c r="AT25" s="16"/>
      <c r="AU25" s="16"/>
    </row>
    <row r="26" spans="1:47" x14ac:dyDescent="0.2">
      <c r="A26" t="str">
        <f>$A$8</f>
        <v>Managers, directors and senior officials</v>
      </c>
      <c r="B26" s="17">
        <f>B8/B$18*100</f>
        <v>8.2947068550435663</v>
      </c>
      <c r="C26" s="17">
        <f t="shared" ref="C26:O26" si="23">C8/C$18*100</f>
        <v>2.3035757113080599</v>
      </c>
      <c r="D26" s="17">
        <f t="shared" si="23"/>
        <v>15.259692554627275</v>
      </c>
      <c r="E26" s="17">
        <f t="shared" si="23"/>
        <v>7.3343026451269333</v>
      </c>
      <c r="F26" s="17"/>
      <c r="G26" s="17">
        <f t="shared" si="23"/>
        <v>9.566752569568667</v>
      </c>
      <c r="H26" s="17">
        <f t="shared" si="23"/>
        <v>3.339435760830102</v>
      </c>
      <c r="I26" s="17">
        <f t="shared" si="23"/>
        <v>16.196876044524661</v>
      </c>
      <c r="J26" s="17">
        <f t="shared" si="23"/>
        <v>8.3851406608404293</v>
      </c>
      <c r="K26" s="17"/>
      <c r="L26" s="17">
        <f t="shared" si="23"/>
        <v>10.479092560619506</v>
      </c>
      <c r="M26" s="17">
        <f t="shared" si="23"/>
        <v>4.2253912114835392</v>
      </c>
      <c r="N26" s="17">
        <f t="shared" si="23"/>
        <v>16.792120027646149</v>
      </c>
      <c r="O26" s="17">
        <f t="shared" si="23"/>
        <v>9.2813878870148177</v>
      </c>
      <c r="Q26" t="str">
        <f>$A$8</f>
        <v>Managers, directors and senior officials</v>
      </c>
      <c r="R26" s="17">
        <f>R8/R$18*100</f>
        <v>9.5989673255593662</v>
      </c>
      <c r="S26" s="17">
        <f t="shared" ref="S26:U26" si="24">S8/S$18*100</f>
        <v>3.0550825987112313</v>
      </c>
      <c r="T26" s="17">
        <f t="shared" si="24"/>
        <v>15.45706453104804</v>
      </c>
      <c r="U26" s="17">
        <f t="shared" si="24"/>
        <v>9.4662796638748308</v>
      </c>
      <c r="V26" s="17"/>
      <c r="W26" s="17">
        <f t="shared" ref="W26:Z26" si="25">W8/W$18*100</f>
        <v>11.062960632868005</v>
      </c>
      <c r="X26" s="17">
        <f t="shared" si="25"/>
        <v>4.3766790914510771</v>
      </c>
      <c r="Y26" s="17">
        <f t="shared" si="25"/>
        <v>14.296927824194908</v>
      </c>
      <c r="Z26" s="17">
        <f t="shared" si="25"/>
        <v>10.371953032126727</v>
      </c>
      <c r="AA26" s="17"/>
      <c r="AB26" s="17">
        <f t="shared" ref="AB26:AE26" si="26">AB8/AB$18*100</f>
        <v>11.770631909180302</v>
      </c>
      <c r="AC26" s="17">
        <f t="shared" si="26"/>
        <v>5.7438510189441248</v>
      </c>
      <c r="AD26" s="17">
        <f t="shared" si="26"/>
        <v>16.041433651904356</v>
      </c>
      <c r="AE26" s="17">
        <f t="shared" si="26"/>
        <v>11.260189016564382</v>
      </c>
      <c r="AG26" t="str">
        <f>$A$8</f>
        <v>Managers, directors and senior officials</v>
      </c>
      <c r="AH26" s="17">
        <f>AH8/AH$18*100</f>
        <v>6.2892282083603215</v>
      </c>
      <c r="AI26" s="17">
        <f t="shared" ref="AI26:AK26" si="27">AI8/AI$18*100</f>
        <v>2.0554094277871551</v>
      </c>
      <c r="AJ26" s="17">
        <f t="shared" si="27"/>
        <v>14.943898145364903</v>
      </c>
      <c r="AK26" s="17">
        <f t="shared" si="27"/>
        <v>5.1788989849787965</v>
      </c>
      <c r="AL26" s="17"/>
      <c r="AM26" s="17">
        <f t="shared" ref="AM26:AP26" si="28">AM8/AM$18*100</f>
        <v>7.3433297511794393</v>
      </c>
      <c r="AN26" s="17">
        <f t="shared" si="28"/>
        <v>2.9610579932598147</v>
      </c>
      <c r="AO26" s="17">
        <f t="shared" si="28"/>
        <v>18.762287037698911</v>
      </c>
      <c r="AP26" s="17">
        <f t="shared" si="28"/>
        <v>6.4198840206641847</v>
      </c>
      <c r="AQ26" s="17"/>
      <c r="AR26" s="17">
        <f t="shared" ref="AR26:AU26" si="29">AR8/AR$18*100</f>
        <v>8.7577108153849341</v>
      </c>
      <c r="AS26" s="17">
        <f t="shared" si="29"/>
        <v>3.6308581370217543</v>
      </c>
      <c r="AT26" s="17">
        <f t="shared" si="29"/>
        <v>17.818950542155012</v>
      </c>
      <c r="AU26" s="17">
        <f t="shared" si="29"/>
        <v>7.4036733353738367</v>
      </c>
    </row>
    <row r="27" spans="1:47" x14ac:dyDescent="0.2">
      <c r="A27" t="str">
        <f>$A$9</f>
        <v>Professional occupations</v>
      </c>
      <c r="B27" s="17">
        <f t="shared" ref="B27:B34" si="30">B9/B$18*100</f>
        <v>23.16050991978517</v>
      </c>
      <c r="C27" s="17">
        <f t="shared" ref="C27:O27" si="31">C9/C$18*100</f>
        <v>12.23034575422845</v>
      </c>
      <c r="D27" s="17">
        <f t="shared" si="31"/>
        <v>16.014654632612245</v>
      </c>
      <c r="E27" s="17">
        <f t="shared" si="31"/>
        <v>19.167852128166952</v>
      </c>
      <c r="F27" s="17"/>
      <c r="G27" s="17">
        <f t="shared" si="31"/>
        <v>25.728747363342848</v>
      </c>
      <c r="H27" s="17">
        <f t="shared" si="31"/>
        <v>14.880046732943134</v>
      </c>
      <c r="I27" s="17">
        <f t="shared" si="31"/>
        <v>14.934440201677383</v>
      </c>
      <c r="J27" s="17">
        <f t="shared" si="31"/>
        <v>21.419816980832817</v>
      </c>
      <c r="K27" s="17"/>
      <c r="L27" s="17">
        <f t="shared" si="31"/>
        <v>29.559000375316497</v>
      </c>
      <c r="M27" s="17">
        <f t="shared" si="31"/>
        <v>18.27966538769742</v>
      </c>
      <c r="N27" s="17">
        <f t="shared" si="31"/>
        <v>12.458697671607597</v>
      </c>
      <c r="O27" s="17">
        <f t="shared" si="31"/>
        <v>24.523408360955422</v>
      </c>
      <c r="Q27" t="str">
        <f>$A$9</f>
        <v>Professional occupations</v>
      </c>
      <c r="R27" s="17">
        <f t="shared" ref="R27:U27" si="32">R9/R$18*100</f>
        <v>21.205403150290291</v>
      </c>
      <c r="S27" s="17">
        <f t="shared" si="32"/>
        <v>7.2475055213410773</v>
      </c>
      <c r="T27" s="17">
        <f t="shared" si="32"/>
        <v>16.239511487251907</v>
      </c>
      <c r="U27" s="17">
        <f t="shared" si="32"/>
        <v>18.510227511239457</v>
      </c>
      <c r="V27" s="17"/>
      <c r="W27" s="17">
        <f t="shared" ref="W27:Z27" si="33">W9/W$18*100</f>
        <v>23.075721338423762</v>
      </c>
      <c r="X27" s="17">
        <f t="shared" si="33"/>
        <v>9.481010690041817</v>
      </c>
      <c r="Y27" s="17">
        <f t="shared" si="33"/>
        <v>12.171209273183207</v>
      </c>
      <c r="Z27" s="17">
        <f t="shared" si="33"/>
        <v>19.636826776846245</v>
      </c>
      <c r="AA27" s="17"/>
      <c r="AB27" s="17">
        <f t="shared" ref="AB27:AE27" si="34">AB9/AB$18*100</f>
        <v>26.399142519202762</v>
      </c>
      <c r="AC27" s="17">
        <f t="shared" si="34"/>
        <v>11.424178981641008</v>
      </c>
      <c r="AD27" s="17">
        <f t="shared" si="34"/>
        <v>9.9808463322304686</v>
      </c>
      <c r="AE27" s="17">
        <f t="shared" si="34"/>
        <v>21.893752052383668</v>
      </c>
      <c r="AG27" t="str">
        <f>$A$9</f>
        <v>Professional occupations</v>
      </c>
      <c r="AH27" s="17">
        <f t="shared" ref="AH27:AK27" si="35">AH9/AH$18*100</f>
        <v>26.166753662384512</v>
      </c>
      <c r="AI27" s="17">
        <f t="shared" si="35"/>
        <v>13.875803650492131</v>
      </c>
      <c r="AJ27" s="17">
        <f t="shared" si="35"/>
        <v>15.654884523059625</v>
      </c>
      <c r="AK27" s="17">
        <f t="shared" si="35"/>
        <v>19.832702871802763</v>
      </c>
      <c r="AL27" s="17"/>
      <c r="AM27" s="17">
        <f t="shared" ref="AM27:AP27" si="36">AM9/AM$18*100</f>
        <v>29.671246235176085</v>
      </c>
      <c r="AN27" s="17">
        <f t="shared" si="36"/>
        <v>16.849570319777381</v>
      </c>
      <c r="AO27" s="17">
        <f t="shared" si="36"/>
        <v>18.665501356284864</v>
      </c>
      <c r="AP27" s="17">
        <f t="shared" si="36"/>
        <v>23.183462802851317</v>
      </c>
      <c r="AQ27" s="17"/>
      <c r="AR27" s="17">
        <f t="shared" ref="AR27:AU27" si="37">AR9/AR$18*100</f>
        <v>33.770503212695445</v>
      </c>
      <c r="AS27" s="17">
        <f t="shared" si="37"/>
        <v>20.963841412573533</v>
      </c>
      <c r="AT27" s="17">
        <f t="shared" si="37"/>
        <v>15.848040342406488</v>
      </c>
      <c r="AU27" s="17">
        <f t="shared" si="37"/>
        <v>27.018729311951496</v>
      </c>
    </row>
    <row r="28" spans="1:47" x14ac:dyDescent="0.2">
      <c r="A28" t="str">
        <f>$A$10</f>
        <v>Associate professional occupations</v>
      </c>
      <c r="B28" s="17">
        <f t="shared" si="30"/>
        <v>12.07826572634097</v>
      </c>
      <c r="C28" s="17">
        <f t="shared" ref="C28:O28" si="38">C10/C$18*100</f>
        <v>7.0741595026254194</v>
      </c>
      <c r="D28" s="17">
        <f t="shared" si="38"/>
        <v>12.675954674641222</v>
      </c>
      <c r="E28" s="17">
        <f t="shared" si="38"/>
        <v>10.686994533262281</v>
      </c>
      <c r="F28" s="17"/>
      <c r="G28" s="17">
        <f t="shared" si="38"/>
        <v>13.486764687397043</v>
      </c>
      <c r="H28" s="17">
        <f t="shared" si="38"/>
        <v>8.2611926747058728</v>
      </c>
      <c r="I28" s="17">
        <f t="shared" si="38"/>
        <v>12.089011619627833</v>
      </c>
      <c r="J28" s="17">
        <f t="shared" si="38"/>
        <v>11.794127018164552</v>
      </c>
      <c r="K28" s="17"/>
      <c r="L28" s="17">
        <f t="shared" si="38"/>
        <v>13.289070561291968</v>
      </c>
      <c r="M28" s="17">
        <f t="shared" si="38"/>
        <v>8.6922164122159504</v>
      </c>
      <c r="N28" s="17">
        <f t="shared" si="38"/>
        <v>11.297809117372296</v>
      </c>
      <c r="O28" s="17">
        <f t="shared" si="38"/>
        <v>11.739291915045211</v>
      </c>
      <c r="Q28" t="str">
        <f>$A$10</f>
        <v>Associate professional occupations</v>
      </c>
      <c r="R28" s="17">
        <f t="shared" ref="R28:U28" si="39">R10/R$18*100</f>
        <v>12.321941647095635</v>
      </c>
      <c r="S28" s="17">
        <f t="shared" si="39"/>
        <v>5.1154723215406328</v>
      </c>
      <c r="T28" s="17">
        <f t="shared" si="39"/>
        <v>10.185526886189587</v>
      </c>
      <c r="U28" s="17">
        <f t="shared" si="39"/>
        <v>10.9894751251737</v>
      </c>
      <c r="V28" s="17"/>
      <c r="W28" s="17">
        <f t="shared" ref="W28:Z28" si="40">W10/W$18*100</f>
        <v>13.772708415987472</v>
      </c>
      <c r="X28" s="17">
        <f t="shared" si="40"/>
        <v>6.5866686537363242</v>
      </c>
      <c r="Y28" s="17">
        <f t="shared" si="40"/>
        <v>9.6617110540541482</v>
      </c>
      <c r="Z28" s="17">
        <f t="shared" si="40"/>
        <v>12.147282815335414</v>
      </c>
      <c r="AA28" s="17"/>
      <c r="AB28" s="17">
        <f t="shared" ref="AB28:AE28" si="41">AB10/AB$18*100</f>
        <v>12.791885171209611</v>
      </c>
      <c r="AC28" s="17">
        <f t="shared" si="41"/>
        <v>5.5105185594712331</v>
      </c>
      <c r="AD28" s="17">
        <f t="shared" si="41"/>
        <v>9.0438947823148812</v>
      </c>
      <c r="AE28" s="17">
        <f t="shared" si="41"/>
        <v>11.108398630220517</v>
      </c>
      <c r="AG28" t="str">
        <f>$A$10</f>
        <v>Associate professional occupations</v>
      </c>
      <c r="AH28" s="17">
        <f t="shared" ref="AH28:AK28" si="42">AH10/AH$18*100</f>
        <v>11.703580709941548</v>
      </c>
      <c r="AI28" s="17">
        <f t="shared" si="42"/>
        <v>7.7209667727350686</v>
      </c>
      <c r="AJ28" s="17">
        <f t="shared" si="42"/>
        <v>16.660629634717296</v>
      </c>
      <c r="AK28" s="17">
        <f t="shared" si="42"/>
        <v>10.381190216800874</v>
      </c>
      <c r="AL28" s="17"/>
      <c r="AM28" s="17">
        <f t="shared" ref="AM28:AP28" si="43">AM10/AM$18*100</f>
        <v>13.061841291702143</v>
      </c>
      <c r="AN28" s="17">
        <f t="shared" si="43"/>
        <v>8.8720451546326</v>
      </c>
      <c r="AO28" s="17">
        <f t="shared" si="43"/>
        <v>15.366481756987701</v>
      </c>
      <c r="AP28" s="17">
        <f t="shared" si="43"/>
        <v>11.444802751093761</v>
      </c>
      <c r="AQ28" s="17"/>
      <c r="AR28" s="17">
        <f t="shared" ref="AR28:AU28" si="44">AR10/AR$18*100</f>
        <v>13.951726217458237</v>
      </c>
      <c r="AS28" s="17">
        <f t="shared" si="44"/>
        <v>9.9379685862983589</v>
      </c>
      <c r="AT28" s="17">
        <f t="shared" si="44"/>
        <v>14.380838317201439</v>
      </c>
      <c r="AU28" s="17">
        <f t="shared" si="44"/>
        <v>12.337956168747944</v>
      </c>
    </row>
    <row r="29" spans="1:47" x14ac:dyDescent="0.2">
      <c r="A29" t="str">
        <f>$A$11</f>
        <v>Administrative and secretarial occupations</v>
      </c>
      <c r="B29" s="17">
        <f t="shared" si="30"/>
        <v>11.133706419181454</v>
      </c>
      <c r="C29" s="17">
        <f t="shared" ref="C29:O29" si="45">C11/C$18*100</f>
        <v>15.210938378307384</v>
      </c>
      <c r="D29" s="17">
        <f t="shared" si="45"/>
        <v>4.4825711873872294</v>
      </c>
      <c r="E29" s="17">
        <f t="shared" si="45"/>
        <v>11.571618626895928</v>
      </c>
      <c r="F29" s="17"/>
      <c r="G29" s="17">
        <f t="shared" si="45"/>
        <v>10.707093261092698</v>
      </c>
      <c r="H29" s="17">
        <f t="shared" si="45"/>
        <v>14.513974429507586</v>
      </c>
      <c r="I29" s="17">
        <f t="shared" si="45"/>
        <v>3.9460350580091843</v>
      </c>
      <c r="J29" s="17">
        <f t="shared" si="45"/>
        <v>11.156709242297877</v>
      </c>
      <c r="K29" s="17"/>
      <c r="L29" s="17">
        <f t="shared" si="45"/>
        <v>8.9223750851328063</v>
      </c>
      <c r="M29" s="17">
        <f t="shared" si="45"/>
        <v>11.851256062978987</v>
      </c>
      <c r="N29" s="17">
        <f t="shared" si="45"/>
        <v>4.8469007776103981</v>
      </c>
      <c r="O29" s="17">
        <f t="shared" si="45"/>
        <v>9.3703822453198296</v>
      </c>
      <c r="Q29" t="str">
        <f>$A$11</f>
        <v>Administrative and secretarial occupations</v>
      </c>
      <c r="R29" s="17">
        <f t="shared" ref="R29:U29" si="46">R11/R$18*100</f>
        <v>6.5337875185299445</v>
      </c>
      <c r="S29" s="17">
        <f t="shared" si="46"/>
        <v>6.8178273990371476</v>
      </c>
      <c r="T29" s="17">
        <f t="shared" si="46"/>
        <v>2.3928359714555438</v>
      </c>
      <c r="U29" s="17">
        <f t="shared" si="46"/>
        <v>6.002620870340623</v>
      </c>
      <c r="V29" s="17"/>
      <c r="W29" s="17">
        <f t="shared" ref="W29:Z29" si="47">W11/W$18*100</f>
        <v>7.0301525515863039</v>
      </c>
      <c r="X29" s="17">
        <f t="shared" si="47"/>
        <v>7.4850707851941882</v>
      </c>
      <c r="Y29" s="17">
        <f t="shared" si="47"/>
        <v>1.787886667770187</v>
      </c>
      <c r="Z29" s="17">
        <f t="shared" si="47"/>
        <v>6.4927910800823057</v>
      </c>
      <c r="AA29" s="17"/>
      <c r="AB29" s="17">
        <f t="shared" ref="AB29:AE29" si="48">AB11/AB$18*100</f>
        <v>7.4092069858492025</v>
      </c>
      <c r="AC29" s="17">
        <f t="shared" si="48"/>
        <v>6.8535441962772881</v>
      </c>
      <c r="AD29" s="17">
        <f t="shared" si="48"/>
        <v>2.5365959080164249</v>
      </c>
      <c r="AE29" s="17">
        <f t="shared" si="48"/>
        <v>6.731453850537231</v>
      </c>
      <c r="AG29" t="str">
        <f>$A$11</f>
        <v>Administrative and secretarial occupations</v>
      </c>
      <c r="AH29" s="17">
        <f t="shared" ref="AH29:AK29" si="49">AH11/AH$18*100</f>
        <v>18.20671011765512</v>
      </c>
      <c r="AI29" s="17">
        <f t="shared" si="49"/>
        <v>17.982552576151114</v>
      </c>
      <c r="AJ29" s="17">
        <f t="shared" si="49"/>
        <v>7.8261395601483148</v>
      </c>
      <c r="AK29" s="17">
        <f t="shared" si="49"/>
        <v>17.201809779184035</v>
      </c>
      <c r="AL29" s="17"/>
      <c r="AM29" s="17">
        <f t="shared" ref="AM29:AP29" si="50">AM11/AM$18*100</f>
        <v>16.171168797053198</v>
      </c>
      <c r="AN29" s="17">
        <f t="shared" si="50"/>
        <v>17.078060204645535</v>
      </c>
      <c r="AO29" s="17">
        <f t="shared" si="50"/>
        <v>6.8600816335834898</v>
      </c>
      <c r="AP29" s="17">
        <f t="shared" si="50"/>
        <v>15.77002666975007</v>
      </c>
      <c r="AQ29" s="17"/>
      <c r="AR29" s="17">
        <f t="shared" ref="AR29:AU29" si="51">AR11/AR$18*100</f>
        <v>10.939146735551876</v>
      </c>
      <c r="AS29" s="17">
        <f t="shared" si="51"/>
        <v>13.808044768735661</v>
      </c>
      <c r="AT29" s="17">
        <f t="shared" si="51"/>
        <v>8.0070640822571253</v>
      </c>
      <c r="AU29" s="17">
        <f t="shared" si="51"/>
        <v>11.874501620241478</v>
      </c>
    </row>
    <row r="30" spans="1:47" x14ac:dyDescent="0.2">
      <c r="A30" t="str">
        <f>$A$12</f>
        <v>Skilled trades occupations</v>
      </c>
      <c r="B30" s="17">
        <f t="shared" si="30"/>
        <v>12.311945693074188</v>
      </c>
      <c r="C30" s="17">
        <f t="shared" ref="C30:O30" si="52">C12/C$18*100</f>
        <v>3.1041347408828015</v>
      </c>
      <c r="D30" s="17">
        <f t="shared" si="52"/>
        <v>23.18583001243605</v>
      </c>
      <c r="E30" s="17">
        <f t="shared" si="52"/>
        <v>10.855005989950742</v>
      </c>
      <c r="F30" s="17"/>
      <c r="G30" s="17">
        <f t="shared" si="52"/>
        <v>10.105123850988081</v>
      </c>
      <c r="H30" s="17">
        <f t="shared" si="52"/>
        <v>2.5297889268633673</v>
      </c>
      <c r="I30" s="17">
        <f t="shared" si="52"/>
        <v>23.975649165383832</v>
      </c>
      <c r="J30" s="17">
        <f t="shared" si="52"/>
        <v>9.2523935000874609</v>
      </c>
      <c r="K30" s="17"/>
      <c r="L30" s="17">
        <f t="shared" si="52"/>
        <v>7.990066485095082</v>
      </c>
      <c r="M30" s="17">
        <f t="shared" si="52"/>
        <v>2.6734060201890419</v>
      </c>
      <c r="N30" s="17">
        <f t="shared" si="52"/>
        <v>23.501901353168456</v>
      </c>
      <c r="O30" s="17">
        <f t="shared" si="52"/>
        <v>7.995811676645455</v>
      </c>
      <c r="Q30" t="str">
        <f>$A$12</f>
        <v>Skilled trades occupations</v>
      </c>
      <c r="R30" s="17">
        <f t="shared" ref="R30:U30" si="53">R12/R$18*100</f>
        <v>19.162106279268251</v>
      </c>
      <c r="S30" s="17">
        <f t="shared" si="53"/>
        <v>7.6934397874969651</v>
      </c>
      <c r="T30" s="17">
        <f t="shared" si="53"/>
        <v>32.410592291067353</v>
      </c>
      <c r="U30" s="17">
        <f t="shared" si="53"/>
        <v>19.341470535477402</v>
      </c>
      <c r="V30" s="17"/>
      <c r="W30" s="17">
        <f t="shared" ref="W30:Z30" si="54">W12/W$18*100</f>
        <v>15.593264651032996</v>
      </c>
      <c r="X30" s="17">
        <f t="shared" si="54"/>
        <v>5.613289526883336</v>
      </c>
      <c r="Y30" s="17">
        <f t="shared" si="54"/>
        <v>34.921296121772933</v>
      </c>
      <c r="Z30" s="17">
        <f t="shared" si="54"/>
        <v>16.249166877470774</v>
      </c>
      <c r="AA30" s="17"/>
      <c r="AB30" s="17">
        <f t="shared" ref="AB30:AE30" si="55">AB12/AB$18*100</f>
        <v>12.613295880052364</v>
      </c>
      <c r="AC30" s="17">
        <f t="shared" si="55"/>
        <v>5.7996610553295023</v>
      </c>
      <c r="AD30" s="17">
        <f t="shared" si="55"/>
        <v>32.532031921700231</v>
      </c>
      <c r="AE30" s="17">
        <f t="shared" si="55"/>
        <v>13.843399812975857</v>
      </c>
      <c r="AG30" t="str">
        <f>$A$12</f>
        <v>Skilled trades occupations</v>
      </c>
      <c r="AH30" s="17">
        <f t="shared" ref="AH30:AK30" si="56">AH12/AH$18*100</f>
        <v>1.7788880005947114</v>
      </c>
      <c r="AI30" s="17">
        <f t="shared" si="56"/>
        <v>1.5886319604658954</v>
      </c>
      <c r="AJ30" s="17">
        <f t="shared" si="56"/>
        <v>8.426245560814694</v>
      </c>
      <c r="AK30" s="17">
        <f t="shared" si="56"/>
        <v>2.2752902696151911</v>
      </c>
      <c r="AL30" s="17"/>
      <c r="AM30" s="17">
        <f t="shared" ref="AM30:AP30" si="57">AM12/AM$18*100</f>
        <v>1.9495352101645163</v>
      </c>
      <c r="AN30" s="17">
        <f t="shared" si="57"/>
        <v>1.4049534722562951</v>
      </c>
      <c r="AO30" s="17">
        <f t="shared" si="57"/>
        <v>9.1962553225078274</v>
      </c>
      <c r="AP30" s="17">
        <f t="shared" si="57"/>
        <v>2.3315309473701156</v>
      </c>
      <c r="AQ30" s="17"/>
      <c r="AR30" s="17">
        <f t="shared" ref="AR30:AU30" si="58">AR12/AR$18*100</f>
        <v>1.8281615509715323</v>
      </c>
      <c r="AS30" s="17">
        <f t="shared" si="58"/>
        <v>1.4493617560856336</v>
      </c>
      <c r="AT30" s="17">
        <f t="shared" si="58"/>
        <v>11.149987268401807</v>
      </c>
      <c r="AU30" s="17">
        <f t="shared" si="58"/>
        <v>2.4469461683210945</v>
      </c>
    </row>
    <row r="31" spans="1:47" x14ac:dyDescent="0.2">
      <c r="A31" t="str">
        <f>$A$13</f>
        <v>Caring, leisure and other service occupations</v>
      </c>
      <c r="B31" s="17">
        <f t="shared" si="30"/>
        <v>8.0829553018849403</v>
      </c>
      <c r="C31" s="17">
        <f t="shared" ref="C31:O31" si="59">C13/C$18*100</f>
        <v>13.984694948533354</v>
      </c>
      <c r="D31" s="17">
        <f t="shared" si="59"/>
        <v>7.4043432824827722</v>
      </c>
      <c r="E31" s="17">
        <f t="shared" si="59"/>
        <v>9.7267588394143143</v>
      </c>
      <c r="F31" s="17"/>
      <c r="G31" s="17">
        <f t="shared" si="59"/>
        <v>7.6246629442386649</v>
      </c>
      <c r="H31" s="17">
        <f t="shared" si="59"/>
        <v>13.723297438205728</v>
      </c>
      <c r="I31" s="17">
        <f t="shared" si="59"/>
        <v>8.6363132254853614</v>
      </c>
      <c r="J31" s="17">
        <f t="shared" si="59"/>
        <v>9.5376924534416752</v>
      </c>
      <c r="K31" s="17"/>
      <c r="L31" s="17">
        <f t="shared" si="59"/>
        <v>8.0663721142558682</v>
      </c>
      <c r="M31" s="17">
        <f t="shared" si="59"/>
        <v>14.171475925380733</v>
      </c>
      <c r="N31" s="17">
        <f t="shared" si="59"/>
        <v>9.2202919489387511</v>
      </c>
      <c r="O31" s="17">
        <f t="shared" si="59"/>
        <v>9.9741739949123325</v>
      </c>
      <c r="Q31" t="str">
        <f>$A$13</f>
        <v>Caring, leisure and other service occupations</v>
      </c>
      <c r="R31" s="17">
        <f t="shared" ref="R31:U31" si="60">R13/R$18*100</f>
        <v>2.8904509537078384</v>
      </c>
      <c r="S31" s="17">
        <f t="shared" si="60"/>
        <v>6.4832504285694199</v>
      </c>
      <c r="T31" s="17">
        <f t="shared" si="60"/>
        <v>2.2222356132374848</v>
      </c>
      <c r="U31" s="17">
        <f t="shared" si="60"/>
        <v>3.3153036529948152</v>
      </c>
      <c r="V31" s="17"/>
      <c r="W31" s="17">
        <f t="shared" ref="W31:Z31" si="61">W13/W$18*100</f>
        <v>2.9718953589060382</v>
      </c>
      <c r="X31" s="17">
        <f t="shared" si="61"/>
        <v>7.0492386890770105</v>
      </c>
      <c r="Y31" s="17">
        <f t="shared" si="61"/>
        <v>1.6950037835255203</v>
      </c>
      <c r="Z31" s="17">
        <f t="shared" si="61"/>
        <v>3.4741693614507794</v>
      </c>
      <c r="AA31" s="17"/>
      <c r="AB31" s="17">
        <f t="shared" ref="AB31:AE31" si="62">AB13/AB$18*100</f>
        <v>3.4896676450424393</v>
      </c>
      <c r="AC31" s="17">
        <f t="shared" si="62"/>
        <v>7.8004173497326796</v>
      </c>
      <c r="AD31" s="17">
        <f t="shared" si="62"/>
        <v>2.4720407305558303</v>
      </c>
      <c r="AE31" s="17">
        <f t="shared" si="62"/>
        <v>4.0987328347113117</v>
      </c>
      <c r="AG31" t="str">
        <f>$A$13</f>
        <v>Caring, leisure and other service occupations</v>
      </c>
      <c r="AH31" s="17">
        <f t="shared" ref="AH31:AK31" si="63">AH13/AH$18*100</f>
        <v>16.067140078228601</v>
      </c>
      <c r="AI31" s="17">
        <f t="shared" si="63"/>
        <v>16.461858682841189</v>
      </c>
      <c r="AJ31" s="17">
        <f t="shared" si="63"/>
        <v>15.695695782567903</v>
      </c>
      <c r="AK31" s="17">
        <f t="shared" si="63"/>
        <v>16.208664532656861</v>
      </c>
      <c r="AL31" s="17"/>
      <c r="AM31" s="17">
        <f t="shared" ref="AM31:AP31" si="64">AM13/AM$18*100</f>
        <v>14.538854808088129</v>
      </c>
      <c r="AN31" s="17">
        <f t="shared" si="64"/>
        <v>16.157938737481579</v>
      </c>
      <c r="AO31" s="17">
        <f t="shared" si="64"/>
        <v>18.008837886361277</v>
      </c>
      <c r="AP31" s="17">
        <f t="shared" si="64"/>
        <v>15.535429930625885</v>
      </c>
      <c r="AQ31" s="17"/>
      <c r="AR31" s="17">
        <f t="shared" ref="AR31:AU31" si="65">AR13/AR$18*100</f>
        <v>14.166267975281425</v>
      </c>
      <c r="AS31" s="17">
        <f t="shared" si="65"/>
        <v>16.665980570117259</v>
      </c>
      <c r="AT31" s="17">
        <f t="shared" si="65"/>
        <v>18.450924733182113</v>
      </c>
      <c r="AU31" s="17">
        <f t="shared" si="65"/>
        <v>15.549469662108176</v>
      </c>
    </row>
    <row r="32" spans="1:47" x14ac:dyDescent="0.2">
      <c r="A32" t="str">
        <f>$A$14</f>
        <v>Sales and customer service occupations</v>
      </c>
      <c r="B32" s="17">
        <f t="shared" si="30"/>
        <v>6.8901179185286683</v>
      </c>
      <c r="C32" s="17">
        <f t="shared" ref="C32:O32" si="66">C14/C$18*100</f>
        <v>21.940186125564875</v>
      </c>
      <c r="D32" s="17">
        <f t="shared" si="66"/>
        <v>6.5916355608516985</v>
      </c>
      <c r="E32" s="17">
        <f t="shared" si="66"/>
        <v>11.243609101831636</v>
      </c>
      <c r="F32" s="17"/>
      <c r="G32" s="17">
        <f t="shared" si="66"/>
        <v>6.573444327706353</v>
      </c>
      <c r="H32" s="17">
        <f t="shared" si="66"/>
        <v>20.866197200518595</v>
      </c>
      <c r="I32" s="17">
        <f t="shared" si="66"/>
        <v>4.3190441156661379</v>
      </c>
      <c r="J32" s="17">
        <f t="shared" si="66"/>
        <v>10.590985722625378</v>
      </c>
      <c r="K32" s="17"/>
      <c r="L32" s="17">
        <f t="shared" si="66"/>
        <v>6.5355729989969387</v>
      </c>
      <c r="M32" s="17">
        <f t="shared" si="66"/>
        <v>20.42575719296466</v>
      </c>
      <c r="N32" s="17">
        <f t="shared" si="66"/>
        <v>3.3248561840255064</v>
      </c>
      <c r="O32" s="17">
        <f t="shared" si="66"/>
        <v>10.287075245631963</v>
      </c>
      <c r="Q32" t="str">
        <f>$A$14</f>
        <v>Sales and customer service occupations</v>
      </c>
      <c r="R32" s="17">
        <f t="shared" ref="R32:U32" si="67">R14/R$18*100</f>
        <v>4.0416132079095561</v>
      </c>
      <c r="S32" s="17">
        <f t="shared" si="67"/>
        <v>23.830583138790459</v>
      </c>
      <c r="T32" s="17">
        <f t="shared" si="67"/>
        <v>6.0125727673447722</v>
      </c>
      <c r="U32" s="17">
        <f t="shared" si="67"/>
        <v>7.1624036688289401</v>
      </c>
      <c r="V32" s="17"/>
      <c r="W32" s="17">
        <f t="shared" ref="W32:Z32" si="68">W14/W$18*100</f>
        <v>4.4653767621262999</v>
      </c>
      <c r="X32" s="17">
        <f t="shared" si="68"/>
        <v>21.59487325233648</v>
      </c>
      <c r="Y32" s="17">
        <f t="shared" si="68"/>
        <v>3.995806534218886</v>
      </c>
      <c r="Z32" s="17">
        <f t="shared" si="68"/>
        <v>7.1450525977829571</v>
      </c>
      <c r="AA32" s="17"/>
      <c r="AB32" s="17">
        <f t="shared" ref="AB32:AE32" si="69">AB14/AB$18*100</f>
        <v>5.1548499984129119</v>
      </c>
      <c r="AC32" s="17">
        <f t="shared" si="69"/>
        <v>21.178548422595249</v>
      </c>
      <c r="AD32" s="17">
        <f t="shared" si="69"/>
        <v>3.2781288681750729</v>
      </c>
      <c r="AE32" s="17">
        <f t="shared" si="69"/>
        <v>7.6470888322433845</v>
      </c>
      <c r="AG32" t="str">
        <f>$A$14</f>
        <v>Sales and customer service occupations</v>
      </c>
      <c r="AH32" s="17">
        <f t="shared" ref="AH32:AK32" si="70">AH14/AH$18*100</f>
        <v>11.270083041495301</v>
      </c>
      <c r="AI32" s="17">
        <f t="shared" si="70"/>
        <v>21.315929969014803</v>
      </c>
      <c r="AJ32" s="17">
        <f t="shared" si="70"/>
        <v>7.5181338212302178</v>
      </c>
      <c r="AK32" s="17">
        <f t="shared" si="70"/>
        <v>15.36965973500247</v>
      </c>
      <c r="AL32" s="17"/>
      <c r="AM32" s="17">
        <f t="shared" ref="AM32:AP32" si="71">AM14/AM$18*100</f>
        <v>9.7061139362908531</v>
      </c>
      <c r="AN32" s="17">
        <f t="shared" si="71"/>
        <v>20.600382218026787</v>
      </c>
      <c r="AO32" s="17">
        <f t="shared" si="71"/>
        <v>4.7554966652561053</v>
      </c>
      <c r="AP32" s="17">
        <f t="shared" si="71"/>
        <v>13.999532525067233</v>
      </c>
      <c r="AQ32" s="17"/>
      <c r="AR32" s="17">
        <f t="shared" ref="AR32:AU32" si="72">AR14/AR$18*100</f>
        <v>8.3758199655948786</v>
      </c>
      <c r="AS32" s="17">
        <f t="shared" si="72"/>
        <v>20.131011634352458</v>
      </c>
      <c r="AT32" s="17">
        <f t="shared" si="72"/>
        <v>3.3887724016721945</v>
      </c>
      <c r="AU32" s="17">
        <f t="shared" si="72"/>
        <v>12.792198590534568</v>
      </c>
    </row>
    <row r="33" spans="1:47" x14ac:dyDescent="0.2">
      <c r="A33" t="str">
        <f>$A$15</f>
        <v>Process, plant and machine operatives</v>
      </c>
      <c r="B33" s="17">
        <f t="shared" si="30"/>
        <v>9.1679625576133468</v>
      </c>
      <c r="C33" s="17">
        <f t="shared" ref="C33:O33" si="73">C15/C$18*100</f>
        <v>2.7064417102075686</v>
      </c>
      <c r="D33" s="17">
        <f t="shared" si="73"/>
        <v>6.8520157190123445</v>
      </c>
      <c r="E33" s="17">
        <f t="shared" si="73"/>
        <v>7.0230246518164519</v>
      </c>
      <c r="F33" s="17"/>
      <c r="G33" s="17">
        <f t="shared" si="73"/>
        <v>7.9533840828379274</v>
      </c>
      <c r="H33" s="17">
        <f t="shared" si="73"/>
        <v>2.8486299408463469</v>
      </c>
      <c r="I33" s="17">
        <f t="shared" si="73"/>
        <v>9.683207936540029</v>
      </c>
      <c r="J33" s="17">
        <f t="shared" si="73"/>
        <v>6.6116168564199178</v>
      </c>
      <c r="K33" s="17"/>
      <c r="L33" s="17">
        <f t="shared" si="73"/>
        <v>7.2265087182993026</v>
      </c>
      <c r="M33" s="17">
        <f t="shared" si="73"/>
        <v>3.4018584758983783</v>
      </c>
      <c r="N33" s="17">
        <f t="shared" si="73"/>
        <v>10.477654185893153</v>
      </c>
      <c r="O33" s="17">
        <f t="shared" si="73"/>
        <v>6.432463607885019</v>
      </c>
      <c r="Q33" t="str">
        <f>$A$15</f>
        <v>Process, plant and machine operatives</v>
      </c>
      <c r="R33" s="17">
        <f t="shared" ref="R33:U33" si="74">R15/R$18*100</f>
        <v>13.702534613582589</v>
      </c>
      <c r="S33" s="17">
        <f t="shared" si="74"/>
        <v>8.5576801596134064</v>
      </c>
      <c r="T33" s="17">
        <f t="shared" si="74"/>
        <v>10.085547523166046</v>
      </c>
      <c r="U33" s="17">
        <f t="shared" si="74"/>
        <v>12.462292084012116</v>
      </c>
      <c r="V33" s="17"/>
      <c r="W33" s="17">
        <f t="shared" ref="W33:Z33" si="75">W15/W$18*100</f>
        <v>12.126898289505863</v>
      </c>
      <c r="X33" s="17">
        <f t="shared" si="75"/>
        <v>8.9482113999631725</v>
      </c>
      <c r="Y33" s="17">
        <f t="shared" si="75"/>
        <v>15.597099230588061</v>
      </c>
      <c r="Z33" s="17">
        <f t="shared" si="75"/>
        <v>12.023281818435439</v>
      </c>
      <c r="AA33" s="17"/>
      <c r="AB33" s="17">
        <f t="shared" ref="AB33:AE33" si="76">AB15/AB$18*100</f>
        <v>11.451747378065459</v>
      </c>
      <c r="AC33" s="17">
        <f t="shared" si="76"/>
        <v>9.7239904552436993</v>
      </c>
      <c r="AD33" s="17">
        <f t="shared" si="76"/>
        <v>16.620640905485335</v>
      </c>
      <c r="AE33" s="17">
        <f t="shared" si="76"/>
        <v>11.777804224554925</v>
      </c>
      <c r="AG33" t="str">
        <f>$A$15</f>
        <v>Process, plant and machine operatives</v>
      </c>
      <c r="AH33" s="17">
        <f t="shared" ref="AH33:AK33" si="77">AH15/AH$18*100</f>
        <v>2.1954385597830721</v>
      </c>
      <c r="AI33" s="17">
        <f t="shared" si="77"/>
        <v>0.77421710345604011</v>
      </c>
      <c r="AJ33" s="17">
        <f t="shared" si="77"/>
        <v>1.6783771688933871</v>
      </c>
      <c r="AK33" s="17">
        <f t="shared" si="77"/>
        <v>1.5239893297732672</v>
      </c>
      <c r="AL33" s="17"/>
      <c r="AM33" s="17">
        <f t="shared" ref="AM33:AP33" si="78">AM15/AM$18*100</f>
        <v>1.7513812012904566</v>
      </c>
      <c r="AN33" s="17">
        <f t="shared" si="78"/>
        <v>0.62355319416626742</v>
      </c>
      <c r="AO33" s="17">
        <f t="shared" si="78"/>
        <v>1.6979578250632799</v>
      </c>
      <c r="AP33" s="17">
        <f t="shared" si="78"/>
        <v>1.2586652366730573</v>
      </c>
      <c r="AQ33" s="17"/>
      <c r="AR33" s="17">
        <f t="shared" ref="AR33:AU33" si="79">AR15/AR$18*100</f>
        <v>1.5950514140477303</v>
      </c>
      <c r="AS33" s="17">
        <f t="shared" si="79"/>
        <v>0.92651039992968576</v>
      </c>
      <c r="AT33" s="17">
        <f t="shared" si="79"/>
        <v>2.0749357967832815</v>
      </c>
      <c r="AU33" s="17">
        <f t="shared" si="79"/>
        <v>1.3601884259502357</v>
      </c>
    </row>
    <row r="34" spans="1:47" x14ac:dyDescent="0.2">
      <c r="A34" t="str">
        <f>$A$16</f>
        <v>Elementary occupations</v>
      </c>
      <c r="B34" s="17">
        <f t="shared" si="30"/>
        <v>8.8798296085476967</v>
      </c>
      <c r="C34" s="17">
        <f t="shared" ref="C34:O34" si="80">C16/C$18*100</f>
        <v>21.445523128342082</v>
      </c>
      <c r="D34" s="17">
        <f t="shared" si="80"/>
        <v>7.5333023759491624</v>
      </c>
      <c r="E34" s="17">
        <f t="shared" si="80"/>
        <v>12.390833483534767</v>
      </c>
      <c r="F34" s="17"/>
      <c r="G34" s="17">
        <f t="shared" si="80"/>
        <v>8.2540269128277242</v>
      </c>
      <c r="H34" s="17">
        <f t="shared" si="80"/>
        <v>19.037436895579262</v>
      </c>
      <c r="I34" s="17">
        <f t="shared" si="80"/>
        <v>6.2194226330855784</v>
      </c>
      <c r="J34" s="17">
        <f t="shared" si="80"/>
        <v>11.251517565289909</v>
      </c>
      <c r="K34" s="17"/>
      <c r="L34" s="17">
        <f t="shared" si="80"/>
        <v>7.9319411009920291</v>
      </c>
      <c r="M34" s="17">
        <f t="shared" si="80"/>
        <v>16.278973311191294</v>
      </c>
      <c r="N34" s="17">
        <f t="shared" si="80"/>
        <v>8.0797687337376853</v>
      </c>
      <c r="O34" s="17">
        <f t="shared" si="80"/>
        <v>10.39600506658995</v>
      </c>
      <c r="Q34" t="str">
        <f>$A$16</f>
        <v>Elementary occupations</v>
      </c>
      <c r="R34" s="17">
        <f t="shared" ref="R34:U34" si="81">R16/R$18*100</f>
        <v>10.543195304056532</v>
      </c>
      <c r="S34" s="17">
        <f t="shared" si="81"/>
        <v>31.199158644899651</v>
      </c>
      <c r="T34" s="17">
        <f t="shared" si="81"/>
        <v>4.9941129292392663</v>
      </c>
      <c r="U34" s="17">
        <f t="shared" si="81"/>
        <v>12.749926888058106</v>
      </c>
      <c r="V34" s="17"/>
      <c r="W34" s="17">
        <f t="shared" ref="W34:Z34" si="82">W16/W$18*100</f>
        <v>9.9010219995632305</v>
      </c>
      <c r="X34" s="17">
        <f t="shared" si="82"/>
        <v>28.864957911316587</v>
      </c>
      <c r="Y34" s="17">
        <f t="shared" si="82"/>
        <v>5.873059510692161</v>
      </c>
      <c r="Z34" s="17">
        <f t="shared" si="82"/>
        <v>12.459475640469346</v>
      </c>
      <c r="AA34" s="17"/>
      <c r="AB34" s="17">
        <f t="shared" ref="AB34:AE34" si="83">AB16/AB$18*100</f>
        <v>8.9195725129849617</v>
      </c>
      <c r="AC34" s="17">
        <f t="shared" si="83"/>
        <v>25.965289960765219</v>
      </c>
      <c r="AD34" s="17">
        <f t="shared" si="83"/>
        <v>7.4943868996173837</v>
      </c>
      <c r="AE34" s="17">
        <f t="shared" si="83"/>
        <v>11.639180745808725</v>
      </c>
      <c r="AG34" t="str">
        <f>$A$16</f>
        <v>Elementary occupations</v>
      </c>
      <c r="AH34" s="17">
        <f t="shared" ref="AH34:AK34" si="84">AH16/AH$18*100</f>
        <v>6.3221776215568335</v>
      </c>
      <c r="AI34" s="17">
        <f t="shared" si="84"/>
        <v>18.224629857056605</v>
      </c>
      <c r="AJ34" s="17">
        <f t="shared" si="84"/>
        <v>11.595995803203651</v>
      </c>
      <c r="AK34" s="17">
        <f t="shared" si="84"/>
        <v>12.027794280185761</v>
      </c>
      <c r="AL34" s="17"/>
      <c r="AM34" s="17">
        <f t="shared" ref="AM34:AP34" si="85">AM16/AM$18*100</f>
        <v>5.8065287690551939</v>
      </c>
      <c r="AN34" s="17">
        <f t="shared" si="85"/>
        <v>15.452438705753757</v>
      </c>
      <c r="AO34" s="17">
        <f t="shared" si="85"/>
        <v>6.6871005162565336</v>
      </c>
      <c r="AP34" s="17">
        <f t="shared" si="85"/>
        <v>10.056665115904387</v>
      </c>
      <c r="AQ34" s="17"/>
      <c r="AR34" s="17">
        <f t="shared" ref="AR34:AU34" si="86">AR16/AR$18*100</f>
        <v>6.6156121130139356</v>
      </c>
      <c r="AS34" s="17">
        <f t="shared" si="86"/>
        <v>12.48642273488565</v>
      </c>
      <c r="AT34" s="17">
        <f t="shared" si="86"/>
        <v>8.8804865159405555</v>
      </c>
      <c r="AU34" s="17">
        <f t="shared" si="86"/>
        <v>9.2163367167711598</v>
      </c>
    </row>
    <row r="35" spans="1:47" x14ac:dyDescent="0.2">
      <c r="B35" s="17"/>
      <c r="C35" s="17"/>
      <c r="D35" s="17"/>
      <c r="E35" s="17"/>
      <c r="F35" s="17"/>
      <c r="G35" s="17"/>
      <c r="H35" s="17"/>
      <c r="I35" s="17"/>
      <c r="J35" s="17"/>
      <c r="K35" s="17"/>
      <c r="L35" s="17"/>
      <c r="M35" s="17"/>
      <c r="N35" s="17"/>
      <c r="O35" s="17"/>
      <c r="R35" s="17"/>
      <c r="S35" s="17"/>
      <c r="T35" s="17"/>
      <c r="U35" s="17"/>
      <c r="V35" s="17"/>
      <c r="W35" s="17"/>
      <c r="X35" s="17"/>
      <c r="Y35" s="17"/>
      <c r="Z35" s="17"/>
      <c r="AA35" s="17"/>
      <c r="AB35" s="17"/>
      <c r="AC35" s="17"/>
      <c r="AD35" s="17"/>
      <c r="AE35" s="17"/>
      <c r="AH35" s="17"/>
      <c r="AI35" s="17"/>
      <c r="AJ35" s="17"/>
      <c r="AK35" s="17"/>
      <c r="AL35" s="17"/>
      <c r="AM35" s="17"/>
      <c r="AN35" s="17"/>
      <c r="AO35" s="17"/>
      <c r="AP35" s="17"/>
      <c r="AQ35" s="17"/>
      <c r="AR35" s="17"/>
      <c r="AS35" s="17"/>
      <c r="AT35" s="17"/>
      <c r="AU35" s="17"/>
    </row>
    <row r="36" spans="1:47" x14ac:dyDescent="0.2">
      <c r="A36" s="23" t="str">
        <f>$A$18</f>
        <v>All occupations</v>
      </c>
      <c r="B36" s="25">
        <f>B18/B$18*100</f>
        <v>100</v>
      </c>
      <c r="C36" s="25">
        <f t="shared" ref="C36:O36" si="87">C18/C$18*100</f>
        <v>100</v>
      </c>
      <c r="D36" s="25">
        <f t="shared" si="87"/>
        <v>100</v>
      </c>
      <c r="E36" s="25">
        <f t="shared" si="87"/>
        <v>100</v>
      </c>
      <c r="F36" s="25"/>
      <c r="G36" s="25">
        <f t="shared" si="87"/>
        <v>100</v>
      </c>
      <c r="H36" s="25">
        <f t="shared" si="87"/>
        <v>100</v>
      </c>
      <c r="I36" s="25">
        <f t="shared" si="87"/>
        <v>100</v>
      </c>
      <c r="J36" s="25">
        <f t="shared" si="87"/>
        <v>100</v>
      </c>
      <c r="K36" s="25"/>
      <c r="L36" s="25">
        <f t="shared" si="87"/>
        <v>100</v>
      </c>
      <c r="M36" s="25">
        <f t="shared" si="87"/>
        <v>100</v>
      </c>
      <c r="N36" s="25">
        <f t="shared" si="87"/>
        <v>100</v>
      </c>
      <c r="O36" s="25">
        <f t="shared" si="87"/>
        <v>100</v>
      </c>
      <c r="Q36" s="23" t="str">
        <f>$A$18</f>
        <v>All occupations</v>
      </c>
      <c r="R36" s="25">
        <f>R18/R$18*100</f>
        <v>100</v>
      </c>
      <c r="S36" s="25">
        <f t="shared" ref="S36:U36" si="88">S18/S$18*100</f>
        <v>100</v>
      </c>
      <c r="T36" s="25">
        <f t="shared" si="88"/>
        <v>100</v>
      </c>
      <c r="U36" s="25">
        <f t="shared" si="88"/>
        <v>100</v>
      </c>
      <c r="V36" s="25"/>
      <c r="W36" s="25">
        <f t="shared" ref="W36:Z36" si="89">W18/W$18*100</f>
        <v>100</v>
      </c>
      <c r="X36" s="25">
        <f t="shared" si="89"/>
        <v>100</v>
      </c>
      <c r="Y36" s="25">
        <f t="shared" si="89"/>
        <v>100</v>
      </c>
      <c r="Z36" s="25">
        <f t="shared" si="89"/>
        <v>100</v>
      </c>
      <c r="AA36" s="25"/>
      <c r="AB36" s="25">
        <f t="shared" ref="AB36:AE36" si="90">AB18/AB$18*100</f>
        <v>100</v>
      </c>
      <c r="AC36" s="25">
        <f t="shared" si="90"/>
        <v>100</v>
      </c>
      <c r="AD36" s="25">
        <f t="shared" si="90"/>
        <v>100</v>
      </c>
      <c r="AE36" s="25">
        <f t="shared" si="90"/>
        <v>100</v>
      </c>
      <c r="AG36" s="23" t="str">
        <f>$A$18</f>
        <v>All occupations</v>
      </c>
      <c r="AH36" s="25">
        <f>AH18/AH$18*100</f>
        <v>100</v>
      </c>
      <c r="AI36" s="25">
        <f t="shared" ref="AI36:AK36" si="91">AI18/AI$18*100</f>
        <v>100</v>
      </c>
      <c r="AJ36" s="25">
        <f t="shared" si="91"/>
        <v>100</v>
      </c>
      <c r="AK36" s="25">
        <f t="shared" si="91"/>
        <v>100</v>
      </c>
      <c r="AL36" s="25"/>
      <c r="AM36" s="25">
        <f t="shared" ref="AM36:AP36" si="92">AM18/AM$18*100</f>
        <v>100</v>
      </c>
      <c r="AN36" s="25">
        <f t="shared" si="92"/>
        <v>100</v>
      </c>
      <c r="AO36" s="25">
        <f t="shared" si="92"/>
        <v>100</v>
      </c>
      <c r="AP36" s="25">
        <f t="shared" si="92"/>
        <v>100</v>
      </c>
      <c r="AQ36" s="25"/>
      <c r="AR36" s="25">
        <f t="shared" ref="AR36:AU36" si="93">AR18/AR$18*100</f>
        <v>100</v>
      </c>
      <c r="AS36" s="25">
        <f t="shared" si="93"/>
        <v>100</v>
      </c>
      <c r="AT36" s="25">
        <f t="shared" si="93"/>
        <v>100</v>
      </c>
      <c r="AU36" s="25">
        <f t="shared" si="93"/>
        <v>100</v>
      </c>
    </row>
    <row r="37" spans="1:47" x14ac:dyDescent="0.2">
      <c r="B37" s="17"/>
      <c r="C37" s="17"/>
      <c r="D37" s="17"/>
      <c r="E37" s="17"/>
      <c r="F37" s="17"/>
      <c r="G37" s="17"/>
      <c r="H37" s="17"/>
      <c r="I37" s="17"/>
      <c r="J37" s="17"/>
      <c r="K37" s="17"/>
      <c r="L37" s="17"/>
      <c r="M37" s="17"/>
      <c r="N37" s="17"/>
      <c r="O37" s="17"/>
      <c r="R37" s="17"/>
      <c r="S37" s="17"/>
      <c r="T37" s="17"/>
      <c r="U37" s="17"/>
      <c r="V37" s="17"/>
      <c r="W37" s="17"/>
      <c r="X37" s="17"/>
      <c r="Y37" s="17"/>
      <c r="Z37" s="17"/>
      <c r="AA37" s="17"/>
      <c r="AB37" s="17"/>
      <c r="AC37" s="17"/>
      <c r="AD37" s="17"/>
      <c r="AE37" s="17"/>
      <c r="AH37" s="17"/>
      <c r="AI37" s="17"/>
      <c r="AJ37" s="17"/>
      <c r="AK37" s="17"/>
      <c r="AL37" s="17"/>
      <c r="AM37" s="17"/>
      <c r="AN37" s="17"/>
      <c r="AO37" s="17"/>
      <c r="AP37" s="17"/>
      <c r="AQ37" s="17"/>
      <c r="AR37" s="17"/>
      <c r="AS37" s="17"/>
      <c r="AT37" s="17"/>
      <c r="AU37" s="17"/>
    </row>
    <row r="38" spans="1:47" x14ac:dyDescent="0.2">
      <c r="B38" s="17"/>
      <c r="C38" s="17"/>
      <c r="D38" s="17"/>
      <c r="E38" s="17"/>
      <c r="F38" s="17"/>
      <c r="G38" s="17"/>
      <c r="H38" s="17"/>
      <c r="I38" s="17"/>
      <c r="J38" s="17"/>
      <c r="K38" s="17"/>
      <c r="L38" s="17"/>
      <c r="M38" s="17"/>
      <c r="N38" s="17"/>
      <c r="O38" s="17"/>
      <c r="R38" s="17"/>
      <c r="S38" s="17"/>
      <c r="T38" s="17"/>
      <c r="U38" s="17"/>
      <c r="V38" s="17"/>
      <c r="W38" s="17"/>
      <c r="X38" s="17"/>
      <c r="Y38" s="17"/>
      <c r="Z38" s="17"/>
      <c r="AA38" s="17"/>
      <c r="AB38" s="17"/>
      <c r="AC38" s="17"/>
      <c r="AD38" s="17"/>
      <c r="AE38" s="17"/>
      <c r="AH38" s="17"/>
      <c r="AI38" s="17"/>
      <c r="AJ38" s="17"/>
      <c r="AK38" s="17"/>
      <c r="AL38" s="17"/>
      <c r="AM38" s="17"/>
      <c r="AN38" s="17"/>
      <c r="AO38" s="17"/>
      <c r="AP38" s="17"/>
      <c r="AQ38" s="17"/>
      <c r="AR38" s="17"/>
      <c r="AS38" s="17"/>
      <c r="AT38" s="17"/>
      <c r="AU38" s="17"/>
    </row>
    <row r="39" spans="1:47" x14ac:dyDescent="0.2">
      <c r="B39" s="17"/>
      <c r="C39" s="17"/>
      <c r="D39" s="17"/>
      <c r="E39" s="17"/>
      <c r="F39" s="17"/>
      <c r="G39" s="17"/>
      <c r="H39" s="17"/>
      <c r="I39" s="17"/>
      <c r="J39" s="17"/>
      <c r="K39" s="17"/>
      <c r="L39" s="17"/>
      <c r="M39" s="17"/>
      <c r="N39" s="17"/>
      <c r="O39" s="17"/>
      <c r="R39" s="17"/>
      <c r="S39" s="17"/>
      <c r="T39" s="17"/>
      <c r="U39" s="17"/>
      <c r="V39" s="17"/>
      <c r="W39" s="17"/>
      <c r="X39" s="17"/>
      <c r="Y39" s="17"/>
      <c r="Z39" s="17"/>
      <c r="AA39" s="17"/>
      <c r="AB39" s="17"/>
      <c r="AC39" s="17"/>
      <c r="AD39" s="17"/>
      <c r="AE39" s="17"/>
      <c r="AH39" s="17"/>
      <c r="AI39" s="17"/>
      <c r="AJ39" s="17"/>
      <c r="AK39" s="17"/>
      <c r="AL39" s="17"/>
      <c r="AM39" s="17"/>
      <c r="AN39" s="17"/>
      <c r="AO39" s="17"/>
      <c r="AP39" s="17"/>
      <c r="AQ39" s="17"/>
      <c r="AR39" s="17"/>
      <c r="AS39" s="17"/>
      <c r="AT39" s="17"/>
      <c r="AU39" s="17"/>
    </row>
    <row r="40" spans="1:47" x14ac:dyDescent="0.2">
      <c r="A40" s="35"/>
      <c r="B40" s="65"/>
      <c r="C40" s="65"/>
      <c r="D40" s="65"/>
      <c r="E40" s="65"/>
      <c r="F40" s="65"/>
      <c r="G40" s="65"/>
      <c r="H40" s="65"/>
      <c r="I40" s="65"/>
      <c r="J40" s="65"/>
      <c r="K40" s="65"/>
      <c r="L40" s="65"/>
      <c r="M40" s="65"/>
      <c r="N40" s="65"/>
      <c r="O40" s="65"/>
      <c r="Q40" s="35"/>
      <c r="R40" s="65"/>
      <c r="S40" s="65"/>
      <c r="T40" s="65"/>
      <c r="U40" s="65"/>
      <c r="V40" s="65"/>
      <c r="W40" s="65"/>
      <c r="X40" s="65"/>
      <c r="Y40" s="65"/>
      <c r="Z40" s="65"/>
      <c r="AA40" s="65"/>
      <c r="AB40" s="65"/>
      <c r="AC40" s="65"/>
      <c r="AD40" s="65"/>
      <c r="AE40" s="65"/>
      <c r="AG40" s="35"/>
      <c r="AH40" s="65"/>
      <c r="AI40" s="65"/>
      <c r="AJ40" s="65"/>
      <c r="AK40" s="65"/>
      <c r="AL40" s="65"/>
      <c r="AM40" s="65"/>
      <c r="AN40" s="65"/>
      <c r="AO40" s="65"/>
      <c r="AP40" s="65"/>
      <c r="AQ40" s="65"/>
      <c r="AR40" s="65"/>
      <c r="AS40" s="65"/>
      <c r="AT40" s="65"/>
      <c r="AU40" s="65"/>
    </row>
    <row r="41" spans="1:47" x14ac:dyDescent="0.2">
      <c r="B41" s="375" t="str">
        <f>B5&amp;"-"&amp;G5</f>
        <v>2015-2020</v>
      </c>
      <c r="C41" s="375"/>
      <c r="D41" s="375"/>
      <c r="E41" s="375"/>
      <c r="F41" s="1"/>
      <c r="G41" s="375" t="str">
        <f>G5&amp;"-"&amp;L5</f>
        <v>2020-2035</v>
      </c>
      <c r="H41" s="375"/>
      <c r="I41" s="375"/>
      <c r="J41" s="375"/>
      <c r="K41" s="1"/>
      <c r="L41" s="375" t="str">
        <f>B5&amp;"-"&amp;L5</f>
        <v>2015-2035</v>
      </c>
      <c r="M41" s="375"/>
      <c r="N41" s="375"/>
      <c r="O41" s="375"/>
      <c r="R41" s="375" t="str">
        <f>R5&amp;"-"&amp;W5</f>
        <v>2015-2020</v>
      </c>
      <c r="S41" s="375"/>
      <c r="T41" s="375"/>
      <c r="U41" s="375"/>
      <c r="V41" s="1"/>
      <c r="W41" s="375" t="str">
        <f>W5&amp;"-"&amp;AB5</f>
        <v>2020-2035</v>
      </c>
      <c r="X41" s="375"/>
      <c r="Y41" s="375"/>
      <c r="Z41" s="375"/>
      <c r="AA41" s="1"/>
      <c r="AB41" s="375" t="str">
        <f>R5&amp;"-"&amp;AB5</f>
        <v>2015-2035</v>
      </c>
      <c r="AC41" s="375"/>
      <c r="AD41" s="375"/>
      <c r="AE41" s="375"/>
      <c r="AH41" s="375" t="str">
        <f>AH5&amp;"-"&amp;AM5</f>
        <v>2015-2020</v>
      </c>
      <c r="AI41" s="375"/>
      <c r="AJ41" s="375"/>
      <c r="AK41" s="375"/>
      <c r="AL41" s="1"/>
      <c r="AM41" s="375" t="str">
        <f>AM5&amp;"-"&amp;AR5</f>
        <v>2020-2035</v>
      </c>
      <c r="AN41" s="375"/>
      <c r="AO41" s="375"/>
      <c r="AP41" s="375"/>
      <c r="AQ41" s="1"/>
      <c r="AR41" s="375" t="str">
        <f>AH5&amp;"-"&amp;AR5</f>
        <v>2015-2035</v>
      </c>
      <c r="AS41" s="375"/>
      <c r="AT41" s="375"/>
      <c r="AU41" s="375"/>
    </row>
    <row r="42" spans="1:47" x14ac:dyDescent="0.2">
      <c r="A42" s="40" t="s">
        <v>15</v>
      </c>
      <c r="B42" s="337" t="s">
        <v>339</v>
      </c>
      <c r="C42" s="337" t="s">
        <v>341</v>
      </c>
      <c r="D42" s="337" t="s">
        <v>337</v>
      </c>
      <c r="E42" s="337" t="s">
        <v>32</v>
      </c>
      <c r="F42" s="338"/>
      <c r="G42" s="337" t="s">
        <v>339</v>
      </c>
      <c r="H42" s="337" t="s">
        <v>341</v>
      </c>
      <c r="I42" s="337" t="s">
        <v>337</v>
      </c>
      <c r="J42" s="337" t="s">
        <v>32</v>
      </c>
      <c r="K42" s="338"/>
      <c r="L42" s="337" t="s">
        <v>339</v>
      </c>
      <c r="M42" s="337" t="s">
        <v>341</v>
      </c>
      <c r="N42" s="337" t="s">
        <v>337</v>
      </c>
      <c r="O42" s="337" t="s">
        <v>32</v>
      </c>
      <c r="Q42" s="40" t="s">
        <v>15</v>
      </c>
      <c r="R42" s="337" t="s">
        <v>339</v>
      </c>
      <c r="S42" s="337" t="s">
        <v>341</v>
      </c>
      <c r="T42" s="337" t="s">
        <v>337</v>
      </c>
      <c r="U42" s="337" t="s">
        <v>32</v>
      </c>
      <c r="V42" s="338"/>
      <c r="W42" s="337" t="s">
        <v>339</v>
      </c>
      <c r="X42" s="337" t="s">
        <v>341</v>
      </c>
      <c r="Y42" s="337" t="s">
        <v>337</v>
      </c>
      <c r="Z42" s="337" t="s">
        <v>32</v>
      </c>
      <c r="AA42" s="338"/>
      <c r="AB42" s="337" t="s">
        <v>339</v>
      </c>
      <c r="AC42" s="337" t="s">
        <v>341</v>
      </c>
      <c r="AD42" s="337" t="s">
        <v>337</v>
      </c>
      <c r="AE42" s="337" t="s">
        <v>32</v>
      </c>
      <c r="AG42" s="40" t="s">
        <v>15</v>
      </c>
      <c r="AH42" s="337" t="s">
        <v>339</v>
      </c>
      <c r="AI42" s="337" t="s">
        <v>341</v>
      </c>
      <c r="AJ42" s="337" t="s">
        <v>337</v>
      </c>
      <c r="AK42" s="337" t="s">
        <v>32</v>
      </c>
      <c r="AL42" s="338"/>
      <c r="AM42" s="337" t="s">
        <v>339</v>
      </c>
      <c r="AN42" s="337" t="s">
        <v>341</v>
      </c>
      <c r="AO42" s="337" t="s">
        <v>337</v>
      </c>
      <c r="AP42" s="337" t="s">
        <v>32</v>
      </c>
      <c r="AQ42" s="338"/>
      <c r="AR42" s="337" t="s">
        <v>339</v>
      </c>
      <c r="AS42" s="337" t="s">
        <v>341</v>
      </c>
      <c r="AT42" s="337" t="s">
        <v>337</v>
      </c>
      <c r="AU42" s="337" t="s">
        <v>32</v>
      </c>
    </row>
    <row r="43" spans="1:47" x14ac:dyDescent="0.2">
      <c r="A43" s="1"/>
      <c r="B43" s="19"/>
      <c r="C43" s="19"/>
      <c r="D43" s="19"/>
      <c r="E43" s="19"/>
      <c r="F43" s="19"/>
      <c r="G43" s="19"/>
      <c r="H43" s="19"/>
      <c r="I43" s="19"/>
      <c r="J43" s="19"/>
      <c r="K43" s="19"/>
      <c r="L43" s="19"/>
      <c r="M43" s="19"/>
      <c r="N43" s="19"/>
      <c r="O43" s="19"/>
      <c r="Q43" s="1"/>
      <c r="R43" s="19"/>
      <c r="S43" s="19"/>
      <c r="T43" s="19"/>
      <c r="U43" s="19"/>
      <c r="V43" s="19"/>
      <c r="W43" s="19"/>
      <c r="X43" s="19"/>
      <c r="Y43" s="19"/>
      <c r="Z43" s="19"/>
      <c r="AA43" s="19"/>
      <c r="AB43" s="19"/>
      <c r="AC43" s="19"/>
      <c r="AD43" s="19"/>
      <c r="AE43" s="19"/>
      <c r="AG43" s="1"/>
      <c r="AH43" s="19"/>
      <c r="AI43" s="19"/>
      <c r="AJ43" s="19"/>
      <c r="AK43" s="19"/>
      <c r="AL43" s="19"/>
      <c r="AM43" s="19"/>
      <c r="AN43" s="19"/>
      <c r="AO43" s="19"/>
      <c r="AP43" s="19"/>
      <c r="AQ43" s="19"/>
      <c r="AR43" s="19"/>
      <c r="AS43" s="19"/>
      <c r="AT43" s="19"/>
      <c r="AU43" s="19"/>
    </row>
    <row r="44" spans="1:47" x14ac:dyDescent="0.2">
      <c r="A44" t="str">
        <f>$A$8</f>
        <v>Managers, directors and senior officials</v>
      </c>
      <c r="B44" s="26">
        <f>G8-B8</f>
        <v>8.8633178172469798</v>
      </c>
      <c r="C44" s="26">
        <f t="shared" ref="C44:E44" si="94">H8-C8</f>
        <v>3.6852363214576354</v>
      </c>
      <c r="D44" s="26">
        <f t="shared" si="94"/>
        <v>-1.397399128845894</v>
      </c>
      <c r="E44" s="26">
        <f t="shared" si="94"/>
        <v>11.151155009858726</v>
      </c>
      <c r="F44" s="26"/>
      <c r="G44" s="26">
        <f>L8-G8</f>
        <v>10.864583700460784</v>
      </c>
      <c r="H44" s="26">
        <f t="shared" ref="H44:J44" si="95">M8-H8</f>
        <v>3.7147425500650737</v>
      </c>
      <c r="I44" s="26">
        <f t="shared" si="95"/>
        <v>1.8028096901554633</v>
      </c>
      <c r="J44" s="26">
        <f t="shared" si="95"/>
        <v>16.382135940681323</v>
      </c>
      <c r="K44" s="26"/>
      <c r="L44" s="26">
        <f>L8-B8</f>
        <v>19.727901517707764</v>
      </c>
      <c r="M44" s="26">
        <f t="shared" ref="M44:O44" si="96">M8-C8</f>
        <v>7.3999788715227091</v>
      </c>
      <c r="N44" s="26">
        <f t="shared" si="96"/>
        <v>0.40541056130956932</v>
      </c>
      <c r="O44" s="26">
        <f t="shared" si="96"/>
        <v>27.533290950540049</v>
      </c>
      <c r="Q44" t="str">
        <f>$A$8</f>
        <v>Managers, directors and senior officials</v>
      </c>
      <c r="R44" s="26">
        <f>W8-R8</f>
        <v>5.5318399104862834</v>
      </c>
      <c r="S44" s="26">
        <f t="shared" ref="S44:S52" si="97">X8-S8</f>
        <v>1.4618714418779697</v>
      </c>
      <c r="T44" s="26">
        <f t="shared" ref="T44:T52" si="98">Y8-T8</f>
        <v>-3.1258960547133281</v>
      </c>
      <c r="U44" s="26">
        <f t="shared" ref="U44:U52" si="99">Z8-U8</f>
        <v>3.8678152976509281</v>
      </c>
      <c r="V44" s="26"/>
      <c r="W44" s="26">
        <f>AB8-W8</f>
        <v>3.5806573067492522</v>
      </c>
      <c r="X44" s="26">
        <f t="shared" ref="X44:X52" si="100">AC8-X8</f>
        <v>1.8003579024891119</v>
      </c>
      <c r="Y44" s="26">
        <f t="shared" ref="Y44:Y52" si="101">AD8-Y8</f>
        <v>1.8627069565782488</v>
      </c>
      <c r="Z44" s="26">
        <f t="shared" ref="Z44:Z52" si="102">AE8-Z8</f>
        <v>7.2437221658166138</v>
      </c>
      <c r="AA44" s="26"/>
      <c r="AB44" s="26">
        <f>AB8-R8</f>
        <v>9.1124972172355356</v>
      </c>
      <c r="AC44" s="26">
        <f t="shared" ref="AC44:AC52" si="103">AC8-S8</f>
        <v>3.2622293443670816</v>
      </c>
      <c r="AD44" s="26">
        <f t="shared" ref="AD44:AD52" si="104">AD8-T8</f>
        <v>-1.2631890981350793</v>
      </c>
      <c r="AE44" s="26">
        <f t="shared" ref="AE44:AE52" si="105">AE8-U8</f>
        <v>11.111537463467542</v>
      </c>
      <c r="AG44" t="str">
        <f>$A$8</f>
        <v>Managers, directors and senior officials</v>
      </c>
      <c r="AH44" s="26">
        <f>AM8-AH8</f>
        <v>3.3314779067607354</v>
      </c>
      <c r="AI44" s="26">
        <f t="shared" ref="AI44:AI52" si="106">AN8-AI8</f>
        <v>2.2233648795796643</v>
      </c>
      <c r="AJ44" s="26">
        <f t="shared" ref="AJ44:AJ52" si="107">AO8-AJ8</f>
        <v>1.7284969258674678</v>
      </c>
      <c r="AK44" s="26">
        <f t="shared" ref="AK44:AK52" si="108">AP8-AK8</f>
        <v>7.2833397122078694</v>
      </c>
      <c r="AL44" s="26"/>
      <c r="AM44" s="26">
        <f>AR8-AM8</f>
        <v>7.2839263937116243</v>
      </c>
      <c r="AN44" s="26">
        <f t="shared" ref="AN44:AN52" si="109">AS8-AN8</f>
        <v>1.9143846475759654</v>
      </c>
      <c r="AO44" s="26">
        <f t="shared" ref="AO44:AO52" si="110">AT8-AO8</f>
        <v>-5.9897266422776596E-2</v>
      </c>
      <c r="AP44" s="26">
        <f t="shared" ref="AP44:AP52" si="111">AU8-AP8</f>
        <v>9.1384137748648087</v>
      </c>
      <c r="AQ44" s="26"/>
      <c r="AR44" s="26">
        <f>AR8-AH8</f>
        <v>10.61540430047236</v>
      </c>
      <c r="AS44" s="26">
        <f t="shared" ref="AS44:AS52" si="112">AS8-AI8</f>
        <v>4.1377495271556297</v>
      </c>
      <c r="AT44" s="26">
        <f t="shared" ref="AT44:AT52" si="113">AT8-AJ8</f>
        <v>1.6685996594446912</v>
      </c>
      <c r="AU44" s="26">
        <f t="shared" ref="AU44:AU52" si="114">AU8-AK8</f>
        <v>16.421753487072678</v>
      </c>
    </row>
    <row r="45" spans="1:47" x14ac:dyDescent="0.2">
      <c r="A45" t="str">
        <f>$A$9</f>
        <v>Professional occupations</v>
      </c>
      <c r="B45" s="26">
        <f t="shared" ref="B45:B54" si="115">G9-B9</f>
        <v>17.702341784215974</v>
      </c>
      <c r="C45" s="26">
        <f t="shared" ref="C45:C54" si="116">H9-C9</f>
        <v>9.499743427675412</v>
      </c>
      <c r="D45" s="26">
        <f t="shared" ref="D45:D54" si="117">I9-D9</f>
        <v>-3.9385733179149973</v>
      </c>
      <c r="E45" s="26">
        <f t="shared" ref="E45:E54" si="118">J9-E9</f>
        <v>23.263511893976414</v>
      </c>
      <c r="F45" s="26"/>
      <c r="G45" s="26">
        <f t="shared" ref="G45:G54" si="119">L9-G9</f>
        <v>39.649212701527432</v>
      </c>
      <c r="H45" s="26">
        <f t="shared" ref="H45:H54" si="120">M9-H9</f>
        <v>14.54060230595438</v>
      </c>
      <c r="I45" s="26">
        <f t="shared" ref="I45:I54" si="121">N9-I9</f>
        <v>-2.1569491958572744</v>
      </c>
      <c r="J45" s="26">
        <f t="shared" ref="J45:J54" si="122">O9-J9</f>
        <v>52.032865811624532</v>
      </c>
      <c r="K45" s="26"/>
      <c r="L45" s="26">
        <f t="shared" ref="L45:L54" si="123">L9-B9</f>
        <v>57.351554485743407</v>
      </c>
      <c r="M45" s="26">
        <f t="shared" ref="M45:M54" si="124">M9-C9</f>
        <v>24.040345733629792</v>
      </c>
      <c r="N45" s="26">
        <f t="shared" ref="N45:N54" si="125">N9-D9</f>
        <v>-6.0955225137722717</v>
      </c>
      <c r="O45" s="26">
        <f t="shared" ref="O45:O54" si="126">O9-E9</f>
        <v>75.296377705600946</v>
      </c>
      <c r="Q45" t="str">
        <f>$A$9</f>
        <v>Professional occupations</v>
      </c>
      <c r="R45" s="26">
        <f t="shared" ref="R45:R52" si="127">W9-R9</f>
        <v>6.3805890340350686</v>
      </c>
      <c r="S45" s="26">
        <f t="shared" si="97"/>
        <v>2.6167078366723473</v>
      </c>
      <c r="T45" s="26">
        <f t="shared" si="98"/>
        <v>-5.2450291744777893</v>
      </c>
      <c r="U45" s="26">
        <f t="shared" si="99"/>
        <v>3.7522676962296373</v>
      </c>
      <c r="V45" s="26"/>
      <c r="W45" s="26">
        <f t="shared" ref="W45:W52" si="128">AB9-W9</f>
        <v>15.465379868892882</v>
      </c>
      <c r="X45" s="26">
        <f t="shared" si="100"/>
        <v>2.8481542900707524</v>
      </c>
      <c r="Y45" s="26">
        <f t="shared" si="101"/>
        <v>-1.095332728492191</v>
      </c>
      <c r="Z45" s="26">
        <f t="shared" si="102"/>
        <v>17.218201430471453</v>
      </c>
      <c r="AA45" s="26"/>
      <c r="AB45" s="26">
        <f t="shared" ref="AB45:AB52" si="129">AB9-R9</f>
        <v>21.84596890292795</v>
      </c>
      <c r="AC45" s="26">
        <f t="shared" si="103"/>
        <v>5.4648621267430997</v>
      </c>
      <c r="AD45" s="26">
        <f t="shared" si="104"/>
        <v>-6.3403619029699803</v>
      </c>
      <c r="AE45" s="26">
        <f t="shared" si="105"/>
        <v>20.97046912670109</v>
      </c>
      <c r="AG45" t="str">
        <f>$A$9</f>
        <v>Professional occupations</v>
      </c>
      <c r="AH45" s="26">
        <f t="shared" ref="AH45:AH52" si="130">AM9-AH9</f>
        <v>11.321752750180934</v>
      </c>
      <c r="AI45" s="26">
        <f t="shared" si="106"/>
        <v>6.883035591003086</v>
      </c>
      <c r="AJ45" s="26">
        <f t="shared" si="107"/>
        <v>1.3064558565627777</v>
      </c>
      <c r="AK45" s="26">
        <f t="shared" si="108"/>
        <v>19.511244197746777</v>
      </c>
      <c r="AL45" s="26"/>
      <c r="AM45" s="26">
        <f t="shared" ref="AM45:AM52" si="131">AR9-AM9</f>
        <v>24.183832832634621</v>
      </c>
      <c r="AN45" s="26">
        <f t="shared" si="109"/>
        <v>11.692448015883599</v>
      </c>
      <c r="AO45" s="26">
        <f t="shared" si="110"/>
        <v>-1.0616164673650665</v>
      </c>
      <c r="AP45" s="26">
        <f t="shared" si="111"/>
        <v>34.814664381153136</v>
      </c>
      <c r="AQ45" s="26"/>
      <c r="AR45" s="26">
        <f t="shared" ref="AR45:AR52" si="132">AR9-AH9</f>
        <v>35.505585582815556</v>
      </c>
      <c r="AS45" s="26">
        <f t="shared" si="112"/>
        <v>18.575483606886685</v>
      </c>
      <c r="AT45" s="26">
        <f t="shared" si="113"/>
        <v>0.2448393891977112</v>
      </c>
      <c r="AU45" s="26">
        <f t="shared" si="114"/>
        <v>54.325908578899913</v>
      </c>
    </row>
    <row r="46" spans="1:47" x14ac:dyDescent="0.2">
      <c r="A46" t="str">
        <f>$A$10</f>
        <v>Associate professional occupations</v>
      </c>
      <c r="B46" s="26">
        <f t="shared" si="115"/>
        <v>9.7272209405738437</v>
      </c>
      <c r="C46" s="26">
        <f t="shared" si="116"/>
        <v>4.2741429624269713</v>
      </c>
      <c r="D46" s="26">
        <f t="shared" si="117"/>
        <v>-2.7963651546197159</v>
      </c>
      <c r="E46" s="26">
        <f t="shared" si="118"/>
        <v>11.204998748381115</v>
      </c>
      <c r="F46" s="26"/>
      <c r="G46" s="26">
        <f t="shared" si="119"/>
        <v>4.0736621133993509</v>
      </c>
      <c r="H46" s="26">
        <f t="shared" si="120"/>
        <v>2.7268735099991304</v>
      </c>
      <c r="I46" s="26">
        <f t="shared" si="121"/>
        <v>-0.21449828151757266</v>
      </c>
      <c r="J46" s="26">
        <f t="shared" si="122"/>
        <v>6.5860373418809104</v>
      </c>
      <c r="K46" s="26"/>
      <c r="L46" s="26">
        <f t="shared" si="123"/>
        <v>13.800883053973195</v>
      </c>
      <c r="M46" s="26">
        <f t="shared" si="124"/>
        <v>7.0010164724261017</v>
      </c>
      <c r="N46" s="26">
        <f t="shared" si="125"/>
        <v>-3.0108634361372886</v>
      </c>
      <c r="O46" s="26">
        <f t="shared" si="126"/>
        <v>17.791036090262025</v>
      </c>
      <c r="Q46" t="str">
        <f>$A$10</f>
        <v>Associate professional occupations</v>
      </c>
      <c r="R46" s="26">
        <f t="shared" si="127"/>
        <v>5.2661336400434067</v>
      </c>
      <c r="S46" s="26">
        <f t="shared" si="97"/>
        <v>1.7475580857680031</v>
      </c>
      <c r="T46" s="26">
        <f t="shared" si="98"/>
        <v>-1.894210979771592</v>
      </c>
      <c r="U46" s="26">
        <f t="shared" si="99"/>
        <v>5.1194807460398124</v>
      </c>
      <c r="V46" s="26"/>
      <c r="W46" s="26">
        <f t="shared" si="128"/>
        <v>-3.6017561999032139</v>
      </c>
      <c r="X46" s="26">
        <f t="shared" si="100"/>
        <v>-0.52701270772098763</v>
      </c>
      <c r="Y46" s="26">
        <f t="shared" si="101"/>
        <v>-5.1830647121391848E-2</v>
      </c>
      <c r="Z46" s="26">
        <f t="shared" si="102"/>
        <v>-4.1805995547455836</v>
      </c>
      <c r="AA46" s="26"/>
      <c r="AB46" s="26">
        <f t="shared" si="129"/>
        <v>1.6643774401401927</v>
      </c>
      <c r="AC46" s="26">
        <f t="shared" si="103"/>
        <v>1.2205453780470155</v>
      </c>
      <c r="AD46" s="26">
        <f t="shared" si="104"/>
        <v>-1.9460416268929839</v>
      </c>
      <c r="AE46" s="26">
        <f t="shared" si="105"/>
        <v>0.93888119129422876</v>
      </c>
      <c r="AG46" t="str">
        <f>$A$10</f>
        <v>Associate professional occupations</v>
      </c>
      <c r="AH46" s="26">
        <f t="shared" si="130"/>
        <v>4.4610873005304512</v>
      </c>
      <c r="AI46" s="26">
        <f t="shared" si="106"/>
        <v>2.5265848766589727</v>
      </c>
      <c r="AJ46" s="26">
        <f t="shared" si="107"/>
        <v>-0.90215417484811677</v>
      </c>
      <c r="AK46" s="26">
        <f t="shared" si="108"/>
        <v>6.0855180023413098</v>
      </c>
      <c r="AL46" s="26"/>
      <c r="AM46" s="26">
        <f t="shared" si="131"/>
        <v>7.6754183133024867</v>
      </c>
      <c r="AN46" s="26">
        <f t="shared" si="109"/>
        <v>3.2538862177201118</v>
      </c>
      <c r="AO46" s="26">
        <f t="shared" si="110"/>
        <v>-0.16266763439617726</v>
      </c>
      <c r="AP46" s="26">
        <f t="shared" si="111"/>
        <v>10.766636896626423</v>
      </c>
      <c r="AQ46" s="26"/>
      <c r="AR46" s="26">
        <f t="shared" si="132"/>
        <v>12.136505613832938</v>
      </c>
      <c r="AS46" s="26">
        <f t="shared" si="112"/>
        <v>5.7804710943790845</v>
      </c>
      <c r="AT46" s="26">
        <f t="shared" si="113"/>
        <v>-1.064821809244294</v>
      </c>
      <c r="AU46" s="26">
        <f t="shared" si="114"/>
        <v>16.852154898967733</v>
      </c>
    </row>
    <row r="47" spans="1:47" x14ac:dyDescent="0.2">
      <c r="A47" t="str">
        <f>$A$11</f>
        <v>Administrative and secretarial occupations</v>
      </c>
      <c r="B47" s="26">
        <f t="shared" si="115"/>
        <v>-3.3902857567804432</v>
      </c>
      <c r="C47" s="26">
        <f t="shared" si="116"/>
        <v>-2.2864745359465886</v>
      </c>
      <c r="D47" s="26">
        <f t="shared" si="117"/>
        <v>-1.3829308777596392</v>
      </c>
      <c r="E47" s="26">
        <f t="shared" si="118"/>
        <v>-7.0596911704866727</v>
      </c>
      <c r="F47" s="26"/>
      <c r="G47" s="26">
        <f t="shared" si="119"/>
        <v>-9.0989419763975405</v>
      </c>
      <c r="H47" s="26">
        <f t="shared" si="120"/>
        <v>-7.7625992267767288</v>
      </c>
      <c r="I47" s="26">
        <f t="shared" si="121"/>
        <v>1.3936478453925023</v>
      </c>
      <c r="J47" s="26">
        <f t="shared" si="122"/>
        <v>-15.467893357781776</v>
      </c>
      <c r="K47" s="26"/>
      <c r="L47" s="26">
        <f t="shared" si="123"/>
        <v>-12.489227733177984</v>
      </c>
      <c r="M47" s="26">
        <f t="shared" si="124"/>
        <v>-10.049073762723317</v>
      </c>
      <c r="N47" s="26">
        <f t="shared" si="125"/>
        <v>1.0716967632863117E-2</v>
      </c>
      <c r="O47" s="26">
        <f t="shared" si="126"/>
        <v>-22.527584528268449</v>
      </c>
      <c r="Q47" t="str">
        <f>$A$11</f>
        <v>Administrative and secretarial occupations</v>
      </c>
      <c r="R47" s="26">
        <f t="shared" si="127"/>
        <v>1.6237807931641761</v>
      </c>
      <c r="S47" s="26">
        <f t="shared" si="97"/>
        <v>1.1079223424740414</v>
      </c>
      <c r="T47" s="26">
        <f t="shared" si="98"/>
        <v>-0.77662120290948877</v>
      </c>
      <c r="U47" s="26">
        <f t="shared" si="99"/>
        <v>1.9550819327287314</v>
      </c>
      <c r="V47" s="26"/>
      <c r="W47" s="26">
        <f t="shared" si="128"/>
        <v>1.9695731873120828</v>
      </c>
      <c r="X47" s="26">
        <f t="shared" si="100"/>
        <v>1.1909669724519567E-2</v>
      </c>
      <c r="Y47" s="26">
        <f t="shared" si="101"/>
        <v>0.6199499169380529</v>
      </c>
      <c r="Z47" s="26">
        <f t="shared" si="102"/>
        <v>2.6014327739746577</v>
      </c>
      <c r="AA47" s="26"/>
      <c r="AB47" s="26">
        <f t="shared" si="129"/>
        <v>3.5933539804762589</v>
      </c>
      <c r="AC47" s="26">
        <f t="shared" si="103"/>
        <v>1.119832012198561</v>
      </c>
      <c r="AD47" s="26">
        <f t="shared" si="104"/>
        <v>-0.15667128597143587</v>
      </c>
      <c r="AE47" s="26">
        <f t="shared" si="105"/>
        <v>4.5565147067033891</v>
      </c>
      <c r="AG47" t="str">
        <f>$A$11</f>
        <v>Administrative and secretarial occupations</v>
      </c>
      <c r="AH47" s="26">
        <f t="shared" si="130"/>
        <v>-5.0140665499445589</v>
      </c>
      <c r="AI47" s="26">
        <f t="shared" si="106"/>
        <v>-3.3943968784206504</v>
      </c>
      <c r="AJ47" s="26">
        <f t="shared" si="107"/>
        <v>-0.60630967485016019</v>
      </c>
      <c r="AK47" s="26">
        <f t="shared" si="108"/>
        <v>-9.0147731032153757</v>
      </c>
      <c r="AL47" s="26"/>
      <c r="AM47" s="26">
        <f t="shared" si="131"/>
        <v>-11.068515163709698</v>
      </c>
      <c r="AN47" s="26">
        <f t="shared" si="109"/>
        <v>-7.774508896501203</v>
      </c>
      <c r="AO47" s="26">
        <f t="shared" si="110"/>
        <v>0.77369792845445406</v>
      </c>
      <c r="AP47" s="26">
        <f t="shared" si="111"/>
        <v>-18.069326131756441</v>
      </c>
      <c r="AQ47" s="26"/>
      <c r="AR47" s="26">
        <f t="shared" si="132"/>
        <v>-16.082581713654257</v>
      </c>
      <c r="AS47" s="26">
        <f t="shared" si="112"/>
        <v>-11.168905774921853</v>
      </c>
      <c r="AT47" s="26">
        <f t="shared" si="113"/>
        <v>0.16738825360429388</v>
      </c>
      <c r="AU47" s="26">
        <f t="shared" si="114"/>
        <v>-27.084099234971816</v>
      </c>
    </row>
    <row r="48" spans="1:47" x14ac:dyDescent="0.2">
      <c r="A48" t="str">
        <f>$A$12</f>
        <v>Skilled trades occupations</v>
      </c>
      <c r="B48" s="26">
        <f t="shared" si="115"/>
        <v>-16.178217011760211</v>
      </c>
      <c r="C48" s="26">
        <f t="shared" si="116"/>
        <v>-1.9928527568055365</v>
      </c>
      <c r="D48" s="26">
        <f t="shared" si="117"/>
        <v>-2.8828388923964212</v>
      </c>
      <c r="E48" s="26">
        <f t="shared" si="118"/>
        <v>-21.053908660962179</v>
      </c>
      <c r="F48" s="26"/>
      <c r="G48" s="26">
        <f t="shared" si="119"/>
        <v>-11.850479376033995</v>
      </c>
      <c r="H48" s="26">
        <f t="shared" si="120"/>
        <v>0.87771519050403235</v>
      </c>
      <c r="I48" s="26">
        <f t="shared" si="121"/>
        <v>0.95780405599935392</v>
      </c>
      <c r="J48" s="26">
        <f t="shared" si="122"/>
        <v>-10.014960129530607</v>
      </c>
      <c r="K48" s="26"/>
      <c r="L48" s="26">
        <f t="shared" si="123"/>
        <v>-28.028696387794206</v>
      </c>
      <c r="M48" s="26">
        <f t="shared" si="124"/>
        <v>-1.1151375663015042</v>
      </c>
      <c r="N48" s="26">
        <f t="shared" si="125"/>
        <v>-1.9250348363970673</v>
      </c>
      <c r="O48" s="26">
        <f t="shared" si="126"/>
        <v>-31.068868790492786</v>
      </c>
      <c r="Q48" t="str">
        <f>$A$12</f>
        <v>Skilled trades occupations</v>
      </c>
      <c r="R48" s="26">
        <f t="shared" si="127"/>
        <v>-16.753117749072061</v>
      </c>
      <c r="S48" s="26">
        <f t="shared" si="97"/>
        <v>-1.4244203930835138</v>
      </c>
      <c r="T48" s="26">
        <f t="shared" si="98"/>
        <v>-3.1525959321739094</v>
      </c>
      <c r="U48" s="26">
        <f t="shared" si="99"/>
        <v>-21.330134074329493</v>
      </c>
      <c r="V48" s="26"/>
      <c r="W48" s="26">
        <f t="shared" si="128"/>
        <v>-12.170488161262377</v>
      </c>
      <c r="X48" s="26">
        <f t="shared" si="100"/>
        <v>0.69055169428916052</v>
      </c>
      <c r="Y48" s="26">
        <f t="shared" si="101"/>
        <v>-0.3012976668810623</v>
      </c>
      <c r="Z48" s="26">
        <f t="shared" si="102"/>
        <v>-11.781234133854284</v>
      </c>
      <c r="AA48" s="26"/>
      <c r="AB48" s="26">
        <f t="shared" si="129"/>
        <v>-28.923605910334437</v>
      </c>
      <c r="AC48" s="26">
        <f t="shared" si="103"/>
        <v>-0.73386869879435324</v>
      </c>
      <c r="AD48" s="26">
        <f t="shared" si="104"/>
        <v>-3.4538935990549717</v>
      </c>
      <c r="AE48" s="26">
        <f t="shared" si="105"/>
        <v>-33.111368208183777</v>
      </c>
      <c r="AG48" t="str">
        <f>$A$12</f>
        <v>Skilled trades occupations</v>
      </c>
      <c r="AH48" s="26">
        <f t="shared" si="130"/>
        <v>0.57490073731190527</v>
      </c>
      <c r="AI48" s="26">
        <f t="shared" si="106"/>
        <v>-0.56843236372204231</v>
      </c>
      <c r="AJ48" s="26">
        <f t="shared" si="107"/>
        <v>0.26975703977747223</v>
      </c>
      <c r="AK48" s="26">
        <f t="shared" si="108"/>
        <v>0.27622541336733875</v>
      </c>
      <c r="AL48" s="26"/>
      <c r="AM48" s="26">
        <f t="shared" si="131"/>
        <v>0.3200087852283664</v>
      </c>
      <c r="AN48" s="26">
        <f t="shared" si="109"/>
        <v>0.18716349621488027</v>
      </c>
      <c r="AO48" s="26">
        <f t="shared" si="110"/>
        <v>1.2591017228804011</v>
      </c>
      <c r="AP48" s="26">
        <f t="shared" si="111"/>
        <v>1.7662740043236465</v>
      </c>
      <c r="AQ48" s="26"/>
      <c r="AR48" s="26">
        <f t="shared" si="132"/>
        <v>0.89490952254027167</v>
      </c>
      <c r="AS48" s="26">
        <f t="shared" si="112"/>
        <v>-0.38126886750716205</v>
      </c>
      <c r="AT48" s="26">
        <f t="shared" si="113"/>
        <v>1.5288587626578733</v>
      </c>
      <c r="AU48" s="26">
        <f t="shared" si="114"/>
        <v>2.0424994176909852</v>
      </c>
    </row>
    <row r="49" spans="1:47" x14ac:dyDescent="0.2">
      <c r="A49" t="str">
        <f>$A$13</f>
        <v>Caring, leisure and other service occupations</v>
      </c>
      <c r="B49" s="26">
        <f t="shared" si="115"/>
        <v>-3.5256367878965023</v>
      </c>
      <c r="C49" s="26">
        <f t="shared" si="116"/>
        <v>-0.76216277688783407</v>
      </c>
      <c r="D49" s="26">
        <f t="shared" si="117"/>
        <v>0.25293730711808315</v>
      </c>
      <c r="E49" s="26">
        <f t="shared" si="118"/>
        <v>-4.0348622576662621</v>
      </c>
      <c r="F49" s="26"/>
      <c r="G49" s="26">
        <f t="shared" si="119"/>
        <v>6.4964914577601576</v>
      </c>
      <c r="H49" s="26">
        <f t="shared" si="120"/>
        <v>3.5467257626960986</v>
      </c>
      <c r="I49" s="26">
        <f t="shared" si="121"/>
        <v>1.2979041818321324</v>
      </c>
      <c r="J49" s="26">
        <f t="shared" si="122"/>
        <v>11.341121402288394</v>
      </c>
      <c r="K49" s="26"/>
      <c r="L49" s="26">
        <f t="shared" si="123"/>
        <v>2.9708546698636553</v>
      </c>
      <c r="M49" s="26">
        <f t="shared" si="124"/>
        <v>2.7845629858082646</v>
      </c>
      <c r="N49" s="26">
        <f t="shared" si="125"/>
        <v>1.5508414889502156</v>
      </c>
      <c r="O49" s="26">
        <f t="shared" si="126"/>
        <v>7.3062591446221319</v>
      </c>
      <c r="Q49" t="str">
        <f>$A$13</f>
        <v>Caring, leisure and other service occupations</v>
      </c>
      <c r="R49" s="26">
        <f t="shared" si="127"/>
        <v>0.12681774771671428</v>
      </c>
      <c r="S49" s="26">
        <f t="shared" si="97"/>
        <v>0.98887322460471161</v>
      </c>
      <c r="T49" s="26">
        <f t="shared" si="98"/>
        <v>-0.69744936690405113</v>
      </c>
      <c r="U49" s="26">
        <f t="shared" si="99"/>
        <v>0.41824160541737854</v>
      </c>
      <c r="V49" s="26"/>
      <c r="W49" s="26">
        <f t="shared" si="128"/>
        <v>2.3802881437869114</v>
      </c>
      <c r="X49" s="26">
        <f t="shared" si="100"/>
        <v>1.4012962695930522</v>
      </c>
      <c r="Y49" s="26">
        <f t="shared" si="101"/>
        <v>0.63677935719012235</v>
      </c>
      <c r="Z49" s="26">
        <f t="shared" si="102"/>
        <v>4.4183637705700818</v>
      </c>
      <c r="AA49" s="26"/>
      <c r="AB49" s="26">
        <f t="shared" si="129"/>
        <v>2.5071058915036257</v>
      </c>
      <c r="AC49" s="26">
        <f t="shared" si="103"/>
        <v>2.3901694941977638</v>
      </c>
      <c r="AD49" s="26">
        <f t="shared" si="104"/>
        <v>-6.0670009713928774E-2</v>
      </c>
      <c r="AE49" s="26">
        <f t="shared" si="105"/>
        <v>4.8366053759874603</v>
      </c>
      <c r="AG49" t="str">
        <f>$A$13</f>
        <v>Caring, leisure and other service occupations</v>
      </c>
      <c r="AH49" s="26">
        <f t="shared" si="130"/>
        <v>-3.6524545356132023</v>
      </c>
      <c r="AI49" s="26">
        <f t="shared" si="106"/>
        <v>-1.7510360014925652</v>
      </c>
      <c r="AJ49" s="26">
        <f t="shared" si="107"/>
        <v>0.95038667402212873</v>
      </c>
      <c r="AK49" s="26">
        <f t="shared" si="108"/>
        <v>-4.4531038630836264</v>
      </c>
      <c r="AL49" s="26"/>
      <c r="AM49" s="26">
        <f t="shared" si="131"/>
        <v>4.1162033139732515</v>
      </c>
      <c r="AN49" s="26">
        <f t="shared" si="109"/>
        <v>2.1454294931030375</v>
      </c>
      <c r="AO49" s="26">
        <f t="shared" si="110"/>
        <v>0.6611248246420125</v>
      </c>
      <c r="AP49" s="26">
        <f t="shared" si="111"/>
        <v>6.9227576317182837</v>
      </c>
      <c r="AQ49" s="26"/>
      <c r="AR49" s="26">
        <f t="shared" si="132"/>
        <v>0.46374877836004913</v>
      </c>
      <c r="AS49" s="26">
        <f t="shared" si="112"/>
        <v>0.39439349161047232</v>
      </c>
      <c r="AT49" s="26">
        <f t="shared" si="113"/>
        <v>1.6115114986641412</v>
      </c>
      <c r="AU49" s="26">
        <f t="shared" si="114"/>
        <v>2.4696537686346574</v>
      </c>
    </row>
    <row r="50" spans="1:47" x14ac:dyDescent="0.2">
      <c r="A50" t="str">
        <f>$A$14</f>
        <v>Sales and customer service occupations</v>
      </c>
      <c r="B50" s="26">
        <f t="shared" si="115"/>
        <v>-2.475338941145715</v>
      </c>
      <c r="C50" s="26">
        <f t="shared" si="116"/>
        <v>-3.5406208991529269</v>
      </c>
      <c r="D50" s="26">
        <f t="shared" si="117"/>
        <v>-3.8107209073347752</v>
      </c>
      <c r="E50" s="26">
        <f t="shared" si="118"/>
        <v>-9.8266807476334037</v>
      </c>
      <c r="F50" s="26"/>
      <c r="G50" s="26">
        <f t="shared" si="119"/>
        <v>2.4286185410089729</v>
      </c>
      <c r="H50" s="26">
        <f t="shared" si="120"/>
        <v>1.2747454497655752</v>
      </c>
      <c r="I50" s="26">
        <f t="shared" si="121"/>
        <v>-0.97508496380019594</v>
      </c>
      <c r="J50" s="26">
        <f t="shared" si="122"/>
        <v>2.7282790269743344</v>
      </c>
      <c r="K50" s="26"/>
      <c r="L50" s="26">
        <f t="shared" si="123"/>
        <v>-4.6720400136742057E-2</v>
      </c>
      <c r="M50" s="26">
        <f t="shared" si="124"/>
        <v>-2.2658754493873516</v>
      </c>
      <c r="N50" s="26">
        <f t="shared" si="125"/>
        <v>-4.7858058711349711</v>
      </c>
      <c r="O50" s="26">
        <f t="shared" si="126"/>
        <v>-7.0984017206590693</v>
      </c>
      <c r="Q50" t="str">
        <f>$A$14</f>
        <v>Sales and customer service occupations</v>
      </c>
      <c r="R50" s="26">
        <f t="shared" si="127"/>
        <v>1.5042489523165976</v>
      </c>
      <c r="S50" s="26">
        <f t="shared" si="97"/>
        <v>-0.43990444879039714</v>
      </c>
      <c r="T50" s="26">
        <f t="shared" si="98"/>
        <v>-2.2932512259826909</v>
      </c>
      <c r="U50" s="26">
        <f t="shared" si="99"/>
        <v>-1.2289067224564931</v>
      </c>
      <c r="V50" s="26"/>
      <c r="W50" s="26">
        <f t="shared" si="128"/>
        <v>3.193378973203945</v>
      </c>
      <c r="X50" s="26">
        <f t="shared" si="100"/>
        <v>1.4861328194849754</v>
      </c>
      <c r="Y50" s="26">
        <f t="shared" si="101"/>
        <v>-0.35856307976679158</v>
      </c>
      <c r="Z50" s="26">
        <f t="shared" si="102"/>
        <v>4.3209487129221316</v>
      </c>
      <c r="AA50" s="26"/>
      <c r="AB50" s="26">
        <f t="shared" si="129"/>
        <v>4.6976279255205426</v>
      </c>
      <c r="AC50" s="26">
        <f t="shared" si="103"/>
        <v>1.0462283706945783</v>
      </c>
      <c r="AD50" s="26">
        <f t="shared" si="104"/>
        <v>-2.6518143057494825</v>
      </c>
      <c r="AE50" s="26">
        <f t="shared" si="105"/>
        <v>3.0920419904656384</v>
      </c>
      <c r="AG50" t="str">
        <f>$A$14</f>
        <v>Sales and customer service occupations</v>
      </c>
      <c r="AH50" s="26">
        <f t="shared" si="130"/>
        <v>-3.9795878934622486</v>
      </c>
      <c r="AI50" s="26">
        <f t="shared" si="106"/>
        <v>-3.1007164503625049</v>
      </c>
      <c r="AJ50" s="26">
        <f t="shared" si="107"/>
        <v>-1.5174696813520834</v>
      </c>
      <c r="AK50" s="26">
        <f t="shared" si="108"/>
        <v>-8.5977740251768466</v>
      </c>
      <c r="AL50" s="26"/>
      <c r="AM50" s="26">
        <f t="shared" si="131"/>
        <v>-0.76476043219504319</v>
      </c>
      <c r="AN50" s="26">
        <f t="shared" si="109"/>
        <v>-0.21138736971946059</v>
      </c>
      <c r="AO50" s="26">
        <f t="shared" si="110"/>
        <v>-0.61652188403340857</v>
      </c>
      <c r="AP50" s="26">
        <f t="shared" si="111"/>
        <v>-1.5926696859479108</v>
      </c>
      <c r="AQ50" s="26"/>
      <c r="AR50" s="26">
        <f t="shared" si="132"/>
        <v>-4.7443483256572918</v>
      </c>
      <c r="AS50" s="26">
        <f t="shared" si="112"/>
        <v>-3.3121038200819655</v>
      </c>
      <c r="AT50" s="26">
        <f t="shared" si="113"/>
        <v>-2.1339915653854922</v>
      </c>
      <c r="AU50" s="26">
        <f t="shared" si="114"/>
        <v>-10.190443711124757</v>
      </c>
    </row>
    <row r="51" spans="1:47" x14ac:dyDescent="0.2">
      <c r="A51" t="str">
        <f>$A$15</f>
        <v>Process, plant and machine operatives</v>
      </c>
      <c r="B51" s="26">
        <f t="shared" si="115"/>
        <v>-8.9758794314774519</v>
      </c>
      <c r="C51" s="26">
        <f t="shared" si="116"/>
        <v>0.5333927265858911</v>
      </c>
      <c r="D51" s="26">
        <f t="shared" si="117"/>
        <v>2.2597450980438918</v>
      </c>
      <c r="E51" s="26">
        <f t="shared" si="118"/>
        <v>-6.1827416068476566</v>
      </c>
      <c r="F51" s="26"/>
      <c r="G51" s="26">
        <f t="shared" si="119"/>
        <v>-2.2216431947322093</v>
      </c>
      <c r="H51" s="26">
        <f t="shared" si="120"/>
        <v>2.4254208439210299</v>
      </c>
      <c r="I51" s="26">
        <f t="shared" si="121"/>
        <v>1.6316113075630536</v>
      </c>
      <c r="J51" s="26">
        <f t="shared" si="122"/>
        <v>1.8353889567518564</v>
      </c>
      <c r="K51" s="26"/>
      <c r="L51" s="26">
        <f t="shared" si="123"/>
        <v>-11.197522626209661</v>
      </c>
      <c r="M51" s="26">
        <f t="shared" si="124"/>
        <v>2.958813570506921</v>
      </c>
      <c r="N51" s="26">
        <f t="shared" si="125"/>
        <v>3.8913564056069454</v>
      </c>
      <c r="O51" s="26">
        <f t="shared" si="126"/>
        <v>-4.3473526500958002</v>
      </c>
      <c r="Q51" t="str">
        <f>$A$15</f>
        <v>Process, plant and machine operatives</v>
      </c>
      <c r="R51" s="26">
        <f t="shared" si="127"/>
        <v>-7.7989868600674512</v>
      </c>
      <c r="S51" s="26">
        <f t="shared" si="97"/>
        <v>0.96866778401506881</v>
      </c>
      <c r="T51" s="26">
        <f t="shared" si="98"/>
        <v>2.2742027923997483</v>
      </c>
      <c r="U51" s="26">
        <f t="shared" si="99"/>
        <v>-4.5561162836526421</v>
      </c>
      <c r="V51" s="26"/>
      <c r="W51" s="26">
        <f t="shared" si="128"/>
        <v>-2.3555259983236496</v>
      </c>
      <c r="X51" s="26">
        <f t="shared" si="100"/>
        <v>1.5951994057950785</v>
      </c>
      <c r="Y51" s="26">
        <f t="shared" si="101"/>
        <v>1.3904707309656956</v>
      </c>
      <c r="Z51" s="26">
        <f t="shared" si="102"/>
        <v>0.63014413843711736</v>
      </c>
      <c r="AA51" s="26"/>
      <c r="AB51" s="26">
        <f t="shared" si="129"/>
        <v>-10.154512858391101</v>
      </c>
      <c r="AC51" s="26">
        <f t="shared" si="103"/>
        <v>2.5638671898101473</v>
      </c>
      <c r="AD51" s="26">
        <f t="shared" si="104"/>
        <v>3.6646735233654439</v>
      </c>
      <c r="AE51" s="26">
        <f t="shared" si="105"/>
        <v>-3.9259721452155247</v>
      </c>
      <c r="AG51" t="str">
        <f>$A$15</f>
        <v>Process, plant and machine operatives</v>
      </c>
      <c r="AH51" s="26">
        <f t="shared" si="130"/>
        <v>-1.1768925714099954</v>
      </c>
      <c r="AI51" s="26">
        <f t="shared" si="106"/>
        <v>-0.43527505742917483</v>
      </c>
      <c r="AJ51" s="26">
        <f t="shared" si="107"/>
        <v>-1.4457694355848427E-2</v>
      </c>
      <c r="AK51" s="26">
        <f t="shared" si="108"/>
        <v>-1.626625323195019</v>
      </c>
      <c r="AL51" s="26"/>
      <c r="AM51" s="26">
        <f t="shared" si="131"/>
        <v>0.13388280359135596</v>
      </c>
      <c r="AN51" s="26">
        <f t="shared" si="109"/>
        <v>0.8302214381259303</v>
      </c>
      <c r="AO51" s="26">
        <f t="shared" si="110"/>
        <v>0.2411405765973369</v>
      </c>
      <c r="AP51" s="26">
        <f t="shared" si="111"/>
        <v>1.2052448183146227</v>
      </c>
      <c r="AQ51" s="26"/>
      <c r="AR51" s="26">
        <f t="shared" si="132"/>
        <v>-1.0430097678186394</v>
      </c>
      <c r="AS51" s="26">
        <f t="shared" si="112"/>
        <v>0.39494638069675547</v>
      </c>
      <c r="AT51" s="26">
        <f t="shared" si="113"/>
        <v>0.22668288224148847</v>
      </c>
      <c r="AU51" s="26">
        <f t="shared" si="114"/>
        <v>-0.42138050488039624</v>
      </c>
    </row>
    <row r="52" spans="1:47" x14ac:dyDescent="0.2">
      <c r="A52" t="str">
        <f>$A$16</f>
        <v>Elementary occupations</v>
      </c>
      <c r="B52" s="26">
        <f t="shared" si="115"/>
        <v>-4.7495226115694962</v>
      </c>
      <c r="C52" s="26">
        <f t="shared" si="116"/>
        <v>-8.2584044716190874</v>
      </c>
      <c r="D52" s="26">
        <f t="shared" si="117"/>
        <v>-2.8178541267941037</v>
      </c>
      <c r="E52" s="26">
        <f t="shared" si="118"/>
        <v>-15.825781209982694</v>
      </c>
      <c r="F52" s="26"/>
      <c r="G52" s="26">
        <f t="shared" si="119"/>
        <v>0.96949603346492097</v>
      </c>
      <c r="H52" s="26">
        <f t="shared" si="120"/>
        <v>-7.4872263870195681</v>
      </c>
      <c r="I52" s="26">
        <f t="shared" si="121"/>
        <v>2.7527553605891582</v>
      </c>
      <c r="J52" s="26">
        <f t="shared" si="122"/>
        <v>-3.7649749929654774</v>
      </c>
      <c r="K52" s="26"/>
      <c r="L52" s="26">
        <f t="shared" si="123"/>
        <v>-3.7800265781045752</v>
      </c>
      <c r="M52" s="26">
        <f t="shared" si="124"/>
        <v>-15.745630858638656</v>
      </c>
      <c r="N52" s="26">
        <f t="shared" si="125"/>
        <v>-6.5098766204945591E-2</v>
      </c>
      <c r="O52" s="26">
        <f t="shared" si="126"/>
        <v>-19.590756202948171</v>
      </c>
      <c r="Q52" t="str">
        <f>$A$16</f>
        <v>Elementary occupations</v>
      </c>
      <c r="R52" s="26">
        <f t="shared" si="127"/>
        <v>-3.559305468764407</v>
      </c>
      <c r="S52" s="26">
        <f t="shared" si="97"/>
        <v>-1.6275874151428837E-2</v>
      </c>
      <c r="T52" s="26">
        <f t="shared" si="98"/>
        <v>-0.14714885595217275</v>
      </c>
      <c r="U52" s="26">
        <f t="shared" si="99"/>
        <v>-3.7227301988680068</v>
      </c>
      <c r="V52" s="26"/>
      <c r="W52" s="26">
        <f t="shared" si="128"/>
        <v>-3.7855071197435493</v>
      </c>
      <c r="X52" s="26">
        <f t="shared" si="100"/>
        <v>-0.43358934390531445</v>
      </c>
      <c r="Y52" s="26">
        <f t="shared" si="101"/>
        <v>1.4251171604387789</v>
      </c>
      <c r="Z52" s="26">
        <f t="shared" si="102"/>
        <v>-2.7939793032100795</v>
      </c>
      <c r="AA52" s="26"/>
      <c r="AB52" s="26">
        <f t="shared" si="129"/>
        <v>-7.3448125885079563</v>
      </c>
      <c r="AC52" s="26">
        <f t="shared" si="103"/>
        <v>-0.44986521805674329</v>
      </c>
      <c r="AD52" s="26">
        <f t="shared" si="104"/>
        <v>1.2779683044866061</v>
      </c>
      <c r="AE52" s="26">
        <f t="shared" si="105"/>
        <v>-6.5167095020780863</v>
      </c>
      <c r="AG52" t="str">
        <f>$A$16</f>
        <v>Elementary occupations</v>
      </c>
      <c r="AH52" s="26">
        <f t="shared" si="130"/>
        <v>-1.1902171428050146</v>
      </c>
      <c r="AI52" s="26">
        <f t="shared" si="106"/>
        <v>-8.2421285974677545</v>
      </c>
      <c r="AJ52" s="26">
        <f t="shared" si="107"/>
        <v>-2.6707052708419319</v>
      </c>
      <c r="AK52" s="26">
        <f t="shared" si="108"/>
        <v>-12.103051011114708</v>
      </c>
      <c r="AL52" s="26"/>
      <c r="AM52" s="26">
        <f t="shared" si="131"/>
        <v>4.7550031532083707</v>
      </c>
      <c r="AN52" s="26">
        <f t="shared" si="109"/>
        <v>-7.0536370431142714</v>
      </c>
      <c r="AO52" s="26">
        <f t="shared" si="110"/>
        <v>1.3276382001503757</v>
      </c>
      <c r="AP52" s="26">
        <f t="shared" si="111"/>
        <v>-0.97099568975552586</v>
      </c>
      <c r="AQ52" s="26"/>
      <c r="AR52" s="26">
        <f t="shared" si="132"/>
        <v>3.5647860104033562</v>
      </c>
      <c r="AS52" s="26">
        <f t="shared" si="112"/>
        <v>-15.295765640582026</v>
      </c>
      <c r="AT52" s="26">
        <f t="shared" si="113"/>
        <v>-1.3430670706915562</v>
      </c>
      <c r="AU52" s="26">
        <f t="shared" si="114"/>
        <v>-13.074046700870234</v>
      </c>
    </row>
    <row r="53" spans="1:47" x14ac:dyDescent="0.2">
      <c r="B53" s="26"/>
      <c r="C53" s="26"/>
      <c r="D53" s="26"/>
      <c r="E53" s="26"/>
      <c r="F53" s="26"/>
      <c r="G53" s="26"/>
      <c r="H53" s="26"/>
      <c r="I53" s="26"/>
      <c r="J53" s="26"/>
      <c r="K53" s="26"/>
      <c r="L53" s="26"/>
      <c r="M53" s="26"/>
      <c r="N53" s="26"/>
      <c r="O53" s="26"/>
      <c r="R53" s="26"/>
      <c r="S53" s="26"/>
      <c r="T53" s="26"/>
      <c r="U53" s="26"/>
      <c r="V53" s="26"/>
      <c r="W53" s="26"/>
      <c r="X53" s="26"/>
      <c r="Y53" s="26"/>
      <c r="Z53" s="26"/>
      <c r="AA53" s="26"/>
      <c r="AB53" s="26"/>
      <c r="AC53" s="26"/>
      <c r="AD53" s="26"/>
      <c r="AE53" s="26"/>
      <c r="AH53" s="26"/>
      <c r="AI53" s="26"/>
      <c r="AJ53" s="26"/>
      <c r="AK53" s="26"/>
      <c r="AL53" s="26"/>
      <c r="AM53" s="26"/>
      <c r="AN53" s="26"/>
      <c r="AO53" s="26"/>
      <c r="AP53" s="26"/>
      <c r="AQ53" s="26"/>
      <c r="AR53" s="26"/>
      <c r="AS53" s="26"/>
      <c r="AT53" s="26"/>
      <c r="AU53" s="26"/>
    </row>
    <row r="54" spans="1:47" x14ac:dyDescent="0.2">
      <c r="A54" s="23" t="str">
        <f>$A$18</f>
        <v>All occupations</v>
      </c>
      <c r="B54" s="28">
        <f t="shared" si="115"/>
        <v>-3.0019999985930781</v>
      </c>
      <c r="C54" s="28">
        <f t="shared" si="116"/>
        <v>1.1519999977339239</v>
      </c>
      <c r="D54" s="28">
        <f t="shared" si="117"/>
        <v>-16.514000000503572</v>
      </c>
      <c r="E54" s="28">
        <f t="shared" si="118"/>
        <v>-18.364000001362683</v>
      </c>
      <c r="F54" s="28"/>
      <c r="G54" s="28">
        <f t="shared" si="119"/>
        <v>41.311000000457966</v>
      </c>
      <c r="H54" s="28">
        <f t="shared" si="120"/>
        <v>13.856999999109007</v>
      </c>
      <c r="I54" s="28">
        <f t="shared" si="121"/>
        <v>6.4900000003566305</v>
      </c>
      <c r="J54" s="28">
        <f t="shared" si="122"/>
        <v>61.657999999923732</v>
      </c>
      <c r="K54" s="28"/>
      <c r="L54" s="28">
        <f t="shared" si="123"/>
        <v>38.309000001864888</v>
      </c>
      <c r="M54" s="28">
        <f t="shared" si="124"/>
        <v>15.008999996842931</v>
      </c>
      <c r="N54" s="28">
        <f t="shared" si="125"/>
        <v>-10.024000000146941</v>
      </c>
      <c r="O54" s="28">
        <f t="shared" si="126"/>
        <v>43.293999998561048</v>
      </c>
      <c r="Q54" s="23" t="str">
        <f>$A$18</f>
        <v>All occupations</v>
      </c>
      <c r="R54" s="28">
        <f t="shared" ref="R54" si="133">W18-R18</f>
        <v>-7.6780000001415374</v>
      </c>
      <c r="S54" s="28">
        <f t="shared" ref="S54" si="134">X18-S18</f>
        <v>7.0109999993867973</v>
      </c>
      <c r="T54" s="28">
        <f t="shared" ref="T54" si="135">Y18-T18</f>
        <v>-15.058000000485279</v>
      </c>
      <c r="U54" s="28">
        <f t="shared" ref="U54" si="136">Z18-U18</f>
        <v>-15.725000001240119</v>
      </c>
      <c r="V54" s="28"/>
      <c r="W54" s="28">
        <f t="shared" ref="W54" si="137">AB18-W18</f>
        <v>4.6760000007121221</v>
      </c>
      <c r="X54" s="28">
        <f t="shared" ref="X54" si="138">AC18-X18</f>
        <v>8.8729999998203368</v>
      </c>
      <c r="Y54" s="28">
        <f t="shared" ref="Y54" si="139">AD18-Y18</f>
        <v>4.1279999998494787</v>
      </c>
      <c r="Z54" s="28">
        <f t="shared" ref="Z54" si="140">AE18-Z18</f>
        <v>17.677000000382009</v>
      </c>
      <c r="AA54" s="28"/>
      <c r="AB54" s="28">
        <f t="shared" ref="AB54" si="141">AB18-R18</f>
        <v>-3.0019999994294153</v>
      </c>
      <c r="AC54" s="28">
        <f t="shared" ref="AC54" si="142">AC18-S18</f>
        <v>15.883999999207134</v>
      </c>
      <c r="AD54" s="28">
        <f t="shared" ref="AD54" si="143">AD18-T18</f>
        <v>-10.9300000006358</v>
      </c>
      <c r="AE54" s="28">
        <f t="shared" ref="AE54" si="144">AE18-U18</f>
        <v>1.9519999991418899</v>
      </c>
      <c r="AG54" s="23" t="str">
        <f>$A$18</f>
        <v>All occupations</v>
      </c>
      <c r="AH54" s="28">
        <f t="shared" ref="AH54" si="145">AM18-AH18</f>
        <v>4.6760000015490277</v>
      </c>
      <c r="AI54" s="28">
        <f t="shared" ref="AI54" si="146">AN18-AI18</f>
        <v>-5.8590000016529871</v>
      </c>
      <c r="AJ54" s="28">
        <f t="shared" ref="AJ54" si="147">AO18-AJ18</f>
        <v>-1.4560000000182924</v>
      </c>
      <c r="AK54" s="28">
        <f t="shared" ref="AK54" si="148">AP18-AK18</f>
        <v>-2.6390000001222234</v>
      </c>
      <c r="AL54" s="28"/>
      <c r="AM54" s="28">
        <f t="shared" ref="AM54" si="149">AR18-AM18</f>
        <v>36.634999999745389</v>
      </c>
      <c r="AN54" s="28">
        <f t="shared" ref="AN54" si="150">AS18-AN18</f>
        <v>4.9839999992886419</v>
      </c>
      <c r="AO54" s="28">
        <f t="shared" ref="AO54" si="151">AT18-AO18</f>
        <v>2.3620000005071375</v>
      </c>
      <c r="AP54" s="28">
        <f t="shared" ref="AP54" si="152">AU18-AP18</f>
        <v>43.980999999541154</v>
      </c>
      <c r="AQ54" s="28"/>
      <c r="AR54" s="28">
        <f t="shared" ref="AR54" si="153">AR18-AH18</f>
        <v>41.311000001294417</v>
      </c>
      <c r="AS54" s="28">
        <f t="shared" ref="AS54" si="154">AS18-AI18</f>
        <v>-0.87500000236434516</v>
      </c>
      <c r="AT54" s="28">
        <f t="shared" ref="AT54" si="155">AT18-AJ18</f>
        <v>0.9060000004888451</v>
      </c>
      <c r="AU54" s="28">
        <f t="shared" ref="AU54" si="156">AU18-AK18</f>
        <v>41.341999999418931</v>
      </c>
    </row>
  </sheetData>
  <mergeCells count="27">
    <mergeCell ref="AB5:AE5"/>
    <mergeCell ref="R23:U23"/>
    <mergeCell ref="W23:Z23"/>
    <mergeCell ref="AB23:AE23"/>
    <mergeCell ref="R41:U41"/>
    <mergeCell ref="B41:E41"/>
    <mergeCell ref="G41:J41"/>
    <mergeCell ref="L41:O41"/>
    <mergeCell ref="R5:U5"/>
    <mergeCell ref="W5:Z5"/>
    <mergeCell ref="B5:E5"/>
    <mergeCell ref="G5:J5"/>
    <mergeCell ref="L5:O5"/>
    <mergeCell ref="B23:E23"/>
    <mergeCell ref="G23:J23"/>
    <mergeCell ref="L23:O23"/>
    <mergeCell ref="AH41:AK41"/>
    <mergeCell ref="W41:Z41"/>
    <mergeCell ref="AB41:AE41"/>
    <mergeCell ref="AM41:AP41"/>
    <mergeCell ref="AR41:AU41"/>
    <mergeCell ref="AH5:AK5"/>
    <mergeCell ref="AM5:AP5"/>
    <mergeCell ref="AR5:AU5"/>
    <mergeCell ref="AH23:AK23"/>
    <mergeCell ref="AM23:AP23"/>
    <mergeCell ref="AR23:AU23"/>
  </mergeCells>
  <pageMargins left="0.39370078740157483" right="0.39370078740157483" top="0.78740157480314965" bottom="0.78740157480314965" header="0.51181102362204722" footer="0.51181102362204722"/>
  <pageSetup paperSize="9" scale="76" orientation="portrait" r:id="rId1"/>
  <headerFooter alignWithMargins="0"/>
  <colBreaks count="2" manualBreakCount="2">
    <brk id="15" max="1048575" man="1"/>
    <brk id="31" max="1048575" man="1"/>
  </colBreaks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46"/>
  <dimension ref="A1:P163"/>
  <sheetViews>
    <sheetView zoomScale="75" zoomScaleNormal="75" workbookViewId="0"/>
  </sheetViews>
  <sheetFormatPr defaultColWidth="9.140625" defaultRowHeight="12.75" x14ac:dyDescent="0.2"/>
  <cols>
    <col min="1" max="1" width="11" style="156" bestFit="1" customWidth="1"/>
    <col min="2" max="9" width="9.140625" style="156"/>
    <col min="10" max="10" width="17.5703125" style="156" customWidth="1"/>
    <col min="11" max="11" width="8.28515625" style="156" customWidth="1"/>
    <col min="12" max="12" width="52.7109375" style="90" customWidth="1"/>
    <col min="13" max="13" width="12.42578125" style="90" customWidth="1"/>
    <col min="14" max="14" width="10.140625" style="90" customWidth="1"/>
    <col min="15" max="16384" width="9.140625" style="90"/>
  </cols>
  <sheetData>
    <row r="1" spans="1:14" ht="15.75" x14ac:dyDescent="0.25">
      <c r="A1" s="155" t="str">
        <f>CONCATENATE("Occupation Figure 1  Growth in Employment by Occupation (SOC 2020), ",M6," and ",N6,", ",Info!B5)</f>
        <v>Occupation Figure 1  Growth in Employment by Occupation (SOC 2020), 2015-2020 and 2020-2035, North East</v>
      </c>
    </row>
    <row r="2" spans="1:14" x14ac:dyDescent="0.2">
      <c r="A2" s="181" t="s">
        <v>538</v>
      </c>
    </row>
    <row r="3" spans="1:14" x14ac:dyDescent="0.2">
      <c r="L3" s="157" t="s">
        <v>439</v>
      </c>
    </row>
    <row r="5" spans="1:14" x14ac:dyDescent="0.2">
      <c r="L5" s="121" t="s">
        <v>422</v>
      </c>
    </row>
    <row r="6" spans="1:14" x14ac:dyDescent="0.2">
      <c r="M6" s="177" t="str">
        <f>'Occ T2'!H151</f>
        <v>2015-2020</v>
      </c>
      <c r="N6" s="177" t="str">
        <f>'Occ T2'!I151</f>
        <v>2020-2035</v>
      </c>
    </row>
    <row r="7" spans="1:14" x14ac:dyDescent="0.2">
      <c r="L7" s="113" t="str">
        <f>'Occ T3'!A51</f>
        <v>All occupations</v>
      </c>
      <c r="M7" s="90">
        <f>'Occ T2'!H180</f>
        <v>-0.3059812750987656</v>
      </c>
      <c r="N7" s="90">
        <f>'Occ T2'!I180</f>
        <v>0.33752261436219566</v>
      </c>
    </row>
    <row r="8" spans="1:14" x14ac:dyDescent="0.2">
      <c r="L8" s="113"/>
    </row>
    <row r="9" spans="1:14" x14ac:dyDescent="0.2">
      <c r="L9" s="90" t="str">
        <f>'Occ T3'!A49</f>
        <v>92 Elementary administration and service occupations</v>
      </c>
      <c r="M9" s="90">
        <f>'Occ T2'!H178</f>
        <v>-1.7864233102176552</v>
      </c>
      <c r="N9" s="90">
        <f>'Occ T2'!I178</f>
        <v>8.1425110192601124E-3</v>
      </c>
    </row>
    <row r="10" spans="1:14" x14ac:dyDescent="0.2">
      <c r="L10" s="90" t="str">
        <f>'Occ T3'!A48</f>
        <v>91 Elementary trades and related occupations</v>
      </c>
      <c r="M10" s="90">
        <f>'Occ T2'!H177</f>
        <v>-5.1009524764847995</v>
      </c>
      <c r="N10" s="90">
        <f>'Occ T2'!I177</f>
        <v>-1.8995588049037226</v>
      </c>
    </row>
    <row r="11" spans="1:14" x14ac:dyDescent="0.2">
      <c r="L11" s="113" t="str">
        <f>"["&amp;'Occ T3'!A47&amp;"]"</f>
        <v>[Elementary occupations]</v>
      </c>
      <c r="M11" s="90">
        <f>'Occ T1'!H88</f>
        <v>-2.2107265618185545</v>
      </c>
      <c r="N11" s="90">
        <f>'Occ T1'!I88</f>
        <v>-0.19007424513651783</v>
      </c>
    </row>
    <row r="12" spans="1:14" x14ac:dyDescent="0.2">
      <c r="L12" s="113"/>
    </row>
    <row r="13" spans="1:14" x14ac:dyDescent="0.2">
      <c r="L13" s="90" t="str">
        <f>'Occ T3'!A45</f>
        <v>82 Transport and mobile machine drivers and operatives</v>
      </c>
      <c r="M13" s="90">
        <f>'Occ T2'!H176</f>
        <v>1.256490377052355</v>
      </c>
      <c r="N13" s="90">
        <f>'Occ T2'!I176</f>
        <v>-0.33234999040935298</v>
      </c>
    </row>
    <row r="14" spans="1:14" x14ac:dyDescent="0.2">
      <c r="L14" s="90" t="str">
        <f>'Occ T3'!A44</f>
        <v>81 Process, plant and machine operatives</v>
      </c>
      <c r="M14" s="90">
        <f>'Occ T2'!H175</f>
        <v>-4.4137305882278817</v>
      </c>
      <c r="N14" s="90">
        <f>'Occ T2'!I175</f>
        <v>0.7207158581668649</v>
      </c>
    </row>
    <row r="15" spans="1:14" x14ac:dyDescent="0.2">
      <c r="L15" s="113" t="str">
        <f>"["&amp;'Occ T3'!A43&amp;"]"</f>
        <v>[Process, plant and machine operatives]</v>
      </c>
      <c r="M15" s="90">
        <f>'Occ T1'!H87</f>
        <v>-1.5023656350775405</v>
      </c>
      <c r="N15" s="90">
        <f>'Occ T1'!I87</f>
        <v>0.1539351508893505</v>
      </c>
    </row>
    <row r="16" spans="1:14" x14ac:dyDescent="0.2">
      <c r="L16" s="113"/>
    </row>
    <row r="17" spans="12:14" x14ac:dyDescent="0.2">
      <c r="L17" s="90" t="str">
        <f>'Occ T3'!A41</f>
        <v>72 Customer service occupations</v>
      </c>
      <c r="M17" s="90">
        <f>'Occ T2'!H174</f>
        <v>1.5610831644915946</v>
      </c>
      <c r="N17" s="90">
        <f>'Occ T2'!I174</f>
        <v>2.7433082393231389</v>
      </c>
    </row>
    <row r="18" spans="12:14" x14ac:dyDescent="0.2">
      <c r="L18" s="90" t="str">
        <f>'Occ T3'!A40</f>
        <v>71 Sales occupations</v>
      </c>
      <c r="M18" s="90">
        <f>'Occ T2'!H173</f>
        <v>-2.0812441677521276</v>
      </c>
      <c r="N18" s="90">
        <f>'Occ T2'!I173</f>
        <v>-0.56581903856246507</v>
      </c>
    </row>
    <row r="19" spans="12:14" x14ac:dyDescent="0.2">
      <c r="L19" s="113" t="str">
        <f>"["&amp;'Occ T3'!A39&amp;"]"</f>
        <v>[Sales and customer service occupations]</v>
      </c>
      <c r="M19" s="90">
        <f>'Occ T1'!H86</f>
        <v>-1.4911539146336139</v>
      </c>
      <c r="N19" s="90">
        <f>'Occ T1'!I86</f>
        <v>0.14295664405947761</v>
      </c>
    </row>
    <row r="20" spans="12:14" x14ac:dyDescent="0.2">
      <c r="L20" s="113"/>
    </row>
    <row r="21" spans="12:14" x14ac:dyDescent="0.2">
      <c r="L21" s="106" t="str">
        <f>'Occ T3'!A37</f>
        <v>63 Community and civil enforcement occupations</v>
      </c>
      <c r="M21" s="90">
        <f>'Occ T2'!H172</f>
        <v>2.4365222689466837</v>
      </c>
      <c r="N21" s="90">
        <f>'Occ T2'!I172</f>
        <v>-0.89566171107728909</v>
      </c>
    </row>
    <row r="22" spans="12:14" x14ac:dyDescent="0.2">
      <c r="L22" s="90" t="str">
        <f>'Occ T3'!A36</f>
        <v>62 Leisure, travel and related personal service occupations</v>
      </c>
      <c r="M22" s="90">
        <f>'Occ T2'!H171</f>
        <v>-0.58773568265229059</v>
      </c>
      <c r="N22" s="90">
        <f>'Occ T2'!I171</f>
        <v>0.1821867048710013</v>
      </c>
    </row>
    <row r="23" spans="12:14" x14ac:dyDescent="0.2">
      <c r="L23" s="90" t="str">
        <f>'Occ T3'!A35</f>
        <v>61 Caring personal service occupations</v>
      </c>
      <c r="M23" s="90">
        <f>'Occ T2'!H170</f>
        <v>-0.78239649614618711</v>
      </c>
      <c r="N23" s="90">
        <f>'Occ T2'!I170</f>
        <v>0.79828259462559892</v>
      </c>
    </row>
    <row r="24" spans="12:14" x14ac:dyDescent="0.2">
      <c r="L24" s="113" t="str">
        <f>"["&amp;'Occ T3'!A34&amp;"]"</f>
        <v>[Caring, leisure and other service occupations]</v>
      </c>
      <c r="M24" s="90">
        <f>'Occ T1'!H85</f>
        <v>-0.69659591231615581</v>
      </c>
      <c r="N24" s="90">
        <f>'Occ T1'!I85</f>
        <v>0.63729359287270082</v>
      </c>
    </row>
    <row r="25" spans="12:14" x14ac:dyDescent="0.2">
      <c r="L25" s="113"/>
    </row>
    <row r="26" spans="12:14" x14ac:dyDescent="0.2">
      <c r="L26" s="90" t="str">
        <f>'Occ T3'!A32</f>
        <v>54 Textiles, printing and other skilled trades</v>
      </c>
      <c r="M26" s="90">
        <f>'Occ T2'!H169</f>
        <v>-3.6372681097002202</v>
      </c>
      <c r="N26" s="90">
        <f>'Occ T2'!I169</f>
        <v>-0.35181208283330268</v>
      </c>
    </row>
    <row r="27" spans="12:14" x14ac:dyDescent="0.2">
      <c r="L27" s="90" t="str">
        <f>'Occ T3'!A31</f>
        <v>53 Skilled construction and building trades</v>
      </c>
      <c r="M27" s="90">
        <f>'Occ T2'!H168</f>
        <v>-2.7444135688581728</v>
      </c>
      <c r="N27" s="90">
        <f>'Occ T2'!I168</f>
        <v>-0.79744162815216235</v>
      </c>
    </row>
    <row r="28" spans="12:14" x14ac:dyDescent="0.2">
      <c r="L28" s="90" t="str">
        <f>'Occ T3'!A30</f>
        <v>52 Skilled metal, electrical and electronic trades</v>
      </c>
      <c r="M28" s="90">
        <f>'Occ T2'!H167</f>
        <v>-3.8120543906761784</v>
      </c>
      <c r="N28" s="90">
        <f>'Occ T2'!I167</f>
        <v>-1.0310651226223211</v>
      </c>
    </row>
    <row r="29" spans="12:14" x14ac:dyDescent="0.2">
      <c r="L29" s="90" t="str">
        <f>'Occ T3'!A29</f>
        <v>51 Skilled agricultural and related trades</v>
      </c>
      <c r="M29" s="90">
        <f>'Occ T2'!H166</f>
        <v>-3.8609097151089067</v>
      </c>
      <c r="N29" s="90">
        <f>'Occ T2'!I166</f>
        <v>0.78628347946878563</v>
      </c>
    </row>
    <row r="30" spans="12:14" x14ac:dyDescent="0.2">
      <c r="L30" s="113" t="str">
        <f>"["&amp;'Occ T3'!A28&amp;"]"</f>
        <v>[Skilled trades occupations]</v>
      </c>
      <c r="M30" s="90">
        <f>'Occ T1'!H84</f>
        <v>-3.4407445148540661</v>
      </c>
      <c r="N30" s="90">
        <f>'Occ T1'!I84</f>
        <v>-0.6341226876224404</v>
      </c>
    </row>
    <row r="31" spans="12:14" x14ac:dyDescent="0.2">
      <c r="L31" s="113"/>
    </row>
    <row r="32" spans="12:14" x14ac:dyDescent="0.2">
      <c r="L32" s="90" t="str">
        <f>'Occ T3'!A26</f>
        <v>42 Secretarial and related occupations</v>
      </c>
      <c r="M32" s="90">
        <f>'Occ T2'!H165</f>
        <v>-2.8665141443915521</v>
      </c>
      <c r="N32" s="90">
        <f>'Occ T2'!I165</f>
        <v>-0.50906830229731082</v>
      </c>
    </row>
    <row r="33" spans="12:14" x14ac:dyDescent="0.2">
      <c r="L33" s="90" t="str">
        <f>'Occ T3'!A25</f>
        <v>41 Administrative occupations</v>
      </c>
      <c r="M33" s="90">
        <f>'Occ T2'!H164</f>
        <v>-0.64575523807332003</v>
      </c>
      <c r="N33" s="90">
        <f>'Occ T2'!I164</f>
        <v>-0.88615450774064408</v>
      </c>
    </row>
    <row r="34" spans="12:14" x14ac:dyDescent="0.2">
      <c r="L34" s="113" t="str">
        <f>"["&amp;'Occ T3'!A24&amp;"]"</f>
        <v>[Administrative and secretarial occupations]</v>
      </c>
      <c r="M34" s="90">
        <f>'Occ T1'!H83</f>
        <v>-1.0313824957122741</v>
      </c>
      <c r="N34" s="90">
        <f>'Occ T1'!I83</f>
        <v>-0.8228889787840088</v>
      </c>
    </row>
    <row r="35" spans="12:14" x14ac:dyDescent="0.2">
      <c r="L35" s="113"/>
    </row>
    <row r="36" spans="12:14" x14ac:dyDescent="0.2">
      <c r="L36" s="90" t="str">
        <f>'Occ T3'!A22</f>
        <v>35 Business and public service associate professionals</v>
      </c>
      <c r="M36" s="90">
        <f>'Occ T2'!H163</f>
        <v>1.4863027490615632</v>
      </c>
      <c r="N36" s="90">
        <f>'Occ T2'!I163</f>
        <v>-4.0505041124405672E-3</v>
      </c>
    </row>
    <row r="37" spans="12:14" x14ac:dyDescent="0.2">
      <c r="L37" s="90" t="str">
        <f>'Occ T3'!A21</f>
        <v>34 Culture, media and sports occupations</v>
      </c>
      <c r="M37" s="90">
        <f>'Occ T2'!H162</f>
        <v>-0.93183825362352923</v>
      </c>
      <c r="N37" s="90">
        <f>'Occ T2'!I162</f>
        <v>0.38084364570027951</v>
      </c>
    </row>
    <row r="38" spans="12:14" x14ac:dyDescent="0.2">
      <c r="L38" s="90" t="str">
        <f>'Occ T3'!A20</f>
        <v>33 Protective service occupations</v>
      </c>
      <c r="M38" s="90">
        <f>'Occ T2'!H161</f>
        <v>2.3433722931692769</v>
      </c>
      <c r="N38" s="90">
        <f>'Occ T2'!I161</f>
        <v>1.803656539104348</v>
      </c>
    </row>
    <row r="39" spans="12:14" x14ac:dyDescent="0.2">
      <c r="L39" s="90" t="str">
        <f>'Occ T3'!A19</f>
        <v>32 Health and social care associate professionals</v>
      </c>
      <c r="M39" s="90">
        <f>'Occ T2'!H160</f>
        <v>2.0233344610784521</v>
      </c>
      <c r="N39" s="90">
        <f>'Occ T2'!I160</f>
        <v>0.70448051335030293</v>
      </c>
    </row>
    <row r="40" spans="12:14" x14ac:dyDescent="0.2">
      <c r="L40" s="90" t="str">
        <f>'Occ T3'!A18</f>
        <v>31 Science, engineering and technology associate professionals</v>
      </c>
      <c r="M40" s="90">
        <f>'Occ T2'!H159</f>
        <v>2.9753180176036231</v>
      </c>
      <c r="N40" s="90">
        <f>'Occ T2'!I159</f>
        <v>-0.6839127547068613</v>
      </c>
    </row>
    <row r="41" spans="12:14" x14ac:dyDescent="0.2">
      <c r="L41" s="113" t="str">
        <f>"["&amp;'Occ T3'!A17&amp;"]"</f>
        <v>[Associate professional occupations]</v>
      </c>
      <c r="M41" s="90">
        <f>'Occ T1'!H82</f>
        <v>1.6789717565502071</v>
      </c>
      <c r="N41" s="90">
        <f>'Occ T1'!I82</f>
        <v>0.30635460444361495</v>
      </c>
    </row>
    <row r="42" spans="12:14" x14ac:dyDescent="0.2">
      <c r="L42" s="113"/>
    </row>
    <row r="43" spans="12:14" x14ac:dyDescent="0.2">
      <c r="L43" s="90" t="str">
        <f>'Occ T3'!A15</f>
        <v>24 Business, media and public service professionals</v>
      </c>
      <c r="M43" s="90">
        <f>'Occ T2'!H158</f>
        <v>3.7425069350011997</v>
      </c>
      <c r="N43" s="90">
        <f>'Occ T2'!I158</f>
        <v>1.4978712280647066</v>
      </c>
    </row>
    <row r="44" spans="12:14" x14ac:dyDescent="0.2">
      <c r="L44" s="90" t="str">
        <f>'Occ T3'!A14</f>
        <v>23 Teaching and other educational professionals</v>
      </c>
      <c r="M44" s="90">
        <f>'Occ T2'!H157</f>
        <v>0.74961039979839494</v>
      </c>
      <c r="N44" s="90">
        <f>'Occ T2'!I157</f>
        <v>1.0840976851205664</v>
      </c>
    </row>
    <row r="45" spans="12:14" x14ac:dyDescent="0.2">
      <c r="L45" s="90" t="str">
        <f>'Occ T3'!A13</f>
        <v>22 Health professionals</v>
      </c>
      <c r="M45" s="90">
        <f>'Occ T2'!H156</f>
        <v>1.6014800545100405</v>
      </c>
      <c r="N45" s="90">
        <f>'Occ T2'!I156</f>
        <v>1.3725523924732919</v>
      </c>
    </row>
    <row r="46" spans="12:14" x14ac:dyDescent="0.2">
      <c r="L46" s="90" t="str">
        <f>'Occ T3'!A12</f>
        <v>21 Science, research, engineering and technology professionals</v>
      </c>
      <c r="M46" s="90">
        <f>'Occ T2'!H155</f>
        <v>1.6790361796333197</v>
      </c>
      <c r="N46" s="90">
        <f>'Occ T2'!I155</f>
        <v>0.93456278520251956</v>
      </c>
    </row>
    <row r="47" spans="12:14" x14ac:dyDescent="0.2">
      <c r="L47" s="113" t="str">
        <f>"["&amp;'Occ T3'!A11&amp;"]"</f>
        <v>[Professional occupations]</v>
      </c>
      <c r="M47" s="90">
        <f>'Occ T1'!H81</f>
        <v>1.9336473158785283</v>
      </c>
      <c r="N47" s="90">
        <f>'Occ T1'!I81</f>
        <v>1.2467393087312928</v>
      </c>
    </row>
    <row r="49" spans="12:14" x14ac:dyDescent="0.2">
      <c r="L49" s="106" t="str">
        <f>'Occ T3'!A9</f>
        <v>12 Other managers and proprietors</v>
      </c>
      <c r="M49" s="90">
        <f>'Occ T2'!H154</f>
        <v>1.1855943883452458</v>
      </c>
      <c r="N49" s="90">
        <f>'Occ T2'!I154</f>
        <v>2.322472491234584</v>
      </c>
    </row>
    <row r="50" spans="12:14" x14ac:dyDescent="0.2">
      <c r="L50" s="106" t="str">
        <f>'Occ T3'!A8</f>
        <v>11 Corporate managers and directors</v>
      </c>
      <c r="M50" s="90">
        <f>'Occ T2'!H153</f>
        <v>3.1914253480733734</v>
      </c>
      <c r="N50" s="90">
        <f>'Occ T2'!I153</f>
        <v>8.3278039491885281E-2</v>
      </c>
    </row>
    <row r="51" spans="12:14" x14ac:dyDescent="0.2">
      <c r="L51" s="113" t="str">
        <f>"["&amp;'Occ T3'!A7&amp;"]"</f>
        <v>[Managers, directors and senior officials]</v>
      </c>
      <c r="M51" s="90">
        <f>'Occ T1'!H80</f>
        <v>2.3998706639680289</v>
      </c>
      <c r="N51" s="90">
        <f>'Occ T1'!I80</f>
        <v>1.0191116945586387</v>
      </c>
    </row>
    <row r="80" spans="1:1" ht="15.75" x14ac:dyDescent="0.25">
      <c r="A80" s="155" t="str">
        <f>CONCATENATE("Occupation Figure 1.1  Change in Employment by Occupation (SOC 2020), ",M81," and ",N81,", ",Info!B5)</f>
        <v>Occupation Figure 1.1  Change in Employment by Occupation (SOC 2020), 2015-2020 and 2020-2035, North East</v>
      </c>
    </row>
    <row r="81" spans="12:14" x14ac:dyDescent="0.2">
      <c r="M81" s="106" t="str">
        <f>'Occ F1'!M6</f>
        <v>2015-2020</v>
      </c>
      <c r="N81" s="106" t="str">
        <f>'Occ F1'!N6</f>
        <v>2020-2035</v>
      </c>
    </row>
    <row r="82" spans="12:14" x14ac:dyDescent="0.2">
      <c r="L82" s="10" t="str">
        <f>name!D4</f>
        <v>11 Corporate managers and directors</v>
      </c>
      <c r="M82" s="93">
        <f>'Occ T2'!D8-'Occ T2'!B8</f>
        <v>8.978807628195753</v>
      </c>
      <c r="N82" s="93">
        <f>'Occ T2'!F119</f>
        <v>0.77610679577185948</v>
      </c>
    </row>
    <row r="83" spans="12:14" x14ac:dyDescent="0.2">
      <c r="L83" s="10" t="str">
        <f>name!D5</f>
        <v>12 Other managers and proprietors</v>
      </c>
      <c r="M83" s="93">
        <f>'Occ T2'!D9-'Occ T2'!B9</f>
        <v>2.1723473816630801</v>
      </c>
      <c r="N83" s="93">
        <f>'Occ T2'!F120</f>
        <v>15.606029144909691</v>
      </c>
    </row>
    <row r="84" spans="12:14" x14ac:dyDescent="0.2">
      <c r="L84" s="10" t="str">
        <f>name!D6</f>
        <v>21 Science, research, engineering and technology professionals</v>
      </c>
      <c r="M84" s="93">
        <f>'Occ T2'!D10-'Occ T2'!B10</f>
        <v>4.6087662070190518</v>
      </c>
      <c r="N84" s="93">
        <f>'Occ T2'!F121</f>
        <v>8.638896180659728</v>
      </c>
    </row>
    <row r="85" spans="12:14" x14ac:dyDescent="0.2">
      <c r="L85" s="10" t="str">
        <f>name!D7</f>
        <v>22 Health professionals</v>
      </c>
      <c r="M85" s="93">
        <f>'Occ T2'!D11-'Occ T2'!B11</f>
        <v>6.1551579441097033</v>
      </c>
      <c r="N85" s="93">
        <f>'Occ T2'!F122</f>
        <v>18.287486319040184</v>
      </c>
    </row>
    <row r="86" spans="12:14" x14ac:dyDescent="0.2">
      <c r="L86" s="10" t="str">
        <f>name!D8</f>
        <v>23 Teaching and other educational professionals</v>
      </c>
      <c r="M86" s="93">
        <f>'Occ T2'!D12-'Occ T2'!B12</f>
        <v>1.9685358773988497</v>
      </c>
      <c r="N86" s="93">
        <f>'Occ T2'!F123</f>
        <v>9.4287549104549555</v>
      </c>
    </row>
    <row r="87" spans="12:14" x14ac:dyDescent="0.2">
      <c r="L87" s="10" t="str">
        <f>name!D9</f>
        <v>24 Business, media and public service professionals</v>
      </c>
      <c r="M87" s="93">
        <f>'Occ T2'!D13-'Occ T2'!B13</f>
        <v>10.531051865448909</v>
      </c>
      <c r="N87" s="93">
        <f>'Occ T2'!F124</f>
        <v>15.677728401469473</v>
      </c>
    </row>
    <row r="88" spans="12:14" x14ac:dyDescent="0.2">
      <c r="L88" s="10" t="str">
        <f>name!D10</f>
        <v>31 Science, engineering and technology associate professionals</v>
      </c>
      <c r="M88" s="93">
        <f>'Occ T2'!D14-'Occ T2'!B14</f>
        <v>3.5009113194713422</v>
      </c>
      <c r="N88" s="93">
        <f>'Occ T2'!F125</f>
        <v>-2.5114465297474915</v>
      </c>
    </row>
    <row r="89" spans="12:14" x14ac:dyDescent="0.2">
      <c r="L89" s="10" t="str">
        <f>name!D11</f>
        <v>32 Health and social care associate professionals</v>
      </c>
      <c r="M89" s="93">
        <f>'Occ T2'!D15-'Occ T2'!B15</f>
        <v>2.7349070790265841</v>
      </c>
      <c r="N89" s="93">
        <f>'Occ T2'!F126</f>
        <v>3.1866232822275613</v>
      </c>
    </row>
    <row r="90" spans="12:14" x14ac:dyDescent="0.2">
      <c r="L90" s="10" t="str">
        <f>name!D12</f>
        <v>33 Protective service occupations</v>
      </c>
      <c r="M90" s="93">
        <f>'Occ T2'!D16-'Occ T2'!B16</f>
        <v>1.8034728101538988</v>
      </c>
      <c r="N90" s="93">
        <f>'Occ T2'!F127</f>
        <v>5.0713979996577372</v>
      </c>
    </row>
    <row r="91" spans="12:14" x14ac:dyDescent="0.2">
      <c r="L91" s="10" t="str">
        <f>name!D13</f>
        <v>34 Culture, media and sports occupations</v>
      </c>
      <c r="M91" s="93">
        <f>'Occ T2'!D17-'Occ T2'!B17</f>
        <v>-0.71269519470603448</v>
      </c>
      <c r="N91" s="93">
        <f>'Occ T2'!F128</f>
        <v>0.87258947368746753</v>
      </c>
    </row>
    <row r="92" spans="12:14" x14ac:dyDescent="0.2">
      <c r="L92" s="10" t="str">
        <f>name!D14</f>
        <v>35 Business and public service associate professionals</v>
      </c>
      <c r="M92" s="93">
        <f>'Occ T2'!D18-'Occ T2'!B18</f>
        <v>3.8784027344354115</v>
      </c>
      <c r="N92" s="93">
        <f>'Occ T2'!F129</f>
        <v>-3.3126883944539998E-2</v>
      </c>
    </row>
    <row r="93" spans="12:14" x14ac:dyDescent="0.2">
      <c r="L93" s="10" t="str">
        <f>name!D15</f>
        <v>41 Administrative occupations</v>
      </c>
      <c r="M93" s="93">
        <f>'Occ T2'!D19-'Occ T2'!B19</f>
        <v>-3.6517536290753156</v>
      </c>
      <c r="N93" s="93">
        <f>'Occ T2'!F130</f>
        <v>-13.863301660679539</v>
      </c>
    </row>
    <row r="94" spans="12:14" x14ac:dyDescent="0.2">
      <c r="L94" s="10" t="str">
        <f>name!D16</f>
        <v>42 Secretarial and related occupations</v>
      </c>
      <c r="M94" s="93">
        <f>'Occ T2'!D20-'Occ T2'!B20</f>
        <v>-3.4079375414110729</v>
      </c>
      <c r="N94" s="93">
        <f>'Occ T2'!F131</f>
        <v>-1.6045916971026131</v>
      </c>
    </row>
    <row r="95" spans="12:14" x14ac:dyDescent="0.2">
      <c r="L95" s="10" t="str">
        <f>name!D17</f>
        <v>51 Skilled agricultural and related trades</v>
      </c>
      <c r="M95" s="93">
        <f>'Occ T2'!D21-'Occ T2'!B21</f>
        <v>-2.2415513578967818</v>
      </c>
      <c r="N95" s="93">
        <f>'Occ T2'!F132</f>
        <v>1.2842365777998257</v>
      </c>
    </row>
    <row r="96" spans="12:14" x14ac:dyDescent="0.2">
      <c r="L96" s="10" t="str">
        <f>name!D18</f>
        <v>52 Skilled metal, electrical and electronic trades</v>
      </c>
      <c r="M96" s="93">
        <f>'Occ T2'!D22-'Occ T2'!B22</f>
        <v>-9.1392712986853155</v>
      </c>
      <c r="N96" s="93">
        <f>'Occ T2'!F133</f>
        <v>-6.1347030728799652</v>
      </c>
    </row>
    <row r="97" spans="12:14" x14ac:dyDescent="0.2">
      <c r="L97" s="10" t="str">
        <f>name!D19</f>
        <v>53 Skilled construction and building trades</v>
      </c>
      <c r="M97" s="93">
        <f>'Occ T2'!D23-'Occ T2'!B23</f>
        <v>-5.3800475750716998</v>
      </c>
      <c r="N97" s="93">
        <f>'Occ T2'!F134</f>
        <v>-4.0783457470649047</v>
      </c>
    </row>
    <row r="98" spans="12:14" x14ac:dyDescent="0.2">
      <c r="L98" s="10" t="str">
        <f>name!D20</f>
        <v>54 Textiles, printing and other skilled trades</v>
      </c>
      <c r="M98" s="93">
        <f>'Occ T2'!D24-'Occ T2'!B24</f>
        <v>-4.2930384293084956</v>
      </c>
      <c r="N98" s="93">
        <f>'Occ T2'!F135</f>
        <v>-1.0861478873856356</v>
      </c>
    </row>
    <row r="99" spans="12:14" x14ac:dyDescent="0.2">
      <c r="L99" s="10" t="str">
        <f>name!D21</f>
        <v>61 Caring personal service occupations</v>
      </c>
      <c r="M99" s="93">
        <f>'Occ T2'!D25-'Occ T2'!B25</f>
        <v>-3.4154733125627814</v>
      </c>
      <c r="N99" s="93">
        <f>'Occ T2'!F136</f>
        <v>10.801137027273271</v>
      </c>
    </row>
    <row r="100" spans="12:14" x14ac:dyDescent="0.2">
      <c r="L100" s="10" t="str">
        <f>name!D22</f>
        <v>62 Leisure, travel and related personal service occupations</v>
      </c>
      <c r="M100" s="93">
        <f>'Occ T2'!D26-'Occ T2'!B26</f>
        <v>-0.7959387129719282</v>
      </c>
      <c r="N100" s="93">
        <f>'Occ T2'!F137</f>
        <v>0.73652465759708008</v>
      </c>
    </row>
    <row r="101" spans="12:14" x14ac:dyDescent="0.2">
      <c r="L101" s="10" t="str">
        <f>name!D23</f>
        <v>63 Community and civil enforcement occupations</v>
      </c>
      <c r="M101" s="93">
        <f>'Occ T2'!D27-'Occ T2'!B27</f>
        <v>0.17654976786870646</v>
      </c>
      <c r="N101" s="93">
        <f>'Occ T2'!F138</f>
        <v>-0.19654028258234013</v>
      </c>
    </row>
    <row r="102" spans="12:14" x14ac:dyDescent="0.2">
      <c r="L102" s="10" t="str">
        <f>name!D24</f>
        <v>71 Sales occupations</v>
      </c>
      <c r="M102" s="93">
        <f>'Occ T2'!D28-'Occ T2'!B28</f>
        <v>-11.491214519105128</v>
      </c>
      <c r="N102" s="93">
        <f>'Occ T2'!F139</f>
        <v>-8.4552739812367435</v>
      </c>
    </row>
    <row r="103" spans="12:14" x14ac:dyDescent="0.2">
      <c r="L103" s="10" t="str">
        <f>name!D25</f>
        <v>72 Customer service occupations</v>
      </c>
      <c r="M103" s="93">
        <f>'Occ T2'!D29-'Occ T2'!B29</f>
        <v>1.6645337714717918</v>
      </c>
      <c r="N103" s="93">
        <f>'Occ T2'!F140</f>
        <v>11.183553008210936</v>
      </c>
    </row>
    <row r="104" spans="12:14" x14ac:dyDescent="0.2">
      <c r="L104" s="10" t="str">
        <f>name!D26</f>
        <v>81 Process, plant and machine operatives</v>
      </c>
      <c r="M104" s="93">
        <f>'Occ T2'!D30-'Occ T2'!B30</f>
        <v>-8.8311144867017148</v>
      </c>
      <c r="N104" s="93">
        <f>'Occ T2'!F141</f>
        <v>3.966775603682315</v>
      </c>
    </row>
    <row r="105" spans="12:14" x14ac:dyDescent="0.2">
      <c r="L105" s="10" t="str">
        <f>name!D27</f>
        <v>82 Transport and mobile machine drivers and operatives</v>
      </c>
      <c r="M105" s="93">
        <f>'Occ T2'!D31-'Occ T2'!B31</f>
        <v>2.6483728798543638</v>
      </c>
      <c r="N105" s="93">
        <f>'Occ T2'!F142</f>
        <v>-2.1313866469307214</v>
      </c>
    </row>
    <row r="106" spans="12:14" x14ac:dyDescent="0.2">
      <c r="L106" s="10" t="str">
        <f>name!D28</f>
        <v>91 Elementary trades and related occupations</v>
      </c>
      <c r="M106" s="93">
        <f>'Occ T2'!D32-'Occ T2'!B32</f>
        <v>-4.6795608159829953</v>
      </c>
      <c r="N106" s="93">
        <f>'Occ T2'!F143</f>
        <v>-3.9094004965948397</v>
      </c>
    </row>
    <row r="107" spans="12:14" x14ac:dyDescent="0.2">
      <c r="L107" s="10" t="str">
        <f>name!D29</f>
        <v>92 Elementary administration and service occupations</v>
      </c>
      <c r="M107" s="93">
        <f>'Occ T2'!D33-'Occ T2'!B33</f>
        <v>-11.146220393999727</v>
      </c>
      <c r="N107" s="93">
        <f>'Occ T2'!F144</f>
        <v>0.1444255036292077</v>
      </c>
    </row>
    <row r="108" spans="12:14" x14ac:dyDescent="0.2">
      <c r="L108" s="10"/>
      <c r="M108" s="93"/>
      <c r="N108" s="93"/>
    </row>
    <row r="109" spans="12:14" x14ac:dyDescent="0.2">
      <c r="L109" s="10" t="str">
        <f>name!D3</f>
        <v>All occupations</v>
      </c>
      <c r="M109" s="93">
        <f>'Occ T2'!D35-'Occ T2'!B35</f>
        <v>-18.364000001361319</v>
      </c>
      <c r="N109" s="93">
        <f>'Occ T2'!F146</f>
        <v>61.657999999921913</v>
      </c>
    </row>
    <row r="150" spans="1:16" ht="15.75" x14ac:dyDescent="0.25">
      <c r="A150" s="155" t="str">
        <f>CONCATENATE("Occupation Figure 1.2  Change in Employment by Occupation (SOC 2020), ",M152," and ",N152,", ",Info!B5)</f>
        <v>Occupation Figure 1.2  Change in Employment by Occupation (SOC 2020), 2015 - 2020 and 2020-2035, North East</v>
      </c>
    </row>
    <row r="151" spans="1:16" x14ac:dyDescent="0.2">
      <c r="P151" s="93"/>
    </row>
    <row r="152" spans="1:16" x14ac:dyDescent="0.2">
      <c r="M152" s="90" t="str">
        <f>'Occ T1'!B6&amp;" - "&amp;'Occ T1'!D6</f>
        <v>2015 - 2020</v>
      </c>
      <c r="N152" s="90" t="str">
        <f>'Occ T1'!H4</f>
        <v>2020-2035</v>
      </c>
      <c r="P152" s="93"/>
    </row>
    <row r="153" spans="1:16" x14ac:dyDescent="0.2">
      <c r="L153" s="10" t="str">
        <f>name!E4</f>
        <v>Managers, directors and senior officials</v>
      </c>
      <c r="M153" s="93">
        <f>'Occ T1'!D8-'Occ T1'!B8</f>
        <v>11.15115500985884</v>
      </c>
      <c r="N153" s="93">
        <f>'Occ T1'!H8</f>
        <v>16.38213594068155</v>
      </c>
      <c r="P153" s="93"/>
    </row>
    <row r="154" spans="1:16" x14ac:dyDescent="0.2">
      <c r="L154" s="10" t="str">
        <f>name!E5</f>
        <v>Professional occupations</v>
      </c>
      <c r="M154" s="93">
        <f>'Occ T1'!D9-'Occ T1'!B9</f>
        <v>23.263511893976528</v>
      </c>
      <c r="N154" s="93">
        <f>'Occ T1'!H9</f>
        <v>52.032865811624333</v>
      </c>
      <c r="P154" s="93"/>
    </row>
    <row r="155" spans="1:16" x14ac:dyDescent="0.2">
      <c r="L155" s="10" t="str">
        <f>name!E6</f>
        <v>Associate professional occupations</v>
      </c>
      <c r="M155" s="93">
        <f>'Occ T1'!D10-'Occ T1'!B10</f>
        <v>11.204998748381172</v>
      </c>
      <c r="N155" s="93">
        <f>'Occ T1'!H10</f>
        <v>6.5860373418807399</v>
      </c>
      <c r="P155" s="93"/>
    </row>
    <row r="156" spans="1:16" x14ac:dyDescent="0.2">
      <c r="L156" s="10" t="str">
        <f>name!E7</f>
        <v>Administrative and secretarial occupations</v>
      </c>
      <c r="M156" s="93">
        <f>'Occ T1'!D11-'Occ T1'!B11</f>
        <v>-7.0596911704863885</v>
      </c>
      <c r="N156" s="93">
        <f>'Occ T1'!H11</f>
        <v>-15.46789335778216</v>
      </c>
      <c r="P156" s="93"/>
    </row>
    <row r="157" spans="1:16" x14ac:dyDescent="0.2">
      <c r="L157" s="10" t="str">
        <f>name!E8</f>
        <v>Skilled trades occupations</v>
      </c>
      <c r="M157" s="93">
        <f>'Occ T1'!D12-'Occ T1'!B12</f>
        <v>-21.053908660962293</v>
      </c>
      <c r="N157" s="93">
        <f>'Occ T1'!H12</f>
        <v>-10.014960129530678</v>
      </c>
      <c r="P157" s="93"/>
    </row>
    <row r="158" spans="1:16" x14ac:dyDescent="0.2">
      <c r="L158" s="10" t="str">
        <f>name!E9</f>
        <v>Caring, leisure and other service occupations</v>
      </c>
      <c r="M158" s="93">
        <f>'Occ T1'!D13-'Occ T1'!B13</f>
        <v>-4.034862257665992</v>
      </c>
      <c r="N158" s="93">
        <f>'Occ T1'!H13</f>
        <v>11.341121402287996</v>
      </c>
      <c r="P158" s="93"/>
    </row>
    <row r="159" spans="1:16" x14ac:dyDescent="0.2">
      <c r="L159" s="10" t="str">
        <f>name!E10</f>
        <v>Sales and customer service occupations</v>
      </c>
      <c r="M159" s="93">
        <f>'Occ T1'!D14-'Occ T1'!B14</f>
        <v>-9.8266807476333327</v>
      </c>
      <c r="N159" s="93">
        <f>'Occ T1'!H14</f>
        <v>2.7282790269742065</v>
      </c>
      <c r="P159" s="93"/>
    </row>
    <row r="160" spans="1:16" x14ac:dyDescent="0.2">
      <c r="L160" s="10" t="str">
        <f>name!E11</f>
        <v>Process, plant and machine operatives</v>
      </c>
      <c r="M160" s="93">
        <f>'Occ T1'!D15-'Occ T1'!B15</f>
        <v>-6.182741606847344</v>
      </c>
      <c r="N160" s="93">
        <f>'Occ T1'!H15</f>
        <v>1.8353889567515864</v>
      </c>
      <c r="P160" s="93"/>
    </row>
    <row r="161" spans="12:16" x14ac:dyDescent="0.2">
      <c r="L161" s="10" t="str">
        <f>name!E12</f>
        <v>Elementary occupations</v>
      </c>
      <c r="M161" s="93">
        <f>'Occ T1'!D16-'Occ T1'!B16</f>
        <v>-15.825781209982722</v>
      </c>
      <c r="N161" s="93">
        <f>'Occ T1'!H16</f>
        <v>-3.7649749929656195</v>
      </c>
      <c r="P161" s="93"/>
    </row>
    <row r="162" spans="12:16" x14ac:dyDescent="0.2">
      <c r="L162" s="10"/>
      <c r="M162" s="93"/>
      <c r="N162" s="93"/>
      <c r="P162" s="93"/>
    </row>
    <row r="163" spans="12:16" x14ac:dyDescent="0.2">
      <c r="L163" s="10" t="str">
        <f>name!E3</f>
        <v>All occupations</v>
      </c>
      <c r="M163" s="93">
        <f>'Occ T1'!D18-'Occ T1'!B18</f>
        <v>-18.364000001361319</v>
      </c>
      <c r="N163" s="93">
        <f>'Occ T1'!H18</f>
        <v>61.657999999921955</v>
      </c>
    </row>
  </sheetData>
  <conditionalFormatting sqref="L17:L18 L6:N6">
    <cfRule type="cellIs" dxfId="9" priority="1" stopIfTrue="1" operator="equal">
      <formula>0</formula>
    </cfRule>
  </conditionalFormatting>
  <pageMargins left="0.55118110236220474" right="0.55118110236220474" top="0.98425196850393704" bottom="0.98425196850393704" header="0.51181102362204722" footer="0.51181102362204722"/>
  <pageSetup paperSize="9" scale="72" orientation="portrait" r:id="rId1"/>
  <headerFooter alignWithMargins="0"/>
  <rowBreaks count="2" manualBreakCount="2">
    <brk id="78" max="16383" man="1"/>
    <brk id="149" max="9" man="1"/>
  </rowBreaks>
  <colBreaks count="1" manualBreakCount="1">
    <brk id="10" max="147" man="1"/>
  </colBreaks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16"/>
  <dimension ref="A1:BO508"/>
  <sheetViews>
    <sheetView zoomScale="75" zoomScaleNormal="75" workbookViewId="0"/>
  </sheetViews>
  <sheetFormatPr defaultColWidth="9.140625" defaultRowHeight="12.75" x14ac:dyDescent="0.2"/>
  <cols>
    <col min="1" max="1" width="17" style="80" customWidth="1"/>
    <col min="2" max="8" width="9.140625" style="80"/>
    <col min="9" max="9" width="31.85546875" style="80" customWidth="1"/>
    <col min="10" max="10" width="11.28515625" style="80" customWidth="1"/>
    <col min="11" max="11" width="6.140625" style="80" customWidth="1"/>
    <col min="12" max="12" width="52.28515625" customWidth="1"/>
    <col min="13" max="38" width="15.7109375" customWidth="1"/>
    <col min="39" max="39" width="7.7109375" customWidth="1"/>
    <col min="40" max="63" width="6.28515625" customWidth="1"/>
  </cols>
  <sheetData>
    <row r="1" spans="1:67" ht="15.75" x14ac:dyDescent="0.25">
      <c r="A1" s="79" t="str">
        <f>CONCATENATE("Occupation Figure 2  Employment by Occupation (SOC 2020), ",$M$2,"-",$O$2,", ",Info!B5)</f>
        <v>Occupation Figure 2  Employment by Occupation (SOC 2020), 2010-2035, North East</v>
      </c>
      <c r="L1" s="45"/>
    </row>
    <row r="2" spans="1:67" x14ac:dyDescent="0.2">
      <c r="A2" s="181" t="s">
        <v>538</v>
      </c>
      <c r="L2" s="15" t="s">
        <v>28</v>
      </c>
      <c r="M2" s="47">
        <f>M4</f>
        <v>2010</v>
      </c>
      <c r="N2" s="46" t="s">
        <v>27</v>
      </c>
      <c r="O2" s="47">
        <f>MAX(Q4:BO4)</f>
        <v>2035</v>
      </c>
    </row>
    <row r="3" spans="1:67" x14ac:dyDescent="0.2">
      <c r="L3" s="15"/>
      <c r="M3" s="15"/>
      <c r="N3" s="46"/>
      <c r="O3" s="15"/>
    </row>
    <row r="4" spans="1:67" x14ac:dyDescent="0.2">
      <c r="L4" s="1" t="s">
        <v>35</v>
      </c>
      <c r="M4" s="47">
        <v>2010</v>
      </c>
      <c r="N4" s="47">
        <v>2011</v>
      </c>
      <c r="O4" s="47">
        <v>2012</v>
      </c>
      <c r="P4" s="47">
        <v>2013</v>
      </c>
      <c r="Q4" s="47">
        <v>2014</v>
      </c>
      <c r="R4" s="47">
        <v>2015</v>
      </c>
      <c r="S4" s="47">
        <v>2016</v>
      </c>
      <c r="T4" s="47">
        <v>2017</v>
      </c>
      <c r="U4" s="47">
        <v>2018</v>
      </c>
      <c r="V4" s="47">
        <v>2019</v>
      </c>
      <c r="W4" s="47">
        <v>2020</v>
      </c>
      <c r="X4" s="47">
        <v>2021</v>
      </c>
      <c r="Y4" s="47">
        <v>2022</v>
      </c>
      <c r="Z4" s="47">
        <v>2023</v>
      </c>
      <c r="AA4" s="47">
        <v>2024</v>
      </c>
      <c r="AB4" s="47">
        <v>2025</v>
      </c>
      <c r="AC4" s="47">
        <v>2026</v>
      </c>
      <c r="AD4" s="47">
        <v>2027</v>
      </c>
      <c r="AE4" s="47">
        <v>2028</v>
      </c>
      <c r="AF4" s="47">
        <v>2029</v>
      </c>
      <c r="AG4" s="47">
        <v>2030</v>
      </c>
      <c r="AH4" s="47">
        <v>2031</v>
      </c>
      <c r="AI4" s="47">
        <v>2032</v>
      </c>
      <c r="AJ4" s="47">
        <v>2033</v>
      </c>
      <c r="AK4" s="47">
        <v>2034</v>
      </c>
      <c r="AL4" s="47">
        <v>2035</v>
      </c>
      <c r="AM4" s="47"/>
      <c r="AN4" s="47"/>
      <c r="AO4" s="47"/>
      <c r="AP4" s="47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</row>
    <row r="5" spans="1:67" x14ac:dyDescent="0.2">
      <c r="L5" s="16" t="str">
        <f>'Occ T3'!A7</f>
        <v>Managers, directors and senior officials</v>
      </c>
      <c r="M5" s="86">
        <f t="shared" ref="M5:P5" si="0">SUM(M6:M7)</f>
        <v>76.063808742217034</v>
      </c>
      <c r="N5" s="86">
        <f t="shared" si="0"/>
        <v>81.147912317495695</v>
      </c>
      <c r="O5" s="86">
        <f t="shared" si="0"/>
        <v>81.049262114930698</v>
      </c>
      <c r="P5" s="86">
        <f t="shared" si="0"/>
        <v>85.127905604303223</v>
      </c>
      <c r="Q5" s="86">
        <f>SUM(Q6:Q7)</f>
        <v>83.1868837803313</v>
      </c>
      <c r="R5" s="86">
        <f t="shared" ref="R5:AL5" si="1">SUM(R6:R7)</f>
        <v>88.576593074398374</v>
      </c>
      <c r="S5" s="86">
        <f t="shared" si="1"/>
        <v>81.617821919133789</v>
      </c>
      <c r="T5" s="86">
        <f t="shared" si="1"/>
        <v>85.615419561762678</v>
      </c>
      <c r="U5" s="86">
        <f t="shared" si="1"/>
        <v>90.626833448035512</v>
      </c>
      <c r="V5" s="86">
        <f t="shared" si="1"/>
        <v>99.700552647162596</v>
      </c>
      <c r="W5" s="86">
        <f t="shared" si="1"/>
        <v>99.727748084257215</v>
      </c>
      <c r="X5" s="86">
        <f t="shared" si="1"/>
        <v>97.373489370439557</v>
      </c>
      <c r="Y5" s="86">
        <f t="shared" si="1"/>
        <v>98.156901146175628</v>
      </c>
      <c r="Z5" s="86">
        <f t="shared" si="1"/>
        <v>99.357306501799741</v>
      </c>
      <c r="AA5" s="86">
        <f t="shared" si="1"/>
        <v>100.81502447868122</v>
      </c>
      <c r="AB5" s="86">
        <f t="shared" si="1"/>
        <v>102.19943541724987</v>
      </c>
      <c r="AC5" s="86">
        <f t="shared" si="1"/>
        <v>103.50682786372724</v>
      </c>
      <c r="AD5" s="86">
        <f t="shared" si="1"/>
        <v>104.86438480460329</v>
      </c>
      <c r="AE5" s="86">
        <f t="shared" si="1"/>
        <v>106.25732569491974</v>
      </c>
      <c r="AF5" s="86">
        <f t="shared" si="1"/>
        <v>107.64046312791328</v>
      </c>
      <c r="AG5" s="86">
        <f t="shared" si="1"/>
        <v>109.06875597386727</v>
      </c>
      <c r="AH5" s="86">
        <f t="shared" si="1"/>
        <v>110.60974969832915</v>
      </c>
      <c r="AI5" s="86">
        <f t="shared" si="1"/>
        <v>112.27022571725138</v>
      </c>
      <c r="AJ5" s="86">
        <f t="shared" si="1"/>
        <v>113.73130375859934</v>
      </c>
      <c r="AK5" s="86">
        <f t="shared" si="1"/>
        <v>115.15221411089269</v>
      </c>
      <c r="AL5" s="86">
        <f t="shared" si="1"/>
        <v>116.10988402493876</v>
      </c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  <c r="BM5" s="11"/>
      <c r="BN5" s="11"/>
      <c r="BO5" s="11"/>
    </row>
    <row r="6" spans="1:67" x14ac:dyDescent="0.2">
      <c r="L6" s="232" t="str">
        <f>'Occ T3'!A8</f>
        <v>11 Corporate managers and directors</v>
      </c>
      <c r="M6" s="11">
        <v>47.991712539996641</v>
      </c>
      <c r="N6" s="11">
        <v>49.995309769033156</v>
      </c>
      <c r="O6" s="11">
        <v>49.881942257983638</v>
      </c>
      <c r="P6" s="11">
        <v>51.761595164175908</v>
      </c>
      <c r="Q6" s="11">
        <v>49.698552973577414</v>
      </c>
      <c r="R6" s="11">
        <v>52.789581565562479</v>
      </c>
      <c r="S6" s="11">
        <v>52.95540805389826</v>
      </c>
      <c r="T6" s="11">
        <v>54.341345820545044</v>
      </c>
      <c r="U6" s="11">
        <v>58.129570875536359</v>
      </c>
      <c r="V6" s="11">
        <v>60.307239042803182</v>
      </c>
      <c r="W6" s="11">
        <v>61.768389193758232</v>
      </c>
      <c r="X6" s="11">
        <v>54.874924595210125</v>
      </c>
      <c r="Y6" s="11">
        <v>55.185179128948079</v>
      </c>
      <c r="Z6" s="11">
        <v>55.672842008840298</v>
      </c>
      <c r="AA6" s="11">
        <v>56.26174713752318</v>
      </c>
      <c r="AB6" s="11">
        <v>56.802971897231664</v>
      </c>
      <c r="AC6" s="11">
        <v>57.324400126131486</v>
      </c>
      <c r="AD6" s="11">
        <v>57.865499681727464</v>
      </c>
      <c r="AE6" s="11">
        <v>58.422080730914644</v>
      </c>
      <c r="AF6" s="11">
        <v>58.970556678422859</v>
      </c>
      <c r="AG6" s="11">
        <v>59.54447037431558</v>
      </c>
      <c r="AH6" s="11">
        <v>60.158017899847707</v>
      </c>
      <c r="AI6" s="11">
        <v>60.812577523973033</v>
      </c>
      <c r="AJ6" s="11">
        <v>61.401586465904899</v>
      </c>
      <c r="AK6" s="11">
        <v>62.002481932667536</v>
      </c>
      <c r="AL6" s="11">
        <v>62.544495989530091</v>
      </c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  <c r="BM6" s="11"/>
      <c r="BN6" s="11"/>
      <c r="BO6" s="11"/>
    </row>
    <row r="7" spans="1:67" x14ac:dyDescent="0.2">
      <c r="L7" s="232" t="str">
        <f>'Occ T3'!A9</f>
        <v>12 Other managers and proprietors</v>
      </c>
      <c r="M7" s="11">
        <v>28.072096202220393</v>
      </c>
      <c r="N7" s="11">
        <v>31.152602548462543</v>
      </c>
      <c r="O7" s="11">
        <v>31.167319856947056</v>
      </c>
      <c r="P7" s="11">
        <v>33.366310440127315</v>
      </c>
      <c r="Q7" s="11">
        <v>33.488330806753893</v>
      </c>
      <c r="R7" s="11">
        <v>35.787011508835903</v>
      </c>
      <c r="S7" s="11">
        <v>28.662413865235528</v>
      </c>
      <c r="T7" s="11">
        <v>31.274073741217638</v>
      </c>
      <c r="U7" s="11">
        <v>32.497262572499153</v>
      </c>
      <c r="V7" s="11">
        <v>39.39331360435942</v>
      </c>
      <c r="W7" s="11">
        <v>37.959358890498983</v>
      </c>
      <c r="X7" s="11">
        <v>42.49856477522944</v>
      </c>
      <c r="Y7" s="11">
        <v>42.971722017227549</v>
      </c>
      <c r="Z7" s="11">
        <v>43.684464492959442</v>
      </c>
      <c r="AA7" s="11">
        <v>44.553277341158044</v>
      </c>
      <c r="AB7" s="11">
        <v>45.396463520018202</v>
      </c>
      <c r="AC7" s="11">
        <v>46.182427737595745</v>
      </c>
      <c r="AD7" s="11">
        <v>46.998885122875826</v>
      </c>
      <c r="AE7" s="11">
        <v>47.835244964005099</v>
      </c>
      <c r="AF7" s="11">
        <v>48.669906449490419</v>
      </c>
      <c r="AG7" s="11">
        <v>49.524285599551696</v>
      </c>
      <c r="AH7" s="11">
        <v>50.451731798481454</v>
      </c>
      <c r="AI7" s="11">
        <v>51.457648193278352</v>
      </c>
      <c r="AJ7" s="11">
        <v>52.32971729269444</v>
      </c>
      <c r="AK7" s="11">
        <v>53.149732178225143</v>
      </c>
      <c r="AL7" s="11">
        <v>53.565388035408674</v>
      </c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  <c r="BM7" s="11"/>
      <c r="BN7" s="11"/>
      <c r="BO7" s="11"/>
    </row>
    <row r="8" spans="1:67" x14ac:dyDescent="0.2">
      <c r="L8" s="232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  <c r="AF8" s="11"/>
      <c r="AG8" s="11"/>
      <c r="AH8" s="11"/>
      <c r="AI8" s="11"/>
      <c r="AJ8" s="11"/>
      <c r="AK8" s="11"/>
      <c r="AL8" s="11"/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  <c r="BM8" s="11"/>
      <c r="BN8" s="11"/>
      <c r="BO8" s="11"/>
    </row>
    <row r="9" spans="1:67" x14ac:dyDescent="0.2">
      <c r="L9" s="16" t="str">
        <f>'Occ T3'!A11</f>
        <v>Professional occupations</v>
      </c>
      <c r="M9" s="86">
        <f t="shared" ref="M9:P9" si="2">SUM(M10:M13)</f>
        <v>222.91843228601812</v>
      </c>
      <c r="N9" s="86">
        <f t="shared" si="2"/>
        <v>211.65617320016568</v>
      </c>
      <c r="O9" s="86">
        <f t="shared" si="2"/>
        <v>216.77760983749991</v>
      </c>
      <c r="P9" s="86">
        <f t="shared" si="2"/>
        <v>214.45121840718068</v>
      </c>
      <c r="Q9" s="86">
        <f>SUM(Q10:Q13)</f>
        <v>221.51217995164868</v>
      </c>
      <c r="R9" s="86">
        <f t="shared" ref="R9:AL9" si="3">SUM(R10:R13)</f>
        <v>231.4907251877527</v>
      </c>
      <c r="S9" s="86">
        <f t="shared" si="3"/>
        <v>224.78353178584933</v>
      </c>
      <c r="T9" s="86">
        <f t="shared" si="3"/>
        <v>225.18041046112276</v>
      </c>
      <c r="U9" s="86">
        <f t="shared" si="3"/>
        <v>233.78991210992277</v>
      </c>
      <c r="V9" s="86">
        <f t="shared" si="3"/>
        <v>237.67286276931418</v>
      </c>
      <c r="W9" s="86">
        <f t="shared" si="3"/>
        <v>254.75423708172923</v>
      </c>
      <c r="X9" s="86">
        <f t="shared" si="3"/>
        <v>262.51092049381856</v>
      </c>
      <c r="Y9" s="86">
        <f t="shared" si="3"/>
        <v>266.09649792242067</v>
      </c>
      <c r="Z9" s="86">
        <f t="shared" si="3"/>
        <v>269.4858523732363</v>
      </c>
      <c r="AA9" s="86">
        <f t="shared" si="3"/>
        <v>273.18497911192668</v>
      </c>
      <c r="AB9" s="86">
        <f t="shared" si="3"/>
        <v>276.33858685808264</v>
      </c>
      <c r="AC9" s="86">
        <f t="shared" si="3"/>
        <v>279.28007763359409</v>
      </c>
      <c r="AD9" s="86">
        <f t="shared" si="3"/>
        <v>282.1939692644213</v>
      </c>
      <c r="AE9" s="86">
        <f t="shared" si="3"/>
        <v>285.10943413874929</v>
      </c>
      <c r="AF9" s="86">
        <f t="shared" si="3"/>
        <v>288.0347604132524</v>
      </c>
      <c r="AG9" s="86">
        <f t="shared" si="3"/>
        <v>291.10608577373011</v>
      </c>
      <c r="AH9" s="86">
        <f t="shared" si="3"/>
        <v>294.29600002407915</v>
      </c>
      <c r="AI9" s="86">
        <f t="shared" si="3"/>
        <v>297.45920346253416</v>
      </c>
      <c r="AJ9" s="86">
        <f t="shared" si="3"/>
        <v>300.618950578669</v>
      </c>
      <c r="AK9" s="86">
        <f t="shared" si="3"/>
        <v>303.76941638062738</v>
      </c>
      <c r="AL9" s="86">
        <f t="shared" si="3"/>
        <v>306.78710289335356</v>
      </c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  <c r="BC9" s="11"/>
      <c r="BD9" s="11"/>
      <c r="BE9" s="11"/>
    </row>
    <row r="10" spans="1:67" x14ac:dyDescent="0.2">
      <c r="L10" s="232" t="str">
        <f>'Occ T3'!A12</f>
        <v>21 Science, research, engineering and technology professionals</v>
      </c>
      <c r="M10" s="11">
        <v>53.558561877122202</v>
      </c>
      <c r="N10" s="11">
        <v>49.534916378722144</v>
      </c>
      <c r="O10" s="11">
        <v>49.085366883113288</v>
      </c>
      <c r="P10" s="11">
        <v>47.988884192373646</v>
      </c>
      <c r="Q10" s="11">
        <v>49.147343826516511</v>
      </c>
      <c r="R10" s="11">
        <v>53.08494534255329</v>
      </c>
      <c r="S10" s="11">
        <v>51.265921228111878</v>
      </c>
      <c r="T10" s="11">
        <v>51.043303802871506</v>
      </c>
      <c r="U10" s="11">
        <v>55.200135521282988</v>
      </c>
      <c r="V10" s="11">
        <v>55.687059516730201</v>
      </c>
      <c r="W10" s="11">
        <v>57.693711549572342</v>
      </c>
      <c r="X10" s="11">
        <v>57.956450474036615</v>
      </c>
      <c r="Y10" s="11">
        <v>58.335506996551757</v>
      </c>
      <c r="Z10" s="11">
        <v>58.870413579675997</v>
      </c>
      <c r="AA10" s="11">
        <v>59.527607541458188</v>
      </c>
      <c r="AB10" s="11">
        <v>60.108225983479294</v>
      </c>
      <c r="AC10" s="11">
        <v>60.660775481352147</v>
      </c>
      <c r="AD10" s="11">
        <v>61.236845869910169</v>
      </c>
      <c r="AE10" s="11">
        <v>61.838571965292786</v>
      </c>
      <c r="AF10" s="11">
        <v>62.441097306213628</v>
      </c>
      <c r="AG10" s="11">
        <v>63.07840914979154</v>
      </c>
      <c r="AH10" s="11">
        <v>63.719490031317982</v>
      </c>
      <c r="AI10" s="11">
        <v>64.365690903271656</v>
      </c>
      <c r="AJ10" s="11">
        <v>65.011137268470478</v>
      </c>
      <c r="AK10" s="11">
        <v>65.675884513221121</v>
      </c>
      <c r="AL10" s="11">
        <v>66.33260773023207</v>
      </c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  <c r="BC10" s="11"/>
      <c r="BD10" s="11"/>
      <c r="BE10" s="11"/>
      <c r="BF10" s="11"/>
      <c r="BG10" s="11"/>
      <c r="BH10" s="11"/>
      <c r="BI10" s="11"/>
      <c r="BJ10" s="11"/>
      <c r="BK10" s="11"/>
      <c r="BL10" s="11"/>
      <c r="BM10" s="11"/>
      <c r="BN10" s="11"/>
      <c r="BO10" s="11"/>
    </row>
    <row r="11" spans="1:67" x14ac:dyDescent="0.2">
      <c r="L11" s="232" t="str">
        <f>'Occ T3'!A13</f>
        <v>22 Health professionals</v>
      </c>
      <c r="M11" s="11">
        <v>61.093679456144756</v>
      </c>
      <c r="N11" s="11">
        <v>59.870829645971433</v>
      </c>
      <c r="O11" s="11">
        <v>63.786781065122007</v>
      </c>
      <c r="P11" s="11">
        <v>66.081351497211912</v>
      </c>
      <c r="Q11" s="11">
        <v>73.026083133841723</v>
      </c>
      <c r="R11" s="11">
        <v>74.445418040172925</v>
      </c>
      <c r="S11" s="11">
        <v>71.981035026093679</v>
      </c>
      <c r="T11" s="11">
        <v>75.364418848007048</v>
      </c>
      <c r="U11" s="11">
        <v>75.430266131288207</v>
      </c>
      <c r="V11" s="11">
        <v>75.385023455696555</v>
      </c>
      <c r="W11" s="11">
        <v>80.600575984282628</v>
      </c>
      <c r="X11" s="11">
        <v>83.698259324658792</v>
      </c>
      <c r="Y11" s="11">
        <v>84.997420479936167</v>
      </c>
      <c r="Z11" s="11">
        <v>86.270525906484608</v>
      </c>
      <c r="AA11" s="11">
        <v>87.623622352812575</v>
      </c>
      <c r="AB11" s="11">
        <v>88.781813698391318</v>
      </c>
      <c r="AC11" s="11">
        <v>89.86294039512363</v>
      </c>
      <c r="AD11" s="11">
        <v>90.874915944309407</v>
      </c>
      <c r="AE11" s="11">
        <v>91.812942273254535</v>
      </c>
      <c r="AF11" s="11">
        <v>92.76169179039023</v>
      </c>
      <c r="AG11" s="11">
        <v>93.750298893355279</v>
      </c>
      <c r="AH11" s="11">
        <v>94.806234915425875</v>
      </c>
      <c r="AI11" s="11">
        <v>95.87269308588877</v>
      </c>
      <c r="AJ11" s="11">
        <v>96.936911246644826</v>
      </c>
      <c r="AK11" s="11">
        <v>97.965750886273923</v>
      </c>
      <c r="AL11" s="11">
        <v>98.888062303322812</v>
      </c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  <c r="BM11" s="11"/>
      <c r="BN11" s="11"/>
      <c r="BO11" s="11"/>
    </row>
    <row r="12" spans="1:67" x14ac:dyDescent="0.2">
      <c r="L12" s="232" t="str">
        <f>'Occ T3'!A14</f>
        <v>23 Teaching and other educational professionals</v>
      </c>
      <c r="M12" s="11">
        <v>50.965309730410461</v>
      </c>
      <c r="N12" s="11">
        <v>50.875121983504663</v>
      </c>
      <c r="O12" s="11">
        <v>55.885188878318893</v>
      </c>
      <c r="P12" s="11">
        <v>50.097912855842999</v>
      </c>
      <c r="Q12" s="11">
        <v>49.793555034303672</v>
      </c>
      <c r="R12" s="11">
        <v>51.740039318389456</v>
      </c>
      <c r="S12" s="11">
        <v>50.198939836260934</v>
      </c>
      <c r="T12" s="11">
        <v>49.249393998558276</v>
      </c>
      <c r="U12" s="11">
        <v>50.455943243150038</v>
      </c>
      <c r="V12" s="11">
        <v>51.254551275781473</v>
      </c>
      <c r="W12" s="11">
        <v>53.708575195788306</v>
      </c>
      <c r="X12" s="11">
        <v>55.232064951730365</v>
      </c>
      <c r="Y12" s="11">
        <v>56.687462194147408</v>
      </c>
      <c r="Z12" s="11">
        <v>57.462315558984791</v>
      </c>
      <c r="AA12" s="11">
        <v>58.218575341484105</v>
      </c>
      <c r="AB12" s="11">
        <v>58.715715140042562</v>
      </c>
      <c r="AC12" s="11">
        <v>59.122766081501034</v>
      </c>
      <c r="AD12" s="11">
        <v>59.550419642839287</v>
      </c>
      <c r="AE12" s="11">
        <v>59.986136039038961</v>
      </c>
      <c r="AF12" s="11">
        <v>60.414009457283512</v>
      </c>
      <c r="AG12" s="11">
        <v>60.847988714044014</v>
      </c>
      <c r="AH12" s="11">
        <v>61.309080752215749</v>
      </c>
      <c r="AI12" s="11">
        <v>61.772450121135805</v>
      </c>
      <c r="AJ12" s="11">
        <v>62.233575743038379</v>
      </c>
      <c r="AK12" s="11">
        <v>62.688311736277051</v>
      </c>
      <c r="AL12" s="11">
        <v>63.137330106243262</v>
      </c>
      <c r="AM12" s="11"/>
      <c r="AN12" s="11"/>
      <c r="AO12" s="11"/>
      <c r="AP12" s="11"/>
      <c r="AQ12" s="11"/>
      <c r="AR12" s="11"/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  <c r="BM12" s="11"/>
      <c r="BN12" s="11"/>
      <c r="BO12" s="11"/>
    </row>
    <row r="13" spans="1:67" x14ac:dyDescent="0.2">
      <c r="L13" s="232" t="str">
        <f>'Occ T3'!A15</f>
        <v>24 Business, media and public service professionals</v>
      </c>
      <c r="M13" s="11">
        <v>57.300881222340706</v>
      </c>
      <c r="N13" s="11">
        <v>51.375305191967435</v>
      </c>
      <c r="O13" s="11">
        <v>48.020273010945722</v>
      </c>
      <c r="P13" s="11">
        <v>50.283069861752118</v>
      </c>
      <c r="Q13" s="11">
        <v>49.545197956986776</v>
      </c>
      <c r="R13" s="11">
        <v>52.220322486637031</v>
      </c>
      <c r="S13" s="11">
        <v>51.337635695382872</v>
      </c>
      <c r="T13" s="11">
        <v>49.523293811685924</v>
      </c>
      <c r="U13" s="11">
        <v>52.703567214201513</v>
      </c>
      <c r="V13" s="11">
        <v>55.346228521105971</v>
      </c>
      <c r="W13" s="11">
        <v>62.751374352085939</v>
      </c>
      <c r="X13" s="11">
        <v>65.624145743392759</v>
      </c>
      <c r="Y13" s="11">
        <v>66.076108251785342</v>
      </c>
      <c r="Z13" s="11">
        <v>66.882597328090895</v>
      </c>
      <c r="AA13" s="11">
        <v>67.815173876171826</v>
      </c>
      <c r="AB13" s="11">
        <v>68.732832036169498</v>
      </c>
      <c r="AC13" s="11">
        <v>69.633595675617286</v>
      </c>
      <c r="AD13" s="11">
        <v>70.531787807362406</v>
      </c>
      <c r="AE13" s="11">
        <v>71.471783861163033</v>
      </c>
      <c r="AF13" s="11">
        <v>72.417961859365064</v>
      </c>
      <c r="AG13" s="11">
        <v>73.429389016539275</v>
      </c>
      <c r="AH13" s="11">
        <v>74.461194325119521</v>
      </c>
      <c r="AI13" s="11">
        <v>75.448369352237933</v>
      </c>
      <c r="AJ13" s="11">
        <v>76.437326320515282</v>
      </c>
      <c r="AK13" s="11">
        <v>77.439469244855275</v>
      </c>
      <c r="AL13" s="11">
        <v>78.429102753555412</v>
      </c>
      <c r="AM13" s="11"/>
      <c r="AN13" s="11"/>
      <c r="AO13" s="11"/>
      <c r="AP13" s="11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  <c r="BM13" s="11"/>
      <c r="BN13" s="11"/>
      <c r="BO13" s="11"/>
    </row>
    <row r="14" spans="1:67" x14ac:dyDescent="0.2">
      <c r="L14" s="232"/>
      <c r="M14" s="11"/>
      <c r="N14" s="11"/>
      <c r="O14" s="11"/>
      <c r="P14" s="11"/>
      <c r="Q14" s="11"/>
      <c r="R14" s="11"/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1"/>
      <c r="AD14" s="11"/>
      <c r="AE14" s="11"/>
      <c r="AF14" s="11"/>
      <c r="AG14" s="11"/>
      <c r="AH14" s="11"/>
      <c r="AI14" s="11"/>
      <c r="AJ14" s="11"/>
      <c r="AK14" s="11"/>
      <c r="AL14" s="11"/>
      <c r="AM14" s="11"/>
      <c r="AN14" s="11"/>
      <c r="AO14" s="11"/>
      <c r="AP14" s="11"/>
      <c r="AQ14" s="11"/>
      <c r="AR14" s="11"/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  <c r="BD14" s="11"/>
      <c r="BE14" s="11"/>
      <c r="BF14" s="11"/>
      <c r="BG14" s="11"/>
      <c r="BH14" s="11"/>
      <c r="BI14" s="11"/>
      <c r="BJ14" s="11"/>
      <c r="BK14" s="11"/>
      <c r="BL14" s="11"/>
      <c r="BM14" s="11"/>
      <c r="BN14" s="11"/>
      <c r="BO14" s="11"/>
    </row>
    <row r="15" spans="1:67" x14ac:dyDescent="0.2">
      <c r="L15" s="16" t="str">
        <f>'Occ T3'!A17</f>
        <v>Associate professional occupations</v>
      </c>
      <c r="M15" s="86">
        <f>SUM(M16:M20)</f>
        <v>128.42424149538238</v>
      </c>
      <c r="N15" s="86">
        <f t="shared" ref="N15:P15" si="4">SUM(N16:N20)</f>
        <v>124.57607251168491</v>
      </c>
      <c r="O15" s="86">
        <f t="shared" si="4"/>
        <v>124.76199064553614</v>
      </c>
      <c r="P15" s="86">
        <f t="shared" si="4"/>
        <v>124.79122623453637</v>
      </c>
      <c r="Q15" s="86">
        <f>SUM(Q16:Q20)</f>
        <v>125.32336202507577</v>
      </c>
      <c r="R15" s="86">
        <f t="shared" ref="R15:AL15" si="5">SUM(R16:R20)</f>
        <v>129.06715358822112</v>
      </c>
      <c r="S15" s="86">
        <f t="shared" si="5"/>
        <v>124.57504043178554</v>
      </c>
      <c r="T15" s="86">
        <f t="shared" si="5"/>
        <v>128.07989717323377</v>
      </c>
      <c r="U15" s="86">
        <f t="shared" si="5"/>
        <v>133.2557134629038</v>
      </c>
      <c r="V15" s="86">
        <f t="shared" si="5"/>
        <v>133.36836119208834</v>
      </c>
      <c r="W15" s="86">
        <f t="shared" si="5"/>
        <v>140.27215233660229</v>
      </c>
      <c r="X15" s="86">
        <f t="shared" si="5"/>
        <v>132.1728119001817</v>
      </c>
      <c r="Y15" s="86">
        <f t="shared" si="5"/>
        <v>132.6447057916254</v>
      </c>
      <c r="Z15" s="86">
        <f t="shared" si="5"/>
        <v>133.64351216876128</v>
      </c>
      <c r="AA15" s="86">
        <f t="shared" si="5"/>
        <v>134.85427709970233</v>
      </c>
      <c r="AB15" s="86">
        <f t="shared" si="5"/>
        <v>135.96055204687522</v>
      </c>
      <c r="AC15" s="86">
        <f t="shared" si="5"/>
        <v>136.96526351142228</v>
      </c>
      <c r="AD15" s="86">
        <f t="shared" si="5"/>
        <v>137.97311167632796</v>
      </c>
      <c r="AE15" s="86">
        <f t="shared" si="5"/>
        <v>139.0124330853711</v>
      </c>
      <c r="AF15" s="86">
        <f t="shared" si="5"/>
        <v>139.99849325300397</v>
      </c>
      <c r="AG15" s="86">
        <f t="shared" si="5"/>
        <v>141.09218853905134</v>
      </c>
      <c r="AH15" s="86">
        <f t="shared" si="5"/>
        <v>142.18502260036081</v>
      </c>
      <c r="AI15" s="86">
        <f t="shared" si="5"/>
        <v>143.29041705842309</v>
      </c>
      <c r="AJ15" s="86">
        <f t="shared" si="5"/>
        <v>144.41987746481189</v>
      </c>
      <c r="AK15" s="86">
        <f t="shared" si="5"/>
        <v>145.56322039295188</v>
      </c>
      <c r="AL15" s="86">
        <f t="shared" si="5"/>
        <v>146.85818967848303</v>
      </c>
      <c r="AM15" s="11"/>
      <c r="AN15" s="11"/>
      <c r="AO15" s="11"/>
      <c r="AP15" s="11"/>
      <c r="AQ15" s="11"/>
      <c r="AR15" s="11"/>
      <c r="AS15" s="11"/>
      <c r="AT15" s="11"/>
      <c r="AU15" s="11"/>
      <c r="AV15" s="11"/>
      <c r="AW15" s="11"/>
      <c r="AX15" s="11"/>
      <c r="AY15" s="11"/>
      <c r="AZ15" s="11"/>
      <c r="BA15" s="11"/>
      <c r="BB15" s="11"/>
      <c r="BC15" s="11"/>
      <c r="BD15" s="11"/>
      <c r="BE15" s="11"/>
    </row>
    <row r="16" spans="1:67" x14ac:dyDescent="0.2">
      <c r="L16" s="232" t="str">
        <f>'Occ T3'!A18</f>
        <v>31 Science, engineering and technology associate professionals</v>
      </c>
      <c r="M16" s="11">
        <v>24.649809011933794</v>
      </c>
      <c r="N16" s="11">
        <v>23.246354807096179</v>
      </c>
      <c r="O16" s="11">
        <v>23.606375488989034</v>
      </c>
      <c r="P16" s="11">
        <v>23.489928012736009</v>
      </c>
      <c r="Q16" s="11">
        <v>21.234590090461651</v>
      </c>
      <c r="R16" s="11">
        <v>22.173700353829513</v>
      </c>
      <c r="S16" s="11">
        <v>22.058681132985601</v>
      </c>
      <c r="T16" s="11">
        <v>24.416681299450801</v>
      </c>
      <c r="U16" s="11">
        <v>25.098160629008511</v>
      </c>
      <c r="V16" s="11">
        <v>23.792244132513261</v>
      </c>
      <c r="W16" s="11">
        <v>25.674611673300856</v>
      </c>
      <c r="X16" s="11">
        <v>21.765556813163691</v>
      </c>
      <c r="Y16" s="11">
        <v>21.840636020481362</v>
      </c>
      <c r="Z16" s="11">
        <v>21.929022412163306</v>
      </c>
      <c r="AA16" s="11">
        <v>22.055669779897197</v>
      </c>
      <c r="AB16" s="11">
        <v>22.156159876445123</v>
      </c>
      <c r="AC16" s="11">
        <v>22.247168267826019</v>
      </c>
      <c r="AD16" s="11">
        <v>22.338226109468675</v>
      </c>
      <c r="AE16" s="11">
        <v>22.429297100387029</v>
      </c>
      <c r="AF16" s="11">
        <v>22.508047209018436</v>
      </c>
      <c r="AG16" s="11">
        <v>22.616208666221866</v>
      </c>
      <c r="AH16" s="11">
        <v>22.716721579525576</v>
      </c>
      <c r="AI16" s="11">
        <v>22.835889517754328</v>
      </c>
      <c r="AJ16" s="11">
        <v>22.93971170732468</v>
      </c>
      <c r="AK16" s="11">
        <v>23.06263846440493</v>
      </c>
      <c r="AL16" s="11">
        <v>23.163165143553364</v>
      </c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  <c r="BG16" s="11"/>
      <c r="BH16" s="11"/>
      <c r="BI16" s="11"/>
      <c r="BJ16" s="11"/>
      <c r="BK16" s="11"/>
      <c r="BL16" s="11"/>
      <c r="BM16" s="11"/>
      <c r="BN16" s="11"/>
      <c r="BO16" s="11"/>
    </row>
    <row r="17" spans="12:67" x14ac:dyDescent="0.2">
      <c r="L17" s="232" t="str">
        <f>'Occ T3'!A19</f>
        <v>32 Health and social care associate professionals</v>
      </c>
      <c r="M17" s="11">
        <v>19.105972054384026</v>
      </c>
      <c r="N17" s="11">
        <v>23.322250949484332</v>
      </c>
      <c r="O17" s="11">
        <v>23.860043294666518</v>
      </c>
      <c r="P17" s="11">
        <v>23.702539119857889</v>
      </c>
      <c r="Q17" s="11">
        <v>25.786469301583764</v>
      </c>
      <c r="R17" s="11">
        <v>25.961609747557699</v>
      </c>
      <c r="S17" s="11">
        <v>24.901816131466731</v>
      </c>
      <c r="T17" s="11">
        <v>25.251818397436011</v>
      </c>
      <c r="U17" s="11">
        <v>27.337588234297673</v>
      </c>
      <c r="V17" s="11">
        <v>26.234270158773597</v>
      </c>
      <c r="W17" s="11">
        <v>28.696516826584283</v>
      </c>
      <c r="X17" s="11">
        <v>27.761431467683497</v>
      </c>
      <c r="Y17" s="11">
        <v>28.120190371091841</v>
      </c>
      <c r="Z17" s="11">
        <v>28.475547224462293</v>
      </c>
      <c r="AA17" s="11">
        <v>28.854659609624761</v>
      </c>
      <c r="AB17" s="11">
        <v>29.170206138223762</v>
      </c>
      <c r="AC17" s="11">
        <v>29.444405871611757</v>
      </c>
      <c r="AD17" s="11">
        <v>29.708350899499184</v>
      </c>
      <c r="AE17" s="11">
        <v>29.97834935271306</v>
      </c>
      <c r="AF17" s="11">
        <v>30.230684695573444</v>
      </c>
      <c r="AG17" s="11">
        <v>30.496236948538893</v>
      </c>
      <c r="AH17" s="11">
        <v>30.743125680381262</v>
      </c>
      <c r="AI17" s="11">
        <v>30.992476979858388</v>
      </c>
      <c r="AJ17" s="11">
        <v>31.281435790524611</v>
      </c>
      <c r="AK17" s="11">
        <v>31.575279679421786</v>
      </c>
      <c r="AL17" s="11">
        <v>31.883140108811844</v>
      </c>
      <c r="AM17" s="11"/>
      <c r="AN17" s="11"/>
      <c r="AO17" s="11"/>
      <c r="AP17" s="11"/>
      <c r="AQ17" s="11"/>
      <c r="AR17" s="11"/>
      <c r="AS17" s="11"/>
      <c r="AT17" s="11"/>
      <c r="AU17" s="11"/>
      <c r="AV17" s="11"/>
      <c r="AW17" s="11"/>
      <c r="AX17" s="11"/>
      <c r="AY17" s="11"/>
      <c r="AZ17" s="11"/>
      <c r="BA17" s="11"/>
      <c r="BB17" s="11"/>
      <c r="BC17" s="11"/>
      <c r="BD17" s="11"/>
      <c r="BE17" s="11"/>
    </row>
    <row r="18" spans="12:67" x14ac:dyDescent="0.2">
      <c r="L18" s="232" t="str">
        <f>'Occ T3'!A20</f>
        <v>33 Protective service occupations</v>
      </c>
      <c r="M18" s="11">
        <v>18.366367196628303</v>
      </c>
      <c r="N18" s="11">
        <v>19.017096833236344</v>
      </c>
      <c r="O18" s="11">
        <v>17.024876347583653</v>
      </c>
      <c r="P18" s="11">
        <v>15.453694860712091</v>
      </c>
      <c r="Q18" s="11">
        <v>15.04908081852704</v>
      </c>
      <c r="R18" s="11">
        <v>14.68743195603696</v>
      </c>
      <c r="S18" s="11">
        <v>15.802485937397618</v>
      </c>
      <c r="T18" s="11">
        <v>15.5467927962261</v>
      </c>
      <c r="U18" s="11">
        <v>15.4476858151586</v>
      </c>
      <c r="V18" s="11">
        <v>15.637461080435006</v>
      </c>
      <c r="W18" s="11">
        <v>16.490904766190859</v>
      </c>
      <c r="X18" s="11">
        <v>18.06477350075064</v>
      </c>
      <c r="Y18" s="11">
        <v>18.187210032587032</v>
      </c>
      <c r="Z18" s="11">
        <v>18.41682702602872</v>
      </c>
      <c r="AA18" s="11">
        <v>18.639894526447041</v>
      </c>
      <c r="AB18" s="11">
        <v>18.925385851473798</v>
      </c>
      <c r="AC18" s="11">
        <v>19.201947014168514</v>
      </c>
      <c r="AD18" s="11">
        <v>19.473431894285472</v>
      </c>
      <c r="AE18" s="11">
        <v>19.735397756333992</v>
      </c>
      <c r="AF18" s="11">
        <v>20.001657330767124</v>
      </c>
      <c r="AG18" s="11">
        <v>20.25019768210672</v>
      </c>
      <c r="AH18" s="11">
        <v>20.494675298595276</v>
      </c>
      <c r="AI18" s="11">
        <v>20.769313206334722</v>
      </c>
      <c r="AJ18" s="11">
        <v>21.044530394983443</v>
      </c>
      <c r="AK18" s="11">
        <v>21.297104066736836</v>
      </c>
      <c r="AL18" s="11">
        <v>21.562302765848596</v>
      </c>
      <c r="AM18" s="11"/>
      <c r="AN18" s="11"/>
      <c r="AO18" s="11"/>
      <c r="AP18" s="11"/>
      <c r="AQ18" s="11"/>
      <c r="AR18" s="11"/>
      <c r="AS18" s="11"/>
      <c r="AT18" s="11"/>
      <c r="AU18" s="11"/>
      <c r="AV18" s="11"/>
      <c r="AW18" s="11"/>
      <c r="AX18" s="11"/>
      <c r="AY18" s="11"/>
      <c r="AZ18" s="11"/>
      <c r="BA18" s="11"/>
      <c r="BB18" s="11"/>
      <c r="BC18" s="11"/>
      <c r="BD18" s="11"/>
      <c r="BE18" s="11"/>
    </row>
    <row r="19" spans="12:67" x14ac:dyDescent="0.2">
      <c r="L19" s="232" t="str">
        <f>'Occ T3'!A21</f>
        <v>34 Culture, media and sports occupations</v>
      </c>
      <c r="M19" s="11">
        <v>10.7617680665983</v>
      </c>
      <c r="N19" s="11">
        <v>10.483997681828784</v>
      </c>
      <c r="O19" s="11">
        <v>12.182690073008839</v>
      </c>
      <c r="P19" s="11">
        <v>14.093659232645427</v>
      </c>
      <c r="Q19" s="11">
        <v>13.185321512275499</v>
      </c>
      <c r="R19" s="11">
        <v>15.58428987447075</v>
      </c>
      <c r="S19" s="11">
        <v>12.899451630960607</v>
      </c>
      <c r="T19" s="11">
        <v>13.775321773005963</v>
      </c>
      <c r="U19" s="11">
        <v>14.193816171762675</v>
      </c>
      <c r="V19" s="11">
        <v>15.773641586757474</v>
      </c>
      <c r="W19" s="11">
        <v>14.871594679764716</v>
      </c>
      <c r="X19" s="11">
        <v>13.679730882164948</v>
      </c>
      <c r="Y19" s="11">
        <v>13.588679489146488</v>
      </c>
      <c r="Z19" s="11">
        <v>13.687866879742344</v>
      </c>
      <c r="AA19" s="11">
        <v>13.852250154659787</v>
      </c>
      <c r="AB19" s="11">
        <v>14.006985384223782</v>
      </c>
      <c r="AC19" s="11">
        <v>14.153127908939293</v>
      </c>
      <c r="AD19" s="11">
        <v>14.304843758093641</v>
      </c>
      <c r="AE19" s="11">
        <v>14.460148667883809</v>
      </c>
      <c r="AF19" s="11">
        <v>14.61762407355388</v>
      </c>
      <c r="AG19" s="11">
        <v>14.799422289613705</v>
      </c>
      <c r="AH19" s="11">
        <v>14.979351141107417</v>
      </c>
      <c r="AI19" s="11">
        <v>15.128663254300776</v>
      </c>
      <c r="AJ19" s="11">
        <v>15.281634735675818</v>
      </c>
      <c r="AK19" s="11">
        <v>15.414256068139855</v>
      </c>
      <c r="AL19" s="11">
        <v>15.744184153452183</v>
      </c>
      <c r="AM19" s="11"/>
      <c r="AN19" s="11"/>
      <c r="AO19" s="11"/>
      <c r="AP19" s="11"/>
      <c r="AQ19" s="11"/>
      <c r="AR19" s="11"/>
      <c r="AS19" s="11"/>
      <c r="AT19" s="11"/>
      <c r="AU19" s="11"/>
      <c r="AV19" s="11"/>
      <c r="AW19" s="11"/>
      <c r="AX19" s="11"/>
      <c r="AY19" s="11"/>
      <c r="AZ19" s="11"/>
      <c r="BA19" s="11"/>
      <c r="BB19" s="11"/>
      <c r="BC19" s="11"/>
      <c r="BD19" s="11"/>
      <c r="BE19" s="11"/>
    </row>
    <row r="20" spans="12:67" x14ac:dyDescent="0.2">
      <c r="L20" s="232" t="str">
        <f>'Occ T3'!A22</f>
        <v>35 Business and public service associate professionals</v>
      </c>
      <c r="M20" s="11">
        <v>55.540325165837949</v>
      </c>
      <c r="N20" s="11">
        <v>48.506372240039262</v>
      </c>
      <c r="O20" s="11">
        <v>48.088005441288082</v>
      </c>
      <c r="P20" s="11">
        <v>48.051405008584943</v>
      </c>
      <c r="Q20" s="11">
        <v>50.067900302227805</v>
      </c>
      <c r="R20" s="11">
        <v>50.660121656326183</v>
      </c>
      <c r="S20" s="11">
        <v>48.912605598974977</v>
      </c>
      <c r="T20" s="11">
        <v>49.089282907114885</v>
      </c>
      <c r="U20" s="11">
        <v>51.178462612676327</v>
      </c>
      <c r="V20" s="11">
        <v>51.930744233608991</v>
      </c>
      <c r="W20" s="11">
        <v>54.538524390761594</v>
      </c>
      <c r="X20" s="11">
        <v>50.901319236418935</v>
      </c>
      <c r="Y20" s="11">
        <v>50.907989878318674</v>
      </c>
      <c r="Z20" s="11">
        <v>51.134248626364638</v>
      </c>
      <c r="AA20" s="11">
        <v>51.451803029073552</v>
      </c>
      <c r="AB20" s="11">
        <v>51.701814796508764</v>
      </c>
      <c r="AC20" s="11">
        <v>51.918614448876703</v>
      </c>
      <c r="AD20" s="11">
        <v>52.148259014981008</v>
      </c>
      <c r="AE20" s="11">
        <v>52.409240208053205</v>
      </c>
      <c r="AF20" s="11">
        <v>52.640479944091084</v>
      </c>
      <c r="AG20" s="11">
        <v>52.930122952570159</v>
      </c>
      <c r="AH20" s="11">
        <v>53.251148900751289</v>
      </c>
      <c r="AI20" s="11">
        <v>53.564074100174849</v>
      </c>
      <c r="AJ20" s="11">
        <v>53.872564836303333</v>
      </c>
      <c r="AK20" s="11">
        <v>54.213942114248482</v>
      </c>
      <c r="AL20" s="11">
        <v>54.505397506817054</v>
      </c>
      <c r="AM20" s="11"/>
      <c r="AN20" s="11"/>
      <c r="AO20" s="11"/>
      <c r="AP20" s="11"/>
      <c r="AQ20" s="11"/>
      <c r="AR20" s="11"/>
      <c r="AS20" s="11"/>
      <c r="AT20" s="11"/>
      <c r="AU20" s="11"/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  <c r="BM20" s="11"/>
      <c r="BN20" s="11"/>
      <c r="BO20" s="11"/>
    </row>
    <row r="21" spans="12:67" x14ac:dyDescent="0.2">
      <c r="L21" s="232"/>
      <c r="M21" s="11"/>
      <c r="N21" s="11"/>
      <c r="O21" s="11"/>
      <c r="P21" s="11"/>
      <c r="Q21" s="11"/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11"/>
      <c r="AG21" s="11"/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1"/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  <c r="BG21" s="11"/>
      <c r="BH21" s="11"/>
      <c r="BI21" s="11"/>
      <c r="BJ21" s="11"/>
      <c r="BK21" s="11"/>
      <c r="BL21" s="11"/>
      <c r="BM21" s="11"/>
      <c r="BN21" s="11"/>
      <c r="BO21" s="11"/>
    </row>
    <row r="22" spans="12:67" x14ac:dyDescent="0.2">
      <c r="L22" s="16" t="str">
        <f>'Occ T3'!A24</f>
        <v>Administrative and secretarial occupations</v>
      </c>
      <c r="M22" s="86">
        <f t="shared" ref="M22:P22" si="6">SUM(M23:M24)</f>
        <v>141.54060151342463</v>
      </c>
      <c r="N22" s="86">
        <f t="shared" si="6"/>
        <v>135.95689337113811</v>
      </c>
      <c r="O22" s="86">
        <f t="shared" si="6"/>
        <v>131.81309114252628</v>
      </c>
      <c r="P22" s="86">
        <f t="shared" si="6"/>
        <v>128.91079394633022</v>
      </c>
      <c r="Q22" s="86">
        <f>SUM(Q23:Q24)</f>
        <v>134.63453638177009</v>
      </c>
      <c r="R22" s="86">
        <f t="shared" ref="R22:AL22" si="7">SUM(R23:R24)</f>
        <v>139.7507853057721</v>
      </c>
      <c r="S22" s="86">
        <f t="shared" si="7"/>
        <v>130.89544958396189</v>
      </c>
      <c r="T22" s="86">
        <f t="shared" si="7"/>
        <v>129.23931869572496</v>
      </c>
      <c r="U22" s="86">
        <f t="shared" si="7"/>
        <v>132.07647516653327</v>
      </c>
      <c r="V22" s="86">
        <f t="shared" si="7"/>
        <v>127.01400722188826</v>
      </c>
      <c r="W22" s="86">
        <f t="shared" si="7"/>
        <v>132.69109413528571</v>
      </c>
      <c r="X22" s="86">
        <f t="shared" si="7"/>
        <v>127.39304709287002</v>
      </c>
      <c r="Y22" s="86">
        <f t="shared" si="7"/>
        <v>126.70357334531251</v>
      </c>
      <c r="Z22" s="86">
        <f t="shared" si="7"/>
        <v>126.15868514653256</v>
      </c>
      <c r="AA22" s="86">
        <f t="shared" si="7"/>
        <v>125.79732741385551</v>
      </c>
      <c r="AB22" s="86">
        <f t="shared" si="7"/>
        <v>125.40307184476946</v>
      </c>
      <c r="AC22" s="86">
        <f t="shared" si="7"/>
        <v>124.76670912375681</v>
      </c>
      <c r="AD22" s="86">
        <f t="shared" si="7"/>
        <v>124.0560287158773</v>
      </c>
      <c r="AE22" s="86">
        <f t="shared" si="7"/>
        <v>123.22651980166634</v>
      </c>
      <c r="AF22" s="86">
        <f t="shared" si="7"/>
        <v>122.49570883920147</v>
      </c>
      <c r="AG22" s="86">
        <f t="shared" si="7"/>
        <v>121.71148283646629</v>
      </c>
      <c r="AH22" s="86">
        <f t="shared" si="7"/>
        <v>120.54198216885973</v>
      </c>
      <c r="AI22" s="86">
        <f t="shared" si="7"/>
        <v>119.24079901524583</v>
      </c>
      <c r="AJ22" s="86">
        <f t="shared" si="7"/>
        <v>118.28075154896673</v>
      </c>
      <c r="AK22" s="86">
        <f t="shared" si="7"/>
        <v>117.42512871773548</v>
      </c>
      <c r="AL22" s="86">
        <f t="shared" si="7"/>
        <v>117.22320077750355</v>
      </c>
      <c r="AM22" s="11"/>
      <c r="AN22" s="11"/>
      <c r="AO22" s="11"/>
      <c r="AP22" s="11"/>
      <c r="AQ22" s="11"/>
      <c r="AR22" s="11"/>
      <c r="AS22" s="11"/>
      <c r="AT22" s="11"/>
      <c r="AU22" s="11"/>
      <c r="AV22" s="11"/>
      <c r="AW22" s="11"/>
      <c r="AX22" s="11"/>
      <c r="AY22" s="11"/>
      <c r="AZ22" s="11"/>
      <c r="BA22" s="11"/>
      <c r="BB22" s="11"/>
      <c r="BC22" s="11"/>
      <c r="BD22" s="11"/>
      <c r="BE22" s="11"/>
      <c r="BF22" s="11"/>
      <c r="BG22" s="11"/>
      <c r="BH22" s="11"/>
      <c r="BI22" s="11"/>
      <c r="BJ22" s="11"/>
      <c r="BK22" s="11"/>
      <c r="BL22" s="11"/>
      <c r="BM22" s="11"/>
      <c r="BN22" s="11"/>
      <c r="BO22" s="11"/>
    </row>
    <row r="23" spans="12:67" x14ac:dyDescent="0.2">
      <c r="L23" s="232" t="str">
        <f>'Occ T3'!A25</f>
        <v>41 Administrative occupations</v>
      </c>
      <c r="M23" s="11">
        <v>113.87178057285803</v>
      </c>
      <c r="N23" s="11">
        <v>110.63192178688446</v>
      </c>
      <c r="O23" s="11">
        <v>107.39572111750272</v>
      </c>
      <c r="P23" s="11">
        <v>104.16854879477904</v>
      </c>
      <c r="Q23" s="11">
        <v>108.80480247496803</v>
      </c>
      <c r="R23" s="11">
        <v>114.57040469271979</v>
      </c>
      <c r="S23" s="11">
        <v>108.00841127107442</v>
      </c>
      <c r="T23" s="11">
        <v>106.55898601829678</v>
      </c>
      <c r="U23" s="11">
        <v>108.22004202152752</v>
      </c>
      <c r="V23" s="11">
        <v>105.53980785630196</v>
      </c>
      <c r="W23" s="11">
        <v>110.91865106364448</v>
      </c>
      <c r="X23" s="11">
        <v>102.89045978064368</v>
      </c>
      <c r="Y23" s="11">
        <v>102.39061910621726</v>
      </c>
      <c r="Z23" s="11">
        <v>102.06509411997231</v>
      </c>
      <c r="AA23" s="11">
        <v>101.89045822690295</v>
      </c>
      <c r="AB23" s="11">
        <v>101.70991395703572</v>
      </c>
      <c r="AC23" s="11">
        <v>101.36190207195612</v>
      </c>
      <c r="AD23" s="11">
        <v>100.98336905461113</v>
      </c>
      <c r="AE23" s="11">
        <v>100.47879151211215</v>
      </c>
      <c r="AF23" s="11">
        <v>100.02942886491937</v>
      </c>
      <c r="AG23" s="11">
        <v>99.583362478902615</v>
      </c>
      <c r="AH23" s="11">
        <v>99.14690788026482</v>
      </c>
      <c r="AI23" s="11">
        <v>98.683738813048947</v>
      </c>
      <c r="AJ23" s="11">
        <v>98.117450244644203</v>
      </c>
      <c r="AK23" s="11">
        <v>97.497065008321528</v>
      </c>
      <c r="AL23" s="11">
        <v>97.055349402964936</v>
      </c>
      <c r="AM23" s="11"/>
      <c r="AN23" s="11"/>
      <c r="AO23" s="11"/>
      <c r="AP23" s="11"/>
      <c r="AQ23" s="11"/>
      <c r="AR23" s="11"/>
      <c r="AS23" s="11"/>
      <c r="AT23" s="11"/>
      <c r="AU23" s="11"/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  <c r="BM23" s="11"/>
      <c r="BN23" s="11"/>
      <c r="BO23" s="11"/>
    </row>
    <row r="24" spans="12:67" x14ac:dyDescent="0.2">
      <c r="L24" s="232" t="str">
        <f>'Occ T3'!A26</f>
        <v>42 Secretarial and related occupations</v>
      </c>
      <c r="M24" s="11">
        <v>27.668820940566619</v>
      </c>
      <c r="N24" s="11">
        <v>25.324971584253646</v>
      </c>
      <c r="O24" s="11">
        <v>24.417370025023548</v>
      </c>
      <c r="P24" s="11">
        <v>24.742245151551163</v>
      </c>
      <c r="Q24" s="11">
        <v>25.829733906802065</v>
      </c>
      <c r="R24" s="11">
        <v>25.1803806130523</v>
      </c>
      <c r="S24" s="11">
        <v>22.887038312887462</v>
      </c>
      <c r="T24" s="11">
        <v>22.680332677428183</v>
      </c>
      <c r="U24" s="11">
        <v>23.856433145005756</v>
      </c>
      <c r="V24" s="11">
        <v>21.474199365586301</v>
      </c>
      <c r="W24" s="11">
        <v>21.772443071641227</v>
      </c>
      <c r="X24" s="11">
        <v>24.502587312226339</v>
      </c>
      <c r="Y24" s="11">
        <v>24.312954239095252</v>
      </c>
      <c r="Z24" s="11">
        <v>24.093591026560251</v>
      </c>
      <c r="AA24" s="11">
        <v>23.906869186952562</v>
      </c>
      <c r="AB24" s="11">
        <v>23.693157887733729</v>
      </c>
      <c r="AC24" s="11">
        <v>23.404807051800695</v>
      </c>
      <c r="AD24" s="11">
        <v>23.072659661266172</v>
      </c>
      <c r="AE24" s="11">
        <v>22.747728289554189</v>
      </c>
      <c r="AF24" s="11">
        <v>22.466279974282106</v>
      </c>
      <c r="AG24" s="11">
        <v>22.12812035756367</v>
      </c>
      <c r="AH24" s="11">
        <v>21.395074288594913</v>
      </c>
      <c r="AI24" s="11">
        <v>20.557060202196883</v>
      </c>
      <c r="AJ24" s="11">
        <v>20.16330130432253</v>
      </c>
      <c r="AK24" s="11">
        <v>19.928063709413951</v>
      </c>
      <c r="AL24" s="11">
        <v>20.167851374538614</v>
      </c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11"/>
      <c r="AZ24" s="11"/>
      <c r="BA24" s="11"/>
      <c r="BB24" s="11"/>
      <c r="BC24" s="11"/>
      <c r="BD24" s="11"/>
      <c r="BE24" s="11"/>
    </row>
    <row r="25" spans="12:67" x14ac:dyDescent="0.2">
      <c r="L25" s="232"/>
      <c r="M25" s="11"/>
      <c r="N25" s="11"/>
      <c r="O25" s="11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  <c r="AJ25" s="11"/>
      <c r="AK25" s="11"/>
      <c r="AL25" s="11"/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  <c r="BM25" s="11"/>
      <c r="BN25" s="11"/>
      <c r="BO25" s="11"/>
    </row>
    <row r="26" spans="12:67" x14ac:dyDescent="0.2">
      <c r="L26" s="16" t="str">
        <f>'Occ T3'!A28</f>
        <v>Skilled trades occupations</v>
      </c>
      <c r="M26" s="86">
        <f t="shared" ref="M26:P26" si="8">SUM(M27:M30)</f>
        <v>139.18215432650609</v>
      </c>
      <c r="N26" s="86">
        <f t="shared" si="8"/>
        <v>141.04445995047195</v>
      </c>
      <c r="O26" s="86">
        <f t="shared" si="8"/>
        <v>123.45861752502907</v>
      </c>
      <c r="P26" s="86">
        <f t="shared" si="8"/>
        <v>131.89001372944006</v>
      </c>
      <c r="Q26" s="86">
        <f>SUM(Q27:Q30)</f>
        <v>133.03370941060993</v>
      </c>
      <c r="R26" s="86">
        <f t="shared" ref="R26:AL26" si="9">SUM(R27:R30)</f>
        <v>131.09623299099439</v>
      </c>
      <c r="S26" s="86">
        <f t="shared" si="9"/>
        <v>120.95925082817334</v>
      </c>
      <c r="T26" s="86">
        <f t="shared" si="9"/>
        <v>125.17678389369392</v>
      </c>
      <c r="U26" s="86">
        <f>SUM(U27:U30)</f>
        <v>126.43427697040806</v>
      </c>
      <c r="V26" s="86">
        <f t="shared" si="9"/>
        <v>127.42869301830061</v>
      </c>
      <c r="W26" s="86">
        <f t="shared" si="9"/>
        <v>110.0423243300321</v>
      </c>
      <c r="X26" s="86">
        <f t="shared" si="9"/>
        <v>110.17977886558359</v>
      </c>
      <c r="Y26" s="86">
        <f t="shared" si="9"/>
        <v>109.22324002012763</v>
      </c>
      <c r="Z26" s="86">
        <f t="shared" si="9"/>
        <v>108.2019392427089</v>
      </c>
      <c r="AA26" s="86">
        <f t="shared" si="9"/>
        <v>107.54446597892746</v>
      </c>
      <c r="AB26" s="86">
        <f t="shared" si="9"/>
        <v>107.00085229603154</v>
      </c>
      <c r="AC26" s="86">
        <f t="shared" si="9"/>
        <v>106.35377708570419</v>
      </c>
      <c r="AD26" s="86">
        <f t="shared" si="9"/>
        <v>105.61316088936347</v>
      </c>
      <c r="AE26" s="86">
        <f t="shared" si="9"/>
        <v>104.92349467117155</v>
      </c>
      <c r="AF26" s="86">
        <f t="shared" si="9"/>
        <v>104.22137139674857</v>
      </c>
      <c r="AG26" s="86">
        <f t="shared" si="9"/>
        <v>103.56450241980471</v>
      </c>
      <c r="AH26" s="86">
        <f t="shared" si="9"/>
        <v>102.9273971170177</v>
      </c>
      <c r="AI26" s="86">
        <f t="shared" si="9"/>
        <v>102.28728435651888</v>
      </c>
      <c r="AJ26" s="86">
        <f t="shared" si="9"/>
        <v>101.58275482592234</v>
      </c>
      <c r="AK26" s="86">
        <f t="shared" si="9"/>
        <v>100.87195303507183</v>
      </c>
      <c r="AL26" s="86">
        <f t="shared" si="9"/>
        <v>100.02736420050142</v>
      </c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  <c r="BG26" s="11"/>
      <c r="BH26" s="11"/>
      <c r="BI26" s="11"/>
      <c r="BJ26" s="11"/>
      <c r="BK26" s="11"/>
      <c r="BL26" s="11"/>
      <c r="BM26" s="11"/>
      <c r="BN26" s="11"/>
      <c r="BO26" s="11"/>
    </row>
    <row r="27" spans="12:67" x14ac:dyDescent="0.2">
      <c r="L27" s="232" t="str">
        <f>'Occ T3'!A29</f>
        <v>51 Skilled agricultural and related trades</v>
      </c>
      <c r="M27" s="11">
        <v>12.099928324359336</v>
      </c>
      <c r="N27" s="11">
        <v>18.310548727863573</v>
      </c>
      <c r="O27" s="11">
        <v>10.600366060408065</v>
      </c>
      <c r="P27" s="11">
        <v>13.150535748908815</v>
      </c>
      <c r="Q27" s="11">
        <v>14.871295665429544</v>
      </c>
      <c r="R27" s="11">
        <v>12.543419718462415</v>
      </c>
      <c r="S27" s="11">
        <v>9.3399444267723037</v>
      </c>
      <c r="T27" s="11">
        <v>11.236963527064605</v>
      </c>
      <c r="U27" s="11">
        <v>12.646642175261295</v>
      </c>
      <c r="V27" s="11">
        <v>10.264940340113577</v>
      </c>
      <c r="W27" s="11">
        <v>10.301868360565633</v>
      </c>
      <c r="X27" s="11">
        <v>9.9588848995486163</v>
      </c>
      <c r="Y27" s="11">
        <v>10.051983762040292</v>
      </c>
      <c r="Z27" s="11">
        <v>10.191521370640414</v>
      </c>
      <c r="AA27" s="11">
        <v>10.340888910941267</v>
      </c>
      <c r="AB27" s="11">
        <v>10.465035897964432</v>
      </c>
      <c r="AC27" s="11">
        <v>10.585088249332211</v>
      </c>
      <c r="AD27" s="11">
        <v>10.699424734091858</v>
      </c>
      <c r="AE27" s="11">
        <v>10.815806423004091</v>
      </c>
      <c r="AF27" s="11">
        <v>10.932389781702451</v>
      </c>
      <c r="AG27" s="11">
        <v>11.052207680745678</v>
      </c>
      <c r="AH27" s="11">
        <v>11.169583021041781</v>
      </c>
      <c r="AI27" s="11">
        <v>11.279962396779503</v>
      </c>
      <c r="AJ27" s="11">
        <v>11.388578483503892</v>
      </c>
      <c r="AK27" s="11">
        <v>11.487276060246236</v>
      </c>
      <c r="AL27" s="11">
        <v>11.586104938365459</v>
      </c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  <c r="BM27" s="11"/>
      <c r="BN27" s="11"/>
      <c r="BO27" s="11"/>
    </row>
    <row r="28" spans="12:67" x14ac:dyDescent="0.2">
      <c r="L28" s="232" t="str">
        <f>'Occ T3'!A30</f>
        <v>52 Skilled metal, electrical and electronic trades</v>
      </c>
      <c r="M28" s="11">
        <v>53.611218562568958</v>
      </c>
      <c r="N28" s="11">
        <v>53.581089384888244</v>
      </c>
      <c r="O28" s="11">
        <v>46.924075072886119</v>
      </c>
      <c r="P28" s="11">
        <v>50.562838049242025</v>
      </c>
      <c r="Q28" s="11">
        <v>51.910374399564787</v>
      </c>
      <c r="R28" s="11">
        <v>51.747021542468346</v>
      </c>
      <c r="S28" s="11">
        <v>50.416129625861629</v>
      </c>
      <c r="T28" s="11">
        <v>49.514846747969223</v>
      </c>
      <c r="U28" s="11">
        <v>50.297929357714672</v>
      </c>
      <c r="V28" s="11">
        <v>50.143502229845936</v>
      </c>
      <c r="W28" s="11">
        <v>42.60775024378303</v>
      </c>
      <c r="X28" s="11">
        <v>42.103909913970135</v>
      </c>
      <c r="Y28" s="11">
        <v>41.574432954501361</v>
      </c>
      <c r="Z28" s="11">
        <v>41.112788638800183</v>
      </c>
      <c r="AA28" s="11">
        <v>40.750441373813182</v>
      </c>
      <c r="AB28" s="11">
        <v>40.397944693805357</v>
      </c>
      <c r="AC28" s="11">
        <v>40.011157358818991</v>
      </c>
      <c r="AD28" s="11">
        <v>39.602881713952655</v>
      </c>
      <c r="AE28" s="11">
        <v>39.184959712617527</v>
      </c>
      <c r="AF28" s="11">
        <v>38.767379123143449</v>
      </c>
      <c r="AG28" s="11">
        <v>38.382153757390974</v>
      </c>
      <c r="AH28" s="11">
        <v>38.008900091461705</v>
      </c>
      <c r="AI28" s="11">
        <v>37.629369795644585</v>
      </c>
      <c r="AJ28" s="11">
        <v>37.236653994057761</v>
      </c>
      <c r="AK28" s="11">
        <v>36.860909396284327</v>
      </c>
      <c r="AL28" s="11">
        <v>36.473047170903065</v>
      </c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  <c r="BM28" s="11"/>
      <c r="BN28" s="11"/>
      <c r="BO28" s="11"/>
    </row>
    <row r="29" spans="12:67" x14ac:dyDescent="0.2">
      <c r="L29" s="232" t="str">
        <f>'Occ T3'!A31</f>
        <v>53 Skilled construction and building trades</v>
      </c>
      <c r="M29" s="11">
        <v>52.737343869410189</v>
      </c>
      <c r="N29" s="11">
        <v>47.565358683984769</v>
      </c>
      <c r="O29" s="11">
        <v>43.958623559985114</v>
      </c>
      <c r="P29" s="11">
        <v>45.862654464157423</v>
      </c>
      <c r="Q29" s="11">
        <v>44.052982240080588</v>
      </c>
      <c r="R29" s="11">
        <v>41.419150338928858</v>
      </c>
      <c r="S29" s="11">
        <v>38.861383241071152</v>
      </c>
      <c r="T29" s="11">
        <v>40.823090838395679</v>
      </c>
      <c r="U29" s="11">
        <v>42.152080690277451</v>
      </c>
      <c r="V29" s="11">
        <v>44.669193195030559</v>
      </c>
      <c r="W29" s="11">
        <v>36.039102763857159</v>
      </c>
      <c r="X29" s="11">
        <v>37.332281290379413</v>
      </c>
      <c r="Y29" s="11">
        <v>36.902295319740098</v>
      </c>
      <c r="Z29" s="11">
        <v>36.244797873961161</v>
      </c>
      <c r="AA29" s="11">
        <v>35.787263974723999</v>
      </c>
      <c r="AB29" s="11">
        <v>35.488642210875369</v>
      </c>
      <c r="AC29" s="11">
        <v>35.148526997679269</v>
      </c>
      <c r="AD29" s="11">
        <v>34.772365337641403</v>
      </c>
      <c r="AE29" s="11">
        <v>34.432930089542069</v>
      </c>
      <c r="AF29" s="11">
        <v>34.07345849207038</v>
      </c>
      <c r="AG29" s="11">
        <v>33.722784052599962</v>
      </c>
      <c r="AH29" s="11">
        <v>33.366834726006509</v>
      </c>
      <c r="AI29" s="11">
        <v>33.019609074362471</v>
      </c>
      <c r="AJ29" s="11">
        <v>32.667550547457523</v>
      </c>
      <c r="AK29" s="11">
        <v>32.318545673937194</v>
      </c>
      <c r="AL29" s="11">
        <v>31.960757016792254</v>
      </c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  <c r="BM29" s="11"/>
      <c r="BN29" s="11"/>
      <c r="BO29" s="11"/>
    </row>
    <row r="30" spans="12:67" x14ac:dyDescent="0.2">
      <c r="L30" s="232" t="str">
        <f>'Occ T3'!A32</f>
        <v>54 Textiles, printing and other skilled trades</v>
      </c>
      <c r="M30" s="11">
        <v>20.733663570167614</v>
      </c>
      <c r="N30" s="11">
        <v>21.587463153735342</v>
      </c>
      <c r="O30" s="11">
        <v>21.975552831749777</v>
      </c>
      <c r="P30" s="11">
        <v>22.313985467131808</v>
      </c>
      <c r="Q30" s="11">
        <v>22.199057105535029</v>
      </c>
      <c r="R30" s="11">
        <v>25.386641391134777</v>
      </c>
      <c r="S30" s="11">
        <v>22.341793534468248</v>
      </c>
      <c r="T30" s="11">
        <v>23.601882780264418</v>
      </c>
      <c r="U30" s="11">
        <v>21.337624747154642</v>
      </c>
      <c r="V30" s="11">
        <v>22.351057253310533</v>
      </c>
      <c r="W30" s="11">
        <v>21.093602961826281</v>
      </c>
      <c r="X30" s="11">
        <v>20.784702761685416</v>
      </c>
      <c r="Y30" s="11">
        <v>20.694527983845891</v>
      </c>
      <c r="Z30" s="11">
        <v>20.652831359307147</v>
      </c>
      <c r="AA30" s="11">
        <v>20.665871719449022</v>
      </c>
      <c r="AB30" s="11">
        <v>20.64922949338639</v>
      </c>
      <c r="AC30" s="11">
        <v>20.609004479873736</v>
      </c>
      <c r="AD30" s="11">
        <v>20.538489103677549</v>
      </c>
      <c r="AE30" s="11">
        <v>20.489798446007864</v>
      </c>
      <c r="AF30" s="11">
        <v>20.4481439998323</v>
      </c>
      <c r="AG30" s="11">
        <v>20.407356929068097</v>
      </c>
      <c r="AH30" s="11">
        <v>20.38207927850771</v>
      </c>
      <c r="AI30" s="11">
        <v>20.358343089732333</v>
      </c>
      <c r="AJ30" s="11">
        <v>20.289971800903153</v>
      </c>
      <c r="AK30" s="11">
        <v>20.205221904604073</v>
      </c>
      <c r="AL30" s="11">
        <v>20.007455074440646</v>
      </c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  <c r="AX30" s="11"/>
      <c r="AY30" s="11"/>
      <c r="AZ30" s="11"/>
      <c r="BA30" s="11"/>
      <c r="BB30" s="11"/>
      <c r="BC30" s="11"/>
      <c r="BD30" s="11"/>
      <c r="BE30" s="11"/>
    </row>
    <row r="31" spans="12:67" x14ac:dyDescent="0.2">
      <c r="L31" s="232"/>
      <c r="M31" s="11"/>
      <c r="N31" s="11"/>
      <c r="O31" s="11"/>
      <c r="P31" s="11"/>
      <c r="Q31" s="11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11"/>
      <c r="AL31" s="11"/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  <c r="AX31" s="11"/>
      <c r="AY31" s="11"/>
      <c r="AZ31" s="11"/>
      <c r="BA31" s="11"/>
      <c r="BB31" s="11"/>
      <c r="BC31" s="11"/>
      <c r="BD31" s="11"/>
      <c r="BE31" s="11"/>
    </row>
    <row r="32" spans="12:67" x14ac:dyDescent="0.2">
      <c r="L32" s="16" t="str">
        <f>'Occ T3'!A34</f>
        <v>Caring, leisure and other service occupations</v>
      </c>
      <c r="M32" s="86">
        <f>SUM(M33:M35)</f>
        <v>112.75020468010163</v>
      </c>
      <c r="N32" s="86">
        <f t="shared" ref="N32:AL32" si="10">SUM(N33:N35)</f>
        <v>104.63994321208605</v>
      </c>
      <c r="O32" s="86">
        <f t="shared" si="10"/>
        <v>106.3252748485837</v>
      </c>
      <c r="P32" s="86">
        <f t="shared" si="10"/>
        <v>107.37490548390798</v>
      </c>
      <c r="Q32" s="86">
        <f t="shared" si="10"/>
        <v>114.60391761629941</v>
      </c>
      <c r="R32" s="86">
        <f t="shared" si="10"/>
        <v>117.47035830653246</v>
      </c>
      <c r="S32" s="86">
        <f t="shared" si="10"/>
        <v>111.17858011059698</v>
      </c>
      <c r="T32" s="86">
        <f t="shared" si="10"/>
        <v>113.45924780168646</v>
      </c>
      <c r="U32" s="86">
        <f t="shared" si="10"/>
        <v>114.06807535848753</v>
      </c>
      <c r="V32" s="86">
        <f t="shared" si="10"/>
        <v>112.76379624437124</v>
      </c>
      <c r="W32" s="86">
        <f t="shared" si="10"/>
        <v>113.43549604886647</v>
      </c>
      <c r="X32" s="86">
        <f t="shared" si="10"/>
        <v>116.02344811035998</v>
      </c>
      <c r="Y32" s="86">
        <f t="shared" si="10"/>
        <v>116.75449006860912</v>
      </c>
      <c r="Z32" s="86">
        <f t="shared" si="10"/>
        <v>117.64029759921705</v>
      </c>
      <c r="AA32" s="86">
        <f t="shared" si="10"/>
        <v>118.61513536170131</v>
      </c>
      <c r="AB32" s="86">
        <f t="shared" si="10"/>
        <v>119.33219216526747</v>
      </c>
      <c r="AC32" s="86">
        <f t="shared" si="10"/>
        <v>119.87567053288971</v>
      </c>
      <c r="AD32" s="86">
        <f t="shared" si="10"/>
        <v>120.34328176846175</v>
      </c>
      <c r="AE32" s="86">
        <f t="shared" si="10"/>
        <v>120.83422567781626</v>
      </c>
      <c r="AF32" s="86">
        <f t="shared" si="10"/>
        <v>121.2617736037658</v>
      </c>
      <c r="AG32" s="86">
        <f t="shared" si="10"/>
        <v>121.78672883734984</v>
      </c>
      <c r="AH32" s="86">
        <f t="shared" si="10"/>
        <v>122.34248385703999</v>
      </c>
      <c r="AI32" s="86">
        <f t="shared" si="10"/>
        <v>122.93788849136821</v>
      </c>
      <c r="AJ32" s="86">
        <f t="shared" si="10"/>
        <v>123.5554789996656</v>
      </c>
      <c r="AK32" s="86">
        <f t="shared" si="10"/>
        <v>124.17999985595583</v>
      </c>
      <c r="AL32" s="86">
        <f t="shared" si="10"/>
        <v>124.77661745115446</v>
      </c>
      <c r="AM32" s="11"/>
      <c r="AN32" s="11"/>
      <c r="AO32" s="11"/>
      <c r="AP32" s="11"/>
      <c r="AQ32" s="11"/>
      <c r="AR32" s="11"/>
      <c r="AS32" s="11"/>
      <c r="AT32" s="11"/>
      <c r="AU32" s="11"/>
      <c r="AV32" s="11"/>
      <c r="AW32" s="11"/>
      <c r="AX32" s="11"/>
      <c r="AY32" s="11"/>
      <c r="AZ32" s="11"/>
      <c r="BA32" s="11"/>
      <c r="BB32" s="11"/>
      <c r="BC32" s="11"/>
      <c r="BD32" s="11"/>
      <c r="BE32" s="11"/>
    </row>
    <row r="33" spans="12:67" x14ac:dyDescent="0.2">
      <c r="L33" s="232" t="str">
        <f>'Occ T3'!A35</f>
        <v>61 Caring personal service occupations</v>
      </c>
      <c r="M33" s="11">
        <v>86.898629683141934</v>
      </c>
      <c r="N33" s="11">
        <v>77.74701322718461</v>
      </c>
      <c r="O33" s="11">
        <v>80.795778024060482</v>
      </c>
      <c r="P33" s="11">
        <v>81.576585870528874</v>
      </c>
      <c r="Q33" s="11">
        <v>87.295690622686735</v>
      </c>
      <c r="R33" s="11">
        <v>88.684911099512362</v>
      </c>
      <c r="S33" s="11">
        <v>85.847278154440602</v>
      </c>
      <c r="T33" s="11">
        <v>86.531579612434356</v>
      </c>
      <c r="U33" s="11">
        <v>84.655397934956568</v>
      </c>
      <c r="V33" s="11">
        <v>82.941204653813969</v>
      </c>
      <c r="W33" s="11">
        <v>85.269437786949581</v>
      </c>
      <c r="X33" s="11">
        <v>88.671805399719858</v>
      </c>
      <c r="Y33" s="11">
        <v>89.473025193908356</v>
      </c>
      <c r="Z33" s="11">
        <v>90.219123253472858</v>
      </c>
      <c r="AA33" s="11">
        <v>90.996393675042654</v>
      </c>
      <c r="AB33" s="11">
        <v>91.561079770055386</v>
      </c>
      <c r="AC33" s="11">
        <v>91.97309158375225</v>
      </c>
      <c r="AD33" s="11">
        <v>92.319471961254905</v>
      </c>
      <c r="AE33" s="11">
        <v>92.7066403134951</v>
      </c>
      <c r="AF33" s="11">
        <v>93.041560938048008</v>
      </c>
      <c r="AG33" s="11">
        <v>93.463555763478965</v>
      </c>
      <c r="AH33" s="11">
        <v>93.923314084161021</v>
      </c>
      <c r="AI33" s="11">
        <v>94.431818718341574</v>
      </c>
      <c r="AJ33" s="11">
        <v>94.941099525534113</v>
      </c>
      <c r="AK33" s="11">
        <v>95.490711828505383</v>
      </c>
      <c r="AL33" s="11">
        <v>96.070574814222852</v>
      </c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  <c r="AX33" s="11"/>
      <c r="AY33" s="11"/>
      <c r="AZ33" s="11"/>
      <c r="BA33" s="11"/>
      <c r="BB33" s="11"/>
      <c r="BC33" s="11"/>
      <c r="BD33" s="11"/>
      <c r="BE33" s="11"/>
      <c r="BF33" s="11"/>
      <c r="BG33" s="11"/>
      <c r="BH33" s="11"/>
      <c r="BI33" s="11"/>
      <c r="BJ33" s="11"/>
      <c r="BK33" s="11"/>
      <c r="BL33" s="11"/>
      <c r="BM33" s="11"/>
      <c r="BN33" s="11"/>
      <c r="BO33" s="11"/>
    </row>
    <row r="34" spans="12:67" x14ac:dyDescent="0.2">
      <c r="L34" s="232" t="str">
        <f>'Occ T3'!A36</f>
        <v>62 Leisure, travel and related personal service occupations</v>
      </c>
      <c r="M34" s="11">
        <v>23.514147005481931</v>
      </c>
      <c r="N34" s="11">
        <v>25.282277330787981</v>
      </c>
      <c r="O34" s="11">
        <v>24.016649076583118</v>
      </c>
      <c r="P34" s="11">
        <v>24.390183142998566</v>
      </c>
      <c r="Q34" s="11">
        <v>25.76882561075346</v>
      </c>
      <c r="R34" s="11">
        <v>27.405172717445431</v>
      </c>
      <c r="S34" s="11">
        <v>24.132804040426247</v>
      </c>
      <c r="T34" s="11">
        <v>25.586569821633436</v>
      </c>
      <c r="U34" s="11">
        <v>28.084556173702705</v>
      </c>
      <c r="V34" s="11">
        <v>28.56716875139217</v>
      </c>
      <c r="W34" s="11">
        <v>26.609234004473503</v>
      </c>
      <c r="X34" s="11">
        <v>26.099460847065018</v>
      </c>
      <c r="Y34" s="11">
        <v>26.02853513801826</v>
      </c>
      <c r="Z34" s="11">
        <v>26.161569767688913</v>
      </c>
      <c r="AA34" s="11">
        <v>26.351777529140218</v>
      </c>
      <c r="AB34" s="11">
        <v>26.493861943034343</v>
      </c>
      <c r="AC34" s="11">
        <v>26.615904702218504</v>
      </c>
      <c r="AD34" s="11">
        <v>26.727995658995578</v>
      </c>
      <c r="AE34" s="11">
        <v>26.823129620866172</v>
      </c>
      <c r="AF34" s="11">
        <v>26.906640331432016</v>
      </c>
      <c r="AG34" s="11">
        <v>27.00171132490329</v>
      </c>
      <c r="AH34" s="11">
        <v>27.090230817622828</v>
      </c>
      <c r="AI34" s="11">
        <v>27.169111845994873</v>
      </c>
      <c r="AJ34" s="11">
        <v>27.268929079379593</v>
      </c>
      <c r="AK34" s="11">
        <v>27.336713407689789</v>
      </c>
      <c r="AL34" s="11">
        <v>27.345758662070583</v>
      </c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  <c r="BG34" s="11"/>
      <c r="BH34" s="11"/>
      <c r="BI34" s="11"/>
      <c r="BJ34" s="11"/>
      <c r="BK34" s="11"/>
      <c r="BL34" s="11"/>
      <c r="BM34" s="11"/>
      <c r="BN34" s="11"/>
      <c r="BO34" s="11"/>
    </row>
    <row r="35" spans="12:67" x14ac:dyDescent="0.2">
      <c r="L35" s="232" t="str">
        <f>'Occ T3'!A37</f>
        <v>63 Community and civil enforcement occupations</v>
      </c>
      <c r="M35" s="11">
        <v>2.3374279914777638</v>
      </c>
      <c r="N35" s="11">
        <v>1.6106526541134694</v>
      </c>
      <c r="O35" s="11">
        <v>1.512847747940105</v>
      </c>
      <c r="P35" s="11">
        <v>1.4081364703805401</v>
      </c>
      <c r="Q35" s="11">
        <v>1.5394013828592072</v>
      </c>
      <c r="R35" s="11">
        <v>1.3802744895746679</v>
      </c>
      <c r="S35" s="11">
        <v>1.1984979157301279</v>
      </c>
      <c r="T35" s="11">
        <v>1.3410983676186716</v>
      </c>
      <c r="U35" s="11">
        <v>1.3281212498282631</v>
      </c>
      <c r="V35" s="11">
        <v>1.2554228391650974</v>
      </c>
      <c r="W35" s="11">
        <v>1.5568242574433744</v>
      </c>
      <c r="X35" s="11">
        <v>1.2521818635750983</v>
      </c>
      <c r="Y35" s="11">
        <v>1.2529297366825027</v>
      </c>
      <c r="Z35" s="11">
        <v>1.2596045780552716</v>
      </c>
      <c r="AA35" s="11">
        <v>1.2669641575184258</v>
      </c>
      <c r="AB35" s="11">
        <v>1.277250452177739</v>
      </c>
      <c r="AC35" s="11">
        <v>1.2866742469189578</v>
      </c>
      <c r="AD35" s="11">
        <v>1.2958141482112697</v>
      </c>
      <c r="AE35" s="11">
        <v>1.3044557434549948</v>
      </c>
      <c r="AF35" s="11">
        <v>1.3135723342857843</v>
      </c>
      <c r="AG35" s="11">
        <v>1.3214617489675724</v>
      </c>
      <c r="AH35" s="11">
        <v>1.3289389552561497</v>
      </c>
      <c r="AI35" s="11">
        <v>1.3369579270317622</v>
      </c>
      <c r="AJ35" s="11">
        <v>1.345450394751895</v>
      </c>
      <c r="AK35" s="11">
        <v>1.3525746197606641</v>
      </c>
      <c r="AL35" s="11">
        <v>1.3602839748610343</v>
      </c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  <c r="BG35" s="11"/>
      <c r="BH35" s="11"/>
      <c r="BI35" s="11"/>
      <c r="BJ35" s="11"/>
      <c r="BK35" s="11"/>
      <c r="BL35" s="11"/>
      <c r="BM35" s="11"/>
      <c r="BN35" s="11"/>
      <c r="BO35" s="11"/>
    </row>
    <row r="36" spans="12:67" x14ac:dyDescent="0.2">
      <c r="L36" s="232"/>
      <c r="M36" s="11"/>
      <c r="N36" s="11"/>
      <c r="O36" s="11"/>
      <c r="P36" s="11"/>
      <c r="Q36" s="11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11"/>
      <c r="AL36" s="11"/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  <c r="BG36" s="11"/>
      <c r="BH36" s="11"/>
      <c r="BI36" s="11"/>
      <c r="BJ36" s="11"/>
      <c r="BK36" s="11"/>
      <c r="BL36" s="11"/>
      <c r="BM36" s="11"/>
      <c r="BN36" s="11"/>
      <c r="BO36" s="11"/>
    </row>
    <row r="37" spans="12:67" x14ac:dyDescent="0.2">
      <c r="L37" s="16" t="str">
        <f>'Occ T3'!A39</f>
        <v>Sales and customer service occupations</v>
      </c>
      <c r="M37" s="86">
        <f t="shared" ref="M37:P37" si="11">SUM(M38:M39)</f>
        <v>118.4848274275884</v>
      </c>
      <c r="N37" s="86">
        <f t="shared" si="11"/>
        <v>121.17112760464813</v>
      </c>
      <c r="O37" s="86">
        <f t="shared" si="11"/>
        <v>124.92867737300462</v>
      </c>
      <c r="P37" s="86">
        <f t="shared" si="11"/>
        <v>117.36772547631512</v>
      </c>
      <c r="Q37" s="86">
        <f>SUM(Q38:Q39)</f>
        <v>130.84414253896028</v>
      </c>
      <c r="R37" s="86">
        <f t="shared" ref="R37:AL37" si="12">SUM(R38:R39)</f>
        <v>135.78940443127954</v>
      </c>
      <c r="S37" s="86">
        <f t="shared" si="12"/>
        <v>133.26622499394549</v>
      </c>
      <c r="T37" s="86">
        <f t="shared" si="12"/>
        <v>127.7823696496945</v>
      </c>
      <c r="U37" s="86">
        <f t="shared" si="12"/>
        <v>123.35201440098834</v>
      </c>
      <c r="V37" s="86">
        <f t="shared" si="12"/>
        <v>124.79456462617762</v>
      </c>
      <c r="W37" s="86">
        <f t="shared" si="12"/>
        <v>125.9627236836462</v>
      </c>
      <c r="X37" s="86">
        <f t="shared" si="12"/>
        <v>124.36587779681555</v>
      </c>
      <c r="Y37" s="86">
        <f t="shared" si="12"/>
        <v>124.66446213259235</v>
      </c>
      <c r="Z37" s="86">
        <f t="shared" si="12"/>
        <v>125.24842770751467</v>
      </c>
      <c r="AA37" s="86">
        <f t="shared" si="12"/>
        <v>125.98733919619613</v>
      </c>
      <c r="AB37" s="86">
        <f t="shared" si="12"/>
        <v>126.52753004348526</v>
      </c>
      <c r="AC37" s="86">
        <f t="shared" si="12"/>
        <v>126.93881063620196</v>
      </c>
      <c r="AD37" s="86">
        <f t="shared" si="12"/>
        <v>127.23974583543533</v>
      </c>
      <c r="AE37" s="86">
        <f t="shared" si="12"/>
        <v>127.50183288571141</v>
      </c>
      <c r="AF37" s="86">
        <f t="shared" si="12"/>
        <v>127.78739965304251</v>
      </c>
      <c r="AG37" s="86">
        <f t="shared" si="12"/>
        <v>128.05091742130054</v>
      </c>
      <c r="AH37" s="86">
        <f t="shared" si="12"/>
        <v>128.27110156283408</v>
      </c>
      <c r="AI37" s="86">
        <f t="shared" si="12"/>
        <v>128.38947750189629</v>
      </c>
      <c r="AJ37" s="86">
        <f t="shared" si="12"/>
        <v>128.56208633000097</v>
      </c>
      <c r="AK37" s="86">
        <f t="shared" si="12"/>
        <v>128.68075821551727</v>
      </c>
      <c r="AL37" s="86">
        <f t="shared" si="12"/>
        <v>128.69100271062041</v>
      </c>
      <c r="AM37" s="11"/>
      <c r="AN37" s="11"/>
      <c r="AO37" s="11"/>
      <c r="AP37" s="11"/>
      <c r="AQ37" s="11"/>
      <c r="AR37" s="11"/>
      <c r="AS37" s="11"/>
      <c r="AT37" s="11"/>
      <c r="AU37" s="11"/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  <c r="BG37" s="11"/>
      <c r="BH37" s="11"/>
      <c r="BI37" s="11"/>
      <c r="BJ37" s="11"/>
      <c r="BK37" s="11"/>
      <c r="BL37" s="11"/>
      <c r="BM37" s="11"/>
      <c r="BN37" s="11"/>
      <c r="BO37" s="11"/>
    </row>
    <row r="38" spans="12:67" x14ac:dyDescent="0.2">
      <c r="L38" s="232" t="str">
        <f>'Occ T3'!A40</f>
        <v>71 Sales occupations</v>
      </c>
      <c r="M38" s="11">
        <v>99.259090372341504</v>
      </c>
      <c r="N38" s="11">
        <v>102.41898771264898</v>
      </c>
      <c r="O38" s="11">
        <v>105.7390775362509</v>
      </c>
      <c r="P38" s="11">
        <v>98.664923619729677</v>
      </c>
      <c r="Q38" s="11">
        <v>112.29549144855133</v>
      </c>
      <c r="R38" s="11">
        <v>115.11953582269213</v>
      </c>
      <c r="S38" s="11">
        <v>113.64546416927868</v>
      </c>
      <c r="T38" s="11">
        <v>106.14178956653684</v>
      </c>
      <c r="U38" s="11">
        <v>100.91450905437968</v>
      </c>
      <c r="V38" s="11">
        <v>103.36021529507335</v>
      </c>
      <c r="W38" s="11">
        <v>103.628321303587</v>
      </c>
      <c r="X38" s="11">
        <v>97.49475414106422</v>
      </c>
      <c r="Y38" s="11">
        <v>97.40433867450561</v>
      </c>
      <c r="Z38" s="11">
        <v>97.549424469682251</v>
      </c>
      <c r="AA38" s="11">
        <v>97.789160866558262</v>
      </c>
      <c r="AB38" s="11">
        <v>97.846712688119439</v>
      </c>
      <c r="AC38" s="11">
        <v>97.808378854062198</v>
      </c>
      <c r="AD38" s="11">
        <v>97.67271362586267</v>
      </c>
      <c r="AE38" s="11">
        <v>97.480667327705973</v>
      </c>
      <c r="AF38" s="11">
        <v>97.280484936590767</v>
      </c>
      <c r="AG38" s="11">
        <v>97.052410933036867</v>
      </c>
      <c r="AH38" s="11">
        <v>96.763086876972608</v>
      </c>
      <c r="AI38" s="11">
        <v>96.379728009904341</v>
      </c>
      <c r="AJ38" s="11">
        <v>96.045567874034859</v>
      </c>
      <c r="AK38" s="11">
        <v>95.670680350168823</v>
      </c>
      <c r="AL38" s="11">
        <v>95.173047322350257</v>
      </c>
      <c r="AM38" s="11"/>
      <c r="AN38" s="11"/>
      <c r="AO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  <c r="BG38" s="11"/>
      <c r="BH38" s="11"/>
      <c r="BI38" s="11"/>
      <c r="BJ38" s="11"/>
      <c r="BK38" s="11"/>
      <c r="BL38" s="11"/>
      <c r="BM38" s="11"/>
      <c r="BN38" s="11"/>
      <c r="BO38" s="11"/>
    </row>
    <row r="39" spans="12:67" x14ac:dyDescent="0.2">
      <c r="L39" s="232" t="str">
        <f>'Occ T3'!A41</f>
        <v>72 Customer service occupations</v>
      </c>
      <c r="M39" s="11">
        <v>19.225737055246899</v>
      </c>
      <c r="N39" s="11">
        <v>18.752139891999153</v>
      </c>
      <c r="O39" s="11">
        <v>19.189599836753711</v>
      </c>
      <c r="P39" s="11">
        <v>18.702801856585431</v>
      </c>
      <c r="Q39" s="11">
        <v>18.548651090408953</v>
      </c>
      <c r="R39" s="11">
        <v>20.669868608587418</v>
      </c>
      <c r="S39" s="11">
        <v>19.62076082466681</v>
      </c>
      <c r="T39" s="11">
        <v>21.640580083157658</v>
      </c>
      <c r="U39" s="11">
        <v>22.437505346608653</v>
      </c>
      <c r="V39" s="11">
        <v>21.434349331104272</v>
      </c>
      <c r="W39" s="11">
        <v>22.33440238005921</v>
      </c>
      <c r="X39" s="11">
        <v>26.871123655751333</v>
      </c>
      <c r="Y39" s="11">
        <v>27.260123458086746</v>
      </c>
      <c r="Z39" s="11">
        <v>27.699003237832411</v>
      </c>
      <c r="AA39" s="11">
        <v>28.198178329637877</v>
      </c>
      <c r="AB39" s="11">
        <v>28.680817355365821</v>
      </c>
      <c r="AC39" s="11">
        <v>29.13043178213977</v>
      </c>
      <c r="AD39" s="11">
        <v>29.567032209572663</v>
      </c>
      <c r="AE39" s="11">
        <v>30.021165558005439</v>
      </c>
      <c r="AF39" s="11">
        <v>30.506914716451746</v>
      </c>
      <c r="AG39" s="11">
        <v>30.998506488263686</v>
      </c>
      <c r="AH39" s="11">
        <v>31.508014685861468</v>
      </c>
      <c r="AI39" s="11">
        <v>32.009749491991961</v>
      </c>
      <c r="AJ39" s="11">
        <v>32.516518455966107</v>
      </c>
      <c r="AK39" s="11">
        <v>33.010077865348457</v>
      </c>
      <c r="AL39" s="11">
        <v>33.517955388270146</v>
      </c>
      <c r="AM39" s="11"/>
      <c r="AN39" s="11"/>
      <c r="AO39" s="11"/>
      <c r="AP39" s="11"/>
      <c r="AQ39" s="11"/>
      <c r="AR39" s="11"/>
      <c r="AS39" s="11"/>
      <c r="AT39" s="11"/>
      <c r="AU39" s="11"/>
      <c r="AV39" s="11"/>
      <c r="AW39" s="11"/>
      <c r="AX39" s="11"/>
      <c r="AY39" s="11"/>
      <c r="AZ39" s="11"/>
      <c r="BA39" s="11"/>
      <c r="BB39" s="11"/>
      <c r="BC39" s="11"/>
      <c r="BD39" s="11"/>
      <c r="BE39" s="11"/>
      <c r="BF39" s="11"/>
      <c r="BG39" s="11"/>
      <c r="BH39" s="11"/>
      <c r="BI39" s="11"/>
      <c r="BJ39" s="11"/>
      <c r="BK39" s="11"/>
      <c r="BL39" s="11"/>
      <c r="BM39" s="11"/>
      <c r="BN39" s="11"/>
      <c r="BO39" s="11"/>
    </row>
    <row r="40" spans="12:67" x14ac:dyDescent="0.2">
      <c r="L40" s="232"/>
      <c r="M40" s="11"/>
      <c r="N40" s="11"/>
      <c r="O40" s="11"/>
      <c r="P40" s="11"/>
      <c r="Q40" s="11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11"/>
      <c r="AL40" s="11"/>
      <c r="AM40" s="11"/>
      <c r="AN40" s="11"/>
      <c r="AO40" s="11"/>
      <c r="AP40" s="11"/>
    </row>
    <row r="41" spans="12:67" x14ac:dyDescent="0.2">
      <c r="L41" s="16" t="str">
        <f>'Occ T3'!A43</f>
        <v>Process, plant and machine operatives</v>
      </c>
      <c r="M41" s="86">
        <f t="shared" ref="M41:P41" si="13">SUM(M42:M43)</f>
        <v>86.920406248173123</v>
      </c>
      <c r="N41" s="86">
        <f t="shared" si="13"/>
        <v>83.685436317109222</v>
      </c>
      <c r="O41" s="86">
        <f t="shared" si="13"/>
        <v>81.571484396954787</v>
      </c>
      <c r="P41" s="86">
        <f t="shared" si="13"/>
        <v>91.190976910718035</v>
      </c>
      <c r="Q41" s="86">
        <f>SUM(Q42:Q43)</f>
        <v>84.541863875822969</v>
      </c>
      <c r="R41" s="86">
        <f t="shared" ref="R41:AL41" si="14">SUM(R42:R43)</f>
        <v>84.817279410842787</v>
      </c>
      <c r="S41" s="86">
        <f t="shared" si="14"/>
        <v>85.875114547076763</v>
      </c>
      <c r="T41" s="86">
        <f t="shared" si="14"/>
        <v>88.910490595653812</v>
      </c>
      <c r="U41" s="86">
        <f t="shared" si="14"/>
        <v>97.419645718230754</v>
      </c>
      <c r="V41" s="86">
        <f t="shared" si="14"/>
        <v>88.949306042931028</v>
      </c>
      <c r="W41" s="86">
        <f t="shared" si="14"/>
        <v>78.634537803995443</v>
      </c>
      <c r="X41" s="86">
        <f t="shared" si="14"/>
        <v>86.612211574718756</v>
      </c>
      <c r="Y41" s="86">
        <f t="shared" si="14"/>
        <v>85.913337095299426</v>
      </c>
      <c r="Z41" s="86">
        <f t="shared" si="14"/>
        <v>85.490196515739342</v>
      </c>
      <c r="AA41" s="86">
        <f t="shared" si="14"/>
        <v>85.209293990012583</v>
      </c>
      <c r="AB41" s="86">
        <f t="shared" si="14"/>
        <v>84.78395961297386</v>
      </c>
      <c r="AC41" s="86">
        <f t="shared" si="14"/>
        <v>84.356843263611935</v>
      </c>
      <c r="AD41" s="86">
        <f t="shared" si="14"/>
        <v>83.868182607799525</v>
      </c>
      <c r="AE41" s="86">
        <f t="shared" si="14"/>
        <v>83.319223649504721</v>
      </c>
      <c r="AF41" s="86">
        <f t="shared" si="14"/>
        <v>82.801882472888138</v>
      </c>
      <c r="AG41" s="86">
        <f t="shared" si="14"/>
        <v>82.335716761217498</v>
      </c>
      <c r="AH41" s="86">
        <f t="shared" si="14"/>
        <v>81.937767743018469</v>
      </c>
      <c r="AI41" s="86">
        <f t="shared" si="14"/>
        <v>81.586137715725755</v>
      </c>
      <c r="AJ41" s="86">
        <f t="shared" si="14"/>
        <v>81.203093506102903</v>
      </c>
      <c r="AK41" s="86">
        <f t="shared" si="14"/>
        <v>80.821683339556046</v>
      </c>
      <c r="AL41" s="86">
        <f t="shared" si="14"/>
        <v>80.469926760747029</v>
      </c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11"/>
      <c r="AZ41" s="11"/>
      <c r="BA41" s="11"/>
      <c r="BB41" s="11"/>
      <c r="BC41" s="11"/>
      <c r="BD41" s="11"/>
      <c r="BE41" s="11"/>
    </row>
    <row r="42" spans="12:67" x14ac:dyDescent="0.2">
      <c r="L42" s="232" t="str">
        <f>'Occ T3'!A44</f>
        <v>81 Process, plant and machine operatives</v>
      </c>
      <c r="M42" s="11">
        <v>44.730882057748147</v>
      </c>
      <c r="N42" s="11">
        <v>38.796554286343053</v>
      </c>
      <c r="O42" s="11">
        <v>40.865138621396397</v>
      </c>
      <c r="P42" s="11">
        <v>44.758772364544434</v>
      </c>
      <c r="Q42" s="11">
        <v>42.638060292066235</v>
      </c>
      <c r="R42" s="11">
        <v>43.708317600696866</v>
      </c>
      <c r="S42" s="11">
        <v>41.758905014535557</v>
      </c>
      <c r="T42" s="11">
        <v>43.558239339960366</v>
      </c>
      <c r="U42" s="11">
        <v>44.313530612298266</v>
      </c>
      <c r="V42" s="11">
        <v>39.937105686071149</v>
      </c>
      <c r="W42" s="11">
        <v>34.877203113995151</v>
      </c>
      <c r="X42" s="11">
        <v>41.522650770452564</v>
      </c>
      <c r="Y42" s="11">
        <v>41.325827076255827</v>
      </c>
      <c r="Z42" s="11">
        <v>41.190979092255589</v>
      </c>
      <c r="AA42" s="11">
        <v>41.082054488536336</v>
      </c>
      <c r="AB42" s="11">
        <v>40.8444444640147</v>
      </c>
      <c r="AC42" s="11">
        <v>40.638697825663471</v>
      </c>
      <c r="AD42" s="11">
        <v>40.40503212014481</v>
      </c>
      <c r="AE42" s="11">
        <v>40.132159311416764</v>
      </c>
      <c r="AF42" s="11">
        <v>39.881949425327747</v>
      </c>
      <c r="AG42" s="11">
        <v>39.680373036992357</v>
      </c>
      <c r="AH42" s="11">
        <v>39.500257255081017</v>
      </c>
      <c r="AI42" s="11">
        <v>39.333436925314722</v>
      </c>
      <c r="AJ42" s="11">
        <v>39.156983212839911</v>
      </c>
      <c r="AK42" s="11">
        <v>38.986980779858008</v>
      </c>
      <c r="AL42" s="11">
        <v>38.843978717677466</v>
      </c>
      <c r="AM42" s="11"/>
      <c r="AN42" s="11"/>
      <c r="AO42" s="11"/>
      <c r="AP42" s="11"/>
      <c r="AQ42" s="11"/>
      <c r="AR42" s="11"/>
      <c r="AS42" s="11"/>
      <c r="AT42" s="11"/>
      <c r="AU42" s="11"/>
      <c r="AV42" s="11"/>
      <c r="AW42" s="11"/>
      <c r="AX42" s="11"/>
      <c r="AY42" s="11"/>
      <c r="AZ42" s="11"/>
      <c r="BA42" s="11"/>
      <c r="BB42" s="11"/>
      <c r="BC42" s="11"/>
      <c r="BD42" s="11"/>
      <c r="BE42" s="11"/>
    </row>
    <row r="43" spans="12:67" x14ac:dyDescent="0.2">
      <c r="L43" s="232" t="str">
        <f>'Occ T3'!A45</f>
        <v>82 Transport and mobile machine drivers and operatives</v>
      </c>
      <c r="M43" s="11">
        <v>42.189524190424976</v>
      </c>
      <c r="N43" s="11">
        <v>44.888882030766169</v>
      </c>
      <c r="O43" s="11">
        <v>40.70634577555839</v>
      </c>
      <c r="P43" s="11">
        <v>46.432204546173608</v>
      </c>
      <c r="Q43" s="11">
        <v>41.903803583756726</v>
      </c>
      <c r="R43" s="11">
        <v>41.108961810145928</v>
      </c>
      <c r="S43" s="11">
        <v>44.116209532541205</v>
      </c>
      <c r="T43" s="11">
        <v>45.352251255693439</v>
      </c>
      <c r="U43" s="11">
        <v>53.106115105932481</v>
      </c>
      <c r="V43" s="11">
        <v>49.012200356859871</v>
      </c>
      <c r="W43" s="11">
        <v>43.757334690000292</v>
      </c>
      <c r="X43" s="11">
        <v>45.089560804266192</v>
      </c>
      <c r="Y43" s="11">
        <v>44.587510019043599</v>
      </c>
      <c r="Z43" s="11">
        <v>44.299217423483761</v>
      </c>
      <c r="AA43" s="11">
        <v>44.127239501476254</v>
      </c>
      <c r="AB43" s="11">
        <v>43.939515148959167</v>
      </c>
      <c r="AC43" s="11">
        <v>43.718145437948465</v>
      </c>
      <c r="AD43" s="11">
        <v>43.463150487654708</v>
      </c>
      <c r="AE43" s="11">
        <v>43.187064338087964</v>
      </c>
      <c r="AF43" s="11">
        <v>42.919933047560399</v>
      </c>
      <c r="AG43" s="11">
        <v>42.655343724225148</v>
      </c>
      <c r="AH43" s="11">
        <v>42.437510487937452</v>
      </c>
      <c r="AI43" s="11">
        <v>42.252700790411026</v>
      </c>
      <c r="AJ43" s="11">
        <v>42.046110293262998</v>
      </c>
      <c r="AK43" s="11">
        <v>41.834702559698044</v>
      </c>
      <c r="AL43" s="11">
        <v>41.62594804306957</v>
      </c>
      <c r="AM43" s="11"/>
      <c r="AN43" s="11"/>
      <c r="AO43" s="11"/>
      <c r="AP43" s="11"/>
      <c r="AQ43" s="11"/>
      <c r="AR43" s="11"/>
      <c r="AS43" s="11"/>
      <c r="AT43" s="11"/>
      <c r="AU43" s="11"/>
      <c r="AV43" s="11"/>
      <c r="AW43" s="11"/>
      <c r="AX43" s="11"/>
      <c r="AY43" s="11"/>
      <c r="AZ43" s="11"/>
      <c r="BA43" s="11"/>
      <c r="BB43" s="11"/>
      <c r="BC43" s="11"/>
      <c r="BD43" s="11"/>
      <c r="BE43" s="11"/>
    </row>
    <row r="44" spans="12:67" x14ac:dyDescent="0.2">
      <c r="L44" s="232"/>
      <c r="M44" s="11"/>
      <c r="N44" s="11"/>
      <c r="O44" s="11"/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11"/>
      <c r="AL44" s="11"/>
      <c r="AM44" s="11"/>
      <c r="AN44" s="11"/>
      <c r="AO44" s="11"/>
      <c r="AP44" s="11"/>
    </row>
    <row r="45" spans="12:67" x14ac:dyDescent="0.2">
      <c r="L45" s="16" t="str">
        <f>'Occ T3'!A47</f>
        <v>Elementary occupations</v>
      </c>
      <c r="M45" s="86">
        <f t="shared" ref="M45:P45" si="15">SUM(M46:M47)</f>
        <v>145.28232327942061</v>
      </c>
      <c r="N45" s="86">
        <f t="shared" si="15"/>
        <v>141.02098151401603</v>
      </c>
      <c r="O45" s="86">
        <f t="shared" si="15"/>
        <v>135.15099211488129</v>
      </c>
      <c r="P45" s="86">
        <f t="shared" si="15"/>
        <v>139.89723420608368</v>
      </c>
      <c r="Q45" s="86">
        <f>SUM(Q46:Q47)</f>
        <v>141.97540442020031</v>
      </c>
      <c r="R45" s="86">
        <f t="shared" ref="R45:AL45" si="16">SUM(R46:R47)</f>
        <v>149.64446770585877</v>
      </c>
      <c r="S45" s="86">
        <f t="shared" si="16"/>
        <v>144.56798580024372</v>
      </c>
      <c r="T45" s="86">
        <f t="shared" si="16"/>
        <v>153.87606216885106</v>
      </c>
      <c r="U45" s="86">
        <f t="shared" si="16"/>
        <v>146.14505336474551</v>
      </c>
      <c r="V45" s="86">
        <f t="shared" si="16"/>
        <v>143.17585623854376</v>
      </c>
      <c r="W45" s="86">
        <f t="shared" si="16"/>
        <v>133.81868649587605</v>
      </c>
      <c r="X45" s="86">
        <f t="shared" si="16"/>
        <v>133.88541479388488</v>
      </c>
      <c r="Y45" s="86">
        <f t="shared" si="16"/>
        <v>132.38379247858012</v>
      </c>
      <c r="Z45" s="86">
        <f t="shared" si="16"/>
        <v>131.67078274559302</v>
      </c>
      <c r="AA45" s="86">
        <f t="shared" si="16"/>
        <v>131.42215736990141</v>
      </c>
      <c r="AB45" s="86">
        <f t="shared" si="16"/>
        <v>131.22981971569683</v>
      </c>
      <c r="AC45" s="86">
        <f t="shared" si="16"/>
        <v>131.08402034928224</v>
      </c>
      <c r="AD45" s="86">
        <f t="shared" si="16"/>
        <v>130.90313443859333</v>
      </c>
      <c r="AE45" s="86">
        <f t="shared" si="16"/>
        <v>130.81051039590835</v>
      </c>
      <c r="AF45" s="86">
        <f t="shared" si="16"/>
        <v>130.70914724103849</v>
      </c>
      <c r="AG45" s="86">
        <f t="shared" si="16"/>
        <v>130.61562143779059</v>
      </c>
      <c r="AH45" s="86">
        <f t="shared" si="16"/>
        <v>130.50049522947177</v>
      </c>
      <c r="AI45" s="86">
        <f t="shared" si="16"/>
        <v>130.45756668185888</v>
      </c>
      <c r="AJ45" s="86">
        <f t="shared" si="16"/>
        <v>130.37070298808098</v>
      </c>
      <c r="AK45" s="86">
        <f t="shared" si="16"/>
        <v>130.23862595225572</v>
      </c>
      <c r="AL45" s="86">
        <f t="shared" si="16"/>
        <v>130.05371150291043</v>
      </c>
      <c r="AM45" s="11"/>
      <c r="AN45" s="11"/>
      <c r="AO45" s="11"/>
      <c r="AP45" s="11"/>
      <c r="AQ45" s="11"/>
      <c r="AR45" s="11"/>
      <c r="AS45" s="11"/>
      <c r="AT45" s="11"/>
      <c r="AU45" s="11"/>
      <c r="AV45" s="11"/>
      <c r="AW45" s="11"/>
      <c r="AX45" s="11"/>
      <c r="AY45" s="11"/>
      <c r="AZ45" s="11"/>
      <c r="BA45" s="11"/>
      <c r="BB45" s="11"/>
      <c r="BC45" s="11"/>
      <c r="BD45" s="11"/>
      <c r="BE45" s="11"/>
    </row>
    <row r="46" spans="12:67" x14ac:dyDescent="0.2">
      <c r="L46" s="232" t="str">
        <f>'Occ T3'!A48</f>
        <v>91 Elementary trades and related occupations</v>
      </c>
      <c r="M46" s="11">
        <v>18.60216850308505</v>
      </c>
      <c r="N46" s="11">
        <v>18.070236442891964</v>
      </c>
      <c r="O46" s="11">
        <v>17.747521550914829</v>
      </c>
      <c r="P46" s="11">
        <v>18.38102415178793</v>
      </c>
      <c r="Q46" s="11">
        <v>20.560825173727739</v>
      </c>
      <c r="R46" s="11">
        <v>20.317502556909954</v>
      </c>
      <c r="S46" s="11">
        <v>19.759367097362116</v>
      </c>
      <c r="T46" s="11">
        <v>18.741014377578551</v>
      </c>
      <c r="U46" s="11">
        <v>20.070686704632362</v>
      </c>
      <c r="V46" s="11">
        <v>17.904540418703959</v>
      </c>
      <c r="W46" s="11">
        <v>15.637941740926959</v>
      </c>
      <c r="X46" s="11">
        <v>12.989538988584043</v>
      </c>
      <c r="Y46" s="11">
        <v>12.88297838263248</v>
      </c>
      <c r="Z46" s="11">
        <v>12.780137144786185</v>
      </c>
      <c r="AA46" s="11">
        <v>12.708410247076674</v>
      </c>
      <c r="AB46" s="11">
        <v>12.63088442456316</v>
      </c>
      <c r="AC46" s="11">
        <v>12.542133454281998</v>
      </c>
      <c r="AD46" s="11">
        <v>12.451763902679128</v>
      </c>
      <c r="AE46" s="11">
        <v>12.359395275012563</v>
      </c>
      <c r="AF46" s="11">
        <v>12.264552688211493</v>
      </c>
      <c r="AG46" s="11">
        <v>12.173734875866328</v>
      </c>
      <c r="AH46" s="11">
        <v>12.085268127655459</v>
      </c>
      <c r="AI46" s="11">
        <v>11.993451983906473</v>
      </c>
      <c r="AJ46" s="11">
        <v>11.902708920126154</v>
      </c>
      <c r="AK46" s="11">
        <v>11.818088219433472</v>
      </c>
      <c r="AL46" s="11">
        <v>11.728541244332119</v>
      </c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11"/>
      <c r="AY46" s="11"/>
      <c r="AZ46" s="11"/>
      <c r="BA46" s="11"/>
      <c r="BB46" s="11"/>
      <c r="BC46" s="11"/>
      <c r="BD46" s="11"/>
      <c r="BE46" s="11"/>
    </row>
    <row r="47" spans="12:67" x14ac:dyDescent="0.2">
      <c r="L47" s="232" t="str">
        <f>'Occ T3'!A49</f>
        <v>92 Elementary administration and service occupations</v>
      </c>
      <c r="M47" s="11">
        <v>126.68015477633557</v>
      </c>
      <c r="N47" s="11">
        <v>122.95074507112406</v>
      </c>
      <c r="O47" s="11">
        <v>117.40347056396645</v>
      </c>
      <c r="P47" s="11">
        <v>121.51621005429574</v>
      </c>
      <c r="Q47" s="11">
        <v>121.41457924647256</v>
      </c>
      <c r="R47" s="11">
        <v>129.32696514894883</v>
      </c>
      <c r="S47" s="11">
        <v>124.80861870288162</v>
      </c>
      <c r="T47" s="11">
        <v>135.13504779127251</v>
      </c>
      <c r="U47" s="11">
        <v>126.07436666011316</v>
      </c>
      <c r="V47" s="11">
        <v>125.2713158198398</v>
      </c>
      <c r="W47" s="11">
        <v>118.1807447549491</v>
      </c>
      <c r="X47" s="11">
        <v>120.89587580530083</v>
      </c>
      <c r="Y47" s="11">
        <v>119.50081409594763</v>
      </c>
      <c r="Z47" s="11">
        <v>118.89064560080682</v>
      </c>
      <c r="AA47" s="11">
        <v>118.71374712282474</v>
      </c>
      <c r="AB47" s="11">
        <v>118.59893529113367</v>
      </c>
      <c r="AC47" s="11">
        <v>118.54188689500023</v>
      </c>
      <c r="AD47" s="11">
        <v>118.45137053591419</v>
      </c>
      <c r="AE47" s="11">
        <v>118.45111512089578</v>
      </c>
      <c r="AF47" s="11">
        <v>118.444594552827</v>
      </c>
      <c r="AG47" s="11">
        <v>118.44188656192428</v>
      </c>
      <c r="AH47" s="11">
        <v>118.4152271018163</v>
      </c>
      <c r="AI47" s="11">
        <v>118.4641146979524</v>
      </c>
      <c r="AJ47" s="11">
        <v>118.46799406795483</v>
      </c>
      <c r="AK47" s="11">
        <v>118.42053773282224</v>
      </c>
      <c r="AL47" s="11">
        <v>118.32517025857831</v>
      </c>
      <c r="AM47" s="11"/>
      <c r="AN47" s="11"/>
      <c r="AO47" s="11"/>
      <c r="AP47" s="11"/>
      <c r="AQ47" s="11"/>
      <c r="AR47" s="11"/>
      <c r="AS47" s="11"/>
      <c r="AT47" s="11"/>
      <c r="AU47" s="11"/>
      <c r="AV47" s="11"/>
      <c r="AW47" s="11"/>
      <c r="AX47" s="11"/>
      <c r="AY47" s="11"/>
      <c r="AZ47" s="11"/>
      <c r="BA47" s="11"/>
      <c r="BB47" s="11"/>
      <c r="BC47" s="11"/>
      <c r="BD47" s="11"/>
      <c r="BE47" s="11"/>
    </row>
    <row r="48" spans="12:67" x14ac:dyDescent="0.2">
      <c r="L48" s="232"/>
      <c r="M48" s="11"/>
      <c r="N48" s="11"/>
      <c r="O48" s="11"/>
      <c r="P48" s="11"/>
      <c r="Q48" s="11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11"/>
      <c r="AL48" s="11"/>
      <c r="AM48" s="11"/>
      <c r="AN48" s="11"/>
      <c r="AO48" s="11"/>
      <c r="AP48" s="11"/>
      <c r="AQ48" s="11"/>
      <c r="AR48" s="11"/>
      <c r="AS48" s="11"/>
      <c r="AT48" s="11"/>
      <c r="AU48" s="11"/>
      <c r="AV48" s="11"/>
      <c r="AW48" s="11"/>
      <c r="AX48" s="11"/>
      <c r="AY48" s="11"/>
      <c r="AZ48" s="11"/>
      <c r="BA48" s="11"/>
      <c r="BB48" s="11"/>
      <c r="BC48" s="11"/>
      <c r="BD48" s="11"/>
      <c r="BE48" s="11"/>
    </row>
    <row r="49" spans="1:57" x14ac:dyDescent="0.2">
      <c r="L49" s="16" t="str">
        <f>'Occ T3'!A51</f>
        <v>All occupations</v>
      </c>
      <c r="M49" s="86">
        <f>SUM(M5,M9,M15,M22,M26,M32,M37,M41,M45)</f>
        <v>1171.566999998832</v>
      </c>
      <c r="N49" s="86">
        <f t="shared" ref="N49:P49" si="17">SUM(N5,N9,N15,N22,N26,N32,N37,N41,N45)</f>
        <v>1144.8989999988157</v>
      </c>
      <c r="O49" s="86">
        <f t="shared" si="17"/>
        <v>1125.8369999989466</v>
      </c>
      <c r="P49" s="86">
        <f t="shared" si="17"/>
        <v>1141.0019999988153</v>
      </c>
      <c r="Q49" s="86">
        <f>SUM(Q5,Q9,Q15,Q22,Q26,Q32,Q37,Q41,Q45)</f>
        <v>1169.6560000007187</v>
      </c>
      <c r="R49" s="86">
        <f t="shared" ref="R49:AL49" si="18">SUM(R5,R9,R15,R22,R26,R32,R37,R41,R45)</f>
        <v>1207.7030000016521</v>
      </c>
      <c r="S49" s="86">
        <f t="shared" si="18"/>
        <v>1157.7190000007668</v>
      </c>
      <c r="T49" s="86">
        <f t="shared" si="18"/>
        <v>1177.320000001424</v>
      </c>
      <c r="U49" s="86">
        <f t="shared" si="18"/>
        <v>1197.1680000002555</v>
      </c>
      <c r="V49" s="86">
        <f t="shared" si="18"/>
        <v>1194.8680000007776</v>
      </c>
      <c r="W49" s="86">
        <f t="shared" si="18"/>
        <v>1189.3390000002908</v>
      </c>
      <c r="X49" s="86">
        <f t="shared" si="18"/>
        <v>1190.5169999986724</v>
      </c>
      <c r="Y49" s="86">
        <f t="shared" si="18"/>
        <v>1192.5410000007428</v>
      </c>
      <c r="Z49" s="86">
        <f t="shared" si="18"/>
        <v>1196.8970000011029</v>
      </c>
      <c r="AA49" s="86">
        <f t="shared" si="18"/>
        <v>1203.4300000009046</v>
      </c>
      <c r="AB49" s="86">
        <f t="shared" si="18"/>
        <v>1208.7760000004321</v>
      </c>
      <c r="AC49" s="86">
        <f t="shared" si="18"/>
        <v>1213.1280000001902</v>
      </c>
      <c r="AD49" s="86">
        <f t="shared" si="18"/>
        <v>1217.0550000008832</v>
      </c>
      <c r="AE49" s="86">
        <f t="shared" si="18"/>
        <v>1220.9950000008187</v>
      </c>
      <c r="AF49" s="86">
        <f t="shared" si="18"/>
        <v>1224.9510000008547</v>
      </c>
      <c r="AG49" s="86">
        <f t="shared" si="18"/>
        <v>1229.3320000005783</v>
      </c>
      <c r="AH49" s="86">
        <f t="shared" si="18"/>
        <v>1233.6120000010105</v>
      </c>
      <c r="AI49" s="86">
        <f t="shared" si="18"/>
        <v>1237.9190000008223</v>
      </c>
      <c r="AJ49" s="86">
        <f t="shared" si="18"/>
        <v>1242.3250000008197</v>
      </c>
      <c r="AK49" s="86">
        <f t="shared" si="18"/>
        <v>1246.7030000005641</v>
      </c>
      <c r="AL49" s="86">
        <f t="shared" si="18"/>
        <v>1250.9970000002124</v>
      </c>
      <c r="AM49" s="11"/>
      <c r="AN49" s="11"/>
      <c r="AO49" s="11"/>
      <c r="AP49" s="11"/>
      <c r="AQ49" s="11"/>
      <c r="AR49" s="11"/>
      <c r="AS49" s="11"/>
      <c r="AT49" s="11"/>
      <c r="AU49" s="11"/>
      <c r="AV49" s="11"/>
      <c r="AW49" s="11"/>
      <c r="AX49" s="11"/>
      <c r="AY49" s="11"/>
      <c r="AZ49" s="11"/>
      <c r="BA49" s="11"/>
      <c r="BB49" s="11"/>
      <c r="BC49" s="11"/>
      <c r="BD49" s="11"/>
      <c r="BE49" s="11"/>
    </row>
    <row r="50" spans="1:57" x14ac:dyDescent="0.2">
      <c r="L50" s="232"/>
      <c r="M50" s="11"/>
      <c r="N50" s="11"/>
      <c r="O50" s="11"/>
      <c r="P50" s="11"/>
      <c r="Q50" s="11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11"/>
      <c r="AL50" s="11"/>
      <c r="AM50" s="11"/>
      <c r="AN50" s="11"/>
      <c r="AO50" s="11"/>
      <c r="AP50" s="11"/>
      <c r="AQ50" s="11"/>
      <c r="AR50" s="11"/>
      <c r="AS50" s="11"/>
      <c r="AT50" s="11"/>
      <c r="AU50" s="11"/>
      <c r="AV50" s="11"/>
      <c r="AW50" s="11"/>
      <c r="AX50" s="11"/>
      <c r="AY50" s="11"/>
      <c r="AZ50" s="11"/>
      <c r="BA50" s="11"/>
    </row>
    <row r="51" spans="1:57" x14ac:dyDescent="0.2">
      <c r="L51" s="1" t="s">
        <v>61</v>
      </c>
      <c r="M51" s="47">
        <f>M4</f>
        <v>2010</v>
      </c>
      <c r="N51" s="47">
        <f t="shared" ref="N51:AL51" si="19">N4</f>
        <v>2011</v>
      </c>
      <c r="O51" s="47">
        <f t="shared" si="19"/>
        <v>2012</v>
      </c>
      <c r="P51" s="47">
        <f t="shared" si="19"/>
        <v>2013</v>
      </c>
      <c r="Q51" s="47">
        <f t="shared" si="19"/>
        <v>2014</v>
      </c>
      <c r="R51" s="47">
        <f t="shared" si="19"/>
        <v>2015</v>
      </c>
      <c r="S51" s="47">
        <f t="shared" si="19"/>
        <v>2016</v>
      </c>
      <c r="T51" s="47">
        <f t="shared" si="19"/>
        <v>2017</v>
      </c>
      <c r="U51" s="47">
        <f t="shared" si="19"/>
        <v>2018</v>
      </c>
      <c r="V51" s="47">
        <f t="shared" si="19"/>
        <v>2019</v>
      </c>
      <c r="W51" s="47">
        <f t="shared" si="19"/>
        <v>2020</v>
      </c>
      <c r="X51" s="47">
        <f t="shared" si="19"/>
        <v>2021</v>
      </c>
      <c r="Y51" s="47">
        <f t="shared" si="19"/>
        <v>2022</v>
      </c>
      <c r="Z51" s="47">
        <f t="shared" si="19"/>
        <v>2023</v>
      </c>
      <c r="AA51" s="47">
        <f t="shared" si="19"/>
        <v>2024</v>
      </c>
      <c r="AB51" s="47">
        <f t="shared" si="19"/>
        <v>2025</v>
      </c>
      <c r="AC51" s="47">
        <f t="shared" si="19"/>
        <v>2026</v>
      </c>
      <c r="AD51" s="47">
        <f t="shared" si="19"/>
        <v>2027</v>
      </c>
      <c r="AE51" s="47">
        <f t="shared" si="19"/>
        <v>2028</v>
      </c>
      <c r="AF51" s="47">
        <f t="shared" si="19"/>
        <v>2029</v>
      </c>
      <c r="AG51" s="47">
        <f t="shared" si="19"/>
        <v>2030</v>
      </c>
      <c r="AH51" s="47">
        <f t="shared" si="19"/>
        <v>2031</v>
      </c>
      <c r="AI51" s="47">
        <f t="shared" si="19"/>
        <v>2032</v>
      </c>
      <c r="AJ51" s="47">
        <f t="shared" si="19"/>
        <v>2033</v>
      </c>
      <c r="AK51" s="47">
        <f t="shared" si="19"/>
        <v>2034</v>
      </c>
      <c r="AL51" s="47">
        <f t="shared" si="19"/>
        <v>2035</v>
      </c>
    </row>
    <row r="52" spans="1:57" x14ac:dyDescent="0.2">
      <c r="L52" s="16" t="str">
        <f>'Occ T3'!A7</f>
        <v>Managers, directors and senior officials</v>
      </c>
      <c r="M52" s="336">
        <f>M5/M$49</f>
        <v>6.4924847441326761E-2</v>
      </c>
      <c r="N52" s="336">
        <f t="shared" ref="N52:AG52" si="20">N5/N$49</f>
        <v>7.0877791244100694E-2</v>
      </c>
      <c r="O52" s="336">
        <f t="shared" si="20"/>
        <v>7.1990227817176497E-2</v>
      </c>
      <c r="P52" s="336">
        <f t="shared" si="20"/>
        <v>7.4608024880229495E-2</v>
      </c>
      <c r="Q52" s="336">
        <f t="shared" si="20"/>
        <v>7.1120811401198455E-2</v>
      </c>
      <c r="R52" s="336">
        <f t="shared" si="20"/>
        <v>7.3343026451269236E-2</v>
      </c>
      <c r="S52" s="336">
        <f t="shared" si="20"/>
        <v>7.0498818728102181E-2</v>
      </c>
      <c r="T52" s="336">
        <f t="shared" si="20"/>
        <v>7.2720602352511737E-2</v>
      </c>
      <c r="U52" s="336">
        <f t="shared" si="20"/>
        <v>7.570101560350441E-2</v>
      </c>
      <c r="V52" s="336">
        <f t="shared" si="20"/>
        <v>8.3440641683514588E-2</v>
      </c>
      <c r="W52" s="336">
        <f t="shared" si="20"/>
        <v>8.3851406608404191E-2</v>
      </c>
      <c r="X52" s="336">
        <f t="shared" si="20"/>
        <v>8.1790927278273334E-2</v>
      </c>
      <c r="Y52" s="336">
        <f t="shared" si="20"/>
        <v>8.2309036876815553E-2</v>
      </c>
      <c r="Z52" s="336">
        <f t="shared" si="20"/>
        <v>8.3012411679290854E-2</v>
      </c>
      <c r="AA52" s="336">
        <f t="shared" si="20"/>
        <v>8.3773069043156179E-2</v>
      </c>
      <c r="AB52" s="336">
        <f t="shared" si="20"/>
        <v>8.4547869429251854E-2</v>
      </c>
      <c r="AC52" s="336">
        <f t="shared" si="20"/>
        <v>8.5322264314821691E-2</v>
      </c>
      <c r="AD52" s="336">
        <f t="shared" si="20"/>
        <v>8.6162404167870146E-2</v>
      </c>
      <c r="AE52" s="336">
        <f t="shared" si="20"/>
        <v>8.7025193137439949E-2</v>
      </c>
      <c r="AF52" s="336">
        <f t="shared" si="20"/>
        <v>8.7873280749873398E-2</v>
      </c>
      <c r="AG52" s="336">
        <f t="shared" si="20"/>
        <v>8.8721969308385329E-2</v>
      </c>
      <c r="AH52" s="336">
        <f t="shared" ref="AH52:AL52" si="21">AH5/AH$49</f>
        <v>8.9663321772355115E-2</v>
      </c>
      <c r="AI52" s="336">
        <f t="shared" si="21"/>
        <v>9.0692707452730587E-2</v>
      </c>
      <c r="AJ52" s="336">
        <f t="shared" si="21"/>
        <v>9.1547142461533254E-2</v>
      </c>
      <c r="AK52" s="336">
        <f t="shared" si="21"/>
        <v>9.2365394252552996E-2</v>
      </c>
      <c r="AL52" s="336">
        <f t="shared" si="21"/>
        <v>9.2813878870148414E-2</v>
      </c>
      <c r="AM52" s="11"/>
      <c r="AN52" s="11"/>
      <c r="AO52" s="11"/>
      <c r="AP52" s="11"/>
      <c r="AQ52" s="11"/>
      <c r="AR52" s="11"/>
      <c r="AS52" s="11"/>
      <c r="AT52" s="11"/>
      <c r="AU52" s="11"/>
      <c r="AV52" s="11"/>
      <c r="AW52" s="11"/>
      <c r="AX52" s="11"/>
      <c r="AY52" s="11"/>
      <c r="AZ52" s="11"/>
      <c r="BA52" s="11"/>
    </row>
    <row r="53" spans="1:57" x14ac:dyDescent="0.2">
      <c r="L53" s="232" t="str">
        <f>'Occ T3'!A8</f>
        <v>11 Corporate managers and directors</v>
      </c>
      <c r="M53" s="335">
        <f t="shared" ref="M53:AG53" si="22">M6/M$49</f>
        <v>4.0963694385420968E-2</v>
      </c>
      <c r="N53" s="335">
        <f t="shared" si="22"/>
        <v>4.3667877925550526E-2</v>
      </c>
      <c r="O53" s="335">
        <f t="shared" si="22"/>
        <v>4.4306540163478653E-2</v>
      </c>
      <c r="P53" s="335">
        <f t="shared" si="22"/>
        <v>4.5365034561052175E-2</v>
      </c>
      <c r="Q53" s="335">
        <f t="shared" si="22"/>
        <v>4.2489888457415581E-2</v>
      </c>
      <c r="R53" s="335">
        <f t="shared" si="22"/>
        <v>4.3710731500617508E-2</v>
      </c>
      <c r="S53" s="335">
        <f t="shared" si="22"/>
        <v>4.5741158306863053E-2</v>
      </c>
      <c r="T53" s="335">
        <f t="shared" si="22"/>
        <v>4.6156818724288486E-2</v>
      </c>
      <c r="U53" s="335">
        <f t="shared" si="22"/>
        <v>4.855590098927131E-2</v>
      </c>
      <c r="V53" s="335">
        <f t="shared" si="22"/>
        <v>5.0471883959369516E-2</v>
      </c>
      <c r="W53" s="335">
        <f t="shared" si="22"/>
        <v>5.1935057366943427E-2</v>
      </c>
      <c r="X53" s="335">
        <f t="shared" si="22"/>
        <v>4.609335657976435E-2</v>
      </c>
      <c r="Y53" s="335">
        <f t="shared" si="22"/>
        <v>4.6275288756456763E-2</v>
      </c>
      <c r="Z53" s="335">
        <f t="shared" si="22"/>
        <v>4.6514313269052386E-2</v>
      </c>
      <c r="AA53" s="335">
        <f t="shared" si="22"/>
        <v>4.6751158885419919E-2</v>
      </c>
      <c r="AB53" s="335">
        <f t="shared" si="22"/>
        <v>4.6992140725172701E-2</v>
      </c>
      <c r="AC53" s="335">
        <f t="shared" si="22"/>
        <v>4.7253381445422495E-2</v>
      </c>
      <c r="AD53" s="335">
        <f t="shared" si="22"/>
        <v>4.754550918543983E-2</v>
      </c>
      <c r="AE53" s="335">
        <f t="shared" si="22"/>
        <v>4.7847927903779681E-2</v>
      </c>
      <c r="AF53" s="335">
        <f t="shared" si="22"/>
        <v>4.8141155587759603E-2</v>
      </c>
      <c r="AG53" s="335">
        <f t="shared" si="22"/>
        <v>4.8436443836398606E-2</v>
      </c>
      <c r="AH53" s="335">
        <f t="shared" ref="AH53:AL53" si="23">AH6/AH$49</f>
        <v>4.8765752845950291E-2</v>
      </c>
      <c r="AI53" s="335">
        <f t="shared" si="23"/>
        <v>4.9124843809597106E-2</v>
      </c>
      <c r="AJ53" s="335">
        <f t="shared" si="23"/>
        <v>4.9424737058229036E-2</v>
      </c>
      <c r="AK53" s="335">
        <f t="shared" si="23"/>
        <v>4.9733161733499863E-2</v>
      </c>
      <c r="AL53" s="335">
        <f t="shared" si="23"/>
        <v>4.9995720205179922E-2</v>
      </c>
      <c r="AM53" s="11"/>
      <c r="AN53" s="11"/>
      <c r="AO53" s="11"/>
      <c r="AP53" s="11"/>
      <c r="AQ53" s="11"/>
      <c r="AR53" s="11"/>
      <c r="AS53" s="11"/>
      <c r="AT53" s="11"/>
      <c r="AU53" s="11"/>
      <c r="AV53" s="11"/>
      <c r="AW53" s="11"/>
      <c r="AX53" s="11"/>
      <c r="AY53" s="11"/>
      <c r="AZ53" s="11"/>
      <c r="BA53" s="11"/>
    </row>
    <row r="54" spans="1:57" x14ac:dyDescent="0.2">
      <c r="L54" s="232" t="str">
        <f>'Occ T3'!A9</f>
        <v>12 Other managers and proprietors</v>
      </c>
      <c r="M54" s="335">
        <f t="shared" ref="M54:AG54" si="24">M7/M$49</f>
        <v>2.3961153055905793E-2</v>
      </c>
      <c r="N54" s="335">
        <f t="shared" si="24"/>
        <v>2.7209913318550168E-2</v>
      </c>
      <c r="O54" s="335">
        <f t="shared" si="24"/>
        <v>2.7683687653697844E-2</v>
      </c>
      <c r="P54" s="335">
        <f t="shared" si="24"/>
        <v>2.9242990319177316E-2</v>
      </c>
      <c r="Q54" s="335">
        <f t="shared" si="24"/>
        <v>2.8630922943782888E-2</v>
      </c>
      <c r="R54" s="335">
        <f t="shared" si="24"/>
        <v>2.9632294950651731E-2</v>
      </c>
      <c r="S54" s="335">
        <f t="shared" si="24"/>
        <v>2.4757660421239131E-2</v>
      </c>
      <c r="T54" s="335">
        <f t="shared" si="24"/>
        <v>2.6563783628223262E-2</v>
      </c>
      <c r="U54" s="335">
        <f t="shared" si="24"/>
        <v>2.7145114614233107E-2</v>
      </c>
      <c r="V54" s="335">
        <f t="shared" si="24"/>
        <v>3.2968757724145079E-2</v>
      </c>
      <c r="W54" s="335">
        <f t="shared" si="24"/>
        <v>3.1916349241460765E-2</v>
      </c>
      <c r="X54" s="335">
        <f t="shared" si="24"/>
        <v>3.5697570698508992E-2</v>
      </c>
      <c r="Y54" s="335">
        <f t="shared" si="24"/>
        <v>3.6033748120358783E-2</v>
      </c>
      <c r="Z54" s="335">
        <f t="shared" si="24"/>
        <v>3.6498098410238468E-2</v>
      </c>
      <c r="AA54" s="335">
        <f t="shared" si="24"/>
        <v>3.7021910157736267E-2</v>
      </c>
      <c r="AB54" s="335">
        <f t="shared" si="24"/>
        <v>3.7555728704079146E-2</v>
      </c>
      <c r="AC54" s="335">
        <f t="shared" si="24"/>
        <v>3.806888286939919E-2</v>
      </c>
      <c r="AD54" s="335">
        <f t="shared" si="24"/>
        <v>3.861689498243031E-2</v>
      </c>
      <c r="AE54" s="335">
        <f t="shared" si="24"/>
        <v>3.9177265233660274E-2</v>
      </c>
      <c r="AF54" s="335">
        <f t="shared" si="24"/>
        <v>3.9732125162113802E-2</v>
      </c>
      <c r="AG54" s="335">
        <f t="shared" si="24"/>
        <v>4.0285525471986737E-2</v>
      </c>
      <c r="AH54" s="335">
        <f t="shared" ref="AH54:AL54" si="25">AH7/AH$49</f>
        <v>4.0897568926404837E-2</v>
      </c>
      <c r="AI54" s="335">
        <f t="shared" si="25"/>
        <v>4.1567863643133494E-2</v>
      </c>
      <c r="AJ54" s="335">
        <f t="shared" si="25"/>
        <v>4.2122405403304218E-2</v>
      </c>
      <c r="AK54" s="335">
        <f t="shared" si="25"/>
        <v>4.2632232519053133E-2</v>
      </c>
      <c r="AL54" s="335">
        <f t="shared" si="25"/>
        <v>4.2818158664968485E-2</v>
      </c>
      <c r="AM54" s="11"/>
      <c r="AN54" s="11"/>
      <c r="AO54" s="11"/>
      <c r="AP54" s="11"/>
      <c r="AQ54" s="11"/>
      <c r="AR54" s="11"/>
      <c r="AS54" s="11"/>
      <c r="AT54" s="11"/>
      <c r="AU54" s="11"/>
      <c r="AV54" s="11"/>
      <c r="AW54" s="11"/>
      <c r="AX54" s="11"/>
      <c r="AY54" s="11"/>
      <c r="AZ54" s="11"/>
      <c r="BA54" s="11"/>
    </row>
    <row r="55" spans="1:57" x14ac:dyDescent="0.2">
      <c r="L55" s="232"/>
      <c r="M55" s="335"/>
      <c r="N55" s="335"/>
      <c r="O55" s="335"/>
      <c r="P55" s="335"/>
      <c r="Q55" s="335"/>
      <c r="R55" s="335"/>
      <c r="S55" s="335"/>
      <c r="T55" s="335"/>
      <c r="U55" s="335"/>
      <c r="V55" s="335"/>
      <c r="W55" s="335"/>
      <c r="X55" s="335"/>
      <c r="Y55" s="335"/>
      <c r="Z55" s="335"/>
      <c r="AA55" s="335"/>
      <c r="AB55" s="335"/>
      <c r="AC55" s="335"/>
      <c r="AD55" s="335"/>
      <c r="AE55" s="335"/>
      <c r="AF55" s="335"/>
      <c r="AG55" s="335"/>
      <c r="AH55" s="335"/>
      <c r="AI55" s="335"/>
      <c r="AJ55" s="335"/>
      <c r="AK55" s="335"/>
      <c r="AL55" s="335"/>
      <c r="AM55" s="11"/>
      <c r="AN55" s="11"/>
      <c r="AO55" s="11"/>
      <c r="AP55" s="11"/>
      <c r="AQ55" s="11"/>
      <c r="AR55" s="11"/>
      <c r="AS55" s="11"/>
      <c r="AT55" s="11"/>
      <c r="AU55" s="11"/>
      <c r="AV55" s="11"/>
      <c r="AW55" s="11"/>
      <c r="AX55" s="11"/>
      <c r="AY55" s="11"/>
      <c r="AZ55" s="11"/>
      <c r="BA55" s="11"/>
    </row>
    <row r="56" spans="1:57" x14ac:dyDescent="0.2">
      <c r="L56" s="16" t="str">
        <f>'Occ T3'!A11</f>
        <v>Professional occupations</v>
      </c>
      <c r="M56" s="336">
        <f t="shared" ref="M56:AG56" si="26">M9/M$49</f>
        <v>0.190273737896544</v>
      </c>
      <c r="N56" s="336">
        <f t="shared" si="26"/>
        <v>0.18486886022294072</v>
      </c>
      <c r="O56" s="336">
        <f t="shared" si="26"/>
        <v>0.19254795306754241</v>
      </c>
      <c r="P56" s="336">
        <f t="shared" si="26"/>
        <v>0.18794990579105325</v>
      </c>
      <c r="Q56" s="336">
        <f t="shared" si="26"/>
        <v>0.18938233117387726</v>
      </c>
      <c r="R56" s="336">
        <f t="shared" si="26"/>
        <v>0.19167852128166946</v>
      </c>
      <c r="S56" s="336">
        <f t="shared" si="26"/>
        <v>0.19416070029575438</v>
      </c>
      <c r="T56" s="336">
        <f t="shared" si="26"/>
        <v>0.1912652553773404</v>
      </c>
      <c r="U56" s="336">
        <f t="shared" si="26"/>
        <v>0.19528580124917547</v>
      </c>
      <c r="V56" s="336">
        <f t="shared" si="26"/>
        <v>0.19891139671424754</v>
      </c>
      <c r="W56" s="336">
        <f t="shared" si="26"/>
        <v>0.21419816980832795</v>
      </c>
      <c r="X56" s="336">
        <f t="shared" si="26"/>
        <v>0.22050161441971117</v>
      </c>
      <c r="Y56" s="336">
        <f t="shared" si="26"/>
        <v>0.22313404564057329</v>
      </c>
      <c r="Z56" s="336">
        <f t="shared" si="26"/>
        <v>0.2251537537256656</v>
      </c>
      <c r="AA56" s="336">
        <f t="shared" si="26"/>
        <v>0.22700529246547066</v>
      </c>
      <c r="AB56" s="336">
        <f t="shared" si="26"/>
        <v>0.22861025273333013</v>
      </c>
      <c r="AC56" s="336">
        <f t="shared" si="26"/>
        <v>0.23021484759526636</v>
      </c>
      <c r="AD56" s="336">
        <f t="shared" si="26"/>
        <v>0.23186624208784035</v>
      </c>
      <c r="AE56" s="336">
        <f t="shared" si="26"/>
        <v>0.23350581627161301</v>
      </c>
      <c r="AF56" s="336">
        <f t="shared" si="26"/>
        <v>0.23513982225660571</v>
      </c>
      <c r="AG56" s="336">
        <f t="shared" si="26"/>
        <v>0.2368002181457842</v>
      </c>
      <c r="AH56" s="336">
        <f t="shared" ref="AH56:AL56" si="27">AH9/AH$49</f>
        <v>0.23856447572157052</v>
      </c>
      <c r="AI56" s="336">
        <f t="shared" si="27"/>
        <v>0.24028971480552166</v>
      </c>
      <c r="AJ56" s="336">
        <f t="shared" si="27"/>
        <v>0.24198092333203522</v>
      </c>
      <c r="AK56" s="336">
        <f t="shared" si="27"/>
        <v>0.24365820598850724</v>
      </c>
      <c r="AL56" s="336">
        <f t="shared" si="27"/>
        <v>0.2452340836095542</v>
      </c>
    </row>
    <row r="57" spans="1:57" x14ac:dyDescent="0.2">
      <c r="L57" s="232" t="str">
        <f>'Occ T3'!A12</f>
        <v>21 Science, research, engineering and technology professionals</v>
      </c>
      <c r="M57" s="335">
        <f t="shared" ref="M57:AG57" si="28">M10/M$49</f>
        <v>4.5715321340713419E-2</v>
      </c>
      <c r="N57" s="335">
        <f t="shared" si="28"/>
        <v>4.3265752156979247E-2</v>
      </c>
      <c r="O57" s="335">
        <f t="shared" si="28"/>
        <v>4.3598999573791958E-2</v>
      </c>
      <c r="P57" s="335">
        <f t="shared" si="28"/>
        <v>4.2058545201869475E-2</v>
      </c>
      <c r="Q57" s="335">
        <f t="shared" si="28"/>
        <v>4.2018630970547165E-2</v>
      </c>
      <c r="R57" s="335">
        <f t="shared" si="28"/>
        <v>4.395529806788645E-2</v>
      </c>
      <c r="S57" s="335">
        <f t="shared" si="28"/>
        <v>4.4281834562685703E-2</v>
      </c>
      <c r="T57" s="335">
        <f t="shared" si="28"/>
        <v>4.3355505557375877E-2</v>
      </c>
      <c r="U57" s="335">
        <f t="shared" si="28"/>
        <v>4.610893000921442E-2</v>
      </c>
      <c r="V57" s="335">
        <f t="shared" si="28"/>
        <v>4.6605197826616804E-2</v>
      </c>
      <c r="W57" s="335">
        <f t="shared" si="28"/>
        <v>4.8509055491796904E-2</v>
      </c>
      <c r="X57" s="335">
        <f t="shared" si="28"/>
        <v>4.8681749587869173E-2</v>
      </c>
      <c r="Y57" s="335">
        <f t="shared" si="28"/>
        <v>4.8916982306281651E-2</v>
      </c>
      <c r="Z57" s="335">
        <f t="shared" si="28"/>
        <v>4.9185864430792078E-2</v>
      </c>
      <c r="AA57" s="335">
        <f t="shared" si="28"/>
        <v>4.9464952295865519E-2</v>
      </c>
      <c r="AB57" s="335">
        <f t="shared" si="28"/>
        <v>4.9726521690915279E-2</v>
      </c>
      <c r="AC57" s="335">
        <f t="shared" si="28"/>
        <v>5.0003606776319265E-2</v>
      </c>
      <c r="AD57" s="335">
        <f t="shared" si="28"/>
        <v>5.0315594504657335E-2</v>
      </c>
      <c r="AE57" s="335">
        <f t="shared" si="28"/>
        <v>5.0646048481157849E-2</v>
      </c>
      <c r="AF57" s="335">
        <f t="shared" si="28"/>
        <v>5.097436330609964E-2</v>
      </c>
      <c r="AG57" s="335">
        <f t="shared" si="28"/>
        <v>5.1311126001569847E-2</v>
      </c>
      <c r="AH57" s="335">
        <f t="shared" ref="AH57:AL57" si="29">AH10/AH$49</f>
        <v>5.1652780640319473E-2</v>
      </c>
      <c r="AI57" s="335">
        <f t="shared" si="29"/>
        <v>5.1995074720744168E-2</v>
      </c>
      <c r="AJ57" s="335">
        <f t="shared" si="29"/>
        <v>5.2330217349266558E-2</v>
      </c>
      <c r="AK57" s="335">
        <f t="shared" si="29"/>
        <v>5.267965546982032E-2</v>
      </c>
      <c r="AL57" s="335">
        <f t="shared" si="29"/>
        <v>5.3023794405758613E-2</v>
      </c>
      <c r="AM57" s="11"/>
      <c r="AN57" s="11"/>
      <c r="AO57" s="11"/>
      <c r="AP57" s="11"/>
      <c r="AQ57" s="11"/>
      <c r="AR57" s="11"/>
      <c r="AS57" s="11"/>
      <c r="AT57" s="11"/>
      <c r="AU57" s="11"/>
      <c r="AV57" s="11"/>
      <c r="AW57" s="11"/>
      <c r="AX57" s="11"/>
      <c r="AY57" s="11"/>
      <c r="AZ57" s="11"/>
      <c r="BA57" s="11"/>
    </row>
    <row r="58" spans="1:57" x14ac:dyDescent="0.2">
      <c r="L58" s="232" t="str">
        <f>'Occ T3'!A13</f>
        <v>22 Health professionals</v>
      </c>
      <c r="M58" s="335">
        <f t="shared" ref="M58:AG58" si="30">M11/M$49</f>
        <v>5.2146978752564438E-2</v>
      </c>
      <c r="N58" s="335">
        <f t="shared" si="30"/>
        <v>5.2293546981902653E-2</v>
      </c>
      <c r="O58" s="335">
        <f t="shared" si="30"/>
        <v>5.6657207984088007E-2</v>
      </c>
      <c r="P58" s="335">
        <f t="shared" si="30"/>
        <v>5.791519339780344E-2</v>
      </c>
      <c r="Q58" s="335">
        <f t="shared" si="30"/>
        <v>6.2433812277966218E-2</v>
      </c>
      <c r="R58" s="335">
        <f t="shared" si="30"/>
        <v>6.1642157086693572E-2</v>
      </c>
      <c r="S58" s="335">
        <f t="shared" si="30"/>
        <v>6.217487579114276E-2</v>
      </c>
      <c r="T58" s="335">
        <f t="shared" si="30"/>
        <v>6.4013538246114818E-2</v>
      </c>
      <c r="U58" s="335">
        <f t="shared" si="30"/>
        <v>6.3007252224643581E-2</v>
      </c>
      <c r="V58" s="335">
        <f t="shared" si="30"/>
        <v>6.309067064784353E-2</v>
      </c>
      <c r="W58" s="335">
        <f t="shared" si="30"/>
        <v>6.7769219696203462E-2</v>
      </c>
      <c r="X58" s="335">
        <f t="shared" si="30"/>
        <v>7.0304127807290548E-2</v>
      </c>
      <c r="Y58" s="335">
        <f t="shared" si="30"/>
        <v>7.1274212358219319E-2</v>
      </c>
      <c r="Z58" s="335">
        <f t="shared" si="30"/>
        <v>7.2078487878576944E-2</v>
      </c>
      <c r="AA58" s="335">
        <f t="shared" si="30"/>
        <v>7.2811565569037423E-2</v>
      </c>
      <c r="AB58" s="335">
        <f t="shared" si="30"/>
        <v>7.3447697256033853E-2</v>
      </c>
      <c r="AC58" s="335">
        <f t="shared" si="30"/>
        <v>7.4075398799722317E-2</v>
      </c>
      <c r="AD58" s="335">
        <f t="shared" si="30"/>
        <v>7.4667879384451366E-2</v>
      </c>
      <c r="AE58" s="335">
        <f t="shared" si="30"/>
        <v>7.5195182841201622E-2</v>
      </c>
      <c r="AF58" s="335">
        <f t="shared" si="30"/>
        <v>7.5726859107283065E-2</v>
      </c>
      <c r="AG58" s="335">
        <f t="shared" si="30"/>
        <v>7.6261171834224747E-2</v>
      </c>
      <c r="AH58" s="335">
        <f t="shared" ref="AH58:AL58" si="31">AH11/AH$49</f>
        <v>7.6852555678242604E-2</v>
      </c>
      <c r="AI58" s="335">
        <f t="shared" si="31"/>
        <v>7.7446660957481941E-2</v>
      </c>
      <c r="AJ58" s="335">
        <f t="shared" si="31"/>
        <v>7.8028624753249648E-2</v>
      </c>
      <c r="AK58" s="335">
        <f t="shared" si="31"/>
        <v>7.857986295551514E-2</v>
      </c>
      <c r="AL58" s="335">
        <f t="shared" si="31"/>
        <v>7.9047401635100656E-2</v>
      </c>
      <c r="AM58" s="11"/>
      <c r="AN58" s="11"/>
      <c r="AO58" s="11"/>
      <c r="AP58" s="11"/>
      <c r="AQ58" s="11"/>
      <c r="AR58" s="11"/>
      <c r="AS58" s="11"/>
      <c r="AT58" s="11"/>
      <c r="AU58" s="11"/>
      <c r="AV58" s="11"/>
      <c r="AW58" s="11"/>
      <c r="AX58" s="11"/>
      <c r="AY58" s="11"/>
      <c r="AZ58" s="11"/>
      <c r="BA58" s="11"/>
    </row>
    <row r="59" spans="1:57" ht="15.75" x14ac:dyDescent="0.25">
      <c r="A59" s="79" t="str">
        <f>CONCATENATE("Occupation Figure 2.1  Employment by Occupation (% shares), ",$M$2,"-",$O$2,", ",Info!B5)</f>
        <v>Occupation Figure 2.1  Employment by Occupation (% shares), 2010-2035, North East</v>
      </c>
      <c r="L59" s="232" t="str">
        <f>'Occ T3'!A14</f>
        <v>23 Teaching and other educational professionals</v>
      </c>
      <c r="M59" s="335">
        <f t="shared" ref="M59:AG59" si="32">M12/M$49</f>
        <v>4.3501831077916393E-2</v>
      </c>
      <c r="N59" s="335">
        <f t="shared" si="32"/>
        <v>4.4436340658483661E-2</v>
      </c>
      <c r="O59" s="335">
        <f t="shared" si="32"/>
        <v>4.9638792186054624E-2</v>
      </c>
      <c r="P59" s="335">
        <f t="shared" si="32"/>
        <v>4.390694569851325E-2</v>
      </c>
      <c r="Q59" s="335">
        <f t="shared" si="32"/>
        <v>4.2571110680638645E-2</v>
      </c>
      <c r="R59" s="335">
        <f t="shared" si="32"/>
        <v>4.2841691474078215E-2</v>
      </c>
      <c r="S59" s="335">
        <f t="shared" si="32"/>
        <v>4.3360210756001834E-2</v>
      </c>
      <c r="T59" s="335">
        <f t="shared" si="32"/>
        <v>4.1831782351865854E-2</v>
      </c>
      <c r="U59" s="335">
        <f t="shared" si="32"/>
        <v>4.214608412782439E-2</v>
      </c>
      <c r="V59" s="335">
        <f t="shared" si="32"/>
        <v>4.2895576143764935E-2</v>
      </c>
      <c r="W59" s="335">
        <f t="shared" si="32"/>
        <v>4.5158340217360378E-2</v>
      </c>
      <c r="X59" s="335">
        <f t="shared" si="32"/>
        <v>4.6393344195666215E-2</v>
      </c>
      <c r="Y59" s="335">
        <f t="shared" si="32"/>
        <v>4.7535021600189929E-2</v>
      </c>
      <c r="Z59" s="335">
        <f t="shared" si="32"/>
        <v>4.8009407291464377E-2</v>
      </c>
      <c r="AA59" s="335">
        <f t="shared" si="32"/>
        <v>4.8377201284196293E-2</v>
      </c>
      <c r="AB59" s="335">
        <f t="shared" si="32"/>
        <v>4.8574520953445117E-2</v>
      </c>
      <c r="AC59" s="335">
        <f t="shared" si="32"/>
        <v>4.8735802060039635E-2</v>
      </c>
      <c r="AD59" s="335">
        <f t="shared" si="32"/>
        <v>4.8929933029153223E-2</v>
      </c>
      <c r="AE59" s="335">
        <f t="shared" si="32"/>
        <v>4.9128895727663699E-2</v>
      </c>
      <c r="AF59" s="335">
        <f t="shared" si="32"/>
        <v>4.9319531521866064E-2</v>
      </c>
      <c r="AG59" s="335">
        <f t="shared" si="32"/>
        <v>4.9496790707486173E-2</v>
      </c>
      <c r="AH59" s="335">
        <f t="shared" ref="AH59:AL59" si="33">AH12/AH$49</f>
        <v>4.9698836224165724E-2</v>
      </c>
      <c r="AI59" s="335">
        <f t="shared" si="33"/>
        <v>4.9900235896770929E-2</v>
      </c>
      <c r="AJ59" s="335">
        <f t="shared" si="33"/>
        <v>5.0094440458814976E-2</v>
      </c>
      <c r="AK59" s="335">
        <f t="shared" si="33"/>
        <v>5.0283276559251633E-2</v>
      </c>
      <c r="AL59" s="335">
        <f t="shared" si="33"/>
        <v>5.0469609524429346E-2</v>
      </c>
      <c r="AM59" s="11"/>
      <c r="AN59" s="11"/>
      <c r="AO59" s="11"/>
      <c r="AP59" s="11"/>
      <c r="AQ59" s="11"/>
      <c r="AR59" s="11"/>
      <c r="AS59" s="11"/>
      <c r="AT59" s="11"/>
      <c r="AU59" s="11"/>
      <c r="AV59" s="11"/>
      <c r="AW59" s="11"/>
      <c r="AX59" s="11"/>
      <c r="AY59" s="11"/>
      <c r="AZ59" s="11"/>
      <c r="BA59" s="11"/>
    </row>
    <row r="60" spans="1:57" x14ac:dyDescent="0.2">
      <c r="L60" s="232" t="str">
        <f>'Occ T3'!A15</f>
        <v>24 Business, media and public service professionals</v>
      </c>
      <c r="M60" s="335">
        <f t="shared" ref="M60:AG60" si="34">M13/M$49</f>
        <v>4.8909606725349754E-2</v>
      </c>
      <c r="N60" s="335">
        <f t="shared" si="34"/>
        <v>4.4873220425575164E-2</v>
      </c>
      <c r="O60" s="335">
        <f t="shared" si="34"/>
        <v>4.2652953323607815E-2</v>
      </c>
      <c r="P60" s="335">
        <f t="shared" si="34"/>
        <v>4.4069221492867079E-2</v>
      </c>
      <c r="Q60" s="335">
        <f t="shared" si="34"/>
        <v>4.2358777244725233E-2</v>
      </c>
      <c r="R60" s="335">
        <f t="shared" si="34"/>
        <v>4.3239374653011212E-2</v>
      </c>
      <c r="S60" s="335">
        <f t="shared" si="34"/>
        <v>4.4343779185924109E-2</v>
      </c>
      <c r="T60" s="335">
        <f t="shared" si="34"/>
        <v>4.2064429221983848E-2</v>
      </c>
      <c r="U60" s="335">
        <f t="shared" si="34"/>
        <v>4.402353488749304E-2</v>
      </c>
      <c r="V60" s="335">
        <f t="shared" si="34"/>
        <v>4.6319952096022285E-2</v>
      </c>
      <c r="W60" s="335">
        <f t="shared" si="34"/>
        <v>5.2761554402967197E-2</v>
      </c>
      <c r="X60" s="335">
        <f t="shared" si="34"/>
        <v>5.5122392828885217E-2</v>
      </c>
      <c r="Y60" s="335">
        <f t="shared" si="34"/>
        <v>5.5407829375882414E-2</v>
      </c>
      <c r="Z60" s="335">
        <f t="shared" si="34"/>
        <v>5.5879994124832182E-2</v>
      </c>
      <c r="AA60" s="335">
        <f t="shared" si="34"/>
        <v>5.6351573316371417E-2</v>
      </c>
      <c r="AB60" s="335">
        <f t="shared" si="34"/>
        <v>5.6861512832935904E-2</v>
      </c>
      <c r="AC60" s="335">
        <f t="shared" si="34"/>
        <v>5.7400039959185155E-2</v>
      </c>
      <c r="AD60" s="335">
        <f t="shared" si="34"/>
        <v>5.7952835169578387E-2</v>
      </c>
      <c r="AE60" s="335">
        <f t="shared" si="34"/>
        <v>5.8535689221589859E-2</v>
      </c>
      <c r="AF60" s="335">
        <f t="shared" si="34"/>
        <v>5.9119068321356966E-2</v>
      </c>
      <c r="AG60" s="335">
        <f t="shared" si="34"/>
        <v>5.9731129602503416E-2</v>
      </c>
      <c r="AH60" s="335">
        <f t="shared" ref="AH60:AL60" si="35">AH13/AH$49</f>
        <v>6.0360303178842722E-2</v>
      </c>
      <c r="AI60" s="335">
        <f t="shared" si="35"/>
        <v>6.0947743230524626E-2</v>
      </c>
      <c r="AJ60" s="335">
        <f t="shared" si="35"/>
        <v>6.1527640770704002E-2</v>
      </c>
      <c r="AK60" s="335">
        <f t="shared" si="35"/>
        <v>6.211541100392013E-2</v>
      </c>
      <c r="AL60" s="335">
        <f t="shared" si="35"/>
        <v>6.2693278044265568E-2</v>
      </c>
      <c r="AM60" s="11"/>
      <c r="AN60" s="11"/>
      <c r="AO60" s="11"/>
      <c r="AP60" s="11"/>
      <c r="AQ60" s="11"/>
      <c r="AR60" s="11"/>
      <c r="AS60" s="11"/>
      <c r="AT60" s="11"/>
      <c r="AU60" s="11"/>
      <c r="AV60" s="11"/>
      <c r="AW60" s="11"/>
      <c r="AX60" s="11"/>
      <c r="AY60" s="11"/>
      <c r="AZ60" s="11"/>
      <c r="BA60" s="11"/>
    </row>
    <row r="61" spans="1:57" x14ac:dyDescent="0.2">
      <c r="L61" s="232"/>
      <c r="M61" s="335"/>
      <c r="N61" s="335"/>
      <c r="O61" s="335"/>
      <c r="P61" s="335"/>
      <c r="Q61" s="335"/>
      <c r="R61" s="335"/>
      <c r="S61" s="335"/>
      <c r="T61" s="335"/>
      <c r="U61" s="335"/>
      <c r="V61" s="335"/>
      <c r="W61" s="335"/>
      <c r="X61" s="335"/>
      <c r="Y61" s="335"/>
      <c r="Z61" s="335"/>
      <c r="AA61" s="335"/>
      <c r="AB61" s="335"/>
      <c r="AC61" s="335"/>
      <c r="AD61" s="335"/>
      <c r="AE61" s="335"/>
      <c r="AF61" s="335"/>
      <c r="AG61" s="335"/>
      <c r="AH61" s="335"/>
      <c r="AI61" s="335"/>
      <c r="AJ61" s="335"/>
      <c r="AK61" s="335"/>
      <c r="AL61" s="335"/>
      <c r="AM61" s="11"/>
      <c r="AN61" s="11"/>
      <c r="AO61" s="11"/>
      <c r="AP61" s="11"/>
      <c r="AQ61" s="11"/>
      <c r="AR61" s="11"/>
      <c r="AS61" s="11"/>
      <c r="AT61" s="11"/>
      <c r="AU61" s="11"/>
      <c r="AV61" s="11"/>
      <c r="AW61" s="11"/>
      <c r="AX61" s="11"/>
      <c r="AY61" s="11"/>
      <c r="AZ61" s="11"/>
      <c r="BA61" s="11"/>
    </row>
    <row r="62" spans="1:57" x14ac:dyDescent="0.2">
      <c r="L62" s="16" t="str">
        <f>'Occ T3'!A17</f>
        <v>Associate professional occupations</v>
      </c>
      <c r="M62" s="336">
        <f t="shared" ref="M62:AG62" si="36">M15/M$49</f>
        <v>0.10961749647737638</v>
      </c>
      <c r="N62" s="336">
        <f t="shared" si="36"/>
        <v>0.10880966138656228</v>
      </c>
      <c r="O62" s="336">
        <f t="shared" si="36"/>
        <v>0.11081709931868723</v>
      </c>
      <c r="P62" s="336">
        <f t="shared" si="36"/>
        <v>0.10936985757664398</v>
      </c>
      <c r="Q62" s="336">
        <f t="shared" si="36"/>
        <v>0.10714548724154689</v>
      </c>
      <c r="R62" s="336">
        <f t="shared" si="36"/>
        <v>0.10686994533262281</v>
      </c>
      <c r="S62" s="336">
        <f t="shared" si="36"/>
        <v>0.10760386625053492</v>
      </c>
      <c r="T62" s="336">
        <f t="shared" si="36"/>
        <v>0.10878936667437814</v>
      </c>
      <c r="U62" s="336">
        <f t="shared" si="36"/>
        <v>0.11130911740280008</v>
      </c>
      <c r="V62" s="336">
        <f t="shared" si="36"/>
        <v>0.11161765248713795</v>
      </c>
      <c r="W62" s="336">
        <f t="shared" si="36"/>
        <v>0.11794127018164544</v>
      </c>
      <c r="X62" s="336">
        <f t="shared" si="36"/>
        <v>0.11102135618418645</v>
      </c>
      <c r="Y62" s="336">
        <f t="shared" si="36"/>
        <v>0.11122863347385355</v>
      </c>
      <c r="Z62" s="336">
        <f t="shared" si="36"/>
        <v>0.11165832328816776</v>
      </c>
      <c r="AA62" s="336">
        <f t="shared" si="36"/>
        <v>0.11205826437732229</v>
      </c>
      <c r="AB62" s="336">
        <f t="shared" si="36"/>
        <v>0.11247787186941718</v>
      </c>
      <c r="AC62" s="336">
        <f t="shared" si="36"/>
        <v>0.11290256552597978</v>
      </c>
      <c r="AD62" s="336">
        <f t="shared" si="36"/>
        <v>0.11336637348043255</v>
      </c>
      <c r="AE62" s="336">
        <f t="shared" si="36"/>
        <v>0.11385176277157391</v>
      </c>
      <c r="AF62" s="336">
        <f t="shared" si="36"/>
        <v>0.11428905585032077</v>
      </c>
      <c r="AG62" s="336">
        <f t="shared" si="36"/>
        <v>0.11477142752241458</v>
      </c>
      <c r="AH62" s="336">
        <f t="shared" ref="AH62:AL62" si="37">AH15/AH$49</f>
        <v>0.11525911113076424</v>
      </c>
      <c r="AI62" s="336">
        <f t="shared" si="37"/>
        <v>0.11575104433999955</v>
      </c>
      <c r="AJ62" s="336">
        <f t="shared" si="37"/>
        <v>0.11624967497612669</v>
      </c>
      <c r="AK62" s="336">
        <f t="shared" si="37"/>
        <v>0.11675853863581463</v>
      </c>
      <c r="AL62" s="336">
        <f t="shared" si="37"/>
        <v>0.11739291915045207</v>
      </c>
      <c r="AM62" s="11"/>
      <c r="AN62" s="11"/>
      <c r="AO62" s="11"/>
      <c r="AP62" s="11"/>
      <c r="AQ62" s="11"/>
      <c r="AR62" s="11"/>
      <c r="AS62" s="11"/>
      <c r="AT62" s="11"/>
      <c r="AU62" s="11"/>
      <c r="AV62" s="11"/>
      <c r="AW62" s="11"/>
      <c r="AX62" s="11"/>
      <c r="AY62" s="11"/>
      <c r="AZ62" s="11"/>
      <c r="BA62" s="11"/>
    </row>
    <row r="63" spans="1:57" x14ac:dyDescent="0.2">
      <c r="L63" s="232" t="str">
        <f>'Occ T3'!A18</f>
        <v>31 Science, engineering and technology associate professionals</v>
      </c>
      <c r="M63" s="335">
        <f t="shared" ref="M63:AG63" si="38">M16/M$49</f>
        <v>2.1040033572094784E-2</v>
      </c>
      <c r="N63" s="335">
        <f t="shared" si="38"/>
        <v>2.0304284314267219E-2</v>
      </c>
      <c r="O63" s="335">
        <f t="shared" si="38"/>
        <v>2.0967844802587871E-2</v>
      </c>
      <c r="P63" s="335">
        <f t="shared" si="38"/>
        <v>2.0587105029404328E-2</v>
      </c>
      <c r="Q63" s="335">
        <f t="shared" si="38"/>
        <v>1.8154560050517934E-2</v>
      </c>
      <c r="R63" s="335">
        <f t="shared" si="38"/>
        <v>1.836022627566478E-2</v>
      </c>
      <c r="S63" s="335">
        <f t="shared" si="38"/>
        <v>1.9053570972723945E-2</v>
      </c>
      <c r="T63" s="335">
        <f t="shared" si="38"/>
        <v>2.0739205398210569E-2</v>
      </c>
      <c r="U63" s="335">
        <f t="shared" si="38"/>
        <v>2.0964610337900074E-2</v>
      </c>
      <c r="V63" s="335">
        <f t="shared" si="38"/>
        <v>1.9912027213464398E-2</v>
      </c>
      <c r="W63" s="335">
        <f t="shared" si="38"/>
        <v>2.1587294853102925E-2</v>
      </c>
      <c r="X63" s="335">
        <f t="shared" si="38"/>
        <v>1.8282441001000373E-2</v>
      </c>
      <c r="Y63" s="335">
        <f t="shared" si="38"/>
        <v>1.8314369082880807E-2</v>
      </c>
      <c r="Z63" s="335">
        <f t="shared" si="38"/>
        <v>1.8321561848799937E-2</v>
      </c>
      <c r="AA63" s="335">
        <f t="shared" si="38"/>
        <v>1.8327339172100263E-2</v>
      </c>
      <c r="AB63" s="335">
        <f t="shared" si="38"/>
        <v>1.8329417424268187E-2</v>
      </c>
      <c r="AC63" s="335">
        <f t="shared" si="38"/>
        <v>1.8338681711923665E-2</v>
      </c>
      <c r="AD63" s="335">
        <f t="shared" si="38"/>
        <v>1.8354327544320072E-2</v>
      </c>
      <c r="AE63" s="335">
        <f t="shared" si="38"/>
        <v>1.8369687918764605E-2</v>
      </c>
      <c r="AF63" s="335">
        <f t="shared" si="38"/>
        <v>1.8374651075024822E-2</v>
      </c>
      <c r="AG63" s="335">
        <f t="shared" si="38"/>
        <v>1.8397152816498088E-2</v>
      </c>
      <c r="AH63" s="335">
        <f t="shared" ref="AH63:AL63" si="39">AH16/AH$49</f>
        <v>1.8414802692829649E-2</v>
      </c>
      <c r="AI63" s="335">
        <f t="shared" si="39"/>
        <v>1.8446998162027693E-2</v>
      </c>
      <c r="AJ63" s="335">
        <f t="shared" si="39"/>
        <v>1.8465145358347892E-2</v>
      </c>
      <c r="AK63" s="335">
        <f t="shared" si="39"/>
        <v>1.8498903479332685E-2</v>
      </c>
      <c r="AL63" s="335">
        <f t="shared" si="39"/>
        <v>1.8515763941519787E-2</v>
      </c>
      <c r="AM63" s="11"/>
      <c r="AN63" s="11"/>
      <c r="AO63" s="11"/>
      <c r="AP63" s="11"/>
      <c r="AQ63" s="11"/>
      <c r="AR63" s="11"/>
      <c r="AS63" s="11"/>
      <c r="AT63" s="11"/>
      <c r="AU63" s="11"/>
      <c r="AV63" s="11"/>
      <c r="AW63" s="11"/>
      <c r="AX63" s="11"/>
      <c r="AY63" s="11"/>
      <c r="AZ63" s="11"/>
      <c r="BA63" s="11"/>
    </row>
    <row r="64" spans="1:57" x14ac:dyDescent="0.2">
      <c r="L64" s="232" t="str">
        <f>'Occ T3'!A19</f>
        <v>32 Health and social care associate professionals</v>
      </c>
      <c r="M64" s="335">
        <f t="shared" ref="M64:AG64" si="40">M17/M$49</f>
        <v>1.6308049009918404E-2</v>
      </c>
      <c r="N64" s="335">
        <f t="shared" si="40"/>
        <v>2.0370575002256492E-2</v>
      </c>
      <c r="O64" s="335">
        <f t="shared" si="40"/>
        <v>2.1193159662268021E-2</v>
      </c>
      <c r="P64" s="335">
        <f t="shared" si="40"/>
        <v>2.0773442219980769E-2</v>
      </c>
      <c r="Q64" s="335">
        <f t="shared" si="40"/>
        <v>2.204619931122306E-2</v>
      </c>
      <c r="R64" s="335">
        <f t="shared" si="40"/>
        <v>2.1496683992274744E-2</v>
      </c>
      <c r="S64" s="335">
        <f t="shared" si="40"/>
        <v>2.1509378468739165E-2</v>
      </c>
      <c r="T64" s="335">
        <f t="shared" si="40"/>
        <v>2.1448559777635195E-2</v>
      </c>
      <c r="U64" s="335">
        <f t="shared" si="40"/>
        <v>2.2835214635115404E-2</v>
      </c>
      <c r="V64" s="335">
        <f t="shared" si="40"/>
        <v>2.1955789391595159E-2</v>
      </c>
      <c r="W64" s="335">
        <f t="shared" si="40"/>
        <v>2.4128122281853421E-2</v>
      </c>
      <c r="X64" s="335">
        <f t="shared" si="40"/>
        <v>2.3318803064311097E-2</v>
      </c>
      <c r="Y64" s="335">
        <f t="shared" si="40"/>
        <v>2.3580061709471058E-2</v>
      </c>
      <c r="Z64" s="335">
        <f t="shared" si="40"/>
        <v>2.3791142616646256E-2</v>
      </c>
      <c r="AA64" s="335">
        <f t="shared" si="40"/>
        <v>2.3977015372396462E-2</v>
      </c>
      <c r="AB64" s="335">
        <f t="shared" si="40"/>
        <v>2.4132019611750509E-2</v>
      </c>
      <c r="AC64" s="335">
        <f t="shared" si="40"/>
        <v>2.4271474956976624E-2</v>
      </c>
      <c r="AD64" s="335">
        <f t="shared" si="40"/>
        <v>2.4410031510061277E-2</v>
      </c>
      <c r="AE64" s="335">
        <f t="shared" si="40"/>
        <v>2.4552393214298963E-2</v>
      </c>
      <c r="AF64" s="335">
        <f t="shared" si="40"/>
        <v>2.4679097119437717E-2</v>
      </c>
      <c r="AG64" s="335">
        <f t="shared" si="40"/>
        <v>2.4807161083030903E-2</v>
      </c>
      <c r="AH64" s="335">
        <f t="shared" ref="AH64:AL64" si="41">AH17/AH$49</f>
        <v>2.4921227809356652E-2</v>
      </c>
      <c r="AI64" s="335">
        <f t="shared" si="41"/>
        <v>2.5035949023997372E-2</v>
      </c>
      <c r="AJ64" s="335">
        <f t="shared" si="41"/>
        <v>2.5179752311596377E-2</v>
      </c>
      <c r="AK64" s="335">
        <f t="shared" si="41"/>
        <v>2.5327026308116288E-2</v>
      </c>
      <c r="AL64" s="335">
        <f t="shared" si="41"/>
        <v>2.5486184306442325E-2</v>
      </c>
      <c r="AM64" s="11"/>
      <c r="AN64" s="11"/>
      <c r="AO64" s="11"/>
      <c r="AP64" s="11"/>
      <c r="AQ64" s="11"/>
      <c r="AR64" s="11"/>
      <c r="AS64" s="11"/>
      <c r="AT64" s="11"/>
      <c r="AU64" s="11"/>
      <c r="AV64" s="11"/>
      <c r="AW64" s="11"/>
      <c r="AX64" s="11"/>
      <c r="AY64" s="11"/>
      <c r="AZ64" s="11"/>
      <c r="BA64" s="11"/>
    </row>
    <row r="65" spans="12:53" x14ac:dyDescent="0.2">
      <c r="L65" s="232" t="str">
        <f>'Occ T3'!A20</f>
        <v>33 Protective service occupations</v>
      </c>
      <c r="M65" s="335">
        <f t="shared" ref="M65:AG65" si="42">M18/M$49</f>
        <v>1.5676753610033924E-2</v>
      </c>
      <c r="N65" s="335">
        <f t="shared" si="42"/>
        <v>1.6610283381552446E-2</v>
      </c>
      <c r="O65" s="335">
        <f t="shared" si="42"/>
        <v>1.5121972672420238E-2</v>
      </c>
      <c r="P65" s="335">
        <f t="shared" si="42"/>
        <v>1.354396824959828E-2</v>
      </c>
      <c r="Q65" s="335">
        <f t="shared" si="42"/>
        <v>1.2866245134054622E-2</v>
      </c>
      <c r="R65" s="335">
        <f t="shared" si="42"/>
        <v>1.2161460190143494E-2</v>
      </c>
      <c r="S65" s="335">
        <f t="shared" si="42"/>
        <v>1.3649673139498577E-2</v>
      </c>
      <c r="T65" s="335">
        <f t="shared" si="42"/>
        <v>1.3205239693717338E-2</v>
      </c>
      <c r="U65" s="335">
        <f t="shared" si="42"/>
        <v>1.2903523828865542E-2</v>
      </c>
      <c r="V65" s="335">
        <f t="shared" si="42"/>
        <v>1.3087187103868235E-2</v>
      </c>
      <c r="W65" s="335">
        <f t="shared" si="42"/>
        <v>1.3865604984101948E-2</v>
      </c>
      <c r="X65" s="335">
        <f t="shared" si="42"/>
        <v>1.5173889579712666E-2</v>
      </c>
      <c r="Y65" s="335">
        <f t="shared" si="42"/>
        <v>1.5250804821449077E-2</v>
      </c>
      <c r="Z65" s="335">
        <f t="shared" si="42"/>
        <v>1.5387144446023132E-2</v>
      </c>
      <c r="AA65" s="335">
        <f t="shared" si="42"/>
        <v>1.5488972791465253E-2</v>
      </c>
      <c r="AB65" s="335">
        <f t="shared" si="42"/>
        <v>1.5656652557187629E-2</v>
      </c>
      <c r="AC65" s="335">
        <f t="shared" si="42"/>
        <v>1.5828459168501181E-2</v>
      </c>
      <c r="AD65" s="335">
        <f t="shared" si="42"/>
        <v>1.6000453466993143E-2</v>
      </c>
      <c r="AE65" s="335">
        <f t="shared" si="42"/>
        <v>1.6163373114812724E-2</v>
      </c>
      <c r="AF65" s="335">
        <f t="shared" si="42"/>
        <v>1.6328536676775779E-2</v>
      </c>
      <c r="AG65" s="335">
        <f t="shared" si="42"/>
        <v>1.6472521403572991E-2</v>
      </c>
      <c r="AH65" s="335">
        <f t="shared" ref="AH65:AL65" si="43">AH18/AH$49</f>
        <v>1.6613550531754302E-2</v>
      </c>
      <c r="AI65" s="335">
        <f t="shared" si="43"/>
        <v>1.6777602740018473E-2</v>
      </c>
      <c r="AJ65" s="335">
        <f t="shared" si="43"/>
        <v>1.6939633666689116E-2</v>
      </c>
      <c r="AK65" s="335">
        <f t="shared" si="43"/>
        <v>1.7082740690226299E-2</v>
      </c>
      <c r="AL65" s="335">
        <f t="shared" si="43"/>
        <v>1.7236094703540403E-2</v>
      </c>
      <c r="AM65" s="11"/>
      <c r="AN65" s="11"/>
      <c r="AO65" s="11"/>
      <c r="AP65" s="11"/>
      <c r="AQ65" s="11"/>
      <c r="AR65" s="11"/>
      <c r="AS65" s="11"/>
      <c r="AT65" s="11"/>
      <c r="AU65" s="11"/>
      <c r="AV65" s="11"/>
      <c r="AW65" s="11"/>
      <c r="AX65" s="11"/>
      <c r="AY65" s="11"/>
      <c r="AZ65" s="11"/>
      <c r="BA65" s="11"/>
    </row>
    <row r="66" spans="12:53" x14ac:dyDescent="0.2">
      <c r="L66" s="232" t="str">
        <f>'Occ T3'!A21</f>
        <v>34 Culture, media and sports occupations</v>
      </c>
      <c r="M66" s="335">
        <f t="shared" ref="M66:AG66" si="44">M19/M$49</f>
        <v>9.185789687323925E-3</v>
      </c>
      <c r="N66" s="335">
        <f t="shared" si="44"/>
        <v>9.1571376006439244E-3</v>
      </c>
      <c r="O66" s="335">
        <f t="shared" si="44"/>
        <v>1.0821007013466636E-2</v>
      </c>
      <c r="P66" s="335">
        <f t="shared" si="44"/>
        <v>1.2352002216174959E-2</v>
      </c>
      <c r="Q66" s="335">
        <f t="shared" si="44"/>
        <v>1.1272819967808823E-2</v>
      </c>
      <c r="R66" s="335">
        <f t="shared" si="44"/>
        <v>1.2904074821747923E-2</v>
      </c>
      <c r="S66" s="335">
        <f t="shared" si="44"/>
        <v>1.1142126570395807E-2</v>
      </c>
      <c r="T66" s="335">
        <f t="shared" si="44"/>
        <v>1.1700575691391721E-2</v>
      </c>
      <c r="U66" s="335">
        <f t="shared" si="44"/>
        <v>1.1856160682343369E-2</v>
      </c>
      <c r="V66" s="335">
        <f t="shared" si="44"/>
        <v>1.3201158275849056E-2</v>
      </c>
      <c r="W66" s="335">
        <f t="shared" si="44"/>
        <v>1.2504083932134639E-2</v>
      </c>
      <c r="X66" s="335">
        <f t="shared" si="44"/>
        <v>1.1490580043947464E-2</v>
      </c>
      <c r="Y66" s="335">
        <f t="shared" si="44"/>
        <v>1.1394727300057628E-2</v>
      </c>
      <c r="Z66" s="335">
        <f t="shared" si="44"/>
        <v>1.1436127653198003E-2</v>
      </c>
      <c r="AA66" s="335">
        <f t="shared" si="44"/>
        <v>1.151064054797485E-2</v>
      </c>
      <c r="AB66" s="335">
        <f t="shared" si="44"/>
        <v>1.1587742794544874E-2</v>
      </c>
      <c r="AC66" s="335">
        <f t="shared" si="44"/>
        <v>1.1666640213511744E-2</v>
      </c>
      <c r="AD66" s="335">
        <f t="shared" si="44"/>
        <v>1.1753654319717071E-2</v>
      </c>
      <c r="AE66" s="335">
        <f t="shared" si="44"/>
        <v>1.1842922098676992E-2</v>
      </c>
      <c r="AF66" s="335">
        <f t="shared" si="44"/>
        <v>1.1933231675016944E-2</v>
      </c>
      <c r="AG66" s="335">
        <f t="shared" si="44"/>
        <v>1.2038588672227473E-2</v>
      </c>
      <c r="AH66" s="335">
        <f t="shared" ref="AH66:AL66" si="45">AH19/AH$49</f>
        <v>1.21426762556583E-2</v>
      </c>
      <c r="AI66" s="335">
        <f t="shared" si="45"/>
        <v>1.222104455484626E-2</v>
      </c>
      <c r="AJ66" s="335">
        <f t="shared" si="45"/>
        <v>1.2300834914910136E-2</v>
      </c>
      <c r="AK66" s="335">
        <f t="shared" si="45"/>
        <v>1.2364016183592147E-2</v>
      </c>
      <c r="AL66" s="335">
        <f t="shared" si="45"/>
        <v>1.2585309280077818E-2</v>
      </c>
      <c r="AM66" s="11"/>
      <c r="AN66" s="11"/>
      <c r="AO66" s="11"/>
      <c r="AP66" s="11"/>
      <c r="AQ66" s="11"/>
      <c r="AR66" s="11"/>
      <c r="AS66" s="11"/>
      <c r="AT66" s="11"/>
      <c r="AU66" s="11"/>
      <c r="AV66" s="11"/>
      <c r="AW66" s="11"/>
      <c r="AX66" s="11"/>
      <c r="AY66" s="11"/>
      <c r="AZ66" s="11"/>
      <c r="BA66" s="11"/>
    </row>
    <row r="67" spans="12:53" x14ac:dyDescent="0.2">
      <c r="L67" s="232" t="str">
        <f>'Occ T3'!A22</f>
        <v>35 Business and public service associate professionals</v>
      </c>
      <c r="M67" s="335">
        <f t="shared" ref="M67:AG67" si="46">M20/M$49</f>
        <v>4.7406870598005336E-2</v>
      </c>
      <c r="N67" s="335">
        <f t="shared" si="46"/>
        <v>4.2367381087842194E-2</v>
      </c>
      <c r="O67" s="335">
        <f t="shared" si="46"/>
        <v>4.2713115167944453E-2</v>
      </c>
      <c r="P67" s="335">
        <f t="shared" si="46"/>
        <v>4.2113339861485632E-2</v>
      </c>
      <c r="Q67" s="335">
        <f t="shared" si="46"/>
        <v>4.2805662777942441E-2</v>
      </c>
      <c r="R67" s="335">
        <f t="shared" si="46"/>
        <v>4.1947500052791853E-2</v>
      </c>
      <c r="S67" s="335">
        <f t="shared" si="46"/>
        <v>4.2249117099177419E-2</v>
      </c>
      <c r="T67" s="335">
        <f t="shared" si="46"/>
        <v>4.169578611342329E-2</v>
      </c>
      <c r="U67" s="335">
        <f t="shared" si="46"/>
        <v>4.2749607918575676E-2</v>
      </c>
      <c r="V67" s="335">
        <f t="shared" si="46"/>
        <v>4.3461490502361096E-2</v>
      </c>
      <c r="W67" s="335">
        <f t="shared" si="46"/>
        <v>4.5856164130452515E-2</v>
      </c>
      <c r="X67" s="335">
        <f t="shared" si="46"/>
        <v>4.2755642495214852E-2</v>
      </c>
      <c r="Y67" s="335">
        <f t="shared" si="46"/>
        <v>4.2688670559994972E-2</v>
      </c>
      <c r="Z67" s="335">
        <f t="shared" si="46"/>
        <v>4.2722346723500448E-2</v>
      </c>
      <c r="AA67" s="335">
        <f t="shared" si="46"/>
        <v>4.2754296493385475E-2</v>
      </c>
      <c r="AB67" s="335">
        <f t="shared" si="46"/>
        <v>4.2772039481665983E-2</v>
      </c>
      <c r="AC67" s="335">
        <f t="shared" si="46"/>
        <v>4.2797309475066575E-2</v>
      </c>
      <c r="AD67" s="335">
        <f t="shared" si="46"/>
        <v>4.2847906639341002E-2</v>
      </c>
      <c r="AE67" s="335">
        <f t="shared" si="46"/>
        <v>4.2923386425020631E-2</v>
      </c>
      <c r="AF67" s="335">
        <f t="shared" si="46"/>
        <v>4.2973539304065514E-2</v>
      </c>
      <c r="AG67" s="335">
        <f t="shared" si="46"/>
        <v>4.305600354708513E-2</v>
      </c>
      <c r="AH67" s="335">
        <f t="shared" ref="AH67:AL67" si="47">AH20/AH$49</f>
        <v>4.3166853841165351E-2</v>
      </c>
      <c r="AI67" s="335">
        <f t="shared" si="47"/>
        <v>4.3269449859109743E-2</v>
      </c>
      <c r="AJ67" s="335">
        <f t="shared" si="47"/>
        <v>4.3364308724583168E-2</v>
      </c>
      <c r="AK67" s="335">
        <f t="shared" si="47"/>
        <v>4.3485851974547227E-2</v>
      </c>
      <c r="AL67" s="335">
        <f t="shared" si="47"/>
        <v>4.3569566918871747E-2</v>
      </c>
      <c r="AM67" s="11"/>
      <c r="AN67" s="11"/>
      <c r="AO67" s="11"/>
      <c r="AP67" s="11"/>
      <c r="AQ67" s="11"/>
      <c r="AR67" s="11"/>
      <c r="AS67" s="11"/>
      <c r="AT67" s="11"/>
      <c r="AU67" s="11"/>
      <c r="AV67" s="11"/>
      <c r="AW67" s="11"/>
      <c r="AX67" s="11"/>
      <c r="AY67" s="11"/>
      <c r="AZ67" s="11"/>
      <c r="BA67" s="11"/>
    </row>
    <row r="68" spans="12:53" x14ac:dyDescent="0.2">
      <c r="L68" s="232"/>
      <c r="M68" s="335"/>
      <c r="N68" s="335"/>
      <c r="O68" s="335"/>
      <c r="P68" s="335"/>
      <c r="Q68" s="335"/>
      <c r="R68" s="335"/>
      <c r="S68" s="335"/>
      <c r="T68" s="335"/>
      <c r="U68" s="335"/>
      <c r="V68" s="335"/>
      <c r="W68" s="335"/>
      <c r="X68" s="335"/>
      <c r="Y68" s="335"/>
      <c r="Z68" s="335"/>
      <c r="AA68" s="335"/>
      <c r="AB68" s="335"/>
      <c r="AC68" s="335"/>
      <c r="AD68" s="335"/>
      <c r="AE68" s="335"/>
      <c r="AF68" s="335"/>
      <c r="AG68" s="335"/>
      <c r="AH68" s="335"/>
      <c r="AI68" s="335"/>
      <c r="AJ68" s="335"/>
      <c r="AK68" s="335"/>
      <c r="AL68" s="335"/>
      <c r="AM68" s="11"/>
      <c r="AN68" s="11"/>
      <c r="AO68" s="11"/>
      <c r="AP68" s="11"/>
      <c r="AQ68" s="11"/>
      <c r="AR68" s="11"/>
      <c r="AS68" s="11"/>
      <c r="AT68" s="11"/>
      <c r="AU68" s="11"/>
      <c r="AV68" s="11"/>
      <c r="AW68" s="11"/>
      <c r="AX68" s="11"/>
      <c r="AY68" s="11"/>
      <c r="AZ68" s="11"/>
      <c r="BA68" s="11"/>
    </row>
    <row r="69" spans="12:53" x14ac:dyDescent="0.2">
      <c r="L69" s="16" t="str">
        <f>'Occ T3'!A24</f>
        <v>Administrative and secretarial occupations</v>
      </c>
      <c r="M69" s="336">
        <f t="shared" ref="M69:AG69" si="48">M22/M$49</f>
        <v>0.12081306618705183</v>
      </c>
      <c r="N69" s="336">
        <f t="shared" si="48"/>
        <v>0.11875011976713994</v>
      </c>
      <c r="O69" s="336">
        <f t="shared" si="48"/>
        <v>0.117080084543899</v>
      </c>
      <c r="P69" s="336">
        <f t="shared" si="48"/>
        <v>0.11298034004012619</v>
      </c>
      <c r="Q69" s="336">
        <f t="shared" si="48"/>
        <v>0.11510609647767153</v>
      </c>
      <c r="R69" s="336">
        <f t="shared" si="48"/>
        <v>0.11571618626895928</v>
      </c>
      <c r="S69" s="336">
        <f t="shared" si="48"/>
        <v>0.11306323000993782</v>
      </c>
      <c r="T69" s="336">
        <f t="shared" si="48"/>
        <v>0.10977416394486515</v>
      </c>
      <c r="U69" s="336">
        <f t="shared" si="48"/>
        <v>0.11032409416765658</v>
      </c>
      <c r="V69" s="336">
        <f t="shared" si="48"/>
        <v>0.1062996140341909</v>
      </c>
      <c r="W69" s="336">
        <f t="shared" si="48"/>
        <v>0.11156709242297888</v>
      </c>
      <c r="X69" s="336">
        <f t="shared" si="48"/>
        <v>0.10700649137560579</v>
      </c>
      <c r="Y69" s="336">
        <f t="shared" si="48"/>
        <v>0.10624672304368034</v>
      </c>
      <c r="Z69" s="336">
        <f t="shared" si="48"/>
        <v>0.10540479685922541</v>
      </c>
      <c r="AA69" s="336">
        <f t="shared" si="48"/>
        <v>0.10453231796927197</v>
      </c>
      <c r="AB69" s="336">
        <f t="shared" si="48"/>
        <v>0.10374384653957774</v>
      </c>
      <c r="AC69" s="336">
        <f t="shared" si="48"/>
        <v>0.10284711021733671</v>
      </c>
      <c r="AD69" s="336">
        <f t="shared" si="48"/>
        <v>0.10193132497363494</v>
      </c>
      <c r="AE69" s="336">
        <f t="shared" si="48"/>
        <v>0.10092303392035488</v>
      </c>
      <c r="AF69" s="336">
        <f t="shared" si="48"/>
        <v>0.10000049703140453</v>
      </c>
      <c r="AG69" s="336">
        <f t="shared" si="48"/>
        <v>9.9006194287962104E-2</v>
      </c>
      <c r="AH69" s="336">
        <f t="shared" ref="AH69:AL69" si="49">AH22/AH$49</f>
        <v>9.7714664066790038E-2</v>
      </c>
      <c r="AI69" s="336">
        <f t="shared" si="49"/>
        <v>9.6323587419828452E-2</v>
      </c>
      <c r="AJ69" s="336">
        <f t="shared" si="49"/>
        <v>9.5209185638934005E-2</v>
      </c>
      <c r="AK69" s="336">
        <f t="shared" si="49"/>
        <v>9.4188534653147013E-2</v>
      </c>
      <c r="AL69" s="336">
        <f t="shared" si="49"/>
        <v>9.3703822453198249E-2</v>
      </c>
      <c r="AM69" s="11"/>
      <c r="AN69" s="11"/>
      <c r="AO69" s="11"/>
      <c r="AP69" s="11"/>
      <c r="AQ69" s="11"/>
      <c r="AR69" s="11"/>
      <c r="AS69" s="11"/>
      <c r="AT69" s="11"/>
      <c r="AU69" s="11"/>
      <c r="AV69" s="11"/>
      <c r="AW69" s="11"/>
      <c r="AX69" s="11"/>
      <c r="AY69" s="11"/>
      <c r="AZ69" s="11"/>
      <c r="BA69" s="11"/>
    </row>
    <row r="70" spans="12:53" x14ac:dyDescent="0.2">
      <c r="L70" s="232" t="str">
        <f>'Occ T3'!A25</f>
        <v>41 Administrative occupations</v>
      </c>
      <c r="M70" s="335">
        <f t="shared" ref="M70:AG70" si="50">M23/M$49</f>
        <v>9.7196131824276E-2</v>
      </c>
      <c r="N70" s="335">
        <f t="shared" si="50"/>
        <v>9.6630289472694877E-2</v>
      </c>
      <c r="O70" s="335">
        <f t="shared" si="50"/>
        <v>9.5391891648260993E-2</v>
      </c>
      <c r="P70" s="335">
        <f t="shared" si="50"/>
        <v>9.1295675901433296E-2</v>
      </c>
      <c r="Q70" s="335">
        <f t="shared" si="50"/>
        <v>9.3022907995941692E-2</v>
      </c>
      <c r="R70" s="335">
        <f t="shared" si="50"/>
        <v>9.486637417689868E-2</v>
      </c>
      <c r="S70" s="335">
        <f t="shared" si="50"/>
        <v>9.3294151059974739E-2</v>
      </c>
      <c r="T70" s="335">
        <f t="shared" si="50"/>
        <v>9.0509790047028749E-2</v>
      </c>
      <c r="U70" s="335">
        <f t="shared" si="50"/>
        <v>9.0396704574048442E-2</v>
      </c>
      <c r="V70" s="335">
        <f t="shared" si="50"/>
        <v>8.8327587529529017E-2</v>
      </c>
      <c r="W70" s="335">
        <f t="shared" si="50"/>
        <v>9.3260753295416499E-2</v>
      </c>
      <c r="X70" s="335">
        <f t="shared" si="50"/>
        <v>8.6425023566029227E-2</v>
      </c>
      <c r="Y70" s="335">
        <f t="shared" si="50"/>
        <v>8.5859202414133751E-2</v>
      </c>
      <c r="Z70" s="335">
        <f t="shared" si="50"/>
        <v>8.527475139454628E-2</v>
      </c>
      <c r="AA70" s="335">
        <f t="shared" si="50"/>
        <v>8.4666709511003024E-2</v>
      </c>
      <c r="AB70" s="335">
        <f t="shared" si="50"/>
        <v>8.4142896580507359E-2</v>
      </c>
      <c r="AC70" s="335">
        <f t="shared" si="50"/>
        <v>8.3554169116482543E-2</v>
      </c>
      <c r="AD70" s="335">
        <f t="shared" si="50"/>
        <v>8.2973546022601985E-2</v>
      </c>
      <c r="AE70" s="335">
        <f t="shared" si="50"/>
        <v>8.2292549528904524E-2</v>
      </c>
      <c r="AF70" s="335">
        <f t="shared" si="50"/>
        <v>8.1659943022087886E-2</v>
      </c>
      <c r="AG70" s="335">
        <f t="shared" si="50"/>
        <v>8.1006076860323961E-2</v>
      </c>
      <c r="AH70" s="335">
        <f t="shared" ref="AH70:AL70" si="51">AH23/AH$49</f>
        <v>8.0371225215208356E-2</v>
      </c>
      <c r="AI70" s="335">
        <f t="shared" si="51"/>
        <v>7.9717444205140556E-2</v>
      </c>
      <c r="AJ70" s="335">
        <f t="shared" si="51"/>
        <v>7.8978890583848396E-2</v>
      </c>
      <c r="AK70" s="335">
        <f t="shared" si="51"/>
        <v>7.8203922673064405E-2</v>
      </c>
      <c r="AL70" s="335">
        <f t="shared" si="51"/>
        <v>7.7582399800278062E-2</v>
      </c>
      <c r="AM70" s="11"/>
      <c r="AN70" s="11"/>
      <c r="AO70" s="11"/>
      <c r="AP70" s="11"/>
      <c r="AQ70" s="11"/>
      <c r="AR70" s="11"/>
      <c r="AS70" s="11"/>
      <c r="AT70" s="11"/>
      <c r="AU70" s="11"/>
      <c r="AV70" s="11"/>
      <c r="AW70" s="11"/>
      <c r="AX70" s="11"/>
      <c r="AY70" s="11"/>
      <c r="AZ70" s="11"/>
      <c r="BA70" s="11"/>
    </row>
    <row r="71" spans="12:53" x14ac:dyDescent="0.2">
      <c r="L71" s="232" t="str">
        <f>'Occ T3'!A26</f>
        <v>42 Secretarial and related occupations</v>
      </c>
      <c r="M71" s="335">
        <f t="shared" ref="M71:AG71" si="52">M24/M$49</f>
        <v>2.361693436277584E-2</v>
      </c>
      <c r="N71" s="335">
        <f t="shared" si="52"/>
        <v>2.2119830294445048E-2</v>
      </c>
      <c r="O71" s="335">
        <f t="shared" si="52"/>
        <v>2.1688192895637996E-2</v>
      </c>
      <c r="P71" s="335">
        <f t="shared" si="52"/>
        <v>2.1684664138692879E-2</v>
      </c>
      <c r="Q71" s="335">
        <f t="shared" si="52"/>
        <v>2.2083188481729837E-2</v>
      </c>
      <c r="R71" s="335">
        <f t="shared" si="52"/>
        <v>2.0849812092060594E-2</v>
      </c>
      <c r="S71" s="335">
        <f t="shared" si="52"/>
        <v>1.9769078949963076E-2</v>
      </c>
      <c r="T71" s="335">
        <f t="shared" si="52"/>
        <v>1.92643738978364E-2</v>
      </c>
      <c r="U71" s="335">
        <f t="shared" si="52"/>
        <v>1.9927389593608135E-2</v>
      </c>
      <c r="V71" s="335">
        <f t="shared" si="52"/>
        <v>1.7972026504661877E-2</v>
      </c>
      <c r="W71" s="335">
        <f t="shared" si="52"/>
        <v>1.8306339127562372E-2</v>
      </c>
      <c r="X71" s="335">
        <f t="shared" si="52"/>
        <v>2.0581467809576565E-2</v>
      </c>
      <c r="Y71" s="335">
        <f t="shared" si="52"/>
        <v>2.0387520629546581E-2</v>
      </c>
      <c r="Z71" s="335">
        <f t="shared" si="52"/>
        <v>2.0130045464679124E-2</v>
      </c>
      <c r="AA71" s="335">
        <f t="shared" si="52"/>
        <v>1.9865608458268944E-2</v>
      </c>
      <c r="AB71" s="335">
        <f t="shared" si="52"/>
        <v>1.9600949959070382E-2</v>
      </c>
      <c r="AC71" s="335">
        <f t="shared" si="52"/>
        <v>1.9292941100854177E-2</v>
      </c>
      <c r="AD71" s="335">
        <f t="shared" si="52"/>
        <v>1.8957778951032969E-2</v>
      </c>
      <c r="AE71" s="335">
        <f t="shared" si="52"/>
        <v>1.8630484391450364E-2</v>
      </c>
      <c r="AF71" s="335">
        <f t="shared" si="52"/>
        <v>1.8340554009316643E-2</v>
      </c>
      <c r="AG71" s="335">
        <f t="shared" si="52"/>
        <v>1.800011742763815E-2</v>
      </c>
      <c r="AH71" s="335">
        <f t="shared" ref="AH71:AL71" si="53">AH24/AH$49</f>
        <v>1.7343438851581686E-2</v>
      </c>
      <c r="AI71" s="335">
        <f t="shared" si="53"/>
        <v>1.66061432146879E-2</v>
      </c>
      <c r="AJ71" s="335">
        <f t="shared" si="53"/>
        <v>1.6230295055085605E-2</v>
      </c>
      <c r="AK71" s="335">
        <f t="shared" si="53"/>
        <v>1.5984611980082615E-2</v>
      </c>
      <c r="AL71" s="335">
        <f t="shared" si="53"/>
        <v>1.6121422652920183E-2</v>
      </c>
      <c r="AM71" s="11"/>
      <c r="AN71" s="11"/>
      <c r="AO71" s="11"/>
      <c r="AP71" s="11"/>
      <c r="AQ71" s="11"/>
      <c r="AR71" s="11"/>
      <c r="AS71" s="11"/>
      <c r="AT71" s="11"/>
      <c r="AU71" s="11"/>
      <c r="AV71" s="11"/>
      <c r="AW71" s="11"/>
      <c r="AX71" s="11"/>
      <c r="AY71" s="11"/>
      <c r="AZ71" s="11"/>
      <c r="BA71" s="11"/>
    </row>
    <row r="72" spans="12:53" x14ac:dyDescent="0.2">
      <c r="L72" s="232"/>
      <c r="M72" s="335"/>
      <c r="N72" s="335"/>
      <c r="O72" s="335"/>
      <c r="P72" s="335"/>
      <c r="Q72" s="335"/>
      <c r="R72" s="335"/>
      <c r="S72" s="335"/>
      <c r="T72" s="335"/>
      <c r="U72" s="335"/>
      <c r="V72" s="335"/>
      <c r="W72" s="335"/>
      <c r="X72" s="335"/>
      <c r="Y72" s="335"/>
      <c r="Z72" s="335"/>
      <c r="AA72" s="335"/>
      <c r="AB72" s="335"/>
      <c r="AC72" s="335"/>
      <c r="AD72" s="335"/>
      <c r="AE72" s="335"/>
      <c r="AF72" s="335"/>
      <c r="AG72" s="335"/>
      <c r="AH72" s="335"/>
      <c r="AI72" s="335"/>
      <c r="AJ72" s="335"/>
      <c r="AK72" s="335"/>
      <c r="AL72" s="335"/>
      <c r="AM72" s="11"/>
      <c r="AN72" s="11"/>
      <c r="AO72" s="11"/>
      <c r="AP72" s="11"/>
      <c r="AQ72" s="11"/>
      <c r="AR72" s="11"/>
      <c r="AS72" s="11"/>
      <c r="AT72" s="11"/>
      <c r="AU72" s="11"/>
      <c r="AV72" s="11"/>
      <c r="AW72" s="11"/>
      <c r="AX72" s="11"/>
      <c r="AY72" s="11"/>
      <c r="AZ72" s="11"/>
      <c r="BA72" s="11"/>
    </row>
    <row r="73" spans="12:53" x14ac:dyDescent="0.2">
      <c r="L73" s="16" t="str">
        <f>'Occ T3'!A28</f>
        <v>Skilled trades occupations</v>
      </c>
      <c r="M73" s="336">
        <f t="shared" ref="M73:AG73" si="54">M26/M$49</f>
        <v>0.11879999549888726</v>
      </c>
      <c r="N73" s="336">
        <f t="shared" si="54"/>
        <v>0.12319380133148675</v>
      </c>
      <c r="O73" s="336">
        <f t="shared" si="54"/>
        <v>0.10965940675705683</v>
      </c>
      <c r="P73" s="336">
        <f t="shared" si="54"/>
        <v>0.11559139574652541</v>
      </c>
      <c r="Q73" s="336">
        <f t="shared" si="54"/>
        <v>0.11373746589640731</v>
      </c>
      <c r="R73" s="336">
        <f t="shared" si="54"/>
        <v>0.10855005989950763</v>
      </c>
      <c r="S73" s="336">
        <f t="shared" si="54"/>
        <v>0.10448066484880461</v>
      </c>
      <c r="T73" s="336">
        <f t="shared" si="54"/>
        <v>0.10632350074197544</v>
      </c>
      <c r="U73" s="336">
        <f t="shared" si="54"/>
        <v>0.10561113976516336</v>
      </c>
      <c r="V73" s="336">
        <f t="shared" si="54"/>
        <v>0.10664666977291022</v>
      </c>
      <c r="W73" s="336">
        <f t="shared" si="54"/>
        <v>9.2523935000874608E-2</v>
      </c>
      <c r="X73" s="336">
        <f t="shared" si="54"/>
        <v>9.2547841707179695E-2</v>
      </c>
      <c r="Y73" s="336">
        <f t="shared" si="54"/>
        <v>9.158866657000439E-2</v>
      </c>
      <c r="Z73" s="336">
        <f t="shared" si="54"/>
        <v>9.0402047329560684E-2</v>
      </c>
      <c r="AA73" s="336">
        <f t="shared" si="54"/>
        <v>8.9364953490312385E-2</v>
      </c>
      <c r="AB73" s="336">
        <f t="shared" si="54"/>
        <v>8.8520000641966162E-2</v>
      </c>
      <c r="AC73" s="336">
        <f t="shared" si="54"/>
        <v>8.7669048184270348E-2</v>
      </c>
      <c r="AD73" s="336">
        <f t="shared" si="54"/>
        <v>8.6777640196447028E-2</v>
      </c>
      <c r="AE73" s="336">
        <f t="shared" si="54"/>
        <v>8.59327799631458E-2</v>
      </c>
      <c r="AF73" s="336">
        <f t="shared" si="54"/>
        <v>8.5082073810851089E-2</v>
      </c>
      <c r="AG73" s="336">
        <f t="shared" si="54"/>
        <v>8.4244534771531196E-2</v>
      </c>
      <c r="AH73" s="336">
        <f t="shared" ref="AH73:AL73" si="55">AH26/AH$49</f>
        <v>8.3435794331551086E-2</v>
      </c>
      <c r="AI73" s="336">
        <f t="shared" si="55"/>
        <v>8.2628414586455923E-2</v>
      </c>
      <c r="AJ73" s="336">
        <f t="shared" si="55"/>
        <v>8.1768260983120608E-2</v>
      </c>
      <c r="AK73" s="336">
        <f t="shared" si="55"/>
        <v>8.0910973210962175E-2</v>
      </c>
      <c r="AL73" s="336">
        <f t="shared" si="55"/>
        <v>7.9958116766454632E-2</v>
      </c>
      <c r="AM73" s="11"/>
      <c r="AN73" s="11"/>
      <c r="AO73" s="11"/>
      <c r="AP73" s="11"/>
      <c r="AQ73" s="11"/>
      <c r="AR73" s="11"/>
      <c r="AS73" s="11"/>
      <c r="AT73" s="11"/>
      <c r="AU73" s="11"/>
      <c r="AV73" s="11"/>
      <c r="AW73" s="11"/>
      <c r="AX73" s="11"/>
      <c r="AY73" s="11"/>
      <c r="AZ73" s="11"/>
      <c r="BA73" s="11"/>
    </row>
    <row r="74" spans="12:53" x14ac:dyDescent="0.2">
      <c r="L74" s="232" t="str">
        <f>'Occ T3'!A29</f>
        <v>51 Skilled agricultural and related trades</v>
      </c>
      <c r="M74" s="335">
        <f t="shared" ref="M74:AG74" si="56">M27/M$49</f>
        <v>1.0327986640432343E-2</v>
      </c>
      <c r="N74" s="335">
        <f t="shared" si="56"/>
        <v>1.599315636390853E-2</v>
      </c>
      <c r="O74" s="335">
        <f t="shared" si="56"/>
        <v>9.4155424456808436E-3</v>
      </c>
      <c r="P74" s="335">
        <f t="shared" si="56"/>
        <v>1.152542743038353E-2</v>
      </c>
      <c r="Q74" s="335">
        <f t="shared" si="56"/>
        <v>1.2714247321794107E-2</v>
      </c>
      <c r="R74" s="335">
        <f t="shared" si="56"/>
        <v>1.0386179150374932E-2</v>
      </c>
      <c r="S74" s="335">
        <f t="shared" si="56"/>
        <v>8.0675400738574026E-3</v>
      </c>
      <c r="T74" s="335">
        <f t="shared" si="56"/>
        <v>9.5445278488864652E-3</v>
      </c>
      <c r="U74" s="335">
        <f t="shared" si="56"/>
        <v>1.0563799045128667E-2</v>
      </c>
      <c r="V74" s="335">
        <f t="shared" si="56"/>
        <v>8.5908571826401724E-3</v>
      </c>
      <c r="W74" s="335">
        <f t="shared" si="56"/>
        <v>8.6618435623174849E-3</v>
      </c>
      <c r="X74" s="335">
        <f t="shared" si="56"/>
        <v>8.3651765573777796E-3</v>
      </c>
      <c r="Y74" s="335">
        <f t="shared" si="56"/>
        <v>8.4290466843773351E-3</v>
      </c>
      <c r="Z74" s="335">
        <f t="shared" si="56"/>
        <v>8.5149527241116171E-3</v>
      </c>
      <c r="AA74" s="335">
        <f t="shared" si="56"/>
        <v>8.5928462070361342E-3</v>
      </c>
      <c r="AB74" s="335">
        <f t="shared" si="56"/>
        <v>8.6575477160041985E-3</v>
      </c>
      <c r="AC74" s="335">
        <f t="shared" si="56"/>
        <v>8.7254504465567942E-3</v>
      </c>
      <c r="AD74" s="335">
        <f t="shared" si="56"/>
        <v>8.7912417549610277E-3</v>
      </c>
      <c r="AE74" s="335">
        <f t="shared" si="56"/>
        <v>8.8581905929154825E-3</v>
      </c>
      <c r="AF74" s="335">
        <f t="shared" si="56"/>
        <v>8.9247568120641753E-3</v>
      </c>
      <c r="AG74" s="335">
        <f t="shared" si="56"/>
        <v>8.9904173004041864E-3</v>
      </c>
      <c r="AH74" s="335">
        <f t="shared" ref="AH74:AL74" si="57">AH27/AH$49</f>
        <v>9.0543728668597834E-3</v>
      </c>
      <c r="AI74" s="335">
        <f t="shared" si="57"/>
        <v>9.1120359221984713E-3</v>
      </c>
      <c r="AJ74" s="335">
        <f t="shared" si="57"/>
        <v>9.1671490821615739E-3</v>
      </c>
      <c r="AK74" s="335">
        <f t="shared" si="57"/>
        <v>9.2141240217125005E-3</v>
      </c>
      <c r="AL74" s="335">
        <f t="shared" si="57"/>
        <v>9.2614969806989883E-3</v>
      </c>
      <c r="AM74" s="11"/>
      <c r="AN74" s="11"/>
      <c r="AO74" s="11"/>
      <c r="AP74" s="11"/>
      <c r="AQ74" s="11"/>
      <c r="AR74" s="11"/>
      <c r="AS74" s="11"/>
      <c r="AT74" s="11"/>
      <c r="AU74" s="11"/>
      <c r="AV74" s="11"/>
      <c r="AW74" s="11"/>
      <c r="AX74" s="11"/>
      <c r="AY74" s="11"/>
      <c r="AZ74" s="11"/>
      <c r="BA74" s="11"/>
    </row>
    <row r="75" spans="12:53" x14ac:dyDescent="0.2">
      <c r="L75" s="232" t="str">
        <f>'Occ T3'!A30</f>
        <v>52 Skilled metal, electrical and electronic trades</v>
      </c>
      <c r="M75" s="335">
        <f t="shared" ref="M75:AG75" si="58">M28/M$49</f>
        <v>4.5760266858508654E-2</v>
      </c>
      <c r="N75" s="335">
        <f t="shared" si="58"/>
        <v>4.6799839448670728E-2</v>
      </c>
      <c r="O75" s="335">
        <f t="shared" si="58"/>
        <v>4.1679279569715712E-2</v>
      </c>
      <c r="P75" s="335">
        <f t="shared" si="58"/>
        <v>4.4314416669992272E-2</v>
      </c>
      <c r="Q75" s="335">
        <f t="shared" si="58"/>
        <v>4.4380890107461421E-2</v>
      </c>
      <c r="R75" s="335">
        <f t="shared" si="58"/>
        <v>4.2847472882320867E-2</v>
      </c>
      <c r="S75" s="335">
        <f t="shared" si="58"/>
        <v>4.3547812228898586E-2</v>
      </c>
      <c r="T75" s="335">
        <f t="shared" si="58"/>
        <v>4.2057254398047542E-2</v>
      </c>
      <c r="U75" s="335">
        <f t="shared" si="58"/>
        <v>4.2014094394190238E-2</v>
      </c>
      <c r="V75" s="335">
        <f t="shared" si="58"/>
        <v>4.1965725276610723E-2</v>
      </c>
      <c r="W75" s="335">
        <f t="shared" si="58"/>
        <v>3.5824731421211793E-2</v>
      </c>
      <c r="X75" s="335">
        <f t="shared" si="58"/>
        <v>3.5366071978826921E-2</v>
      </c>
      <c r="Y75" s="335">
        <f t="shared" si="58"/>
        <v>3.4862057534688927E-2</v>
      </c>
      <c r="Z75" s="335">
        <f t="shared" si="58"/>
        <v>3.4349479227337269E-2</v>
      </c>
      <c r="AA75" s="335">
        <f t="shared" si="58"/>
        <v>3.3861912511556597E-2</v>
      </c>
      <c r="AB75" s="335">
        <f t="shared" si="58"/>
        <v>3.3420538374182573E-2</v>
      </c>
      <c r="AC75" s="335">
        <f t="shared" si="58"/>
        <v>3.2981810129526903E-2</v>
      </c>
      <c r="AD75" s="335">
        <f t="shared" si="58"/>
        <v>3.2539927705751932E-2</v>
      </c>
      <c r="AE75" s="335">
        <f t="shared" si="58"/>
        <v>3.2092645516641143E-2</v>
      </c>
      <c r="AF75" s="335">
        <f t="shared" si="58"/>
        <v>3.1648106024744174E-2</v>
      </c>
      <c r="AG75" s="335">
        <f t="shared" si="58"/>
        <v>3.1221959370920888E-2</v>
      </c>
      <c r="AH75" s="335">
        <f t="shared" ref="AH75:AL75" si="59">AH28/AH$49</f>
        <v>3.0811065465827642E-2</v>
      </c>
      <c r="AI75" s="335">
        <f t="shared" si="59"/>
        <v>3.039727946305016E-2</v>
      </c>
      <c r="AJ75" s="335">
        <f t="shared" si="59"/>
        <v>2.9973359623313697E-2</v>
      </c>
      <c r="AK75" s="335">
        <f t="shared" si="59"/>
        <v>2.9566712678374601E-2</v>
      </c>
      <c r="AL75" s="335">
        <f t="shared" si="59"/>
        <v>2.9155183562308201E-2</v>
      </c>
      <c r="AM75" s="11"/>
      <c r="AN75" s="11"/>
      <c r="AO75" s="11"/>
      <c r="AP75" s="11"/>
      <c r="AQ75" s="11"/>
      <c r="AR75" s="11"/>
      <c r="AS75" s="11"/>
      <c r="AT75" s="11"/>
      <c r="AU75" s="11"/>
      <c r="AV75" s="11"/>
      <c r="AW75" s="11"/>
      <c r="AX75" s="11"/>
      <c r="AY75" s="11"/>
      <c r="AZ75" s="11"/>
      <c r="BA75" s="11"/>
    </row>
    <row r="76" spans="12:53" x14ac:dyDescent="0.2">
      <c r="L76" s="232" t="str">
        <f>'Occ T3'!A31</f>
        <v>53 Skilled construction and building trades</v>
      </c>
      <c r="M76" s="335">
        <f t="shared" ref="M76:AG76" si="60">M29/M$49</f>
        <v>4.5014364410625056E-2</v>
      </c>
      <c r="N76" s="335">
        <f t="shared" si="60"/>
        <v>4.1545462686257889E-2</v>
      </c>
      <c r="O76" s="335">
        <f t="shared" si="60"/>
        <v>3.904528236327838E-2</v>
      </c>
      <c r="P76" s="335">
        <f t="shared" si="60"/>
        <v>4.0195069302424571E-2</v>
      </c>
      <c r="Q76" s="335">
        <f t="shared" si="60"/>
        <v>3.7663195195898211E-2</v>
      </c>
      <c r="R76" s="335">
        <f t="shared" si="60"/>
        <v>3.4295808107516666E-2</v>
      </c>
      <c r="S76" s="335">
        <f t="shared" si="60"/>
        <v>3.3567198293407478E-2</v>
      </c>
      <c r="T76" s="335">
        <f t="shared" si="60"/>
        <v>3.4674592157056962E-2</v>
      </c>
      <c r="U76" s="335">
        <f t="shared" si="60"/>
        <v>3.5209829105245428E-2</v>
      </c>
      <c r="V76" s="335">
        <f t="shared" si="60"/>
        <v>3.7384207456389734E-2</v>
      </c>
      <c r="W76" s="335">
        <f t="shared" si="60"/>
        <v>3.0301791805236646E-2</v>
      </c>
      <c r="X76" s="335">
        <f t="shared" si="60"/>
        <v>3.1358041330296876E-2</v>
      </c>
      <c r="Y76" s="335">
        <f t="shared" si="60"/>
        <v>3.0944257111258325E-2</v>
      </c>
      <c r="Z76" s="335">
        <f t="shared" si="60"/>
        <v>3.0282303217342647E-2</v>
      </c>
      <c r="AA76" s="335">
        <f t="shared" si="60"/>
        <v>2.9737719663542623E-2</v>
      </c>
      <c r="AB76" s="335">
        <f t="shared" si="60"/>
        <v>2.9359155220539359E-2</v>
      </c>
      <c r="AC76" s="335">
        <f t="shared" si="60"/>
        <v>2.8973469409389409E-2</v>
      </c>
      <c r="AD76" s="335">
        <f t="shared" si="60"/>
        <v>2.8570907097556126E-2</v>
      </c>
      <c r="AE76" s="335">
        <f t="shared" si="60"/>
        <v>2.820071342595095E-2</v>
      </c>
      <c r="AF76" s="335">
        <f t="shared" si="60"/>
        <v>2.78161808040049E-2</v>
      </c>
      <c r="AG76" s="335">
        <f t="shared" si="60"/>
        <v>2.7431795521945333E-2</v>
      </c>
      <c r="AH76" s="335">
        <f t="shared" ref="AH76:AL76" si="61">AH29/AH$49</f>
        <v>2.7048078914585119E-2</v>
      </c>
      <c r="AI76" s="335">
        <f t="shared" si="61"/>
        <v>2.6673481119799065E-2</v>
      </c>
      <c r="AJ76" s="335">
        <f t="shared" si="61"/>
        <v>2.6295494775872633E-2</v>
      </c>
      <c r="AK76" s="335">
        <f t="shared" si="61"/>
        <v>2.592321160205965E-2</v>
      </c>
      <c r="AL76" s="335">
        <f t="shared" si="61"/>
        <v>2.5548228346500293E-2</v>
      </c>
      <c r="AM76" s="11"/>
      <c r="AN76" s="11"/>
      <c r="AO76" s="11"/>
      <c r="AP76" s="11"/>
      <c r="AQ76" s="11"/>
      <c r="AR76" s="11"/>
      <c r="AS76" s="11"/>
      <c r="AT76" s="11"/>
      <c r="AU76" s="11"/>
      <c r="AV76" s="11"/>
      <c r="AW76" s="11"/>
      <c r="AX76" s="11"/>
      <c r="AY76" s="11"/>
      <c r="AZ76" s="11"/>
      <c r="BA76" s="11"/>
    </row>
    <row r="77" spans="12:53" x14ac:dyDescent="0.2">
      <c r="L77" s="232" t="str">
        <f>'Occ T3'!A32</f>
        <v>54 Textiles, printing and other skilled trades</v>
      </c>
      <c r="M77" s="335">
        <f t="shared" ref="M77:AG77" si="62">M30/M$49</f>
        <v>1.7697377589321214E-2</v>
      </c>
      <c r="N77" s="335">
        <f t="shared" si="62"/>
        <v>1.8855342832649582E-2</v>
      </c>
      <c r="O77" s="335">
        <f t="shared" si="62"/>
        <v>1.9519302378381898E-2</v>
      </c>
      <c r="P77" s="335">
        <f t="shared" si="62"/>
        <v>1.9556482343725055E-2</v>
      </c>
      <c r="Q77" s="335">
        <f t="shared" si="62"/>
        <v>1.8979133271253591E-2</v>
      </c>
      <c r="R77" s="335">
        <f t="shared" si="62"/>
        <v>2.1020599759295166E-2</v>
      </c>
      <c r="S77" s="335">
        <f t="shared" si="62"/>
        <v>1.9298114252641142E-2</v>
      </c>
      <c r="T77" s="335">
        <f t="shared" si="62"/>
        <v>2.0047126337984465E-2</v>
      </c>
      <c r="U77" s="335">
        <f t="shared" si="62"/>
        <v>1.7823417220599023E-2</v>
      </c>
      <c r="V77" s="335">
        <f t="shared" si="62"/>
        <v>1.870587985726958E-2</v>
      </c>
      <c r="W77" s="335">
        <f t="shared" si="62"/>
        <v>1.7735568212108678E-2</v>
      </c>
      <c r="X77" s="335">
        <f t="shared" si="62"/>
        <v>1.745855184067812E-2</v>
      </c>
      <c r="Y77" s="335">
        <f t="shared" si="62"/>
        <v>1.735330523967981E-2</v>
      </c>
      <c r="Z77" s="335">
        <f t="shared" si="62"/>
        <v>1.7255312160769153E-2</v>
      </c>
      <c r="AA77" s="335">
        <f t="shared" si="62"/>
        <v>1.7172475108177036E-2</v>
      </c>
      <c r="AB77" s="335">
        <f t="shared" si="62"/>
        <v>1.7082759331240038E-2</v>
      </c>
      <c r="AC77" s="335">
        <f t="shared" si="62"/>
        <v>1.6988318198797245E-2</v>
      </c>
      <c r="AD77" s="335">
        <f t="shared" si="62"/>
        <v>1.6875563638177934E-2</v>
      </c>
      <c r="AE77" s="335">
        <f t="shared" si="62"/>
        <v>1.6781230427638218E-2</v>
      </c>
      <c r="AF77" s="335">
        <f t="shared" si="62"/>
        <v>1.6693030170037849E-2</v>
      </c>
      <c r="AG77" s="335">
        <f t="shared" si="62"/>
        <v>1.6600362578260794E-2</v>
      </c>
      <c r="AH77" s="335">
        <f t="shared" ref="AH77:AL77" si="63">AH30/AH$49</f>
        <v>1.6522277084278537E-2</v>
      </c>
      <c r="AI77" s="335">
        <f t="shared" si="63"/>
        <v>1.6445618081408243E-2</v>
      </c>
      <c r="AJ77" s="335">
        <f t="shared" si="63"/>
        <v>1.6332257501772696E-2</v>
      </c>
      <c r="AK77" s="335">
        <f t="shared" si="63"/>
        <v>1.6206924908815437E-2</v>
      </c>
      <c r="AL77" s="335">
        <f t="shared" si="63"/>
        <v>1.5993207876947146E-2</v>
      </c>
      <c r="AM77" s="11"/>
      <c r="AN77" s="11"/>
      <c r="AO77" s="11"/>
      <c r="AP77" s="11"/>
      <c r="AQ77" s="11"/>
      <c r="AR77" s="11"/>
      <c r="AS77" s="11"/>
      <c r="AT77" s="11"/>
      <c r="AU77" s="11"/>
      <c r="AV77" s="11"/>
      <c r="AW77" s="11"/>
      <c r="AX77" s="11"/>
      <c r="AY77" s="11"/>
      <c r="AZ77" s="11"/>
      <c r="BA77" s="11"/>
    </row>
    <row r="78" spans="12:53" x14ac:dyDescent="0.2">
      <c r="L78" s="232"/>
      <c r="M78" s="335"/>
      <c r="N78" s="335"/>
      <c r="O78" s="335"/>
      <c r="P78" s="335"/>
      <c r="Q78" s="335"/>
      <c r="R78" s="335"/>
      <c r="S78" s="335"/>
      <c r="T78" s="335"/>
      <c r="U78" s="335"/>
      <c r="V78" s="335"/>
      <c r="W78" s="335"/>
      <c r="X78" s="335"/>
      <c r="Y78" s="335"/>
      <c r="Z78" s="335"/>
      <c r="AA78" s="335"/>
      <c r="AB78" s="335"/>
      <c r="AC78" s="335"/>
      <c r="AD78" s="335"/>
      <c r="AE78" s="335"/>
      <c r="AF78" s="335"/>
      <c r="AG78" s="335"/>
      <c r="AH78" s="335"/>
      <c r="AI78" s="335"/>
      <c r="AJ78" s="335"/>
      <c r="AK78" s="335"/>
      <c r="AL78" s="335"/>
      <c r="AM78" s="11"/>
      <c r="AN78" s="11"/>
      <c r="AO78" s="11"/>
      <c r="AP78" s="11"/>
      <c r="AQ78" s="11"/>
      <c r="AR78" s="11"/>
      <c r="AS78" s="11"/>
      <c r="AT78" s="11"/>
      <c r="AU78" s="11"/>
      <c r="AV78" s="11"/>
      <c r="AW78" s="11"/>
      <c r="AX78" s="11"/>
      <c r="AY78" s="11"/>
      <c r="AZ78" s="11"/>
      <c r="BA78" s="11"/>
    </row>
    <row r="79" spans="12:53" x14ac:dyDescent="0.2">
      <c r="L79" s="16" t="str">
        <f>'Occ T3'!A34</f>
        <v>Caring, leisure and other service occupations</v>
      </c>
      <c r="M79" s="336">
        <f>M32/M$49</f>
        <v>9.6238802117347144E-2</v>
      </c>
      <c r="N79" s="336">
        <f t="shared" ref="N79:AG79" si="64">N32/N$49</f>
        <v>9.139665875522146E-2</v>
      </c>
      <c r="O79" s="336">
        <f t="shared" si="64"/>
        <v>9.4441091249162348E-2</v>
      </c>
      <c r="P79" s="336">
        <f t="shared" si="64"/>
        <v>9.4105799537616469E-2</v>
      </c>
      <c r="Q79" s="336">
        <f t="shared" si="64"/>
        <v>9.7980874390614842E-2</v>
      </c>
      <c r="R79" s="336">
        <f t="shared" si="64"/>
        <v>9.7267588394143067E-2</v>
      </c>
      <c r="S79" s="336">
        <f t="shared" si="64"/>
        <v>9.6032439746193465E-2</v>
      </c>
      <c r="T79" s="336">
        <f t="shared" si="64"/>
        <v>9.6370780927487201E-2</v>
      </c>
      <c r="U79" s="336">
        <f t="shared" si="64"/>
        <v>9.5281594027290403E-2</v>
      </c>
      <c r="V79" s="336">
        <f t="shared" si="64"/>
        <v>9.4373433922657443E-2</v>
      </c>
      <c r="W79" s="336">
        <f t="shared" si="64"/>
        <v>9.537692453441679E-2</v>
      </c>
      <c r="X79" s="336">
        <f t="shared" si="64"/>
        <v>9.7456355608940795E-2</v>
      </c>
      <c r="Y79" s="336">
        <f t="shared" si="64"/>
        <v>9.7903963107797878E-2</v>
      </c>
      <c r="Z79" s="336">
        <f t="shared" si="64"/>
        <v>9.8287737039284617E-2</v>
      </c>
      <c r="AA79" s="336">
        <f t="shared" si="64"/>
        <v>9.856421674847074E-2</v>
      </c>
      <c r="AB79" s="336">
        <f t="shared" si="64"/>
        <v>9.872151016005018E-2</v>
      </c>
      <c r="AC79" s="336">
        <f t="shared" si="64"/>
        <v>9.8815352158115974E-2</v>
      </c>
      <c r="AD79" s="336">
        <f t="shared" si="64"/>
        <v>9.8880725824530877E-2</v>
      </c>
      <c r="AE79" s="336">
        <f t="shared" si="64"/>
        <v>9.8963735050295251E-2</v>
      </c>
      <c r="AF79" s="336">
        <f t="shared" si="64"/>
        <v>9.8993162668287296E-2</v>
      </c>
      <c r="AG79" s="336">
        <f t="shared" si="64"/>
        <v>9.9067403140317298E-2</v>
      </c>
      <c r="AH79" s="336">
        <f t="shared" ref="AH79:AL79" si="65">AH32/AH$49</f>
        <v>9.9174200524103015E-2</v>
      </c>
      <c r="AI79" s="336">
        <f t="shared" si="65"/>
        <v>9.9310123272432646E-2</v>
      </c>
      <c r="AJ79" s="336">
        <f t="shared" si="65"/>
        <v>9.9455037127630916E-2</v>
      </c>
      <c r="AK79" s="336">
        <f t="shared" si="65"/>
        <v>9.9606722576186663E-2</v>
      </c>
      <c r="AL79" s="336">
        <f t="shared" si="65"/>
        <v>9.9741739949123207E-2</v>
      </c>
      <c r="AM79" s="11"/>
      <c r="AN79" s="11"/>
      <c r="AO79" s="11"/>
      <c r="AP79" s="11"/>
      <c r="AQ79" s="11"/>
      <c r="AR79" s="11"/>
      <c r="AS79" s="11"/>
      <c r="AT79" s="11"/>
      <c r="AU79" s="11"/>
      <c r="AV79" s="11"/>
      <c r="AW79" s="11"/>
      <c r="AX79" s="11"/>
      <c r="AY79" s="11"/>
      <c r="AZ79" s="11"/>
      <c r="BA79" s="11"/>
    </row>
    <row r="80" spans="12:53" x14ac:dyDescent="0.2">
      <c r="L80" s="232" t="str">
        <f>'Occ T3'!A35</f>
        <v>61 Caring personal service occupations</v>
      </c>
      <c r="M80" s="335">
        <f t="shared" ref="M80:AG80" si="66">M33/M$49</f>
        <v>7.4172991969924523E-2</v>
      </c>
      <c r="N80" s="335">
        <f t="shared" si="66"/>
        <v>6.7907311673138876E-2</v>
      </c>
      <c r="O80" s="335">
        <f t="shared" si="66"/>
        <v>7.1765076138140857E-2</v>
      </c>
      <c r="P80" s="335">
        <f t="shared" si="66"/>
        <v>7.1495567817246225E-2</v>
      </c>
      <c r="Q80" s="335">
        <f t="shared" si="66"/>
        <v>7.4633644954271258E-2</v>
      </c>
      <c r="R80" s="335">
        <f t="shared" si="66"/>
        <v>7.343271574169398E-2</v>
      </c>
      <c r="S80" s="335">
        <f t="shared" si="66"/>
        <v>7.4152085397565168E-2</v>
      </c>
      <c r="T80" s="335">
        <f t="shared" si="66"/>
        <v>7.349877655380839E-2</v>
      </c>
      <c r="U80" s="335">
        <f t="shared" si="66"/>
        <v>7.071304773844482E-2</v>
      </c>
      <c r="V80" s="335">
        <f t="shared" si="66"/>
        <v>6.9414533365827855E-2</v>
      </c>
      <c r="W80" s="335">
        <f t="shared" si="66"/>
        <v>7.1694813494662779E-2</v>
      </c>
      <c r="X80" s="335">
        <f t="shared" si="66"/>
        <v>7.4481763301001785E-2</v>
      </c>
      <c r="Y80" s="335">
        <f t="shared" si="66"/>
        <v>7.5027210967046523E-2</v>
      </c>
      <c r="Z80" s="335">
        <f t="shared" si="66"/>
        <v>7.5377516405663744E-2</v>
      </c>
      <c r="AA80" s="335">
        <f t="shared" si="66"/>
        <v>7.5614197481344375E-2</v>
      </c>
      <c r="AB80" s="335">
        <f t="shared" si="66"/>
        <v>7.5746937207574153E-2</v>
      </c>
      <c r="AC80" s="335">
        <f t="shared" si="66"/>
        <v>7.5814828759815808E-2</v>
      </c>
      <c r="AD80" s="335">
        <f t="shared" si="66"/>
        <v>7.5854806858513299E-2</v>
      </c>
      <c r="AE80" s="335">
        <f t="shared" si="66"/>
        <v>7.5927125265404807E-2</v>
      </c>
      <c r="AF80" s="335">
        <f t="shared" si="66"/>
        <v>7.5955332856565763E-2</v>
      </c>
      <c r="AG80" s="335">
        <f t="shared" si="66"/>
        <v>7.6027920662144158E-2</v>
      </c>
      <c r="AH80" s="335">
        <f t="shared" ref="AH80:AL80" si="67">AH33/AH$49</f>
        <v>7.6136835637205288E-2</v>
      </c>
      <c r="AI80" s="335">
        <f t="shared" si="67"/>
        <v>7.6282712130825076E-2</v>
      </c>
      <c r="AJ80" s="335">
        <f t="shared" si="67"/>
        <v>7.6422111384276639E-2</v>
      </c>
      <c r="AK80" s="335">
        <f t="shared" si="67"/>
        <v>7.6594595367511092E-2</v>
      </c>
      <c r="AL80" s="335">
        <f t="shared" si="67"/>
        <v>7.6795207993469644E-2</v>
      </c>
      <c r="AM80" s="11"/>
      <c r="AN80" s="11"/>
      <c r="AO80" s="11"/>
      <c r="AP80" s="11"/>
      <c r="AQ80" s="11"/>
      <c r="AR80" s="11"/>
      <c r="AS80" s="11"/>
      <c r="AT80" s="11"/>
      <c r="AU80" s="11"/>
      <c r="AV80" s="11"/>
      <c r="AW80" s="11"/>
      <c r="AX80" s="11"/>
      <c r="AY80" s="11"/>
      <c r="AZ80" s="11"/>
      <c r="BA80" s="11"/>
    </row>
    <row r="81" spans="12:53" x14ac:dyDescent="0.2">
      <c r="L81" s="232" t="str">
        <f>'Occ T3'!A36</f>
        <v>62 Leisure, travel and related personal service occupations</v>
      </c>
      <c r="M81" s="335">
        <f t="shared" ref="M81:AG82" si="68">M34/M$49</f>
        <v>2.0070680554765859E-2</v>
      </c>
      <c r="N81" s="335">
        <f t="shared" si="68"/>
        <v>2.2082539447422115E-2</v>
      </c>
      <c r="O81" s="335">
        <f t="shared" si="68"/>
        <v>2.1332261310123571E-2</v>
      </c>
      <c r="P81" s="335">
        <f t="shared" si="68"/>
        <v>2.1376109019111175E-2</v>
      </c>
      <c r="Q81" s="335">
        <f t="shared" si="68"/>
        <v>2.203111479848573E-2</v>
      </c>
      <c r="R81" s="335">
        <f t="shared" si="68"/>
        <v>2.2691980327454633E-2</v>
      </c>
      <c r="S81" s="335">
        <f t="shared" si="68"/>
        <v>2.084513084816805E-2</v>
      </c>
      <c r="T81" s="335">
        <f t="shared" si="68"/>
        <v>2.1732893199472098E-2</v>
      </c>
      <c r="U81" s="335">
        <f t="shared" si="68"/>
        <v>2.3459160430028794E-2</v>
      </c>
      <c r="V81" s="335">
        <f t="shared" si="68"/>
        <v>2.390822145322628E-2</v>
      </c>
      <c r="W81" s="335">
        <f t="shared" si="68"/>
        <v>2.2373128270801679E-2</v>
      </c>
      <c r="X81" s="335">
        <f t="shared" si="68"/>
        <v>2.192279559812596E-2</v>
      </c>
      <c r="Y81" s="335">
        <f t="shared" si="68"/>
        <v>2.1826113431741172E-2</v>
      </c>
      <c r="Z81" s="335">
        <f t="shared" si="68"/>
        <v>2.1857828842134958E-2</v>
      </c>
      <c r="AA81" s="335">
        <f t="shared" si="68"/>
        <v>2.1897225039362832E-2</v>
      </c>
      <c r="AB81" s="335">
        <f t="shared" si="68"/>
        <v>2.1917925192943003E-2</v>
      </c>
      <c r="AC81" s="335">
        <f t="shared" si="68"/>
        <v>2.193989809996499E-2</v>
      </c>
      <c r="AD81" s="335">
        <f t="shared" si="68"/>
        <v>2.196120607447994E-2</v>
      </c>
      <c r="AE81" s="335">
        <f t="shared" si="68"/>
        <v>2.1968255087734336E-2</v>
      </c>
      <c r="AF81" s="335">
        <f t="shared" si="68"/>
        <v>2.1965482971492933E-2</v>
      </c>
      <c r="AG81" s="335">
        <f t="shared" si="68"/>
        <v>2.1964539542524385E-2</v>
      </c>
      <c r="AH81" s="335">
        <f t="shared" ref="AH81:AL81" si="69">AH34/AH$49</f>
        <v>2.1960090220912765E-2</v>
      </c>
      <c r="AI81" s="335">
        <f t="shared" si="69"/>
        <v>2.194740677376858E-2</v>
      </c>
      <c r="AJ81" s="335">
        <f t="shared" si="69"/>
        <v>2.1949915746170768E-2</v>
      </c>
      <c r="AK81" s="335">
        <f t="shared" si="69"/>
        <v>2.1927205924488366E-2</v>
      </c>
      <c r="AL81" s="335">
        <f t="shared" si="69"/>
        <v>2.1859172054022463E-2</v>
      </c>
      <c r="AM81" s="11"/>
      <c r="AN81" s="11"/>
      <c r="AO81" s="11"/>
      <c r="AP81" s="11"/>
      <c r="AQ81" s="11"/>
      <c r="AR81" s="11"/>
      <c r="AS81" s="11"/>
      <c r="AT81" s="11"/>
      <c r="AU81" s="11"/>
      <c r="AV81" s="11"/>
      <c r="AW81" s="11"/>
      <c r="AX81" s="11"/>
      <c r="AY81" s="11"/>
      <c r="AZ81" s="11"/>
      <c r="BA81" s="11"/>
    </row>
    <row r="82" spans="12:53" x14ac:dyDescent="0.2">
      <c r="L82" s="232" t="str">
        <f>'Occ T3'!A37</f>
        <v>63 Community and civil enforcement occupations</v>
      </c>
      <c r="M82" s="335">
        <f>M35/M$49</f>
        <v>1.9951295926567531E-3</v>
      </c>
      <c r="N82" s="335">
        <f t="shared" si="68"/>
        <v>1.4068076346604682E-3</v>
      </c>
      <c r="O82" s="335">
        <f t="shared" si="68"/>
        <v>1.3437538008979281E-3</v>
      </c>
      <c r="P82" s="335">
        <f t="shared" si="68"/>
        <v>1.2341227012590706E-3</v>
      </c>
      <c r="Q82" s="335">
        <f t="shared" si="68"/>
        <v>1.31611463785785E-3</v>
      </c>
      <c r="R82" s="335">
        <f t="shared" si="68"/>
        <v>1.1428923249944562E-3</v>
      </c>
      <c r="S82" s="335">
        <f t="shared" si="68"/>
        <v>1.0352235004602447E-3</v>
      </c>
      <c r="T82" s="335">
        <f t="shared" si="68"/>
        <v>1.139111174206715E-3</v>
      </c>
      <c r="U82" s="335">
        <f t="shared" si="68"/>
        <v>1.1093858588167907E-3</v>
      </c>
      <c r="V82" s="335">
        <f t="shared" si="68"/>
        <v>1.0506791036033105E-3</v>
      </c>
      <c r="W82" s="335">
        <f t="shared" si="68"/>
        <v>1.3089827689523289E-3</v>
      </c>
      <c r="X82" s="335">
        <f t="shared" si="68"/>
        <v>1.0517967098130432E-3</v>
      </c>
      <c r="Y82" s="335">
        <f t="shared" si="68"/>
        <v>1.0506387090101911E-3</v>
      </c>
      <c r="Z82" s="335">
        <f t="shared" si="68"/>
        <v>1.0523917914859098E-3</v>
      </c>
      <c r="AA82" s="335">
        <f t="shared" si="68"/>
        <v>1.0527942277635371E-3</v>
      </c>
      <c r="AB82" s="335">
        <f t="shared" si="68"/>
        <v>1.0566477595330172E-3</v>
      </c>
      <c r="AC82" s="335">
        <f t="shared" si="68"/>
        <v>1.0606252983351766E-3</v>
      </c>
      <c r="AD82" s="335">
        <f t="shared" si="68"/>
        <v>1.0647128915376293E-3</v>
      </c>
      <c r="AE82" s="335">
        <f t="shared" si="68"/>
        <v>1.0683546971561064E-3</v>
      </c>
      <c r="AF82" s="335">
        <f t="shared" si="68"/>
        <v>1.0723468402286033E-3</v>
      </c>
      <c r="AG82" s="335">
        <f t="shared" si="68"/>
        <v>1.0749429356487514E-3</v>
      </c>
      <c r="AH82" s="335">
        <f t="shared" ref="AH82:AL82" si="70">AH35/AH$49</f>
        <v>1.0772746659849783E-3</v>
      </c>
      <c r="AI82" s="335">
        <f t="shared" si="70"/>
        <v>1.0800043678389896E-3</v>
      </c>
      <c r="AJ82" s="335">
        <f t="shared" si="70"/>
        <v>1.0830099971835126E-3</v>
      </c>
      <c r="AK82" s="335">
        <f t="shared" si="70"/>
        <v>1.0849212841872139E-3</v>
      </c>
      <c r="AL82" s="335">
        <f t="shared" si="70"/>
        <v>1.0873599016311016E-3</v>
      </c>
      <c r="AM82" s="11"/>
      <c r="AN82" s="11"/>
      <c r="AO82" s="11"/>
      <c r="AP82" s="11"/>
      <c r="AQ82" s="11"/>
      <c r="AR82" s="11"/>
      <c r="AS82" s="11"/>
      <c r="AT82" s="11"/>
      <c r="AU82" s="11"/>
      <c r="AV82" s="11"/>
      <c r="AW82" s="11"/>
      <c r="AX82" s="11"/>
      <c r="AY82" s="11"/>
      <c r="AZ82" s="11"/>
      <c r="BA82" s="11"/>
    </row>
    <row r="83" spans="12:53" x14ac:dyDescent="0.2">
      <c r="L83" s="232"/>
      <c r="M83" s="335"/>
      <c r="N83" s="335"/>
      <c r="O83" s="335"/>
      <c r="P83" s="335"/>
      <c r="Q83" s="335"/>
      <c r="R83" s="335"/>
      <c r="S83" s="335"/>
      <c r="T83" s="335"/>
      <c r="U83" s="335"/>
      <c r="V83" s="335"/>
      <c r="W83" s="335"/>
      <c r="X83" s="335"/>
      <c r="Y83" s="335"/>
      <c r="Z83" s="335"/>
      <c r="AA83" s="335"/>
      <c r="AB83" s="335"/>
      <c r="AC83" s="335"/>
      <c r="AD83" s="335"/>
      <c r="AE83" s="335"/>
      <c r="AF83" s="335"/>
      <c r="AG83" s="335"/>
      <c r="AH83" s="335"/>
      <c r="AI83" s="335"/>
      <c r="AJ83" s="335"/>
      <c r="AK83" s="335"/>
      <c r="AL83" s="335"/>
      <c r="AM83" s="11"/>
      <c r="AN83" s="11"/>
      <c r="AO83" s="11"/>
      <c r="AP83" s="11"/>
      <c r="AQ83" s="11"/>
      <c r="AR83" s="11"/>
      <c r="AS83" s="11"/>
      <c r="AT83" s="11"/>
      <c r="AU83" s="11"/>
      <c r="AV83" s="11"/>
      <c r="AW83" s="11"/>
      <c r="AX83" s="11"/>
      <c r="AY83" s="11"/>
      <c r="AZ83" s="11"/>
      <c r="BA83" s="11"/>
    </row>
    <row r="84" spans="12:53" x14ac:dyDescent="0.2">
      <c r="L84" s="16" t="str">
        <f>'Occ T3'!A39</f>
        <v>Sales and customer service occupations</v>
      </c>
      <c r="M84" s="336">
        <f t="shared" ref="M84:AG84" si="71">M37/M$49</f>
        <v>0.1011336333540519</v>
      </c>
      <c r="N84" s="336">
        <f t="shared" si="71"/>
        <v>0.10583564803949821</v>
      </c>
      <c r="O84" s="336">
        <f t="shared" si="71"/>
        <v>0.11096515514512448</v>
      </c>
      <c r="P84" s="336">
        <f t="shared" si="71"/>
        <v>0.10286373334703793</v>
      </c>
      <c r="Q84" s="336">
        <f t="shared" si="71"/>
        <v>0.11186549082711489</v>
      </c>
      <c r="R84" s="336">
        <f t="shared" si="71"/>
        <v>0.11243609101831641</v>
      </c>
      <c r="S84" s="336">
        <f t="shared" si="71"/>
        <v>0.11511102866399983</v>
      </c>
      <c r="T84" s="336">
        <f t="shared" si="71"/>
        <v>0.10853665074027448</v>
      </c>
      <c r="U84" s="336">
        <f t="shared" si="71"/>
        <v>0.10303651150127803</v>
      </c>
      <c r="V84" s="336">
        <f t="shared" si="71"/>
        <v>0.10444213471789052</v>
      </c>
      <c r="W84" s="336">
        <f t="shared" si="71"/>
        <v>0.10590985722625375</v>
      </c>
      <c r="X84" s="336">
        <f t="shared" si="71"/>
        <v>0.1044637563318745</v>
      </c>
      <c r="Y84" s="336">
        <f t="shared" si="71"/>
        <v>0.10453683532265533</v>
      </c>
      <c r="Z84" s="336">
        <f t="shared" si="71"/>
        <v>0.10464428242981581</v>
      </c>
      <c r="AA84" s="336">
        <f t="shared" si="71"/>
        <v>0.10469020981370036</v>
      </c>
      <c r="AB84" s="336">
        <f t="shared" si="71"/>
        <v>0.1046740918445105</v>
      </c>
      <c r="AC84" s="336">
        <f t="shared" si="71"/>
        <v>0.10463760677865984</v>
      </c>
      <c r="AD84" s="336">
        <f t="shared" si="71"/>
        <v>0.10454724382656741</v>
      </c>
      <c r="AE84" s="336">
        <f t="shared" si="71"/>
        <v>0.10442453317632416</v>
      </c>
      <c r="AF84" s="336">
        <f t="shared" si="71"/>
        <v>0.10432041743135305</v>
      </c>
      <c r="AG84" s="336">
        <f t="shared" si="71"/>
        <v>0.10416300675589694</v>
      </c>
      <c r="AH84" s="336">
        <f t="shared" ref="AH84:AL84" si="72">AH37/AH$49</f>
        <v>0.10398010197917093</v>
      </c>
      <c r="AI84" s="336">
        <f t="shared" si="72"/>
        <v>0.1037139566496766</v>
      </c>
      <c r="AJ84" s="336">
        <f t="shared" si="72"/>
        <v>0.10348506737763156</v>
      </c>
      <c r="AK84" s="336">
        <f t="shared" si="72"/>
        <v>0.10321685133946019</v>
      </c>
      <c r="AL84" s="336">
        <f t="shared" si="72"/>
        <v>0.10287075245631969</v>
      </c>
      <c r="AM84" s="11"/>
      <c r="AN84" s="11"/>
      <c r="AO84" s="11"/>
      <c r="AP84" s="11"/>
      <c r="AQ84" s="11"/>
      <c r="AR84" s="11"/>
      <c r="AS84" s="11"/>
      <c r="AT84" s="11"/>
      <c r="AU84" s="11"/>
      <c r="AV84" s="11"/>
      <c r="AW84" s="11"/>
      <c r="AX84" s="11"/>
      <c r="AY84" s="11"/>
      <c r="AZ84" s="11"/>
      <c r="BA84" s="11"/>
    </row>
    <row r="85" spans="12:53" x14ac:dyDescent="0.2">
      <c r="L85" s="232" t="str">
        <f>'Occ T3'!A40</f>
        <v>71 Sales occupations</v>
      </c>
      <c r="M85" s="335">
        <f t="shared" ref="M85:AG85" si="73">M38/M$49</f>
        <v>8.4723358008923486E-2</v>
      </c>
      <c r="N85" s="335">
        <f t="shared" si="73"/>
        <v>8.9456788513881946E-2</v>
      </c>
      <c r="O85" s="335">
        <f t="shared" si="73"/>
        <v>9.3920414355141854E-2</v>
      </c>
      <c r="P85" s="335">
        <f t="shared" si="73"/>
        <v>8.6472174123999893E-2</v>
      </c>
      <c r="Q85" s="335">
        <f t="shared" si="73"/>
        <v>9.6007280301629139E-2</v>
      </c>
      <c r="R85" s="335">
        <f t="shared" si="73"/>
        <v>9.5321064717513046E-2</v>
      </c>
      <c r="S85" s="335">
        <f t="shared" si="73"/>
        <v>9.8163253923623447E-2</v>
      </c>
      <c r="T85" s="335">
        <f t="shared" si="73"/>
        <v>9.0155428911772889E-2</v>
      </c>
      <c r="U85" s="335">
        <f t="shared" si="73"/>
        <v>8.4294358898966679E-2</v>
      </c>
      <c r="V85" s="335">
        <f t="shared" si="73"/>
        <v>8.6503459206377684E-2</v>
      </c>
      <c r="W85" s="335">
        <f t="shared" si="73"/>
        <v>8.7131020931426342E-2</v>
      </c>
      <c r="X85" s="335">
        <f t="shared" si="73"/>
        <v>8.1892786193874537E-2</v>
      </c>
      <c r="Y85" s="335">
        <f t="shared" si="73"/>
        <v>8.1677978932753623E-2</v>
      </c>
      <c r="Z85" s="335">
        <f t="shared" si="73"/>
        <v>8.1501937484672743E-2</v>
      </c>
      <c r="AA85" s="335">
        <f t="shared" si="73"/>
        <v>8.1258702929530385E-2</v>
      </c>
      <c r="AB85" s="335">
        <f t="shared" si="73"/>
        <v>8.094693531976517E-2</v>
      </c>
      <c r="AC85" s="335">
        <f t="shared" si="73"/>
        <v>8.0624945474877224E-2</v>
      </c>
      <c r="AD85" s="335">
        <f t="shared" si="73"/>
        <v>8.0253327602936422E-2</v>
      </c>
      <c r="AE85" s="335">
        <f t="shared" si="73"/>
        <v>7.9837073311226178E-2</v>
      </c>
      <c r="AF85" s="335">
        <f t="shared" si="73"/>
        <v>7.9415817397204366E-2</v>
      </c>
      <c r="AG85" s="335">
        <f t="shared" si="73"/>
        <v>7.8947274562926217E-2</v>
      </c>
      <c r="AH85" s="335">
        <f t="shared" ref="AH85:AL85" si="74">AH38/AH$49</f>
        <v>7.8438833990665896E-2</v>
      </c>
      <c r="AI85" s="335">
        <f t="shared" si="74"/>
        <v>7.7856247468404902E-2</v>
      </c>
      <c r="AJ85" s="335">
        <f t="shared" si="74"/>
        <v>7.7311144727805911E-2</v>
      </c>
      <c r="AK85" s="335">
        <f t="shared" si="74"/>
        <v>7.6738950937092099E-2</v>
      </c>
      <c r="AL85" s="335">
        <f t="shared" si="74"/>
        <v>7.6077758237896725E-2</v>
      </c>
      <c r="AM85" s="11"/>
      <c r="AN85" s="11"/>
      <c r="AO85" s="11"/>
      <c r="AP85" s="11"/>
      <c r="AQ85" s="11"/>
      <c r="AR85" s="11"/>
      <c r="AS85" s="11"/>
      <c r="AT85" s="11"/>
      <c r="AU85" s="11"/>
      <c r="AV85" s="11"/>
      <c r="AW85" s="11"/>
      <c r="AX85" s="11"/>
      <c r="AY85" s="11"/>
      <c r="AZ85" s="11"/>
      <c r="BA85" s="11"/>
    </row>
    <row r="86" spans="12:53" x14ac:dyDescent="0.2">
      <c r="L86" s="232" t="str">
        <f>'Occ T3'!A41</f>
        <v>72 Customer service occupations</v>
      </c>
      <c r="M86" s="335">
        <f>M39/M$49</f>
        <v>1.6410275345128417E-2</v>
      </c>
      <c r="N86" s="335">
        <f t="shared" ref="N86:AG86" si="75">N39/N$49</f>
        <v>1.6378859525616279E-2</v>
      </c>
      <c r="O86" s="335">
        <f t="shared" si="75"/>
        <v>1.7044740789982624E-2</v>
      </c>
      <c r="P86" s="335">
        <f t="shared" si="75"/>
        <v>1.6391559223038039E-2</v>
      </c>
      <c r="Q86" s="335">
        <f t="shared" si="75"/>
        <v>1.5858210525485746E-2</v>
      </c>
      <c r="R86" s="335">
        <f t="shared" si="75"/>
        <v>1.7115026300803377E-2</v>
      </c>
      <c r="S86" s="335">
        <f t="shared" si="75"/>
        <v>1.6947774740376391E-2</v>
      </c>
      <c r="T86" s="335">
        <f t="shared" si="75"/>
        <v>1.8381221828501583E-2</v>
      </c>
      <c r="U86" s="335">
        <f t="shared" si="75"/>
        <v>1.8742152602311341E-2</v>
      </c>
      <c r="V86" s="335">
        <f t="shared" si="75"/>
        <v>1.793867551151284E-2</v>
      </c>
      <c r="W86" s="335">
        <f t="shared" si="75"/>
        <v>1.877883629482742E-2</v>
      </c>
      <c r="X86" s="335">
        <f t="shared" si="75"/>
        <v>2.2570970137999958E-2</v>
      </c>
      <c r="Y86" s="335">
        <f t="shared" si="75"/>
        <v>2.2858856389901702E-2</v>
      </c>
      <c r="Z86" s="335">
        <f t="shared" si="75"/>
        <v>2.3142344945143056E-2</v>
      </c>
      <c r="AA86" s="335">
        <f t="shared" si="75"/>
        <v>2.3431506884169982E-2</v>
      </c>
      <c r="AB86" s="335">
        <f t="shared" si="75"/>
        <v>2.3727156524745337E-2</v>
      </c>
      <c r="AC86" s="335">
        <f t="shared" si="75"/>
        <v>2.4012661303782618E-2</v>
      </c>
      <c r="AD86" s="335">
        <f t="shared" si="75"/>
        <v>2.4293916223630984E-2</v>
      </c>
      <c r="AE86" s="335">
        <f t="shared" si="75"/>
        <v>2.4587459865097982E-2</v>
      </c>
      <c r="AF86" s="335">
        <f t="shared" si="75"/>
        <v>2.4904600034148679E-2</v>
      </c>
      <c r="AG86" s="335">
        <f t="shared" si="75"/>
        <v>2.5215732192970738E-2</v>
      </c>
      <c r="AH86" s="335">
        <f t="shared" ref="AH86:AL86" si="76">AH39/AH$49</f>
        <v>2.5541267988505024E-2</v>
      </c>
      <c r="AI86" s="335">
        <f t="shared" si="76"/>
        <v>2.5857709181271712E-2</v>
      </c>
      <c r="AJ86" s="335">
        <f t="shared" si="76"/>
        <v>2.617392264982565E-2</v>
      </c>
      <c r="AK86" s="335">
        <f t="shared" si="76"/>
        <v>2.6477900402368103E-2</v>
      </c>
      <c r="AL86" s="335">
        <f t="shared" si="76"/>
        <v>2.679299421842295E-2</v>
      </c>
      <c r="AM86" s="11"/>
      <c r="AN86" s="11"/>
      <c r="AO86" s="11"/>
      <c r="AP86" s="11"/>
      <c r="AQ86" s="11"/>
      <c r="AR86" s="11"/>
      <c r="AS86" s="11"/>
      <c r="AT86" s="11"/>
      <c r="AU86" s="11"/>
      <c r="AV86" s="11"/>
      <c r="AW86" s="11"/>
      <c r="AX86" s="11"/>
      <c r="AY86" s="11"/>
      <c r="AZ86" s="11"/>
      <c r="BA86" s="11"/>
    </row>
    <row r="87" spans="12:53" x14ac:dyDescent="0.2">
      <c r="L87" s="232"/>
      <c r="M87" s="335"/>
      <c r="N87" s="335"/>
      <c r="O87" s="335"/>
      <c r="P87" s="335"/>
      <c r="Q87" s="335"/>
      <c r="R87" s="335"/>
      <c r="S87" s="335"/>
      <c r="T87" s="335"/>
      <c r="U87" s="335"/>
      <c r="V87" s="335"/>
      <c r="W87" s="335"/>
      <c r="X87" s="335"/>
      <c r="Y87" s="335"/>
      <c r="Z87" s="335"/>
      <c r="AA87" s="335"/>
      <c r="AB87" s="335"/>
      <c r="AC87" s="335"/>
      <c r="AD87" s="335"/>
      <c r="AE87" s="335"/>
      <c r="AF87" s="335"/>
      <c r="AG87" s="335"/>
      <c r="AH87" s="335"/>
      <c r="AI87" s="335"/>
      <c r="AJ87" s="335"/>
      <c r="AK87" s="335"/>
      <c r="AL87" s="335"/>
      <c r="AM87" s="11"/>
      <c r="AN87" s="11"/>
      <c r="AO87" s="11"/>
      <c r="AP87" s="11"/>
      <c r="AQ87" s="11"/>
      <c r="AR87" s="11"/>
      <c r="AS87" s="11"/>
      <c r="AT87" s="11"/>
      <c r="AU87" s="11"/>
      <c r="AV87" s="11"/>
      <c r="AW87" s="11"/>
      <c r="AX87" s="11"/>
      <c r="AY87" s="11"/>
      <c r="AZ87" s="11"/>
      <c r="BA87" s="11"/>
    </row>
    <row r="88" spans="12:53" x14ac:dyDescent="0.2">
      <c r="L88" s="16" t="str">
        <f>'Occ T3'!A43</f>
        <v>Process, plant and machine operatives</v>
      </c>
      <c r="M88" s="336">
        <f t="shared" ref="M88:AG88" si="77">M41/M$49</f>
        <v>7.4191579524056056E-2</v>
      </c>
      <c r="N88" s="336">
        <f t="shared" si="77"/>
        <v>7.3094164915154775E-2</v>
      </c>
      <c r="O88" s="336">
        <f t="shared" si="77"/>
        <v>7.245408029495487E-2</v>
      </c>
      <c r="P88" s="336">
        <f t="shared" si="77"/>
        <v>7.9921837920365363E-2</v>
      </c>
      <c r="Q88" s="336">
        <f t="shared" si="77"/>
        <v>7.2279254649034438E-2</v>
      </c>
      <c r="R88" s="336">
        <f t="shared" si="77"/>
        <v>7.0230246518164452E-2</v>
      </c>
      <c r="S88" s="336">
        <f t="shared" si="77"/>
        <v>7.4176129567727483E-2</v>
      </c>
      <c r="T88" s="336">
        <f t="shared" si="77"/>
        <v>7.5519392005186592E-2</v>
      </c>
      <c r="U88" s="336">
        <f t="shared" si="77"/>
        <v>8.1375083295084708E-2</v>
      </c>
      <c r="V88" s="336">
        <f t="shared" si="77"/>
        <v>7.444278869538154E-2</v>
      </c>
      <c r="W88" s="336">
        <f t="shared" si="77"/>
        <v>6.6116168564199287E-2</v>
      </c>
      <c r="X88" s="336">
        <f t="shared" si="77"/>
        <v>7.2751763792382088E-2</v>
      </c>
      <c r="Y88" s="336">
        <f t="shared" si="77"/>
        <v>7.2042250199570432E-2</v>
      </c>
      <c r="Z88" s="336">
        <f t="shared" si="77"/>
        <v>7.1426527525476763E-2</v>
      </c>
      <c r="AA88" s="336">
        <f t="shared" si="77"/>
        <v>7.0805359671894941E-2</v>
      </c>
      <c r="AB88" s="336">
        <f t="shared" si="77"/>
        <v>7.0140339990985553E-2</v>
      </c>
      <c r="AC88" s="336">
        <f t="shared" si="77"/>
        <v>6.9536638560480604E-2</v>
      </c>
      <c r="AD88" s="336">
        <f t="shared" si="77"/>
        <v>6.8910758024689656E-2</v>
      </c>
      <c r="AE88" s="336">
        <f t="shared" si="77"/>
        <v>6.8238791845543073E-2</v>
      </c>
      <c r="AF88" s="336">
        <f t="shared" si="77"/>
        <v>6.7596077290300066E-2</v>
      </c>
      <c r="AG88" s="336">
        <f t="shared" si="77"/>
        <v>6.6975981070352644E-2</v>
      </c>
      <c r="AH88" s="336">
        <f t="shared" ref="AH88:AL88" si="78">AH41/AH$49</f>
        <v>6.6421020339419004E-2</v>
      </c>
      <c r="AI88" s="336">
        <f t="shared" si="78"/>
        <v>6.590587729542205E-2</v>
      </c>
      <c r="AJ88" s="336">
        <f t="shared" si="78"/>
        <v>6.5363808589579478E-2</v>
      </c>
      <c r="AK88" s="336">
        <f t="shared" si="78"/>
        <v>6.4828337895649152E-2</v>
      </c>
      <c r="AL88" s="336">
        <f t="shared" si="78"/>
        <v>6.4324636078850195E-2</v>
      </c>
      <c r="AM88" s="11"/>
      <c r="AN88" s="11"/>
      <c r="AO88" s="11"/>
      <c r="AP88" s="11"/>
      <c r="AQ88" s="11"/>
      <c r="AR88" s="11"/>
      <c r="AS88" s="11"/>
      <c r="AT88" s="11"/>
      <c r="AU88" s="11"/>
      <c r="AV88" s="11"/>
      <c r="AW88" s="11"/>
      <c r="AX88" s="11"/>
      <c r="AY88" s="11"/>
      <c r="AZ88" s="11"/>
      <c r="BA88" s="11"/>
    </row>
    <row r="89" spans="12:53" x14ac:dyDescent="0.2">
      <c r="L89" s="232" t="str">
        <f>'Occ T3'!A44</f>
        <v>81 Process, plant and machine operatives</v>
      </c>
      <c r="M89" s="335">
        <f t="shared" ref="M89:AG89" si="79">M42/M$49</f>
        <v>3.8180387513298636E-2</v>
      </c>
      <c r="N89" s="335">
        <f t="shared" si="79"/>
        <v>3.3886442635012504E-2</v>
      </c>
      <c r="O89" s="335">
        <f t="shared" si="79"/>
        <v>3.6297562277163242E-2</v>
      </c>
      <c r="P89" s="335">
        <f t="shared" si="79"/>
        <v>3.9227602024002502E-2</v>
      </c>
      <c r="Q89" s="335">
        <f t="shared" si="79"/>
        <v>3.6453504527861218E-2</v>
      </c>
      <c r="R89" s="335">
        <f t="shared" si="79"/>
        <v>3.6191280141423081E-2</v>
      </c>
      <c r="S89" s="335">
        <f t="shared" si="79"/>
        <v>3.6069983315906454E-2</v>
      </c>
      <c r="T89" s="335">
        <f t="shared" si="79"/>
        <v>3.6997791033795129E-2</v>
      </c>
      <c r="U89" s="335">
        <f t="shared" si="79"/>
        <v>3.7015298280850151E-2</v>
      </c>
      <c r="V89" s="335">
        <f t="shared" si="79"/>
        <v>3.3423864130636319E-2</v>
      </c>
      <c r="W89" s="335">
        <f t="shared" si="79"/>
        <v>2.9324862897783244E-2</v>
      </c>
      <c r="X89" s="335">
        <f t="shared" si="79"/>
        <v>3.4877831035171163E-2</v>
      </c>
      <c r="Y89" s="335">
        <f t="shared" si="79"/>
        <v>3.4653590171096919E-2</v>
      </c>
      <c r="Z89" s="335">
        <f t="shared" si="79"/>
        <v>3.441480686493293E-2</v>
      </c>
      <c r="AA89" s="335">
        <f t="shared" si="79"/>
        <v>3.4137469141126163E-2</v>
      </c>
      <c r="AB89" s="335">
        <f t="shared" si="79"/>
        <v>3.3789920104303942E-2</v>
      </c>
      <c r="AC89" s="335">
        <f t="shared" si="79"/>
        <v>3.3499101352583646E-2</v>
      </c>
      <c r="AD89" s="335">
        <f t="shared" si="79"/>
        <v>3.3199019041962353E-2</v>
      </c>
      <c r="AE89" s="335">
        <f t="shared" si="79"/>
        <v>3.286840594055656E-2</v>
      </c>
      <c r="AF89" s="335">
        <f t="shared" si="79"/>
        <v>3.2557995728237227E-2</v>
      </c>
      <c r="AG89" s="335">
        <f t="shared" si="79"/>
        <v>3.2277995722045545E-2</v>
      </c>
      <c r="AH89" s="335">
        <f t="shared" ref="AH89:AL89" si="80">AH42/AH$49</f>
        <v>3.2020000822826515E-2</v>
      </c>
      <c r="AI89" s="335">
        <f t="shared" si="80"/>
        <v>3.1773837323192063E-2</v>
      </c>
      <c r="AJ89" s="335">
        <f t="shared" si="80"/>
        <v>3.1519113929780108E-2</v>
      </c>
      <c r="AK89" s="335">
        <f t="shared" si="80"/>
        <v>3.1272067829980654E-2</v>
      </c>
      <c r="AL89" s="335">
        <f t="shared" si="80"/>
        <v>3.1050417161408755E-2</v>
      </c>
      <c r="AM89" s="11"/>
      <c r="AN89" s="11"/>
      <c r="AO89" s="11"/>
      <c r="AP89" s="11"/>
      <c r="AQ89" s="11"/>
      <c r="AR89" s="11"/>
      <c r="AS89" s="11"/>
      <c r="AT89" s="11"/>
      <c r="AU89" s="11"/>
      <c r="AV89" s="11"/>
      <c r="AW89" s="11"/>
      <c r="AX89" s="11"/>
      <c r="AY89" s="11"/>
      <c r="AZ89" s="11"/>
      <c r="BA89" s="11"/>
    </row>
    <row r="90" spans="12:53" x14ac:dyDescent="0.2">
      <c r="L90" s="232" t="str">
        <f>'Occ T3'!A45</f>
        <v>82 Transport and mobile machine drivers and operatives</v>
      </c>
      <c r="M90" s="335">
        <f t="shared" ref="M90:AG90" si="81">M43/M$49</f>
        <v>3.601119201075742E-2</v>
      </c>
      <c r="N90" s="335">
        <f t="shared" si="81"/>
        <v>3.9207722280142264E-2</v>
      </c>
      <c r="O90" s="335">
        <f t="shared" si="81"/>
        <v>3.6156518017791635E-2</v>
      </c>
      <c r="P90" s="335">
        <f t="shared" si="81"/>
        <v>4.0694235896362861E-2</v>
      </c>
      <c r="Q90" s="335">
        <f t="shared" si="81"/>
        <v>3.5825750121173214E-2</v>
      </c>
      <c r="R90" s="335">
        <f t="shared" si="81"/>
        <v>3.4038966376741378E-2</v>
      </c>
      <c r="S90" s="335">
        <f t="shared" si="81"/>
        <v>3.810614625182103E-2</v>
      </c>
      <c r="T90" s="335">
        <f t="shared" si="81"/>
        <v>3.852160097139145E-2</v>
      </c>
      <c r="U90" s="335">
        <f t="shared" si="81"/>
        <v>4.435978501423455E-2</v>
      </c>
      <c r="V90" s="335">
        <f t="shared" si="81"/>
        <v>4.1018924564745207E-2</v>
      </c>
      <c r="W90" s="335">
        <f t="shared" si="81"/>
        <v>3.6791305666416044E-2</v>
      </c>
      <c r="X90" s="335">
        <f t="shared" si="81"/>
        <v>3.7873932757210918E-2</v>
      </c>
      <c r="Y90" s="335">
        <f t="shared" si="81"/>
        <v>3.7388660028473512E-2</v>
      </c>
      <c r="Z90" s="335">
        <f t="shared" si="81"/>
        <v>3.701172066054384E-2</v>
      </c>
      <c r="AA90" s="335">
        <f t="shared" si="81"/>
        <v>3.6667890530768792E-2</v>
      </c>
      <c r="AB90" s="335">
        <f t="shared" si="81"/>
        <v>3.6350419886681619E-2</v>
      </c>
      <c r="AC90" s="335">
        <f t="shared" si="81"/>
        <v>3.6037537207896951E-2</v>
      </c>
      <c r="AD90" s="335">
        <f t="shared" si="81"/>
        <v>3.5711738982727295E-2</v>
      </c>
      <c r="AE90" s="335">
        <f t="shared" si="81"/>
        <v>3.5370385904986514E-2</v>
      </c>
      <c r="AF90" s="335">
        <f t="shared" si="81"/>
        <v>3.5038081562062853E-2</v>
      </c>
      <c r="AG90" s="335">
        <f t="shared" si="81"/>
        <v>3.4697985348307113E-2</v>
      </c>
      <c r="AH90" s="335">
        <f t="shared" ref="AH90:AL90" si="82">AH43/AH$49</f>
        <v>3.4401019516592482E-2</v>
      </c>
      <c r="AI90" s="335">
        <f t="shared" si="82"/>
        <v>3.4132039972229973E-2</v>
      </c>
      <c r="AJ90" s="335">
        <f t="shared" si="82"/>
        <v>3.3844694659799369E-2</v>
      </c>
      <c r="AK90" s="335">
        <f t="shared" si="82"/>
        <v>3.3556270065668498E-2</v>
      </c>
      <c r="AL90" s="335">
        <f t="shared" si="82"/>
        <v>3.327421891744145E-2</v>
      </c>
      <c r="AM90" s="11"/>
      <c r="AN90" s="11"/>
      <c r="AO90" s="11"/>
      <c r="AP90" s="11"/>
      <c r="AQ90" s="11"/>
      <c r="AR90" s="11"/>
      <c r="AS90" s="11"/>
      <c r="AT90" s="11"/>
      <c r="AU90" s="11"/>
      <c r="AV90" s="11"/>
      <c r="AW90" s="11"/>
      <c r="AX90" s="11"/>
      <c r="AY90" s="11"/>
      <c r="AZ90" s="11"/>
      <c r="BA90" s="11"/>
    </row>
    <row r="91" spans="12:53" x14ac:dyDescent="0.2">
      <c r="L91" s="232"/>
      <c r="M91" s="335"/>
      <c r="N91" s="335"/>
      <c r="O91" s="335"/>
      <c r="P91" s="335"/>
      <c r="Q91" s="335"/>
      <c r="R91" s="335"/>
      <c r="S91" s="335"/>
      <c r="T91" s="335"/>
      <c r="U91" s="335"/>
      <c r="V91" s="335"/>
      <c r="W91" s="335"/>
      <c r="X91" s="335"/>
      <c r="Y91" s="335"/>
      <c r="Z91" s="335"/>
      <c r="AA91" s="335"/>
      <c r="AB91" s="335"/>
      <c r="AC91" s="335"/>
      <c r="AD91" s="335"/>
      <c r="AE91" s="335"/>
      <c r="AF91" s="335"/>
      <c r="AG91" s="335"/>
      <c r="AH91" s="335"/>
      <c r="AI91" s="335"/>
      <c r="AJ91" s="335"/>
      <c r="AK91" s="335"/>
      <c r="AL91" s="335"/>
      <c r="AM91" s="11"/>
      <c r="AN91" s="11"/>
      <c r="AO91" s="11"/>
      <c r="AP91" s="11"/>
      <c r="AQ91" s="11"/>
      <c r="AR91" s="11"/>
      <c r="AS91" s="11"/>
      <c r="AT91" s="11"/>
      <c r="AU91" s="11"/>
      <c r="AV91" s="11"/>
      <c r="AW91" s="11"/>
      <c r="AX91" s="11"/>
      <c r="AY91" s="11"/>
      <c r="AZ91" s="11"/>
      <c r="BA91" s="11"/>
    </row>
    <row r="92" spans="12:53" x14ac:dyDescent="0.2">
      <c r="L92" s="16" t="str">
        <f>'Occ T3'!A47</f>
        <v>Elementary occupations</v>
      </c>
      <c r="M92" s="336">
        <f t="shared" ref="M92:AG92" si="83">M45/M$49</f>
        <v>0.12400684150335871</v>
      </c>
      <c r="N92" s="336">
        <f t="shared" si="83"/>
        <v>0.12317329433789521</v>
      </c>
      <c r="O92" s="336">
        <f t="shared" si="83"/>
        <v>0.12004490180639626</v>
      </c>
      <c r="P92" s="336">
        <f t="shared" si="83"/>
        <v>0.12260910516040194</v>
      </c>
      <c r="Q92" s="336">
        <f t="shared" si="83"/>
        <v>0.12138218794253444</v>
      </c>
      <c r="R92" s="336">
        <f t="shared" si="83"/>
        <v>0.12390833483534781</v>
      </c>
      <c r="S92" s="336">
        <f t="shared" si="83"/>
        <v>0.12487312188894539</v>
      </c>
      <c r="T92" s="336">
        <f t="shared" si="83"/>
        <v>0.13070028723598082</v>
      </c>
      <c r="U92" s="336">
        <f t="shared" si="83"/>
        <v>0.12207564298804706</v>
      </c>
      <c r="V92" s="336">
        <f t="shared" si="83"/>
        <v>0.11982566797206937</v>
      </c>
      <c r="W92" s="336">
        <f t="shared" si="83"/>
        <v>0.11251517565289908</v>
      </c>
      <c r="X92" s="336">
        <f t="shared" si="83"/>
        <v>0.11245989330184632</v>
      </c>
      <c r="Y92" s="336">
        <f t="shared" si="83"/>
        <v>0.11100984576504931</v>
      </c>
      <c r="Z92" s="336">
        <f t="shared" si="83"/>
        <v>0.11001012012351245</v>
      </c>
      <c r="AA92" s="336">
        <f t="shared" si="83"/>
        <v>0.10920631642040055</v>
      </c>
      <c r="AB92" s="336">
        <f t="shared" si="83"/>
        <v>0.10856421679091074</v>
      </c>
      <c r="AC92" s="336">
        <f t="shared" si="83"/>
        <v>0.10805456666506888</v>
      </c>
      <c r="AD92" s="336">
        <f t="shared" si="83"/>
        <v>0.10755728741798713</v>
      </c>
      <c r="AE92" s="336">
        <f t="shared" si="83"/>
        <v>0.10713435386371005</v>
      </c>
      <c r="AF92" s="336">
        <f t="shared" si="83"/>
        <v>0.10670561291100403</v>
      </c>
      <c r="AG92" s="336">
        <f t="shared" si="83"/>
        <v>0.1062492649973556</v>
      </c>
      <c r="AH92" s="336">
        <f t="shared" ref="AH92:AL92" si="84">AH45/AH$49</f>
        <v>0.10578731013427631</v>
      </c>
      <c r="AI92" s="336">
        <f t="shared" si="84"/>
        <v>0.10538457417793266</v>
      </c>
      <c r="AJ92" s="336">
        <f t="shared" si="84"/>
        <v>0.10494089951340829</v>
      </c>
      <c r="AK92" s="336">
        <f t="shared" si="84"/>
        <v>0.10446644144771994</v>
      </c>
      <c r="AL92" s="336">
        <f t="shared" si="84"/>
        <v>0.10396005066589956</v>
      </c>
      <c r="AM92" s="11"/>
      <c r="AN92" s="11"/>
      <c r="AO92" s="11"/>
      <c r="AP92" s="11"/>
      <c r="AQ92" s="11"/>
      <c r="AR92" s="11"/>
      <c r="AS92" s="11"/>
      <c r="AT92" s="11"/>
      <c r="AU92" s="11"/>
      <c r="AV92" s="11"/>
      <c r="AW92" s="11"/>
      <c r="AX92" s="11"/>
      <c r="AY92" s="11"/>
      <c r="AZ92" s="11"/>
      <c r="BA92" s="11"/>
    </row>
    <row r="93" spans="12:53" x14ac:dyDescent="0.2">
      <c r="L93" s="232" t="str">
        <f>'Occ T3'!A48</f>
        <v>91 Elementary trades and related occupations</v>
      </c>
      <c r="M93" s="335">
        <f t="shared" ref="M93:AG93" si="85">M46/M$49</f>
        <v>1.5878023624004086E-2</v>
      </c>
      <c r="N93" s="335">
        <f t="shared" si="85"/>
        <v>1.578325812400103E-2</v>
      </c>
      <c r="O93" s="335">
        <f t="shared" si="85"/>
        <v>1.5763846410209857E-2</v>
      </c>
      <c r="P93" s="335">
        <f t="shared" si="85"/>
        <v>1.6109545953299831E-2</v>
      </c>
      <c r="Q93" s="335">
        <f t="shared" si="85"/>
        <v>1.7578523235648007E-2</v>
      </c>
      <c r="R93" s="335">
        <f t="shared" si="85"/>
        <v>1.6823260815682466E-2</v>
      </c>
      <c r="S93" s="335">
        <f t="shared" si="85"/>
        <v>1.706749832847956E-2</v>
      </c>
      <c r="T93" s="335">
        <f t="shared" si="85"/>
        <v>1.5918369158390143E-2</v>
      </c>
      <c r="U93" s="335">
        <f t="shared" si="85"/>
        <v>1.6765137979488323E-2</v>
      </c>
      <c r="V93" s="335">
        <f t="shared" si="85"/>
        <v>1.4984534206868298E-2</v>
      </c>
      <c r="W93" s="335">
        <f t="shared" si="85"/>
        <v>1.314843096957481E-2</v>
      </c>
      <c r="X93" s="335">
        <f t="shared" si="85"/>
        <v>1.0910838726871206E-2</v>
      </c>
      <c r="Y93" s="335">
        <f t="shared" si="85"/>
        <v>1.0802964747228361E-2</v>
      </c>
      <c r="Z93" s="335">
        <f t="shared" si="85"/>
        <v>1.06777251048122E-2</v>
      </c>
      <c r="AA93" s="335">
        <f t="shared" si="85"/>
        <v>1.05601574225897E-2</v>
      </c>
      <c r="AB93" s="335">
        <f t="shared" si="85"/>
        <v>1.0449317677186381E-2</v>
      </c>
      <c r="AC93" s="335">
        <f t="shared" si="85"/>
        <v>1.0338672798154879E-2</v>
      </c>
      <c r="AD93" s="335">
        <f t="shared" si="85"/>
        <v>1.0231060964927707E-2</v>
      </c>
      <c r="AE93" s="335">
        <f t="shared" si="85"/>
        <v>1.0122396303837671E-2</v>
      </c>
      <c r="AF93" s="335">
        <f t="shared" si="85"/>
        <v>1.0012280236681251E-2</v>
      </c>
      <c r="AG93" s="335">
        <f t="shared" si="85"/>
        <v>9.902723491994515E-3</v>
      </c>
      <c r="AH93" s="335">
        <f t="shared" ref="AH93:AL93" si="86">AH46/AH$49</f>
        <v>9.7966525355181033E-3</v>
      </c>
      <c r="AI93" s="335">
        <f t="shared" si="86"/>
        <v>9.6883980162664161E-3</v>
      </c>
      <c r="AJ93" s="335">
        <f t="shared" si="86"/>
        <v>9.5809944419683254E-3</v>
      </c>
      <c r="AK93" s="335">
        <f t="shared" si="86"/>
        <v>9.4794736352027103E-3</v>
      </c>
      <c r="AL93" s="335">
        <f t="shared" si="86"/>
        <v>9.3753552121468939E-3</v>
      </c>
      <c r="AM93" s="11"/>
      <c r="AN93" s="11"/>
      <c r="AO93" s="11"/>
      <c r="AP93" s="11"/>
      <c r="AQ93" s="11"/>
      <c r="AR93" s="11"/>
      <c r="AS93" s="11"/>
      <c r="AT93" s="11"/>
      <c r="AU93" s="11"/>
      <c r="AV93" s="11"/>
      <c r="AW93" s="11"/>
      <c r="AX93" s="11"/>
      <c r="AY93" s="11"/>
      <c r="AZ93" s="11"/>
      <c r="BA93" s="11"/>
    </row>
    <row r="94" spans="12:53" x14ac:dyDescent="0.2">
      <c r="L94" s="232" t="str">
        <f>'Occ T3'!A49</f>
        <v>92 Elementary administration and service occupations</v>
      </c>
      <c r="M94" s="335">
        <f t="shared" ref="M94:AG94" si="87">M47/M$49</f>
        <v>0.10812881787935463</v>
      </c>
      <c r="N94" s="335">
        <f t="shared" si="87"/>
        <v>0.10739003621389419</v>
      </c>
      <c r="O94" s="335">
        <f t="shared" si="87"/>
        <v>0.1042810553961864</v>
      </c>
      <c r="P94" s="335">
        <f t="shared" si="87"/>
        <v>0.10649955920710209</v>
      </c>
      <c r="Q94" s="335">
        <f t="shared" si="87"/>
        <v>0.10380366470688643</v>
      </c>
      <c r="R94" s="335">
        <f t="shared" si="87"/>
        <v>0.10708507401966537</v>
      </c>
      <c r="S94" s="335">
        <f t="shared" si="87"/>
        <v>0.10780562356046584</v>
      </c>
      <c r="T94" s="335">
        <f t="shared" si="87"/>
        <v>0.11478191807759068</v>
      </c>
      <c r="U94" s="335">
        <f t="shared" si="87"/>
        <v>0.10531050500855875</v>
      </c>
      <c r="V94" s="335">
        <f t="shared" si="87"/>
        <v>0.10484113376520107</v>
      </c>
      <c r="W94" s="335">
        <f t="shared" si="87"/>
        <v>9.9366744683324279E-2</v>
      </c>
      <c r="X94" s="335">
        <f t="shared" si="87"/>
        <v>0.10154905457497511</v>
      </c>
      <c r="Y94" s="335">
        <f t="shared" si="87"/>
        <v>0.10020688101782094</v>
      </c>
      <c r="Z94" s="335">
        <f t="shared" si="87"/>
        <v>9.933239501870024E-2</v>
      </c>
      <c r="AA94" s="335">
        <f t="shared" si="87"/>
        <v>9.8646158997810846E-2</v>
      </c>
      <c r="AB94" s="335">
        <f t="shared" si="87"/>
        <v>9.8114899113724355E-2</v>
      </c>
      <c r="AC94" s="335">
        <f t="shared" si="87"/>
        <v>9.7715893866913997E-2</v>
      </c>
      <c r="AD94" s="335">
        <f t="shared" si="87"/>
        <v>9.7326226453059425E-2</v>
      </c>
      <c r="AE94" s="335">
        <f t="shared" si="87"/>
        <v>9.7011957559872367E-2</v>
      </c>
      <c r="AF94" s="335">
        <f t="shared" si="87"/>
        <v>9.6693332674322771E-2</v>
      </c>
      <c r="AG94" s="335">
        <f t="shared" si="87"/>
        <v>9.6346541505361094E-2</v>
      </c>
      <c r="AH94" s="335">
        <f t="shared" ref="AH94:AL94" si="88">AH47/AH$49</f>
        <v>9.5990657598758203E-2</v>
      </c>
      <c r="AI94" s="335">
        <f t="shared" si="88"/>
        <v>9.5696176161666244E-2</v>
      </c>
      <c r="AJ94" s="335">
        <f t="shared" si="88"/>
        <v>9.5359905071439974E-2</v>
      </c>
      <c r="AK94" s="335">
        <f t="shared" si="88"/>
        <v>9.4986967812517226E-2</v>
      </c>
      <c r="AL94" s="335">
        <f t="shared" si="88"/>
        <v>9.4584695453752657E-2</v>
      </c>
      <c r="AM94" s="11"/>
      <c r="AN94" s="11"/>
      <c r="AO94" s="11"/>
      <c r="AP94" s="11"/>
      <c r="AQ94" s="11"/>
      <c r="AR94" s="11"/>
      <c r="AS94" s="11"/>
      <c r="AT94" s="11"/>
      <c r="AU94" s="11"/>
      <c r="AV94" s="11"/>
      <c r="AW94" s="11"/>
      <c r="AX94" s="11"/>
      <c r="AY94" s="11"/>
      <c r="AZ94" s="11"/>
      <c r="BA94" s="11"/>
    </row>
    <row r="95" spans="12:53" x14ac:dyDescent="0.2">
      <c r="L95" s="232"/>
      <c r="M95" s="335"/>
      <c r="N95" s="335"/>
      <c r="O95" s="335"/>
      <c r="P95" s="335"/>
      <c r="Q95" s="335"/>
      <c r="R95" s="335"/>
      <c r="S95" s="335"/>
      <c r="T95" s="335"/>
      <c r="U95" s="335"/>
      <c r="V95" s="335"/>
      <c r="W95" s="335"/>
      <c r="X95" s="335"/>
      <c r="Y95" s="335"/>
      <c r="Z95" s="335"/>
      <c r="AA95" s="335"/>
      <c r="AB95" s="335"/>
      <c r="AC95" s="335"/>
      <c r="AD95" s="335"/>
      <c r="AE95" s="335"/>
      <c r="AF95" s="335"/>
      <c r="AG95" s="335"/>
      <c r="AH95" s="335"/>
      <c r="AI95" s="335"/>
      <c r="AJ95" s="335"/>
      <c r="AK95" s="335"/>
      <c r="AL95" s="335"/>
      <c r="AM95" s="11"/>
      <c r="AN95" s="11"/>
      <c r="AO95" s="11"/>
      <c r="AP95" s="11"/>
      <c r="AQ95" s="11"/>
      <c r="AR95" s="11"/>
      <c r="AS95" s="11"/>
      <c r="AT95" s="11"/>
      <c r="AU95" s="11"/>
      <c r="AV95" s="11"/>
      <c r="AW95" s="11"/>
      <c r="AX95" s="11"/>
      <c r="AY95" s="11"/>
      <c r="AZ95" s="11"/>
      <c r="BA95" s="11"/>
    </row>
    <row r="96" spans="12:53" x14ac:dyDescent="0.2">
      <c r="L96" s="16" t="str">
        <f>'Occ T3'!A51</f>
        <v>All occupations</v>
      </c>
      <c r="M96" s="336">
        <f t="shared" ref="M96:AG96" si="89">M49/M$49</f>
        <v>1</v>
      </c>
      <c r="N96" s="336">
        <f t="shared" si="89"/>
        <v>1</v>
      </c>
      <c r="O96" s="336">
        <f t="shared" si="89"/>
        <v>1</v>
      </c>
      <c r="P96" s="336">
        <f t="shared" si="89"/>
        <v>1</v>
      </c>
      <c r="Q96" s="336">
        <f t="shared" si="89"/>
        <v>1</v>
      </c>
      <c r="R96" s="336">
        <f t="shared" si="89"/>
        <v>1</v>
      </c>
      <c r="S96" s="336">
        <f t="shared" si="89"/>
        <v>1</v>
      </c>
      <c r="T96" s="336">
        <f t="shared" si="89"/>
        <v>1</v>
      </c>
      <c r="U96" s="336">
        <f t="shared" si="89"/>
        <v>1</v>
      </c>
      <c r="V96" s="336">
        <f t="shared" si="89"/>
        <v>1</v>
      </c>
      <c r="W96" s="336">
        <f t="shared" si="89"/>
        <v>1</v>
      </c>
      <c r="X96" s="336">
        <f t="shared" si="89"/>
        <v>1</v>
      </c>
      <c r="Y96" s="336">
        <f t="shared" si="89"/>
        <v>1</v>
      </c>
      <c r="Z96" s="336">
        <f t="shared" si="89"/>
        <v>1</v>
      </c>
      <c r="AA96" s="336">
        <f t="shared" si="89"/>
        <v>1</v>
      </c>
      <c r="AB96" s="336">
        <f t="shared" si="89"/>
        <v>1</v>
      </c>
      <c r="AC96" s="336">
        <f t="shared" si="89"/>
        <v>1</v>
      </c>
      <c r="AD96" s="336">
        <f t="shared" si="89"/>
        <v>1</v>
      </c>
      <c r="AE96" s="336">
        <f t="shared" si="89"/>
        <v>1</v>
      </c>
      <c r="AF96" s="336">
        <f t="shared" si="89"/>
        <v>1</v>
      </c>
      <c r="AG96" s="336">
        <f t="shared" si="89"/>
        <v>1</v>
      </c>
      <c r="AH96" s="336">
        <f t="shared" ref="AH96:AL96" si="90">AH49/AH$49</f>
        <v>1</v>
      </c>
      <c r="AI96" s="336">
        <f t="shared" si="90"/>
        <v>1</v>
      </c>
      <c r="AJ96" s="336">
        <f t="shared" si="90"/>
        <v>1</v>
      </c>
      <c r="AK96" s="336">
        <f t="shared" si="90"/>
        <v>1</v>
      </c>
      <c r="AL96" s="336">
        <f t="shared" si="90"/>
        <v>1</v>
      </c>
      <c r="AM96" s="11"/>
      <c r="AN96" s="11"/>
      <c r="AO96" s="11"/>
      <c r="AP96" s="11"/>
      <c r="AQ96" s="11"/>
      <c r="AR96" s="11"/>
      <c r="AS96" s="11"/>
      <c r="AT96" s="11"/>
      <c r="AU96" s="11"/>
      <c r="AV96" s="11"/>
      <c r="AW96" s="11"/>
      <c r="AX96" s="11"/>
      <c r="AY96" s="11"/>
      <c r="AZ96" s="11"/>
      <c r="BA96" s="11"/>
    </row>
    <row r="97" spans="12:53" x14ac:dyDescent="0.2">
      <c r="L97" s="13"/>
      <c r="M97" s="11"/>
      <c r="N97" s="11"/>
      <c r="O97" s="11"/>
      <c r="P97" s="11"/>
      <c r="Q97" s="11"/>
      <c r="R97" s="11"/>
      <c r="S97" s="11"/>
      <c r="T97" s="11"/>
      <c r="U97" s="11"/>
      <c r="V97" s="11"/>
      <c r="W97" s="11"/>
      <c r="X97" s="11"/>
      <c r="Y97" s="11"/>
      <c r="Z97" s="11"/>
      <c r="AA97" s="11"/>
      <c r="AB97" s="11"/>
      <c r="AC97" s="11"/>
      <c r="AD97" s="11"/>
      <c r="AE97" s="11"/>
      <c r="AF97" s="11"/>
      <c r="AG97" s="11"/>
      <c r="AH97" s="11"/>
      <c r="AI97" s="11"/>
      <c r="AJ97" s="11"/>
      <c r="AK97" s="11"/>
      <c r="AL97" s="11"/>
      <c r="AM97" s="11"/>
      <c r="AN97" s="11"/>
      <c r="AO97" s="11"/>
      <c r="AP97" s="11"/>
      <c r="AQ97" s="11"/>
      <c r="AR97" s="11"/>
      <c r="AS97" s="11"/>
      <c r="AT97" s="11"/>
      <c r="AU97" s="11"/>
      <c r="AV97" s="11"/>
      <c r="AW97" s="11"/>
      <c r="AX97" s="11"/>
      <c r="AY97" s="11"/>
      <c r="AZ97" s="11"/>
      <c r="BA97" s="11"/>
    </row>
    <row r="98" spans="12:53" x14ac:dyDescent="0.2">
      <c r="L98" s="13"/>
      <c r="M98" s="11"/>
      <c r="N98" s="11"/>
      <c r="O98" s="11"/>
      <c r="P98" s="11"/>
      <c r="Q98" s="11"/>
      <c r="R98" s="11"/>
      <c r="S98" s="11"/>
      <c r="T98" s="11"/>
      <c r="U98" s="11"/>
      <c r="V98" s="11"/>
      <c r="W98" s="11"/>
      <c r="X98" s="11"/>
      <c r="Y98" s="11"/>
      <c r="Z98" s="11"/>
      <c r="AA98" s="11"/>
      <c r="AB98" s="11"/>
      <c r="AC98" s="11"/>
      <c r="AD98" s="11"/>
      <c r="AE98" s="11"/>
      <c r="AF98" s="11"/>
      <c r="AG98" s="11"/>
      <c r="AH98" s="11"/>
      <c r="AI98" s="11"/>
      <c r="AJ98" s="11"/>
      <c r="AK98" s="11"/>
      <c r="AL98" s="11"/>
      <c r="AM98" s="11"/>
      <c r="AN98" s="11"/>
      <c r="AO98" s="11"/>
      <c r="AP98" s="11"/>
      <c r="AQ98" s="11"/>
      <c r="AR98" s="11"/>
      <c r="AS98" s="11"/>
      <c r="AT98" s="11"/>
      <c r="AU98" s="11"/>
      <c r="AV98" s="11"/>
      <c r="AW98" s="11"/>
      <c r="AX98" s="11"/>
      <c r="AY98" s="11"/>
      <c r="AZ98" s="11"/>
      <c r="BA98" s="11"/>
    </row>
    <row r="99" spans="12:53" x14ac:dyDescent="0.2">
      <c r="L99" s="13"/>
      <c r="M99" s="11"/>
      <c r="N99" s="11"/>
      <c r="O99" s="11"/>
      <c r="P99" s="11"/>
      <c r="Q99" s="11"/>
      <c r="R99" s="11"/>
      <c r="S99" s="11"/>
      <c r="T99" s="11"/>
      <c r="U99" s="11"/>
      <c r="V99" s="11"/>
      <c r="W99" s="11"/>
      <c r="X99" s="11"/>
      <c r="Y99" s="11"/>
      <c r="Z99" s="11"/>
      <c r="AA99" s="11"/>
      <c r="AB99" s="11"/>
      <c r="AC99" s="11"/>
      <c r="AD99" s="11"/>
      <c r="AE99" s="11"/>
      <c r="AF99" s="11"/>
      <c r="AG99" s="11"/>
      <c r="AH99" s="11"/>
      <c r="AI99" s="11"/>
      <c r="AJ99" s="11"/>
      <c r="AK99" s="11"/>
      <c r="AL99" s="11"/>
      <c r="AM99" s="11"/>
      <c r="AN99" s="11"/>
      <c r="AO99" s="11"/>
      <c r="AP99" s="11"/>
      <c r="AQ99" s="11"/>
      <c r="AR99" s="11"/>
      <c r="AS99" s="11"/>
      <c r="AT99" s="11"/>
      <c r="AU99" s="11"/>
      <c r="AV99" s="11"/>
      <c r="AW99" s="11"/>
      <c r="AX99" s="11"/>
      <c r="AY99" s="11"/>
      <c r="AZ99" s="11"/>
      <c r="BA99" s="11"/>
    </row>
    <row r="100" spans="12:53" x14ac:dyDescent="0.2">
      <c r="L100" s="13"/>
      <c r="M100" s="11"/>
      <c r="N100" s="11"/>
      <c r="O100" s="11"/>
      <c r="P100" s="11"/>
      <c r="Q100" s="11"/>
      <c r="R100" s="11"/>
      <c r="S100" s="11"/>
      <c r="T100" s="11"/>
      <c r="U100" s="11"/>
      <c r="V100" s="11"/>
      <c r="W100" s="11"/>
      <c r="X100" s="11"/>
      <c r="Y100" s="11"/>
      <c r="Z100" s="11"/>
      <c r="AA100" s="11"/>
      <c r="AB100" s="11"/>
      <c r="AC100" s="11"/>
      <c r="AD100" s="11"/>
      <c r="AE100" s="11"/>
      <c r="AF100" s="11"/>
      <c r="AG100" s="11"/>
      <c r="AH100" s="11"/>
      <c r="AI100" s="11"/>
      <c r="AJ100" s="11"/>
      <c r="AK100" s="11"/>
      <c r="AL100" s="11"/>
      <c r="AM100" s="11"/>
      <c r="AN100" s="11"/>
      <c r="AO100" s="11"/>
      <c r="AP100" s="11"/>
      <c r="AQ100" s="11"/>
      <c r="AR100" s="11"/>
      <c r="AS100" s="11"/>
      <c r="AT100" s="11"/>
      <c r="AU100" s="11"/>
      <c r="AV100" s="11"/>
      <c r="AW100" s="11"/>
      <c r="AX100" s="11"/>
      <c r="AY100" s="11"/>
      <c r="AZ100" s="11"/>
      <c r="BA100" s="11"/>
    </row>
    <row r="101" spans="12:53" x14ac:dyDescent="0.2">
      <c r="L101" s="13"/>
      <c r="M101" s="11"/>
      <c r="N101" s="11"/>
      <c r="O101" s="11"/>
      <c r="P101" s="11"/>
      <c r="Q101" s="11"/>
      <c r="R101" s="11"/>
      <c r="S101" s="11"/>
      <c r="T101" s="11"/>
      <c r="U101" s="11"/>
      <c r="V101" s="11"/>
      <c r="W101" s="11"/>
      <c r="X101" s="11"/>
      <c r="Y101" s="11"/>
      <c r="Z101" s="11"/>
      <c r="AA101" s="11"/>
      <c r="AB101" s="11"/>
      <c r="AC101" s="11"/>
      <c r="AD101" s="11"/>
      <c r="AE101" s="11"/>
      <c r="AF101" s="11"/>
      <c r="AG101" s="11"/>
      <c r="AH101" s="11"/>
      <c r="AI101" s="11"/>
      <c r="AJ101" s="11"/>
      <c r="AK101" s="11"/>
      <c r="AL101" s="11"/>
      <c r="AM101" s="11"/>
      <c r="AN101" s="11"/>
      <c r="AO101" s="11"/>
      <c r="AP101" s="11"/>
      <c r="AQ101" s="11"/>
      <c r="AR101" s="11"/>
      <c r="AS101" s="11"/>
      <c r="AT101" s="11"/>
      <c r="AU101" s="11"/>
      <c r="AV101" s="11"/>
      <c r="AW101" s="11"/>
      <c r="AX101" s="11"/>
      <c r="AY101" s="11"/>
      <c r="AZ101" s="11"/>
      <c r="BA101" s="11"/>
    </row>
    <row r="102" spans="12:53" x14ac:dyDescent="0.2">
      <c r="L102" s="13"/>
      <c r="M102" s="11"/>
      <c r="N102" s="11"/>
      <c r="O102" s="11"/>
      <c r="P102" s="11"/>
      <c r="Q102" s="11"/>
      <c r="R102" s="11"/>
      <c r="S102" s="11"/>
      <c r="T102" s="11"/>
      <c r="U102" s="11"/>
      <c r="V102" s="11"/>
      <c r="W102" s="11"/>
      <c r="X102" s="11"/>
      <c r="Y102" s="11"/>
      <c r="Z102" s="11"/>
      <c r="AA102" s="11"/>
      <c r="AB102" s="11"/>
      <c r="AC102" s="11"/>
      <c r="AD102" s="11"/>
      <c r="AE102" s="11"/>
      <c r="AF102" s="11"/>
      <c r="AG102" s="11"/>
      <c r="AH102" s="11"/>
      <c r="AI102" s="11"/>
      <c r="AJ102" s="11"/>
      <c r="AK102" s="11"/>
      <c r="AL102" s="11"/>
      <c r="AM102" s="11"/>
      <c r="AN102" s="11"/>
      <c r="AO102" s="11"/>
      <c r="AP102" s="11"/>
      <c r="AQ102" s="11"/>
      <c r="AR102" s="11"/>
      <c r="AS102" s="11"/>
      <c r="AT102" s="11"/>
      <c r="AU102" s="11"/>
      <c r="AV102" s="11"/>
      <c r="AW102" s="11"/>
      <c r="AX102" s="11"/>
      <c r="AY102" s="11"/>
      <c r="AZ102" s="11"/>
      <c r="BA102" s="11"/>
    </row>
    <row r="103" spans="12:53" x14ac:dyDescent="0.2">
      <c r="L103" s="13"/>
      <c r="M103" s="11"/>
      <c r="N103" s="11"/>
      <c r="O103" s="11"/>
      <c r="P103" s="11"/>
      <c r="Q103" s="11"/>
      <c r="R103" s="11"/>
      <c r="S103" s="11"/>
      <c r="T103" s="11"/>
      <c r="U103" s="11"/>
      <c r="V103" s="11"/>
      <c r="W103" s="11"/>
      <c r="X103" s="11"/>
      <c r="Y103" s="11"/>
      <c r="Z103" s="11"/>
      <c r="AA103" s="11"/>
      <c r="AB103" s="11"/>
      <c r="AC103" s="11"/>
      <c r="AD103" s="11"/>
      <c r="AE103" s="11"/>
      <c r="AF103" s="11"/>
      <c r="AG103" s="11"/>
      <c r="AH103" s="11"/>
      <c r="AI103" s="11"/>
      <c r="AJ103" s="11"/>
      <c r="AK103" s="11"/>
      <c r="AL103" s="11"/>
      <c r="AM103" s="11"/>
      <c r="AN103" s="11"/>
      <c r="AO103" s="11"/>
      <c r="AP103" s="11"/>
      <c r="AQ103" s="11"/>
      <c r="AR103" s="11"/>
      <c r="AS103" s="11"/>
      <c r="AT103" s="11"/>
      <c r="AU103" s="11"/>
      <c r="AV103" s="11"/>
      <c r="AW103" s="11"/>
      <c r="AX103" s="11"/>
      <c r="AY103" s="11"/>
      <c r="AZ103" s="11"/>
      <c r="BA103" s="11"/>
    </row>
    <row r="104" spans="12:53" x14ac:dyDescent="0.2">
      <c r="L104" s="13"/>
      <c r="M104" s="11"/>
      <c r="N104" s="11"/>
      <c r="O104" s="11"/>
      <c r="P104" s="11"/>
      <c r="Q104" s="11"/>
      <c r="R104" s="11"/>
      <c r="S104" s="11"/>
      <c r="T104" s="11"/>
      <c r="U104" s="11"/>
      <c r="V104" s="11"/>
      <c r="W104" s="11"/>
      <c r="X104" s="11"/>
      <c r="Y104" s="11"/>
      <c r="Z104" s="11"/>
      <c r="AA104" s="11"/>
      <c r="AB104" s="11"/>
      <c r="AC104" s="11"/>
      <c r="AD104" s="11"/>
      <c r="AE104" s="11"/>
      <c r="AF104" s="11"/>
      <c r="AG104" s="11"/>
      <c r="AH104" s="11"/>
      <c r="AI104" s="11"/>
      <c r="AJ104" s="11"/>
      <c r="AK104" s="11"/>
      <c r="AL104" s="11"/>
      <c r="AM104" s="11"/>
      <c r="AN104" s="11"/>
      <c r="AO104" s="11"/>
      <c r="AP104" s="11"/>
      <c r="AQ104" s="11"/>
      <c r="AR104" s="11"/>
      <c r="AS104" s="11"/>
      <c r="AT104" s="11"/>
      <c r="AU104" s="11"/>
      <c r="AV104" s="11"/>
      <c r="AW104" s="11"/>
      <c r="AX104" s="11"/>
      <c r="AY104" s="11"/>
      <c r="AZ104" s="11"/>
      <c r="BA104" s="11"/>
    </row>
    <row r="105" spans="12:53" x14ac:dyDescent="0.2">
      <c r="L105" s="13"/>
      <c r="M105" s="11"/>
      <c r="N105" s="11"/>
      <c r="O105" s="11"/>
      <c r="P105" s="11"/>
      <c r="Q105" s="11"/>
      <c r="R105" s="11"/>
      <c r="S105" s="11"/>
      <c r="T105" s="11"/>
      <c r="U105" s="11"/>
      <c r="V105" s="11"/>
      <c r="W105" s="11"/>
      <c r="X105" s="11"/>
      <c r="Y105" s="11"/>
      <c r="Z105" s="11"/>
      <c r="AA105" s="11"/>
      <c r="AB105" s="11"/>
      <c r="AC105" s="11"/>
      <c r="AD105" s="11"/>
      <c r="AE105" s="11"/>
      <c r="AF105" s="11"/>
      <c r="AG105" s="11"/>
      <c r="AH105" s="11"/>
      <c r="AI105" s="11"/>
      <c r="AJ105" s="11"/>
      <c r="AK105" s="11"/>
      <c r="AL105" s="11"/>
      <c r="AM105" s="11"/>
      <c r="AN105" s="11"/>
      <c r="AO105" s="11"/>
      <c r="AP105" s="11"/>
      <c r="AQ105" s="11"/>
      <c r="AR105" s="11"/>
      <c r="AS105" s="11"/>
      <c r="AT105" s="11"/>
      <c r="AU105" s="11"/>
      <c r="AV105" s="11"/>
      <c r="AW105" s="11"/>
      <c r="AX105" s="11"/>
      <c r="AY105" s="11"/>
      <c r="AZ105" s="11"/>
      <c r="BA105" s="11"/>
    </row>
    <row r="106" spans="12:53" x14ac:dyDescent="0.2">
      <c r="L106" s="13"/>
      <c r="M106" s="11"/>
      <c r="N106" s="11"/>
      <c r="O106" s="11"/>
      <c r="P106" s="11"/>
      <c r="Q106" s="11"/>
      <c r="R106" s="11"/>
      <c r="S106" s="11"/>
      <c r="T106" s="11"/>
      <c r="U106" s="11"/>
      <c r="V106" s="11"/>
      <c r="W106" s="11"/>
      <c r="X106" s="11"/>
      <c r="Y106" s="11"/>
      <c r="Z106" s="11"/>
      <c r="AA106" s="11"/>
      <c r="AB106" s="11"/>
      <c r="AC106" s="11"/>
      <c r="AD106" s="11"/>
      <c r="AE106" s="11"/>
      <c r="AF106" s="11"/>
      <c r="AG106" s="11"/>
      <c r="AH106" s="11"/>
      <c r="AI106" s="11"/>
      <c r="AJ106" s="11"/>
      <c r="AK106" s="11"/>
      <c r="AL106" s="11"/>
      <c r="AM106" s="11"/>
      <c r="AN106" s="11"/>
      <c r="AO106" s="11"/>
      <c r="AP106" s="11"/>
      <c r="AQ106" s="11"/>
      <c r="AR106" s="11"/>
      <c r="AS106" s="11"/>
      <c r="AT106" s="11"/>
      <c r="AU106" s="11"/>
      <c r="AV106" s="11"/>
      <c r="AW106" s="11"/>
      <c r="AX106" s="11"/>
      <c r="AY106" s="11"/>
      <c r="AZ106" s="11"/>
      <c r="BA106" s="11"/>
    </row>
    <row r="107" spans="12:53" x14ac:dyDescent="0.2">
      <c r="L107" s="13"/>
      <c r="M107" s="11"/>
      <c r="N107" s="11"/>
      <c r="O107" s="11"/>
      <c r="P107" s="11"/>
      <c r="Q107" s="11"/>
      <c r="R107" s="11"/>
      <c r="S107" s="11"/>
      <c r="T107" s="11"/>
      <c r="U107" s="11"/>
      <c r="V107" s="11"/>
      <c r="W107" s="11"/>
      <c r="X107" s="11"/>
      <c r="Y107" s="11"/>
      <c r="Z107" s="11"/>
      <c r="AA107" s="11"/>
      <c r="AB107" s="11"/>
      <c r="AC107" s="11"/>
      <c r="AD107" s="11"/>
      <c r="AE107" s="11"/>
      <c r="AF107" s="11"/>
      <c r="AG107" s="11"/>
      <c r="AH107" s="11"/>
      <c r="AI107" s="11"/>
      <c r="AJ107" s="11"/>
      <c r="AK107" s="11"/>
      <c r="AL107" s="11"/>
    </row>
    <row r="108" spans="12:53" x14ac:dyDescent="0.2">
      <c r="L108" s="13"/>
      <c r="M108" s="11"/>
      <c r="N108" s="11"/>
      <c r="O108" s="11"/>
      <c r="P108" s="11"/>
      <c r="Q108" s="11"/>
      <c r="R108" s="11"/>
      <c r="S108" s="11"/>
      <c r="T108" s="11"/>
      <c r="U108" s="11"/>
      <c r="V108" s="11"/>
      <c r="W108" s="11"/>
      <c r="X108" s="11"/>
      <c r="Y108" s="11"/>
      <c r="Z108" s="11"/>
      <c r="AA108" s="11"/>
      <c r="AB108" s="11"/>
      <c r="AC108" s="11"/>
      <c r="AD108" s="11"/>
      <c r="AE108" s="11"/>
      <c r="AF108" s="11"/>
    </row>
    <row r="109" spans="12:53" x14ac:dyDescent="0.2">
      <c r="L109" s="13"/>
      <c r="M109" s="11"/>
      <c r="N109" s="11"/>
      <c r="O109" s="11"/>
      <c r="P109" s="11"/>
      <c r="Q109" s="11"/>
      <c r="R109" s="11"/>
      <c r="S109" s="11"/>
      <c r="T109" s="11"/>
      <c r="U109" s="11"/>
      <c r="V109" s="11"/>
      <c r="W109" s="11"/>
      <c r="X109" s="11"/>
      <c r="Y109" s="11"/>
      <c r="Z109" s="11"/>
      <c r="AA109" s="11"/>
      <c r="AB109" s="11"/>
      <c r="AC109" s="11"/>
      <c r="AD109" s="11"/>
      <c r="AE109" s="11"/>
      <c r="AF109" s="11"/>
    </row>
    <row r="110" spans="12:53" x14ac:dyDescent="0.2">
      <c r="L110" s="13"/>
      <c r="M110" s="11"/>
      <c r="N110" s="11"/>
      <c r="O110" s="11"/>
      <c r="P110" s="11"/>
    </row>
    <row r="111" spans="12:53" x14ac:dyDescent="0.2">
      <c r="L111" s="13"/>
      <c r="M111" s="11"/>
      <c r="N111" s="11"/>
      <c r="O111" s="11"/>
      <c r="P111" s="11"/>
    </row>
    <row r="112" spans="12:53" x14ac:dyDescent="0.2">
      <c r="L112" s="13"/>
      <c r="M112" s="11"/>
      <c r="N112" s="11"/>
      <c r="O112" s="11"/>
      <c r="P112" s="11"/>
    </row>
    <row r="113" spans="1:16" x14ac:dyDescent="0.2">
      <c r="L113" s="13"/>
      <c r="M113" s="11"/>
      <c r="N113" s="11"/>
      <c r="O113" s="11"/>
      <c r="P113" s="11"/>
    </row>
    <row r="114" spans="1:16" x14ac:dyDescent="0.2">
      <c r="L114" s="13"/>
      <c r="M114" s="11"/>
      <c r="N114" s="11"/>
      <c r="O114" s="11"/>
      <c r="P114" s="11"/>
    </row>
    <row r="115" spans="1:16" x14ac:dyDescent="0.2">
      <c r="L115" s="13"/>
      <c r="M115" s="11"/>
      <c r="N115" s="11"/>
      <c r="O115" s="11"/>
      <c r="P115" s="11"/>
    </row>
    <row r="116" spans="1:16" x14ac:dyDescent="0.2">
      <c r="L116" s="13"/>
      <c r="M116" s="11"/>
      <c r="N116" s="11"/>
      <c r="O116" s="11"/>
      <c r="P116" s="11"/>
    </row>
    <row r="117" spans="1:16" x14ac:dyDescent="0.2">
      <c r="L117" s="13"/>
    </row>
    <row r="118" spans="1:16" ht="15.75" x14ac:dyDescent="0.25">
      <c r="A118" s="79" t="str">
        <f>CONCATENATE("Occupation Figure 2.2  Employment by Occupation, ",$M$2,"-",$O$2,", ",Info!B5)</f>
        <v>Occupation Figure 2.2  Employment by Occupation, 2010-2035, North East</v>
      </c>
    </row>
    <row r="145" spans="12:63" s="80" customFormat="1" x14ac:dyDescent="0.2"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</row>
    <row r="164" spans="1:1" ht="15.75" x14ac:dyDescent="0.25">
      <c r="A164" s="79" t="str">
        <f>CONCATENATE("Occupation Figure 2.3  Change in Employment in ",$L$5,", ",$M$2,"-",$O$2,", ",Info!B5)</f>
        <v>Occupation Figure 2.3  Change in Employment in Managers, directors and senior officials, 2010-2035, North East</v>
      </c>
    </row>
    <row r="180" spans="12:63" s="80" customFormat="1" x14ac:dyDescent="0.2"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</row>
    <row r="199" spans="1:1" ht="15.75" x14ac:dyDescent="0.25">
      <c r="A199" s="79" t="str">
        <f>CONCATENATE("Occupation Figure 2.4  Change in Employment in ",$L$9,", ",$M$2,"-",$O$2,", ",Info!B5)</f>
        <v>Occupation Figure 2.4  Change in Employment in Professional occupations, 2010-2035, North East</v>
      </c>
    </row>
    <row r="215" spans="12:63" s="80" customFormat="1" x14ac:dyDescent="0.2"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</row>
    <row r="234" spans="1:1" ht="15.75" x14ac:dyDescent="0.25">
      <c r="A234" s="79" t="str">
        <f>CONCATENATE("Occupation Figure 2.5  Change in Employment in ",$L$15,", ",$M$2,"-",$O$2,", ",Info!B5)</f>
        <v>Occupation Figure 2.5  Change in Employment in Associate professional occupations, 2010-2035, North East</v>
      </c>
    </row>
    <row r="250" spans="12:63" s="80" customFormat="1" x14ac:dyDescent="0.2"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  <c r="BE250"/>
      <c r="BF250"/>
      <c r="BG250"/>
      <c r="BH250"/>
      <c r="BI250"/>
      <c r="BJ250"/>
      <c r="BK250"/>
    </row>
    <row r="269" spans="1:1" ht="15.75" x14ac:dyDescent="0.25">
      <c r="A269" s="79" t="str">
        <f>CONCATENATE("Occupation Figure 2.6  Change in Employment in ",$L$22,", ",$M$2,"-",$O$2,", ",Info!B5)</f>
        <v>Occupation Figure 2.6  Change in Employment in Administrative and secretarial occupations, 2010-2035, North East</v>
      </c>
    </row>
    <row r="285" spans="12:63" s="80" customFormat="1" x14ac:dyDescent="0.2"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  <c r="AZ285"/>
      <c r="BA285"/>
      <c r="BB285"/>
      <c r="BC285"/>
      <c r="BD285"/>
      <c r="BE285"/>
      <c r="BF285"/>
      <c r="BG285"/>
      <c r="BH285"/>
      <c r="BI285"/>
      <c r="BJ285"/>
      <c r="BK285"/>
    </row>
    <row r="304" spans="1:1" ht="15.75" x14ac:dyDescent="0.25">
      <c r="A304" s="79" t="str">
        <f>CONCATENATE("Occupation Figure 2.7  Change in Employment in ",$L$26,", ",$M$2,"- ",$O$2,", ",Info!B5)</f>
        <v>Occupation Figure 2.7  Change in Employment in Skilled trades occupations, 2010- 2035, North East</v>
      </c>
    </row>
    <row r="320" spans="12:63" s="80" customFormat="1" x14ac:dyDescent="0.2"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J320"/>
      <c r="AK320"/>
      <c r="AL320"/>
      <c r="AM320"/>
      <c r="AN320"/>
      <c r="AO320"/>
      <c r="AP320"/>
      <c r="AQ320"/>
      <c r="AR320"/>
      <c r="AS320"/>
      <c r="AT320"/>
      <c r="AU320"/>
      <c r="AV320"/>
      <c r="AW320"/>
      <c r="AX320"/>
      <c r="AY320"/>
      <c r="AZ320"/>
      <c r="BA320"/>
      <c r="BB320"/>
      <c r="BC320"/>
      <c r="BD320"/>
      <c r="BE320"/>
      <c r="BF320"/>
      <c r="BG320"/>
      <c r="BH320"/>
      <c r="BI320"/>
      <c r="BJ320"/>
      <c r="BK320"/>
    </row>
    <row r="339" spans="1:1" ht="15.75" x14ac:dyDescent="0.25">
      <c r="A339" s="79" t="str">
        <f>CONCATENATE("Occupation Figure 2.8  Change in Employment in ",$L$32,", ",$M$2,"-",$O$2,", ",Info!B5)</f>
        <v>Occupation Figure 2.8  Change in Employment in Caring, leisure and other service occupations, 2010-2035, North East</v>
      </c>
    </row>
    <row r="355" spans="12:63" s="80" customFormat="1" x14ac:dyDescent="0.2"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  <c r="BC355"/>
      <c r="BD355"/>
      <c r="BE355"/>
      <c r="BF355"/>
      <c r="BG355"/>
      <c r="BH355"/>
      <c r="BI355"/>
      <c r="BJ355"/>
      <c r="BK355"/>
    </row>
    <row r="374" spans="1:1" ht="15.75" x14ac:dyDescent="0.25">
      <c r="A374" s="79" t="str">
        <f>CONCATENATE("Occupation Figure 2.9  Change in Employment in ",$L$37,", ",$M$2,"-",$O$2,", ",Info!B5)</f>
        <v>Occupation Figure 2.9  Change in Employment in Sales and customer service occupations, 2010-2035, North East</v>
      </c>
    </row>
    <row r="390" spans="12:63" s="80" customFormat="1" x14ac:dyDescent="0.2">
      <c r="L390"/>
      <c r="M390"/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  <c r="AC390"/>
      <c r="AD390"/>
      <c r="AE390"/>
      <c r="AF390"/>
      <c r="AG390"/>
      <c r="AH390"/>
      <c r="AI390"/>
      <c r="AJ390"/>
      <c r="AK390"/>
      <c r="AL390"/>
      <c r="AM390"/>
      <c r="AN390"/>
      <c r="AO390"/>
      <c r="AP390"/>
      <c r="AQ390"/>
      <c r="AR390"/>
      <c r="AS390"/>
      <c r="AT390"/>
      <c r="AU390"/>
      <c r="AV390"/>
      <c r="AW390"/>
      <c r="AX390"/>
      <c r="AY390"/>
      <c r="AZ390"/>
      <c r="BA390"/>
      <c r="BB390"/>
      <c r="BC390"/>
      <c r="BD390"/>
      <c r="BE390"/>
      <c r="BF390"/>
      <c r="BG390"/>
      <c r="BH390"/>
      <c r="BI390"/>
      <c r="BJ390"/>
      <c r="BK390"/>
    </row>
    <row r="409" spans="1:1" ht="15.75" x14ac:dyDescent="0.25">
      <c r="A409" s="79" t="str">
        <f>CONCATENATE("Occupation Figure 2.10  Change in Employment in ",$L$41,", ",$M$2,"-",$O$2,", ",Info!B5)</f>
        <v>Occupation Figure 2.10  Change in Employment in Process, plant and machine operatives, 2010-2035, North East</v>
      </c>
    </row>
    <row r="444" spans="1:1" ht="15.75" x14ac:dyDescent="0.25">
      <c r="A444" s="79" t="str">
        <f>CONCATENATE("Occupation Figure 2.11  Change in Employment in ",$L$45,", ",$M$2,"-",$O$2,", ",Info!B5)</f>
        <v>Occupation Figure 2.11  Change in Employment in Elementary occupations, 2010-2035, North East</v>
      </c>
    </row>
    <row r="479" spans="1:12" ht="15.75" x14ac:dyDescent="0.25">
      <c r="A479" s="79" t="str">
        <f>CONCATENATE("Occupation Figure 2.12  Employment Level by Occupation (SOC 2020), ",'Occ T1'!D6," and ",'Occ T1'!F6," (000s)",", ",Info!B5)</f>
        <v>Occupation Figure 2.12  Employment Level by Occupation (SOC 2020), 2020 and 2035 (000s), North East</v>
      </c>
      <c r="L479" s="45" t="s">
        <v>423</v>
      </c>
    </row>
    <row r="480" spans="1:12" x14ac:dyDescent="0.2">
      <c r="L480" s="29" t="s">
        <v>424</v>
      </c>
    </row>
    <row r="507" spans="1:12" ht="15.75" x14ac:dyDescent="0.25">
      <c r="A507" s="79" t="str">
        <f>CONCATENATE("Occupation Figure 2.13  Employment Share by Occupation (SOC 2020), ",'Occ T1'!B24,", ",'Occ T1'!D24," and ",'Occ T1'!F24," (%)",", ",Info!B5)</f>
        <v>Occupation Figure 2.13  Employment Share by Occupation (SOC 2020), 2015, 2020 and 2035 (%), North East</v>
      </c>
      <c r="L507" s="45" t="s">
        <v>425</v>
      </c>
    </row>
    <row r="508" spans="1:12" x14ac:dyDescent="0.2">
      <c r="L508" s="29" t="s">
        <v>424</v>
      </c>
    </row>
  </sheetData>
  <conditionalFormatting sqref="L4:AP4">
    <cfRule type="cellIs" dxfId="8" priority="2" stopIfTrue="1" operator="equal">
      <formula>0</formula>
    </cfRule>
  </conditionalFormatting>
  <conditionalFormatting sqref="L51:AL51">
    <cfRule type="cellIs" dxfId="7" priority="1" stopIfTrue="1" operator="equal">
      <formula>0</formula>
    </cfRule>
  </conditionalFormatting>
  <pageMargins left="0.19685039370078741" right="0.19685039370078741" top="0.78740157480314965" bottom="0.78740157480314965" header="0.51181102362204722" footer="0.51181102362204722"/>
  <pageSetup paperSize="9" scale="80" orientation="portrait" r:id="rId1"/>
  <headerFooter alignWithMargins="0"/>
  <rowBreaks count="8" manualBreakCount="8">
    <brk id="58" max="9" man="1"/>
    <brk id="117" max="9" man="1"/>
    <brk id="163" max="9" man="1"/>
    <brk id="233" max="9" man="1"/>
    <brk id="303" max="9" man="1"/>
    <brk id="373" max="9" man="1"/>
    <brk id="443" max="9" man="1"/>
    <brk id="478" max="9" man="1"/>
  </rowBreaks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8"/>
  <dimension ref="A1:AC19"/>
  <sheetViews>
    <sheetView showGridLines="0" zoomScale="75" zoomScaleNormal="75" workbookViewId="0"/>
  </sheetViews>
  <sheetFormatPr defaultRowHeight="12.75" x14ac:dyDescent="0.2"/>
  <cols>
    <col min="18" max="18" width="9" customWidth="1"/>
    <col min="19" max="22" width="16" customWidth="1"/>
    <col min="23" max="23" width="42.42578125" customWidth="1"/>
    <col min="24" max="29" width="11.42578125" customWidth="1"/>
  </cols>
  <sheetData>
    <row r="1" spans="1:29" ht="15.75" x14ac:dyDescent="0.25">
      <c r="A1" s="79" t="str">
        <f>CONCATENATE("Occupation Figure 3  Changes in Occupational Employment Structure (000s) (SOC 2020), ",$W$1,"-",$X$1,", ",Info!B5)</f>
        <v>Occupation Figure 3  Changes in Occupational Employment Structure (000s) (SOC 2020), 2015-2035, North East</v>
      </c>
      <c r="W1" t="str">
        <f>LEFT(X3,4)</f>
        <v>2015</v>
      </c>
      <c r="X1" t="str">
        <f>RIGHT(AC3,4)</f>
        <v>2035</v>
      </c>
    </row>
    <row r="2" spans="1:29" x14ac:dyDescent="0.2">
      <c r="A2" s="1" t="s">
        <v>536</v>
      </c>
      <c r="X2" t="s">
        <v>427</v>
      </c>
    </row>
    <row r="3" spans="1:29" x14ac:dyDescent="0.2">
      <c r="W3" s="1" t="s">
        <v>0</v>
      </c>
      <c r="X3" s="10" t="str">
        <f>'Occ T1'!B6&amp;"-"&amp;'Occ T1'!C6</f>
        <v>2015-2019</v>
      </c>
      <c r="Y3" s="10" t="str">
        <f>'Occ T1'!C6&amp;"-"&amp;'Occ T1'!D6</f>
        <v>2019-2020</v>
      </c>
      <c r="Z3" s="10" t="str">
        <f>'Occ T1'!D6&amp;"-"&amp;'Occ T1'!E6</f>
        <v>2020-2025</v>
      </c>
      <c r="AA3" s="10" t="str">
        <f>'Occ T1'!E6&amp;"-"&amp;'Occ T1'!F6</f>
        <v>2025-2035</v>
      </c>
      <c r="AB3" s="10" t="str">
        <f>'Occ T1'!B6&amp;"-"&amp;'Occ T1'!D6</f>
        <v>2015-2020</v>
      </c>
      <c r="AC3" s="10" t="str">
        <f>'Occ T1'!D6&amp;"-"&amp;'Occ T1'!F6</f>
        <v>2020-2035</v>
      </c>
    </row>
    <row r="4" spans="1:29" x14ac:dyDescent="0.2">
      <c r="W4" s="10" t="str">
        <f>name!E4</f>
        <v>Managers, directors and senior officials</v>
      </c>
      <c r="X4" s="11">
        <f>'Occ T1'!C8-'Occ T1'!B8</f>
        <v>11.123959572764221</v>
      </c>
      <c r="Y4" s="11">
        <f>'Occ T1'!D8-'Occ T1'!C8</f>
        <v>2.7195437094619024E-2</v>
      </c>
      <c r="Z4" s="11">
        <f>'Occ T1'!E8-'Occ T1'!D8</f>
        <v>2.4716873329926585</v>
      </c>
      <c r="AA4" s="11">
        <f>'Occ T1'!F8-'Occ T1'!E8</f>
        <v>13.910448607688892</v>
      </c>
      <c r="AB4" s="11">
        <f>'Occ T1'!D8-'Occ T1'!B8</f>
        <v>11.15115500985884</v>
      </c>
      <c r="AC4" s="11">
        <f>'Occ T1'!F8-'Occ T1'!D8</f>
        <v>16.38213594068155</v>
      </c>
    </row>
    <row r="5" spans="1:29" x14ac:dyDescent="0.2">
      <c r="W5" s="10" t="str">
        <f>name!E5</f>
        <v>Professional occupations</v>
      </c>
      <c r="X5" s="11">
        <f>'Occ T1'!C9-'Occ T1'!B9</f>
        <v>6.1821375815614772</v>
      </c>
      <c r="Y5" s="11">
        <f>'Occ T1'!D9-'Occ T1'!C9</f>
        <v>17.081374312415051</v>
      </c>
      <c r="Z5" s="11">
        <f>'Occ T1'!E9-'Occ T1'!D9</f>
        <v>21.584349776353406</v>
      </c>
      <c r="AA5" s="11">
        <f>'Occ T1'!F9-'Occ T1'!E9</f>
        <v>30.448516035270927</v>
      </c>
      <c r="AB5" s="11">
        <f>'Occ T1'!D9-'Occ T1'!B9</f>
        <v>23.263511893976528</v>
      </c>
      <c r="AC5" s="11">
        <f>'Occ T1'!F9-'Occ T1'!D9</f>
        <v>52.032865811624333</v>
      </c>
    </row>
    <row r="6" spans="1:29" x14ac:dyDescent="0.2">
      <c r="W6" s="10" t="str">
        <f>name!E6</f>
        <v>Associate professional occupations</v>
      </c>
      <c r="X6" s="11">
        <f>'Occ T1'!C10-'Occ T1'!B10</f>
        <v>4.3012076038672262</v>
      </c>
      <c r="Y6" s="11">
        <f>'Occ T1'!D10-'Occ T1'!C10</f>
        <v>6.9037911445139457</v>
      </c>
      <c r="Z6" s="11">
        <f>'Occ T1'!E10-'Occ T1'!D10</f>
        <v>-4.3116002897270675</v>
      </c>
      <c r="AA6" s="11">
        <f>'Occ T1'!F10-'Occ T1'!E10</f>
        <v>10.897637631607807</v>
      </c>
      <c r="AB6" s="11">
        <f>'Occ T1'!D10-'Occ T1'!B10</f>
        <v>11.204998748381172</v>
      </c>
      <c r="AC6" s="11">
        <f>'Occ T1'!F10-'Occ T1'!D10</f>
        <v>6.5860373418807399</v>
      </c>
    </row>
    <row r="7" spans="1:29" x14ac:dyDescent="0.2">
      <c r="W7" s="10" t="str">
        <f>name!E7</f>
        <v>Administrative and secretarial occupations</v>
      </c>
      <c r="X7" s="11">
        <f>'Occ T1'!C11-'Occ T1'!B11</f>
        <v>-12.736778083883834</v>
      </c>
      <c r="Y7" s="11">
        <f>'Occ T1'!D11-'Occ T1'!C11</f>
        <v>5.6770869133974458</v>
      </c>
      <c r="Z7" s="11">
        <f>'Occ T1'!E11-'Occ T1'!D11</f>
        <v>-7.2880222905162526</v>
      </c>
      <c r="AA7" s="11">
        <f>'Occ T1'!F11-'Occ T1'!E11</f>
        <v>-8.179871067265907</v>
      </c>
      <c r="AB7" s="11">
        <f>'Occ T1'!D11-'Occ T1'!B11</f>
        <v>-7.0596911704863885</v>
      </c>
      <c r="AC7" s="11">
        <f>'Occ T1'!F11-'Occ T1'!D11</f>
        <v>-15.46789335778216</v>
      </c>
    </row>
    <row r="8" spans="1:29" x14ac:dyDescent="0.2">
      <c r="W8" s="10" t="str">
        <f>name!E8</f>
        <v>Skilled trades occupations</v>
      </c>
      <c r="X8" s="11">
        <f>'Occ T1'!C12-'Occ T1'!B12</f>
        <v>-3.6675399726937883</v>
      </c>
      <c r="Y8" s="11">
        <f>'Occ T1'!D12-'Occ T1'!C12</f>
        <v>-17.386368688268504</v>
      </c>
      <c r="Z8" s="11">
        <f>'Occ T1'!E12-'Occ T1'!D12</f>
        <v>-3.041472034000563</v>
      </c>
      <c r="AA8" s="11">
        <f>'Occ T1'!F12-'Occ T1'!E12</f>
        <v>-6.9734880955301151</v>
      </c>
      <c r="AB8" s="11">
        <f>'Occ T1'!D12-'Occ T1'!B12</f>
        <v>-21.053908660962293</v>
      </c>
      <c r="AC8" s="11">
        <f>'Occ T1'!F12-'Occ T1'!D12</f>
        <v>-10.014960129530678</v>
      </c>
    </row>
    <row r="9" spans="1:29" x14ac:dyDescent="0.2">
      <c r="W9" s="10" t="str">
        <f>name!E9</f>
        <v>Caring, leisure and other service occupations</v>
      </c>
      <c r="X9" s="11">
        <f>'Occ T1'!C13-'Occ T1'!B13</f>
        <v>-4.7065620621612254</v>
      </c>
      <c r="Y9" s="11">
        <f>'Occ T1'!D13-'Occ T1'!C13</f>
        <v>0.67169980449523337</v>
      </c>
      <c r="Z9" s="11">
        <f>'Occ T1'!E13-'Occ T1'!D13</f>
        <v>5.896696116401003</v>
      </c>
      <c r="AA9" s="11">
        <f>'Occ T1'!F13-'Occ T1'!E13</f>
        <v>5.444425285886993</v>
      </c>
      <c r="AB9" s="11">
        <f>'Occ T1'!D13-'Occ T1'!B13</f>
        <v>-4.034862257665992</v>
      </c>
      <c r="AC9" s="11">
        <f>'Occ T1'!F13-'Occ T1'!D13</f>
        <v>11.341121402287996</v>
      </c>
    </row>
    <row r="10" spans="1:29" x14ac:dyDescent="0.2">
      <c r="W10" s="10" t="str">
        <f>name!E10</f>
        <v>Sales and customer service occupations</v>
      </c>
      <c r="X10" s="11">
        <f>'Occ T1'!C14-'Occ T1'!B14</f>
        <v>-10.994839805101918</v>
      </c>
      <c r="Y10" s="11">
        <f>'Occ T1'!D14-'Occ T1'!C14</f>
        <v>1.1681590574685856</v>
      </c>
      <c r="Z10" s="11">
        <f>'Occ T1'!E14-'Occ T1'!D14</f>
        <v>0.56480635983905358</v>
      </c>
      <c r="AA10" s="11">
        <f>'Occ T1'!F14-'Occ T1'!E14</f>
        <v>2.163472667135153</v>
      </c>
      <c r="AB10" s="11">
        <f>'Occ T1'!D14-'Occ T1'!B14</f>
        <v>-9.8266807476333327</v>
      </c>
      <c r="AC10" s="11">
        <f>'Occ T1'!F14-'Occ T1'!D14</f>
        <v>2.7282790269742065</v>
      </c>
    </row>
    <row r="11" spans="1:29" x14ac:dyDescent="0.2">
      <c r="W11" s="10" t="str">
        <f>name!E11</f>
        <v>Process, plant and machine operatives</v>
      </c>
      <c r="X11" s="11">
        <f>'Occ T1'!C15-'Occ T1'!B15</f>
        <v>4.1320266320882411</v>
      </c>
      <c r="Y11" s="11">
        <f>'Occ T1'!D15-'Occ T1'!C15</f>
        <v>-10.314768238935585</v>
      </c>
      <c r="Z11" s="11">
        <f>'Occ T1'!E15-'Occ T1'!D15</f>
        <v>6.1494218089784169</v>
      </c>
      <c r="AA11" s="11">
        <f>'Occ T1'!F15-'Occ T1'!E15</f>
        <v>-4.3140328522268305</v>
      </c>
      <c r="AB11" s="11">
        <f>'Occ T1'!D15-'Occ T1'!B15</f>
        <v>-6.182741606847344</v>
      </c>
      <c r="AC11" s="11">
        <f>'Occ T1'!F15-'Occ T1'!D15</f>
        <v>1.8353889567515864</v>
      </c>
    </row>
    <row r="12" spans="1:29" x14ac:dyDescent="0.2">
      <c r="W12" s="10" t="str">
        <f>name!E12</f>
        <v>Elementary occupations</v>
      </c>
      <c r="X12" s="11">
        <f>'Occ T1'!C16-'Occ T1'!B16</f>
        <v>-6.4686114673150144</v>
      </c>
      <c r="Y12" s="11">
        <f>'Occ T1'!D16-'Occ T1'!C16</f>
        <v>-9.3571697426677076</v>
      </c>
      <c r="Z12" s="11">
        <f>'Occ T1'!E16-'Occ T1'!D16</f>
        <v>-2.5888667801792167</v>
      </c>
      <c r="AA12" s="11">
        <f>'Occ T1'!F16-'Occ T1'!E16</f>
        <v>-1.1761082127864029</v>
      </c>
      <c r="AB12" s="11">
        <f>'Occ T1'!D16-'Occ T1'!B16</f>
        <v>-15.825781209982722</v>
      </c>
      <c r="AC12" s="11">
        <f>'Occ T1'!F16-'Occ T1'!D16</f>
        <v>-3.7649749929656195</v>
      </c>
    </row>
    <row r="14" spans="1:29" x14ac:dyDescent="0.2">
      <c r="W14" s="10" t="str">
        <f>name!E3</f>
        <v>All occupations</v>
      </c>
      <c r="X14" s="11">
        <f>'Occ T1'!C18-'Occ T1'!B18</f>
        <v>-12.835000000874516</v>
      </c>
      <c r="Y14" s="11">
        <f>'Occ T1'!D18-'Occ T1'!C18</f>
        <v>-5.5290000004868034</v>
      </c>
      <c r="Z14" s="11">
        <f>'Occ T1'!E18-'Occ T1'!D18</f>
        <v>19.437000000141325</v>
      </c>
      <c r="AA14" s="11">
        <f>'Occ T1'!F18-'Occ T1'!E18</f>
        <v>42.220999999780361</v>
      </c>
      <c r="AB14" s="11">
        <f>'Occ T1'!D18-'Occ T1'!B18</f>
        <v>-18.364000001361319</v>
      </c>
      <c r="AC14" s="11">
        <f>'Occ T1'!F18-'Occ T1'!D18</f>
        <v>61.657999999921685</v>
      </c>
    </row>
    <row r="17" spans="23:26" x14ac:dyDescent="0.2">
      <c r="Y17" s="82" t="s">
        <v>442</v>
      </c>
      <c r="Z17" s="82" t="s">
        <v>443</v>
      </c>
    </row>
    <row r="18" spans="23:26" x14ac:dyDescent="0.2">
      <c r="W18" s="82" t="s">
        <v>444</v>
      </c>
      <c r="X18">
        <f>CEILING(MAX(X4:AA12),IF(MAX(X4:AA12)&lt;100,10,IF(MAX(X4:AA12)&lt;1000,100,1000)))</f>
        <v>40</v>
      </c>
      <c r="Y18">
        <f>MAX(X18,(X19*-1))</f>
        <v>40</v>
      </c>
      <c r="Z18">
        <f>IF(Y18&gt;1000,1000,IF(Y18&gt;500,500,IF(Y18&gt;100,100,IF(Y18&gt;40,20,10))))</f>
        <v>10</v>
      </c>
    </row>
    <row r="19" spans="23:26" x14ac:dyDescent="0.2">
      <c r="W19" s="82" t="s">
        <v>445</v>
      </c>
      <c r="X19">
        <f>FLOOR(MIN(X4:AA12),IF(MIN(X4:AA12)&gt;-100,10,IF(MIN(X4:AA12)&gt;-1000,100,1000)))</f>
        <v>-20</v>
      </c>
      <c r="Y19">
        <f>Y18*-1</f>
        <v>-40</v>
      </c>
    </row>
  </sheetData>
  <pageMargins left="0.7" right="0.7" top="0.75" bottom="0.75" header="0.3" footer="0.3"/>
  <pageSetup paperSize="9" scale="74" orientation="landscape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61"/>
  <dimension ref="A1:P13"/>
  <sheetViews>
    <sheetView showGridLines="0" zoomScale="75" zoomScaleNormal="75" workbookViewId="0"/>
  </sheetViews>
  <sheetFormatPr defaultRowHeight="12.75" x14ac:dyDescent="0.2"/>
  <cols>
    <col min="13" max="13" width="36" customWidth="1"/>
  </cols>
  <sheetData>
    <row r="1" spans="1:16" ht="15.75" x14ac:dyDescent="0.25">
      <c r="A1" s="79" t="str">
        <f>CONCATENATE("Occupation Figure 4  Occupational Change by Gender (000s) (SOC 2020), ",N1,", ",Info!B5)</f>
        <v>Occupation Figure 4  Occupational Change by Gender (000s) (SOC 2020), 2020-2035, North East</v>
      </c>
      <c r="M1" s="82" t="s">
        <v>18</v>
      </c>
      <c r="N1" t="str">
        <f>'Occ T1'!F62</f>
        <v>2020-2035</v>
      </c>
    </row>
    <row r="2" spans="1:16" x14ac:dyDescent="0.2">
      <c r="A2" s="1" t="s">
        <v>536</v>
      </c>
      <c r="M2" s="1" t="s">
        <v>0</v>
      </c>
      <c r="N2" s="82" t="s">
        <v>32</v>
      </c>
      <c r="O2" s="82" t="s">
        <v>99</v>
      </c>
      <c r="P2" s="82" t="s">
        <v>98</v>
      </c>
    </row>
    <row r="3" spans="1:16" x14ac:dyDescent="0.2">
      <c r="M3" s="10" t="str">
        <f>name!E4</f>
        <v>Managers, directors and senior officials</v>
      </c>
      <c r="N3" s="11">
        <f>'Occ T1'!F64</f>
        <v>16.38213594068155</v>
      </c>
      <c r="O3" s="11">
        <f>'Occ T1'!AB64</f>
        <v>9.1384137748647021</v>
      </c>
      <c r="P3" s="11">
        <f>'Occ T1'!Q64</f>
        <v>7.2437221658166635</v>
      </c>
    </row>
    <row r="4" spans="1:16" x14ac:dyDescent="0.2">
      <c r="M4" s="10" t="str">
        <f>name!E5</f>
        <v>Professional occupations</v>
      </c>
      <c r="N4" s="11">
        <f>'Occ T1'!F65</f>
        <v>52.032865811624333</v>
      </c>
      <c r="O4" s="11">
        <f>'Occ T1'!AB65</f>
        <v>34.814664381153364</v>
      </c>
      <c r="P4" s="11">
        <f>'Occ T1'!Q65</f>
        <v>17.218201430471154</v>
      </c>
    </row>
    <row r="5" spans="1:16" x14ac:dyDescent="0.2">
      <c r="M5" s="10" t="str">
        <f>name!E6</f>
        <v>Associate professional occupations</v>
      </c>
      <c r="N5" s="11">
        <f>'Occ T1'!F66</f>
        <v>6.5860373418807399</v>
      </c>
      <c r="O5" s="11">
        <f>'Occ T1'!AB66</f>
        <v>10.766636896626281</v>
      </c>
      <c r="P5" s="11">
        <f>'Occ T1'!Q66</f>
        <v>-4.1805995547456547</v>
      </c>
    </row>
    <row r="6" spans="1:16" x14ac:dyDescent="0.2">
      <c r="M6" s="10" t="str">
        <f>name!E7</f>
        <v>Administrative and secretarial occupations</v>
      </c>
      <c r="N6" s="11">
        <f>'Occ T1'!F67</f>
        <v>-15.46789335778216</v>
      </c>
      <c r="O6" s="11">
        <f>'Occ T1'!AB67</f>
        <v>-18.069326131756583</v>
      </c>
      <c r="P6" s="11">
        <f>'Occ T1'!Q67</f>
        <v>2.6014327739745511</v>
      </c>
    </row>
    <row r="7" spans="1:16" x14ac:dyDescent="0.2">
      <c r="M7" s="10" t="str">
        <f>name!E8</f>
        <v>Skilled trades occupations</v>
      </c>
      <c r="N7" s="11">
        <f>'Occ T1'!F68</f>
        <v>-10.014960129530678</v>
      </c>
      <c r="O7" s="11">
        <f>'Occ T1'!AB68</f>
        <v>1.7662740043236411</v>
      </c>
      <c r="P7" s="11">
        <f>'Occ T1'!Q68</f>
        <v>-11.78123413385434</v>
      </c>
    </row>
    <row r="8" spans="1:16" x14ac:dyDescent="0.2">
      <c r="M8" s="10" t="str">
        <f>name!E9</f>
        <v>Caring, leisure and other service occupations</v>
      </c>
      <c r="N8" s="11">
        <f>'Occ T1'!F69</f>
        <v>11.341121402287996</v>
      </c>
      <c r="O8" s="11">
        <f>'Occ T1'!AB69</f>
        <v>6.9227576317179569</v>
      </c>
      <c r="P8" s="11">
        <f>'Occ T1'!Q69</f>
        <v>4.418363770570032</v>
      </c>
    </row>
    <row r="9" spans="1:16" x14ac:dyDescent="0.2">
      <c r="M9" s="10" t="str">
        <f>name!E10</f>
        <v>Sales and customer service occupations</v>
      </c>
      <c r="N9" s="11">
        <f>'Occ T1'!F70</f>
        <v>2.7282790269742065</v>
      </c>
      <c r="O9" s="11">
        <f>'Occ T1'!AB70</f>
        <v>-1.5926696859479108</v>
      </c>
      <c r="P9" s="11">
        <f>'Occ T1'!Q70</f>
        <v>4.3209487129222097</v>
      </c>
    </row>
    <row r="10" spans="1:16" x14ac:dyDescent="0.2">
      <c r="M10" s="10" t="str">
        <f>name!E11</f>
        <v>Process, plant and machine operatives</v>
      </c>
      <c r="N10" s="11">
        <f>'Occ T1'!F71</f>
        <v>1.8353889567515864</v>
      </c>
      <c r="O10" s="11">
        <f>'Occ T1'!AB71</f>
        <v>1.2052448183146263</v>
      </c>
      <c r="P10" s="11">
        <f>'Occ T1'!Q71</f>
        <v>0.63014413843706052</v>
      </c>
    </row>
    <row r="11" spans="1:16" x14ac:dyDescent="0.2">
      <c r="M11" s="10" t="str">
        <f>name!E12</f>
        <v>Elementary occupations</v>
      </c>
      <c r="N11" s="11">
        <f>'Occ T1'!F72</f>
        <v>-3.7649749929656195</v>
      </c>
      <c r="O11" s="11">
        <f>'Occ T1'!AB72</f>
        <v>-0.97099568975553296</v>
      </c>
      <c r="P11" s="11">
        <f>'Occ T1'!Q72</f>
        <v>-2.7939793032102216</v>
      </c>
    </row>
    <row r="12" spans="1:16" x14ac:dyDescent="0.2">
      <c r="M12" s="10"/>
      <c r="N12" s="11"/>
      <c r="O12" s="11"/>
      <c r="P12" s="11"/>
    </row>
    <row r="13" spans="1:16" x14ac:dyDescent="0.2">
      <c r="M13" s="10" t="str">
        <f>name!E3</f>
        <v>All occupations</v>
      </c>
      <c r="N13" s="11">
        <f>'Occ T1'!F74</f>
        <v>61.657999999921685</v>
      </c>
      <c r="O13" s="11">
        <f>'Occ T1'!AB74</f>
        <v>43.980999999540472</v>
      </c>
      <c r="P13" s="11">
        <f>'Occ T1'!Q74</f>
        <v>17.677000000381554</v>
      </c>
    </row>
  </sheetData>
  <pageMargins left="0.7" right="0.7" top="0.75" bottom="0.75" header="0.3" footer="0.3"/>
  <pageSetup paperSize="9" scale="97" orientation="portrait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62"/>
  <dimension ref="A1:P79"/>
  <sheetViews>
    <sheetView showGridLines="0" zoomScale="75" zoomScaleNormal="75" workbookViewId="0"/>
  </sheetViews>
  <sheetFormatPr defaultColWidth="9.140625" defaultRowHeight="12.75" x14ac:dyDescent="0.2"/>
  <cols>
    <col min="13" max="13" width="36" customWidth="1"/>
    <col min="14" max="14" width="19.5703125" customWidth="1"/>
  </cols>
  <sheetData>
    <row r="1" spans="1:16" ht="15.75" x14ac:dyDescent="0.25">
      <c r="A1" s="79" t="str">
        <f>CONCATENATE("Occupation Figure 5  Occupational Change by Status (000s) (SOC 2020), ",N1,", ",Info!B5)</f>
        <v>Occupation Figure 5  Occupational Change by Status (000s) (SOC 2020), 2020-2035, North East</v>
      </c>
      <c r="M1" s="82" t="s">
        <v>18</v>
      </c>
      <c r="N1" t="str">
        <f>'Ind Occ T2'!G6&amp;"-"&amp;'Ind Occ T2'!L6</f>
        <v>2020-2035</v>
      </c>
    </row>
    <row r="2" spans="1:16" x14ac:dyDescent="0.2">
      <c r="A2" s="1" t="s">
        <v>536</v>
      </c>
      <c r="M2" s="1" t="s">
        <v>331</v>
      </c>
      <c r="N2" s="82" t="s">
        <v>338</v>
      </c>
      <c r="O2" s="82" t="s">
        <v>432</v>
      </c>
      <c r="P2" s="82" t="s">
        <v>433</v>
      </c>
    </row>
    <row r="3" spans="1:16" x14ac:dyDescent="0.2">
      <c r="M3" s="10" t="str">
        <f>name!E4</f>
        <v>Managers, directors and senior officials</v>
      </c>
      <c r="N3" s="11">
        <f>'Occ T5'!I44</f>
        <v>1.8028096901554633</v>
      </c>
      <c r="O3" s="11">
        <f>'Occ T5'!H44</f>
        <v>3.7147425500650737</v>
      </c>
      <c r="P3" s="11">
        <f>'Occ T5'!G44</f>
        <v>10.864583700460784</v>
      </c>
    </row>
    <row r="4" spans="1:16" x14ac:dyDescent="0.2">
      <c r="M4" s="10" t="str">
        <f>name!E5</f>
        <v>Professional occupations</v>
      </c>
      <c r="N4" s="11">
        <f>'Occ T5'!I45</f>
        <v>-2.1569491958572744</v>
      </c>
      <c r="O4" s="11">
        <f>'Occ T5'!H45</f>
        <v>14.54060230595438</v>
      </c>
      <c r="P4" s="11">
        <f>'Occ T5'!G45</f>
        <v>39.649212701527432</v>
      </c>
    </row>
    <row r="5" spans="1:16" x14ac:dyDescent="0.2">
      <c r="M5" s="10" t="str">
        <f>name!E6</f>
        <v>Associate professional occupations</v>
      </c>
      <c r="N5" s="11">
        <f>'Occ T5'!I46</f>
        <v>-0.21449828151757266</v>
      </c>
      <c r="O5" s="11">
        <f>'Occ T5'!H46</f>
        <v>2.7268735099991304</v>
      </c>
      <c r="P5" s="11">
        <f>'Occ T5'!G46</f>
        <v>4.0736621133993509</v>
      </c>
    </row>
    <row r="6" spans="1:16" x14ac:dyDescent="0.2">
      <c r="M6" s="10" t="str">
        <f>name!E7</f>
        <v>Administrative and secretarial occupations</v>
      </c>
      <c r="N6" s="11">
        <f>'Occ T5'!I47</f>
        <v>1.3936478453925023</v>
      </c>
      <c r="O6" s="11">
        <f>'Occ T5'!H47</f>
        <v>-7.7625992267767288</v>
      </c>
      <c r="P6" s="11">
        <f>'Occ T5'!G47</f>
        <v>-9.0989419763975405</v>
      </c>
    </row>
    <row r="7" spans="1:16" x14ac:dyDescent="0.2">
      <c r="M7" s="10" t="str">
        <f>name!E8</f>
        <v>Skilled trades occupations</v>
      </c>
      <c r="N7" s="11">
        <f>'Occ T5'!I48</f>
        <v>0.95780405599935392</v>
      </c>
      <c r="O7" s="11">
        <f>'Occ T5'!H48</f>
        <v>0.87771519050403235</v>
      </c>
      <c r="P7" s="11">
        <f>'Occ T5'!G48</f>
        <v>-11.850479376033995</v>
      </c>
    </row>
    <row r="8" spans="1:16" x14ac:dyDescent="0.2">
      <c r="M8" s="10" t="str">
        <f>name!E9</f>
        <v>Caring, leisure and other service occupations</v>
      </c>
      <c r="N8" s="11">
        <f>'Occ T5'!I49</f>
        <v>1.2979041818321324</v>
      </c>
      <c r="O8" s="11">
        <f>'Occ T5'!H49</f>
        <v>3.5467257626960986</v>
      </c>
      <c r="P8" s="11">
        <f>'Occ T5'!G49</f>
        <v>6.4964914577601576</v>
      </c>
    </row>
    <row r="9" spans="1:16" x14ac:dyDescent="0.2">
      <c r="M9" s="10" t="str">
        <f>name!E10</f>
        <v>Sales and customer service occupations</v>
      </c>
      <c r="N9" s="11">
        <f>'Occ T5'!I50</f>
        <v>-0.97508496380019594</v>
      </c>
      <c r="O9" s="11">
        <f>'Occ T5'!H50</f>
        <v>1.2747454497655752</v>
      </c>
      <c r="P9" s="11">
        <f>'Occ T5'!G50</f>
        <v>2.4286185410089729</v>
      </c>
    </row>
    <row r="10" spans="1:16" x14ac:dyDescent="0.2">
      <c r="M10" s="10" t="str">
        <f>name!E11</f>
        <v>Process, plant and machine operatives</v>
      </c>
      <c r="N10" s="11">
        <f>'Occ T5'!I51</f>
        <v>1.6316113075630536</v>
      </c>
      <c r="O10" s="11">
        <f>'Occ T5'!H51</f>
        <v>2.4254208439210299</v>
      </c>
      <c r="P10" s="11">
        <f>'Occ T5'!G51</f>
        <v>-2.2216431947322093</v>
      </c>
    </row>
    <row r="11" spans="1:16" x14ac:dyDescent="0.2">
      <c r="M11" s="10" t="str">
        <f>name!E12</f>
        <v>Elementary occupations</v>
      </c>
      <c r="N11" s="11">
        <f>'Occ T5'!I52</f>
        <v>2.7527553605891582</v>
      </c>
      <c r="O11" s="11">
        <f>'Occ T5'!H52</f>
        <v>-7.4872263870195681</v>
      </c>
      <c r="P11" s="11">
        <f>'Occ T5'!G52</f>
        <v>0.96949603346492097</v>
      </c>
    </row>
    <row r="12" spans="1:16" x14ac:dyDescent="0.2">
      <c r="M12" s="10"/>
      <c r="N12" s="11"/>
      <c r="O12" s="11"/>
      <c r="P12" s="11"/>
    </row>
    <row r="13" spans="1:16" x14ac:dyDescent="0.2">
      <c r="M13" s="10" t="str">
        <f>name!E3</f>
        <v>All occupations</v>
      </c>
      <c r="N13" s="11">
        <f>'Occ T5'!I54</f>
        <v>6.4900000003566305</v>
      </c>
      <c r="O13" s="11">
        <f>'Occ T5'!H54</f>
        <v>13.856999999109007</v>
      </c>
      <c r="P13" s="11">
        <f>'Occ T5'!G54</f>
        <v>41.311000000457966</v>
      </c>
    </row>
    <row r="16" spans="1:16" x14ac:dyDescent="0.2">
      <c r="M16" s="82" t="s">
        <v>18</v>
      </c>
      <c r="N16" t="str">
        <f>N1</f>
        <v>2020-2035</v>
      </c>
    </row>
    <row r="17" spans="13:16" x14ac:dyDescent="0.2">
      <c r="M17" s="1" t="s">
        <v>99</v>
      </c>
      <c r="N17" s="82" t="s">
        <v>338</v>
      </c>
      <c r="O17" s="82" t="s">
        <v>432</v>
      </c>
      <c r="P17" s="82" t="s">
        <v>433</v>
      </c>
    </row>
    <row r="18" spans="13:16" x14ac:dyDescent="0.2">
      <c r="M18" s="10" t="str">
        <f>M3</f>
        <v>Managers, directors and senior officials</v>
      </c>
      <c r="N18" s="11">
        <f>'Occ T5'!AO44</f>
        <v>-5.9897266422776596E-2</v>
      </c>
      <c r="O18" s="11">
        <f>'Occ T5'!AN44</f>
        <v>1.9143846475759654</v>
      </c>
      <c r="P18" s="11">
        <f>'Occ T5'!AM44</f>
        <v>7.2839263937116243</v>
      </c>
    </row>
    <row r="19" spans="13:16" x14ac:dyDescent="0.2">
      <c r="M19" s="10" t="str">
        <f t="shared" ref="M19:M28" si="0">M4</f>
        <v>Professional occupations</v>
      </c>
      <c r="N19" s="11">
        <f>'Occ T5'!AO45</f>
        <v>-1.0616164673650665</v>
      </c>
      <c r="O19" s="11">
        <f>'Occ T5'!AN45</f>
        <v>11.692448015883599</v>
      </c>
      <c r="P19" s="11">
        <f>'Occ T5'!AM45</f>
        <v>24.183832832634621</v>
      </c>
    </row>
    <row r="20" spans="13:16" x14ac:dyDescent="0.2">
      <c r="M20" s="10" t="str">
        <f t="shared" si="0"/>
        <v>Associate professional occupations</v>
      </c>
      <c r="N20" s="11">
        <f>'Occ T5'!AO46</f>
        <v>-0.16266763439617726</v>
      </c>
      <c r="O20" s="11">
        <f>'Occ T5'!AN46</f>
        <v>3.2538862177201118</v>
      </c>
      <c r="P20" s="11">
        <f>'Occ T5'!AM46</f>
        <v>7.6754183133024867</v>
      </c>
    </row>
    <row r="21" spans="13:16" x14ac:dyDescent="0.2">
      <c r="M21" s="10" t="str">
        <f t="shared" si="0"/>
        <v>Administrative and secretarial occupations</v>
      </c>
      <c r="N21" s="11">
        <f>'Occ T5'!AO47</f>
        <v>0.77369792845445406</v>
      </c>
      <c r="O21" s="11">
        <f>'Occ T5'!AN47</f>
        <v>-7.774508896501203</v>
      </c>
      <c r="P21" s="11">
        <f>'Occ T5'!AM47</f>
        <v>-11.068515163709698</v>
      </c>
    </row>
    <row r="22" spans="13:16" x14ac:dyDescent="0.2">
      <c r="M22" s="10" t="str">
        <f t="shared" si="0"/>
        <v>Skilled trades occupations</v>
      </c>
      <c r="N22" s="11">
        <f>'Occ T5'!AO48</f>
        <v>1.2591017228804011</v>
      </c>
      <c r="O22" s="11">
        <f>'Occ T5'!AN48</f>
        <v>0.18716349621488027</v>
      </c>
      <c r="P22" s="11">
        <f>'Occ T5'!AM48</f>
        <v>0.3200087852283664</v>
      </c>
    </row>
    <row r="23" spans="13:16" x14ac:dyDescent="0.2">
      <c r="M23" s="10" t="str">
        <f t="shared" si="0"/>
        <v>Caring, leisure and other service occupations</v>
      </c>
      <c r="N23" s="11">
        <f>'Occ T5'!AO49</f>
        <v>0.6611248246420125</v>
      </c>
      <c r="O23" s="11">
        <f>'Occ T5'!AN49</f>
        <v>2.1454294931030375</v>
      </c>
      <c r="P23" s="11">
        <f>'Occ T5'!AM49</f>
        <v>4.1162033139732515</v>
      </c>
    </row>
    <row r="24" spans="13:16" x14ac:dyDescent="0.2">
      <c r="M24" s="10" t="str">
        <f t="shared" si="0"/>
        <v>Sales and customer service occupations</v>
      </c>
      <c r="N24" s="11">
        <f>'Occ T5'!AO50</f>
        <v>-0.61652188403340857</v>
      </c>
      <c r="O24" s="11">
        <f>'Occ T5'!AN50</f>
        <v>-0.21138736971946059</v>
      </c>
      <c r="P24" s="11">
        <f>'Occ T5'!AM50</f>
        <v>-0.76476043219504319</v>
      </c>
    </row>
    <row r="25" spans="13:16" x14ac:dyDescent="0.2">
      <c r="M25" s="10" t="str">
        <f t="shared" si="0"/>
        <v>Process, plant and machine operatives</v>
      </c>
      <c r="N25" s="11">
        <f>'Occ T5'!AO51</f>
        <v>0.2411405765973369</v>
      </c>
      <c r="O25" s="11">
        <f>'Occ T5'!AN51</f>
        <v>0.8302214381259303</v>
      </c>
      <c r="P25" s="11">
        <f>'Occ T5'!AM51</f>
        <v>0.13388280359135596</v>
      </c>
    </row>
    <row r="26" spans="13:16" x14ac:dyDescent="0.2">
      <c r="M26" s="10" t="str">
        <f t="shared" si="0"/>
        <v>Elementary occupations</v>
      </c>
      <c r="N26" s="11">
        <f>'Occ T5'!AO52</f>
        <v>1.3276382001503757</v>
      </c>
      <c r="O26" s="11">
        <f>'Occ T5'!AN52</f>
        <v>-7.0536370431142714</v>
      </c>
      <c r="P26" s="11">
        <f>'Occ T5'!AM52</f>
        <v>4.7550031532083707</v>
      </c>
    </row>
    <row r="27" spans="13:16" x14ac:dyDescent="0.2">
      <c r="M27" s="10"/>
      <c r="N27" s="11"/>
      <c r="O27" s="11"/>
      <c r="P27" s="11"/>
    </row>
    <row r="28" spans="13:16" x14ac:dyDescent="0.2">
      <c r="M28" s="10" t="str">
        <f t="shared" si="0"/>
        <v>All occupations</v>
      </c>
      <c r="N28" s="11">
        <f>'Occ T5'!AO54</f>
        <v>2.3620000005071375</v>
      </c>
      <c r="O28" s="11">
        <f>'Occ T5'!AN54</f>
        <v>4.9839999992886419</v>
      </c>
      <c r="P28" s="11">
        <f>'Occ T5'!AM54</f>
        <v>36.634999999745389</v>
      </c>
    </row>
    <row r="31" spans="13:16" x14ac:dyDescent="0.2">
      <c r="M31" s="82" t="s">
        <v>18</v>
      </c>
      <c r="N31" t="str">
        <f>N1</f>
        <v>2020-2035</v>
      </c>
    </row>
    <row r="32" spans="13:16" x14ac:dyDescent="0.2">
      <c r="M32" s="1" t="s">
        <v>98</v>
      </c>
      <c r="N32" s="82" t="s">
        <v>338</v>
      </c>
      <c r="O32" s="82" t="s">
        <v>432</v>
      </c>
      <c r="P32" s="82" t="s">
        <v>433</v>
      </c>
    </row>
    <row r="33" spans="1:16" x14ac:dyDescent="0.2">
      <c r="M33" s="10" t="str">
        <f>M3</f>
        <v>Managers, directors and senior officials</v>
      </c>
      <c r="N33" s="11">
        <f>'Occ T5'!Y44</f>
        <v>1.8627069565782488</v>
      </c>
      <c r="O33" s="11">
        <f>'Occ T5'!X44</f>
        <v>1.8003579024891119</v>
      </c>
      <c r="P33" s="11">
        <f>'Occ T5'!W44</f>
        <v>3.5806573067492522</v>
      </c>
    </row>
    <row r="34" spans="1:16" x14ac:dyDescent="0.2">
      <c r="M34" s="10" t="str">
        <f t="shared" ref="M34:M43" si="1">M4</f>
        <v>Professional occupations</v>
      </c>
      <c r="N34" s="11">
        <f>'Occ T5'!Y45</f>
        <v>-1.095332728492191</v>
      </c>
      <c r="O34" s="11">
        <f>'Occ T5'!X45</f>
        <v>2.8481542900707524</v>
      </c>
      <c r="P34" s="11">
        <f>'Occ T5'!W45</f>
        <v>15.465379868892882</v>
      </c>
    </row>
    <row r="35" spans="1:16" x14ac:dyDescent="0.2">
      <c r="M35" s="10" t="str">
        <f t="shared" si="1"/>
        <v>Associate professional occupations</v>
      </c>
      <c r="N35" s="11">
        <f>'Occ T5'!Y46</f>
        <v>-5.1830647121391848E-2</v>
      </c>
      <c r="O35" s="11">
        <f>'Occ T5'!X46</f>
        <v>-0.52701270772098763</v>
      </c>
      <c r="P35" s="11">
        <f>'Occ T5'!W46</f>
        <v>-3.6017561999032139</v>
      </c>
    </row>
    <row r="36" spans="1:16" x14ac:dyDescent="0.2">
      <c r="M36" s="10" t="str">
        <f t="shared" si="1"/>
        <v>Administrative and secretarial occupations</v>
      </c>
      <c r="N36" s="11">
        <f>'Occ T5'!Y47</f>
        <v>0.6199499169380529</v>
      </c>
      <c r="O36" s="11">
        <f>'Occ T5'!X47</f>
        <v>1.1909669724519567E-2</v>
      </c>
      <c r="P36" s="11">
        <f>'Occ T5'!W47</f>
        <v>1.9695731873120828</v>
      </c>
    </row>
    <row r="37" spans="1:16" x14ac:dyDescent="0.2">
      <c r="M37" s="10" t="str">
        <f t="shared" si="1"/>
        <v>Skilled trades occupations</v>
      </c>
      <c r="N37" s="11">
        <f>'Occ T5'!Y48</f>
        <v>-0.3012976668810623</v>
      </c>
      <c r="O37" s="11">
        <f>'Occ T5'!X48</f>
        <v>0.69055169428916052</v>
      </c>
      <c r="P37" s="11">
        <f>'Occ T5'!W48</f>
        <v>-12.170488161262377</v>
      </c>
    </row>
    <row r="38" spans="1:16" x14ac:dyDescent="0.2">
      <c r="M38" s="10" t="str">
        <f t="shared" si="1"/>
        <v>Caring, leisure and other service occupations</v>
      </c>
      <c r="N38" s="11">
        <f>'Occ T5'!Y49</f>
        <v>0.63677935719012235</v>
      </c>
      <c r="O38" s="11">
        <f>'Occ T5'!X49</f>
        <v>1.4012962695930522</v>
      </c>
      <c r="P38" s="11">
        <f>'Occ T5'!W49</f>
        <v>2.3802881437869114</v>
      </c>
    </row>
    <row r="39" spans="1:16" x14ac:dyDescent="0.2">
      <c r="M39" s="10" t="str">
        <f t="shared" si="1"/>
        <v>Sales and customer service occupations</v>
      </c>
      <c r="N39" s="11">
        <f>'Occ T5'!Y50</f>
        <v>-0.35856307976679158</v>
      </c>
      <c r="O39" s="11">
        <f>'Occ T5'!X50</f>
        <v>1.4861328194849754</v>
      </c>
      <c r="P39" s="11">
        <f>'Occ T5'!W50</f>
        <v>3.193378973203945</v>
      </c>
    </row>
    <row r="40" spans="1:16" ht="15.75" x14ac:dyDescent="0.25">
      <c r="A40" s="79" t="str">
        <f>CONCATENATE("Occupation Figure 5.1 Females:  Occupational Change by Status (000s) (SOC 2020), ",N1,", ",Info!B5)</f>
        <v>Occupation Figure 5.1 Females:  Occupational Change by Status (000s) (SOC 2020), 2020-2035, North East</v>
      </c>
      <c r="M40" s="10" t="str">
        <f t="shared" si="1"/>
        <v>Process, plant and machine operatives</v>
      </c>
      <c r="N40" s="11">
        <f>'Occ T5'!Y51</f>
        <v>1.3904707309656956</v>
      </c>
      <c r="O40" s="11">
        <f>'Occ T5'!X51</f>
        <v>1.5951994057950785</v>
      </c>
      <c r="P40" s="11">
        <f>'Occ T5'!W51</f>
        <v>-2.3555259983236496</v>
      </c>
    </row>
    <row r="41" spans="1:16" x14ac:dyDescent="0.2">
      <c r="M41" s="10" t="str">
        <f t="shared" si="1"/>
        <v>Elementary occupations</v>
      </c>
      <c r="N41" s="11">
        <f>'Occ T5'!Y52</f>
        <v>1.4251171604387789</v>
      </c>
      <c r="O41" s="11">
        <f>'Occ T5'!X52</f>
        <v>-0.43358934390531445</v>
      </c>
      <c r="P41" s="11">
        <f>'Occ T5'!W52</f>
        <v>-3.7855071197435493</v>
      </c>
    </row>
    <row r="42" spans="1:16" x14ac:dyDescent="0.2">
      <c r="M42" s="10"/>
      <c r="N42" s="11"/>
      <c r="O42" s="11"/>
      <c r="P42" s="11"/>
    </row>
    <row r="43" spans="1:16" x14ac:dyDescent="0.2">
      <c r="M43" s="10" t="str">
        <f t="shared" si="1"/>
        <v>All occupations</v>
      </c>
      <c r="N43" s="11">
        <f>'Occ T5'!Y54</f>
        <v>4.1279999998494787</v>
      </c>
      <c r="O43" s="11">
        <f>'Occ T5'!X54</f>
        <v>8.8729999998203368</v>
      </c>
      <c r="P43" s="11">
        <f>'Occ T5'!W54</f>
        <v>4.6760000007121221</v>
      </c>
    </row>
    <row r="79" spans="1:1" ht="15.75" x14ac:dyDescent="0.25">
      <c r="A79" s="79" t="str">
        <f>CONCATENATE("Occupation Figure 5.2 Males:  Occupational Change by Status (000s) (SOC 2020), ",N1,", ",Info!B5)</f>
        <v>Occupation Figure 5.2 Males:  Occupational Change by Status (000s) (SOC 2020), 2020-2035, North East</v>
      </c>
    </row>
  </sheetData>
  <pageMargins left="0.7" right="0.7" top="0.75" bottom="0.75" header="0.3" footer="0.3"/>
  <pageSetup paperSize="9" scale="76" orientation="portrait" r:id="rId1"/>
  <rowBreaks count="1" manualBreakCount="1">
    <brk id="39" max="9" man="1"/>
  </rowBreaks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32"/>
  <dimension ref="A1:G57"/>
  <sheetViews>
    <sheetView showGridLines="0" zoomScale="85" zoomScaleNormal="85" workbookViewId="0"/>
  </sheetViews>
  <sheetFormatPr defaultRowHeight="12.75" x14ac:dyDescent="0.2"/>
  <cols>
    <col min="1" max="1" width="36.7109375" customWidth="1"/>
    <col min="2" max="6" width="11.7109375" customWidth="1"/>
  </cols>
  <sheetData>
    <row r="1" spans="1:7" ht="15.75" x14ac:dyDescent="0.25">
      <c r="A1" s="18" t="str">
        <f>CONCATENATE("Qualification Table 1  Employment by Qualification, ",B$3,"-",F$3,", ",Info!B5)</f>
        <v>Qualification Table 1  Employment by Qualification, 2015-2035, North East</v>
      </c>
    </row>
    <row r="2" spans="1:7" x14ac:dyDescent="0.2">
      <c r="A2" s="1" t="s">
        <v>539</v>
      </c>
    </row>
    <row r="3" spans="1:7" x14ac:dyDescent="0.2">
      <c r="A3" s="21"/>
      <c r="B3" s="22">
        <f>'Occ T3'!B5</f>
        <v>2015</v>
      </c>
      <c r="C3" s="22">
        <f>'Occ T3'!C5</f>
        <v>2019</v>
      </c>
      <c r="D3" s="22">
        <f>'Occ T3'!D5</f>
        <v>2020</v>
      </c>
      <c r="E3" s="22">
        <f>'Occ T3'!E5</f>
        <v>2025</v>
      </c>
      <c r="F3" s="22">
        <f>'Occ T3'!F5</f>
        <v>2035</v>
      </c>
      <c r="G3" s="10"/>
    </row>
    <row r="4" spans="1:7" x14ac:dyDescent="0.2">
      <c r="A4" s="1" t="s">
        <v>13</v>
      </c>
      <c r="C4" s="10"/>
      <c r="D4" s="10"/>
      <c r="E4" s="10"/>
      <c r="F4" s="10"/>
    </row>
    <row r="5" spans="1:7" x14ac:dyDescent="0.2">
      <c r="A5" t="str">
        <f>name!F4</f>
        <v>RQF8 Doctorate</v>
      </c>
      <c r="B5" s="11">
        <f>HLOOKUP(B$3,'Qual F1'!$M$4:$BZ$14,11,FALSE)</f>
        <v>13.866152711380108</v>
      </c>
      <c r="C5" s="11">
        <f>HLOOKUP(C$3,'Qual F1'!$M$4:$BZ$14,11,FALSE)</f>
        <v>17.848150909748469</v>
      </c>
      <c r="D5" s="11">
        <f>HLOOKUP(D$3,'Qual F1'!$M$4:$BZ$14,11,FALSE)</f>
        <v>15.986184730114939</v>
      </c>
      <c r="E5" s="11">
        <f>HLOOKUP(E$3,'Qual F1'!$M$4:$BZ$14,11,FALSE)</f>
        <v>19.77930964620203</v>
      </c>
      <c r="F5" s="11">
        <f>HLOOKUP(F$3,'Qual F1'!$M$4:$BZ$14,11,FALSE)</f>
        <v>24.851070362877337</v>
      </c>
      <c r="G5" s="11"/>
    </row>
    <row r="6" spans="1:7" x14ac:dyDescent="0.2">
      <c r="A6" t="str">
        <f>name!F5</f>
        <v>RQF7 Other higher degree</v>
      </c>
      <c r="B6" s="11">
        <f>HLOOKUP(B$3,'Qual F1'!$M$4:$BZ$14,10,FALSE)</f>
        <v>87.509531338397863</v>
      </c>
      <c r="C6" s="11">
        <f>HLOOKUP(C$3,'Qual F1'!$M$4:$BZ$14,10,FALSE)</f>
        <v>115.88175185043464</v>
      </c>
      <c r="D6" s="11">
        <f>HLOOKUP(D$3,'Qual F1'!$M$4:$BZ$14,10,FALSE)</f>
        <v>102.55492005222335</v>
      </c>
      <c r="E6" s="11">
        <f>HLOOKUP(E$3,'Qual F1'!$M$4:$BZ$14,10,FALSE)</f>
        <v>122.95921358435329</v>
      </c>
      <c r="F6" s="11">
        <f>HLOOKUP(F$3,'Qual F1'!$M$4:$BZ$14,10,FALSE)</f>
        <v>150.57249059029547</v>
      </c>
      <c r="G6" s="11"/>
    </row>
    <row r="7" spans="1:7" x14ac:dyDescent="0.2">
      <c r="A7" t="str">
        <f>name!F6</f>
        <v>RQF6 First degree</v>
      </c>
      <c r="B7" s="11">
        <f>HLOOKUP(B$3,'Qual F1'!$M$4:$BZ$14,9,FALSE)</f>
        <v>199.31135081178232</v>
      </c>
      <c r="C7" s="11">
        <f>HLOOKUP(C$3,'Qual F1'!$M$4:$BZ$14,9,FALSE)</f>
        <v>193.38439549764706</v>
      </c>
      <c r="D7" s="11">
        <f>HLOOKUP(D$3,'Qual F1'!$M$4:$BZ$14,9,FALSE)</f>
        <v>214.38336635414242</v>
      </c>
      <c r="E7" s="11">
        <f>HLOOKUP(E$3,'Qual F1'!$M$4:$BZ$14,9,FALSE)</f>
        <v>241.18300428264601</v>
      </c>
      <c r="F7" s="11">
        <f>HLOOKUP(F$3,'Qual F1'!$M$4:$BZ$14,9,FALSE)</f>
        <v>299.99815240348295</v>
      </c>
      <c r="G7" s="11"/>
    </row>
    <row r="8" spans="1:7" x14ac:dyDescent="0.2">
      <c r="A8" t="str">
        <f>name!F7</f>
        <v>RQF5 Foundation degree;Nursing;Teaching</v>
      </c>
      <c r="B8" s="11">
        <f>HLOOKUP(B$3,'Qual F1'!$M$4:$BZ$14,8,FALSE)</f>
        <v>69.125685102589387</v>
      </c>
      <c r="C8" s="11">
        <f>HLOOKUP(C$3,'Qual F1'!$M$4:$BZ$14,8,FALSE)</f>
        <v>59.690037229754893</v>
      </c>
      <c r="D8" s="11">
        <f>HLOOKUP(D$3,'Qual F1'!$M$4:$BZ$14,8,FALSE)</f>
        <v>65.89816032744173</v>
      </c>
      <c r="E8" s="11">
        <f>HLOOKUP(E$3,'Qual F1'!$M$4:$BZ$14,8,FALSE)</f>
        <v>64.189140787253606</v>
      </c>
      <c r="F8" s="11">
        <f>HLOOKUP(F$3,'Qual F1'!$M$4:$BZ$14,8,FALSE)</f>
        <v>70.588657027486377</v>
      </c>
      <c r="G8" s="11"/>
    </row>
    <row r="9" spans="1:7" x14ac:dyDescent="0.2">
      <c r="A9" t="str">
        <f>name!F8</f>
        <v>RQF4 HE below degree level</v>
      </c>
      <c r="B9" s="11">
        <f>HLOOKUP(B$3,'Qual F1'!$M$4:$BZ$14,7,FALSE)</f>
        <v>55.53036217836766</v>
      </c>
      <c r="C9" s="11">
        <f>HLOOKUP(C$3,'Qual F1'!$M$4:$BZ$14,7,FALSE)</f>
        <v>51.638506550088401</v>
      </c>
      <c r="D9" s="11">
        <f>HLOOKUP(D$3,'Qual F1'!$M$4:$BZ$14,7,FALSE)</f>
        <v>55.339524648922172</v>
      </c>
      <c r="E9" s="11">
        <f>HLOOKUP(E$3,'Qual F1'!$M$4:$BZ$14,7,FALSE)</f>
        <v>59.005279782501681</v>
      </c>
      <c r="F9" s="11">
        <f>HLOOKUP(F$3,'Qual F1'!$M$4:$BZ$14,7,FALSE)</f>
        <v>68.860847045772445</v>
      </c>
      <c r="G9" s="11"/>
    </row>
    <row r="10" spans="1:7" x14ac:dyDescent="0.2">
      <c r="A10" t="str">
        <f>name!F9</f>
        <v>RQF3 A level &amp; equivalent</v>
      </c>
      <c r="B10" s="11">
        <f>HLOOKUP(B$3,'Qual F1'!$M$4:$BZ$14,6,FALSE)</f>
        <v>272.73140733839097</v>
      </c>
      <c r="C10" s="11">
        <f>HLOOKUP(C$3,'Qual F1'!$M$4:$BZ$14,6,FALSE)</f>
        <v>263.55000163439666</v>
      </c>
      <c r="D10" s="11">
        <f>HLOOKUP(D$3,'Qual F1'!$M$4:$BZ$14,6,FALSE)</f>
        <v>294.47764990672675</v>
      </c>
      <c r="E10" s="11">
        <f>HLOOKUP(E$3,'Qual F1'!$M$4:$BZ$14,6,FALSE)</f>
        <v>285.59868526465709</v>
      </c>
      <c r="F10" s="11">
        <f>HLOOKUP(F$3,'Qual F1'!$M$4:$BZ$14,6,FALSE)</f>
        <v>300.53256546660759</v>
      </c>
      <c r="G10" s="11"/>
    </row>
    <row r="11" spans="1:7" x14ac:dyDescent="0.2">
      <c r="A11" t="str">
        <f>name!F10</f>
        <v>RQF2 GCSE(A-C) &amp; equivalent</v>
      </c>
      <c r="B11" s="11">
        <f>HLOOKUP(B$3,'Qual F1'!$M$4:$BZ$14,5,FALSE)</f>
        <v>281.87826629551103</v>
      </c>
      <c r="C11" s="11">
        <f>HLOOKUP(C$3,'Qual F1'!$M$4:$BZ$14,5,FALSE)</f>
        <v>268.05270595126547</v>
      </c>
      <c r="D11" s="11">
        <f>HLOOKUP(D$3,'Qual F1'!$M$4:$BZ$14,5,FALSE)</f>
        <v>266.18535482350961</v>
      </c>
      <c r="E11" s="11">
        <f>HLOOKUP(E$3,'Qual F1'!$M$4:$BZ$14,5,FALSE)</f>
        <v>256.26093408743191</v>
      </c>
      <c r="F11" s="11">
        <f>HLOOKUP(F$3,'Qual F1'!$M$4:$BZ$14,5,FALSE)</f>
        <v>231.5945941862183</v>
      </c>
      <c r="G11" s="11"/>
    </row>
    <row r="12" spans="1:7" x14ac:dyDescent="0.2">
      <c r="A12" t="str">
        <f>name!F11</f>
        <v>RQF1 GCSE(below grade C) &amp; equivalent</v>
      </c>
      <c r="B12" s="11">
        <f>HLOOKUP(B$3,'Qual F1'!$M$4:$BZ$14,4,FALSE)</f>
        <v>152.67228098628755</v>
      </c>
      <c r="C12" s="11">
        <f>HLOOKUP(C$3,'Qual F1'!$M$4:$BZ$14,4,FALSE)</f>
        <v>162.87965285309826</v>
      </c>
      <c r="D12" s="11">
        <f>HLOOKUP(D$3,'Qual F1'!$M$4:$BZ$14,4,FALSE)</f>
        <v>127.62991797346693</v>
      </c>
      <c r="E12" s="11">
        <f>HLOOKUP(E$3,'Qual F1'!$M$4:$BZ$14,4,FALSE)</f>
        <v>120.10889772921981</v>
      </c>
      <c r="F12" s="11">
        <f>HLOOKUP(F$3,'Qual F1'!$M$4:$BZ$14,4,FALSE)</f>
        <v>75.233033924037997</v>
      </c>
      <c r="G12" s="11"/>
    </row>
    <row r="13" spans="1:7" x14ac:dyDescent="0.2">
      <c r="A13" t="str">
        <f>name!F12</f>
        <v>No Qualification</v>
      </c>
      <c r="B13" s="11">
        <f>HLOOKUP(B$3,'Qual F1'!$M$4:$BZ$14,3,FALSE)</f>
        <v>75.077963238946651</v>
      </c>
      <c r="C13" s="11">
        <f>HLOOKUP(C$3,'Qual F1'!$M$4:$BZ$14,3,FALSE)</f>
        <v>61.942797524342076</v>
      </c>
      <c r="D13" s="11">
        <f>HLOOKUP(D$3,'Qual F1'!$M$4:$BZ$14,3,FALSE)</f>
        <v>46.883921183741947</v>
      </c>
      <c r="E13" s="11">
        <f>HLOOKUP(E$3,'Qual F1'!$M$4:$BZ$14,3,FALSE)</f>
        <v>39.691534836167484</v>
      </c>
      <c r="F13" s="11">
        <f>HLOOKUP(F$3,'Qual F1'!$M$4:$BZ$14,3,FALSE)</f>
        <v>28.765588993435909</v>
      </c>
      <c r="G13" s="11"/>
    </row>
    <row r="14" spans="1:7" x14ac:dyDescent="0.2">
      <c r="B14" s="11"/>
      <c r="C14" s="11"/>
      <c r="D14" s="11"/>
      <c r="E14" s="11"/>
      <c r="F14" s="11"/>
      <c r="G14" s="11"/>
    </row>
    <row r="15" spans="1:7" x14ac:dyDescent="0.2">
      <c r="A15" t="str">
        <f>name!F3</f>
        <v>All qualifications</v>
      </c>
      <c r="B15" s="11">
        <f>SUM(B5:B13)</f>
        <v>1207.7030000016537</v>
      </c>
      <c r="C15" s="11">
        <f t="shared" ref="C15:F15" si="0">SUM(C5:C13)</f>
        <v>1194.8680000007757</v>
      </c>
      <c r="D15" s="11">
        <f t="shared" si="0"/>
        <v>1189.3390000002898</v>
      </c>
      <c r="E15" s="11">
        <f t="shared" si="0"/>
        <v>1208.7760000004328</v>
      </c>
      <c r="F15" s="11">
        <f t="shared" si="0"/>
        <v>1250.9970000002143</v>
      </c>
      <c r="G15" s="11"/>
    </row>
    <row r="16" spans="1:7" x14ac:dyDescent="0.2">
      <c r="B16" s="11"/>
      <c r="C16" s="11"/>
      <c r="D16" s="11"/>
      <c r="E16" s="11"/>
      <c r="F16" s="11"/>
      <c r="G16" s="11"/>
    </row>
    <row r="17" spans="1:7" x14ac:dyDescent="0.2">
      <c r="B17" s="11"/>
      <c r="C17" s="11"/>
      <c r="D17" s="11"/>
      <c r="E17" s="11"/>
      <c r="F17" s="11"/>
      <c r="G17" s="11"/>
    </row>
    <row r="18" spans="1:7" x14ac:dyDescent="0.2">
      <c r="A18" s="1" t="s">
        <v>463</v>
      </c>
      <c r="B18" s="16">
        <f>B$3</f>
        <v>2015</v>
      </c>
      <c r="C18" s="16">
        <f>C$3</f>
        <v>2019</v>
      </c>
      <c r="D18" s="16">
        <f>D$3</f>
        <v>2020</v>
      </c>
      <c r="E18" s="16">
        <f>E$3</f>
        <v>2025</v>
      </c>
      <c r="F18" s="16">
        <f>F$3</f>
        <v>2035</v>
      </c>
      <c r="G18" s="11"/>
    </row>
    <row r="19" spans="1:7" x14ac:dyDescent="0.2">
      <c r="A19" t="str">
        <f>$A5</f>
        <v>RQF8 Doctorate</v>
      </c>
      <c r="B19" s="17">
        <f t="shared" ref="B19:F21" si="1">B5/B$15*100</f>
        <v>1.1481426071940801</v>
      </c>
      <c r="C19" s="17">
        <f t="shared" si="1"/>
        <v>1.4937341120305239</v>
      </c>
      <c r="D19" s="17">
        <f t="shared" si="1"/>
        <v>1.3441234778402997</v>
      </c>
      <c r="E19" s="17">
        <f>E5/E$15*100</f>
        <v>1.6363089311994075</v>
      </c>
      <c r="F19" s="17">
        <f t="shared" si="1"/>
        <v>1.9865011956761751</v>
      </c>
      <c r="G19" s="11"/>
    </row>
    <row r="20" spans="1:7" x14ac:dyDescent="0.2">
      <c r="A20" t="str">
        <f>$A6</f>
        <v>RQF7 Other higher degree</v>
      </c>
      <c r="B20" s="17">
        <f t="shared" si="1"/>
        <v>7.2459479970057235</v>
      </c>
      <c r="C20" s="17">
        <f t="shared" si="1"/>
        <v>9.6982890035015927</v>
      </c>
      <c r="D20" s="17">
        <f t="shared" si="1"/>
        <v>8.6228501757865814</v>
      </c>
      <c r="E20" s="17">
        <f t="shared" si="1"/>
        <v>10.172208381396493</v>
      </c>
      <c r="F20" s="17">
        <f t="shared" si="1"/>
        <v>12.036199174759785</v>
      </c>
      <c r="G20" s="11"/>
    </row>
    <row r="21" spans="1:7" x14ac:dyDescent="0.2">
      <c r="A21" t="str">
        <f>$A7</f>
        <v>RQF6 First degree</v>
      </c>
      <c r="B21" s="17">
        <f t="shared" si="1"/>
        <v>16.503341534426045</v>
      </c>
      <c r="C21" s="17">
        <f t="shared" si="1"/>
        <v>16.184582355333102</v>
      </c>
      <c r="D21" s="17">
        <f t="shared" si="1"/>
        <v>18.025421377259988</v>
      </c>
      <c r="E21" s="17">
        <f t="shared" si="1"/>
        <v>19.952663213247092</v>
      </c>
      <c r="F21" s="17">
        <f t="shared" si="1"/>
        <v>23.98072516588222</v>
      </c>
      <c r="G21" s="11"/>
    </row>
    <row r="22" spans="1:7" x14ac:dyDescent="0.2">
      <c r="A22" t="str">
        <f t="shared" ref="A22:A27" si="2">$A8</f>
        <v>RQF5 Foundation degree;Nursing;Teaching</v>
      </c>
      <c r="B22" s="17">
        <f t="shared" ref="B22:F22" si="3">B8/B$15*100</f>
        <v>5.7237321678007529</v>
      </c>
      <c r="C22" s="17">
        <f t="shared" si="3"/>
        <v>4.9955340028953943</v>
      </c>
      <c r="D22" s="17">
        <f t="shared" si="3"/>
        <v>5.5407382022640874</v>
      </c>
      <c r="E22" s="17">
        <f t="shared" si="3"/>
        <v>5.3102593687524093</v>
      </c>
      <c r="F22" s="17">
        <f t="shared" si="3"/>
        <v>5.6425920307941819</v>
      </c>
      <c r="G22" s="11"/>
    </row>
    <row r="23" spans="1:7" x14ac:dyDescent="0.2">
      <c r="A23" t="str">
        <f t="shared" si="2"/>
        <v>RQF4 HE below degree level</v>
      </c>
      <c r="B23" s="17">
        <f t="shared" ref="B23:F23" si="4">B9/B$15*100</f>
        <v>4.598014758453993</v>
      </c>
      <c r="C23" s="17">
        <f t="shared" si="4"/>
        <v>4.3216913123503922</v>
      </c>
      <c r="D23" s="17">
        <f t="shared" si="4"/>
        <v>4.6529647685738622</v>
      </c>
      <c r="E23" s="17">
        <f t="shared" si="4"/>
        <v>4.8814072898932936</v>
      </c>
      <c r="F23" s="17">
        <f t="shared" si="4"/>
        <v>5.5044773924925998</v>
      </c>
      <c r="G23" s="11"/>
    </row>
    <row r="24" spans="1:7" x14ac:dyDescent="0.2">
      <c r="A24" t="str">
        <f t="shared" si="2"/>
        <v>RQF3 A level &amp; equivalent</v>
      </c>
      <c r="B24" s="17">
        <f t="shared" ref="B24:F24" si="5">B10/B$15*100</f>
        <v>22.582655449064674</v>
      </c>
      <c r="C24" s="17">
        <f t="shared" si="5"/>
        <v>22.056829845156585</v>
      </c>
      <c r="D24" s="17">
        <f t="shared" si="5"/>
        <v>24.759774118788251</v>
      </c>
      <c r="E24" s="17">
        <f t="shared" si="5"/>
        <v>23.627097598277501</v>
      </c>
      <c r="F24" s="17">
        <f t="shared" si="5"/>
        <v>24.0234441382798</v>
      </c>
      <c r="G24" s="11"/>
    </row>
    <row r="25" spans="1:7" x14ac:dyDescent="0.2">
      <c r="A25" t="str">
        <f t="shared" si="2"/>
        <v>RQF2 GCSE(A-C) &amp; equivalent</v>
      </c>
      <c r="B25" s="17">
        <f t="shared" ref="B25:F25" si="6">B11/B$15*100</f>
        <v>23.340031969376994</v>
      </c>
      <c r="C25" s="17">
        <f t="shared" si="6"/>
        <v>22.433666810985937</v>
      </c>
      <c r="D25" s="17">
        <f t="shared" si="6"/>
        <v>22.380948982875761</v>
      </c>
      <c r="E25" s="17">
        <f t="shared" si="6"/>
        <v>21.200034918573841</v>
      </c>
      <c r="F25" s="17">
        <f t="shared" si="6"/>
        <v>18.51280172423904</v>
      </c>
      <c r="G25" s="11"/>
    </row>
    <row r="26" spans="1:7" x14ac:dyDescent="0.2">
      <c r="A26" t="str">
        <f t="shared" si="2"/>
        <v>RQF1 GCSE(below grade C) &amp; equivalent</v>
      </c>
      <c r="B26" s="17">
        <f t="shared" ref="B26:F26" si="7">B12/B$15*100</f>
        <v>12.641541917679969</v>
      </c>
      <c r="C26" s="17">
        <f>C12/C$15*100</f>
        <v>13.631602223257508</v>
      </c>
      <c r="D26" s="17">
        <f t="shared" si="7"/>
        <v>10.731163946817167</v>
      </c>
      <c r="E26" s="17">
        <f t="shared" si="7"/>
        <v>9.9364065574744043</v>
      </c>
      <c r="F26" s="17">
        <f t="shared" si="7"/>
        <v>6.0138460702963403</v>
      </c>
      <c r="G26" s="11"/>
    </row>
    <row r="27" spans="1:7" x14ac:dyDescent="0.2">
      <c r="A27" t="str">
        <f t="shared" si="2"/>
        <v>No Qualification</v>
      </c>
      <c r="B27" s="17">
        <f t="shared" ref="B27:F27" si="8">B13/B$15*100</f>
        <v>6.2165915989977547</v>
      </c>
      <c r="C27" s="17">
        <f>C13/C$15*100</f>
        <v>5.184070334488986</v>
      </c>
      <c r="D27" s="17">
        <f t="shared" si="8"/>
        <v>3.9420149497940051</v>
      </c>
      <c r="E27" s="17">
        <f t="shared" si="8"/>
        <v>3.2836137411855688</v>
      </c>
      <c r="F27" s="17">
        <f t="shared" si="8"/>
        <v>2.2994131075798729</v>
      </c>
      <c r="G27" s="11"/>
    </row>
    <row r="28" spans="1:7" x14ac:dyDescent="0.2">
      <c r="B28" s="17"/>
      <c r="C28" s="17"/>
      <c r="D28" s="17"/>
      <c r="E28" s="17"/>
      <c r="F28" s="17"/>
      <c r="G28" s="11"/>
    </row>
    <row r="29" spans="1:7" x14ac:dyDescent="0.2">
      <c r="A29" t="str">
        <f>$A15</f>
        <v>All qualifications</v>
      </c>
      <c r="B29" s="17">
        <f>B15/B$15*100</f>
        <v>100</v>
      </c>
      <c r="C29" s="17">
        <f>C15/C$15*100</f>
        <v>100</v>
      </c>
      <c r="D29" s="17">
        <f>D15/D$15*100</f>
        <v>100</v>
      </c>
      <c r="E29" s="17">
        <f>E15/E$15*100</f>
        <v>100</v>
      </c>
      <c r="F29" s="17">
        <f>F15/F$15*100</f>
        <v>100</v>
      </c>
      <c r="G29" s="11"/>
    </row>
    <row r="30" spans="1:7" x14ac:dyDescent="0.2">
      <c r="B30" s="17"/>
      <c r="C30" s="17"/>
      <c r="D30" s="17"/>
      <c r="E30" s="17"/>
      <c r="F30" s="17"/>
      <c r="G30" s="11"/>
    </row>
    <row r="32" spans="1:7" x14ac:dyDescent="0.2">
      <c r="A32" s="1" t="s">
        <v>14</v>
      </c>
      <c r="B32" s="19" t="str">
        <f>CONCATENATE(B$3,"-",C$3)</f>
        <v>2015-2019</v>
      </c>
      <c r="C32" s="19" t="str">
        <f>CONCATENATE(C$3,"-",D$3)</f>
        <v>2019-2020</v>
      </c>
      <c r="D32" s="19" t="str">
        <f>CONCATENATE(D$3,"-",E$3)</f>
        <v>2020-2025</v>
      </c>
      <c r="E32" s="19" t="str">
        <f>CONCATENATE(E$3,"-",F$3)</f>
        <v>2025-2035</v>
      </c>
      <c r="F32" s="19" t="str">
        <f>CONCATENATE(D$3,"-",F$3)</f>
        <v>2020-2035</v>
      </c>
    </row>
    <row r="33" spans="1:6" x14ac:dyDescent="0.2">
      <c r="A33" t="str">
        <f>$A19</f>
        <v>RQF8 Doctorate</v>
      </c>
      <c r="B33" s="17">
        <f>IF(C$3-B$3 &lt;&gt; 0,(EXP(LN(C5/B5)/(C$3-B$3))-1)*100,0)</f>
        <v>6.5146421443963654</v>
      </c>
      <c r="C33" s="17">
        <f t="shared" ref="B33:E35" si="9">IF(D$3-C$3 &lt;&gt; 0,(EXP(LN(D5/C5)/(D$3-C$3))-1)*100,0)</f>
        <v>-10.432263762497351</v>
      </c>
      <c r="D33" s="17">
        <f t="shared" si="9"/>
        <v>4.3501939121530775</v>
      </c>
      <c r="E33" s="17">
        <f t="shared" si="9"/>
        <v>2.3088956878043465</v>
      </c>
      <c r="F33" s="17">
        <f>IF(F$3-D$3 &lt;&gt; 0,(EXP(LN(F5/D5)/(F$3-D$3))-1)*100,0)</f>
        <v>2.9848525335639753</v>
      </c>
    </row>
    <row r="34" spans="1:6" x14ac:dyDescent="0.2">
      <c r="A34" t="str">
        <f>$A20</f>
        <v>RQF7 Other higher degree</v>
      </c>
      <c r="B34" s="17">
        <f t="shared" si="9"/>
        <v>7.2728758154953166</v>
      </c>
      <c r="C34" s="17">
        <f t="shared" si="9"/>
        <v>-11.500371357357331</v>
      </c>
      <c r="D34" s="17">
        <f t="shared" si="9"/>
        <v>3.6957400250578143</v>
      </c>
      <c r="E34" s="17">
        <f t="shared" si="9"/>
        <v>2.0465803321302767</v>
      </c>
      <c r="F34" s="17">
        <f t="shared" ref="F34:F43" si="10">IF(F$3-D$3 &lt;&gt; 0,(EXP(LN(F6/D6)/(F$3-D$3))-1)*100,0)</f>
        <v>2.5933652201070467</v>
      </c>
    </row>
    <row r="35" spans="1:6" x14ac:dyDescent="0.2">
      <c r="A35" t="str">
        <f>$A21</f>
        <v>RQF6 First degree</v>
      </c>
      <c r="B35" s="17">
        <f t="shared" si="9"/>
        <v>-0.75186634561128507</v>
      </c>
      <c r="C35" s="17">
        <f t="shared" si="9"/>
        <v>10.858668716499853</v>
      </c>
      <c r="D35" s="17">
        <f t="shared" si="9"/>
        <v>2.3837713413311423</v>
      </c>
      <c r="E35" s="17">
        <f t="shared" si="9"/>
        <v>2.2061873647604591</v>
      </c>
      <c r="F35" s="17">
        <f t="shared" si="10"/>
        <v>2.265347772959081</v>
      </c>
    </row>
    <row r="36" spans="1:6" x14ac:dyDescent="0.2">
      <c r="A36" t="str">
        <f t="shared" ref="A36:A41" si="11">$A22</f>
        <v>RQF5 Foundation degree;Nursing;Teaching</v>
      </c>
      <c r="B36" s="17">
        <f>IF(C$3-B$3 &lt;&gt; 0,(EXP(LN(C8/B8)/(C$3-B$3))-1)*100,0)</f>
        <v>-3.6025378767738037</v>
      </c>
      <c r="C36" s="17">
        <f t="shared" ref="C36:E36" si="12">IF(D$3-C$3 &lt;&gt; 0,(EXP(LN(D8/C8)/(D$3-C$3))-1)*100,0)</f>
        <v>10.400601818676947</v>
      </c>
      <c r="D36" s="17">
        <f t="shared" si="12"/>
        <v>-0.52415101398785025</v>
      </c>
      <c r="E36" s="17">
        <f t="shared" si="12"/>
        <v>0.95488436966790768</v>
      </c>
      <c r="F36" s="17">
        <f t="shared" si="10"/>
        <v>0.45944516936382573</v>
      </c>
    </row>
    <row r="37" spans="1:6" x14ac:dyDescent="0.2">
      <c r="A37" t="str">
        <f t="shared" si="11"/>
        <v>RQF4 HE below degree level</v>
      </c>
      <c r="B37" s="17">
        <f t="shared" ref="B37:E37" si="13">IF(C$3-B$3 &lt;&gt; 0,(EXP(LN(C9/B9)/(C$3-B$3))-1)*100,0)</f>
        <v>-1.80015735999699</v>
      </c>
      <c r="C37" s="17">
        <f t="shared" si="13"/>
        <v>7.1671671899415923</v>
      </c>
      <c r="D37" s="17">
        <f t="shared" si="13"/>
        <v>1.2910539180714498</v>
      </c>
      <c r="E37" s="17">
        <f t="shared" si="13"/>
        <v>1.5565990420115083</v>
      </c>
      <c r="F37" s="17">
        <f t="shared" si="10"/>
        <v>1.4680067401972252</v>
      </c>
    </row>
    <row r="38" spans="1:6" x14ac:dyDescent="0.2">
      <c r="A38" t="str">
        <f t="shared" si="11"/>
        <v>RQF3 A level &amp; equivalent</v>
      </c>
      <c r="B38" s="17">
        <f t="shared" ref="B38:E38" si="14">IF(C$3-B$3 &lt;&gt; 0,(EXP(LN(C10/B10)/(C$3-B$3))-1)*100,0)</f>
        <v>-0.85245446222231847</v>
      </c>
      <c r="C38" s="17">
        <f t="shared" si="14"/>
        <v>11.735021089179764</v>
      </c>
      <c r="D38" s="17">
        <f t="shared" si="14"/>
        <v>-0.61043883516342934</v>
      </c>
      <c r="E38" s="17">
        <f t="shared" si="14"/>
        <v>0.51098602316728137</v>
      </c>
      <c r="F38" s="17">
        <f t="shared" si="10"/>
        <v>0.13577883268134361</v>
      </c>
    </row>
    <row r="39" spans="1:6" x14ac:dyDescent="0.2">
      <c r="A39" t="str">
        <f t="shared" si="11"/>
        <v>RQF2 GCSE(A-C) &amp; equivalent</v>
      </c>
      <c r="B39" s="17">
        <f t="shared" ref="B39:E39" si="15">IF(C$3-B$3 &lt;&gt; 0,(EXP(LN(C11/B11)/(C$3-B$3))-1)*100,0)</f>
        <v>-1.2494209266896816</v>
      </c>
      <c r="C39" s="17">
        <f t="shared" si="15"/>
        <v>-0.69663580568194439</v>
      </c>
      <c r="D39" s="17">
        <f t="shared" si="15"/>
        <v>-0.7570535957678981</v>
      </c>
      <c r="E39" s="17">
        <f t="shared" si="15"/>
        <v>-1.0069736742881252</v>
      </c>
      <c r="F39" s="17">
        <f t="shared" si="10"/>
        <v>-0.92373698928446268</v>
      </c>
    </row>
    <row r="40" spans="1:6" x14ac:dyDescent="0.2">
      <c r="A40" t="str">
        <f t="shared" si="11"/>
        <v>RQF1 GCSE(below grade C) &amp; equivalent</v>
      </c>
      <c r="B40" s="17">
        <f t="shared" ref="B40:E40" si="16">IF(C$3-B$3 &lt;&gt; 0,(EXP(LN(C12/B12)/(C$3-B$3))-1)*100,0)</f>
        <v>1.6311079666359252</v>
      </c>
      <c r="C40" s="17">
        <f t="shared" si="16"/>
        <v>-21.641582765051194</v>
      </c>
      <c r="D40" s="17">
        <f t="shared" si="16"/>
        <v>-1.2073720186462467</v>
      </c>
      <c r="E40" s="17">
        <f t="shared" si="16"/>
        <v>-4.5703481409131381</v>
      </c>
      <c r="F40" s="17">
        <f t="shared" si="10"/>
        <v>-3.462272258171406</v>
      </c>
    </row>
    <row r="41" spans="1:6" x14ac:dyDescent="0.2">
      <c r="A41" t="str">
        <f t="shared" si="11"/>
        <v>No Qualification</v>
      </c>
      <c r="B41" s="17">
        <f t="shared" ref="B41:E41" si="17">IF(C$3-B$3 &lt;&gt; 0,(EXP(LN(C13/B13)/(C$3-B$3))-1)*100,0)</f>
        <v>-4.6941446731203591</v>
      </c>
      <c r="C41" s="17">
        <f t="shared" si="17"/>
        <v>-24.310940000219304</v>
      </c>
      <c r="D41" s="17">
        <f t="shared" si="17"/>
        <v>-3.2758786674318197</v>
      </c>
      <c r="E41" s="17">
        <f t="shared" si="17"/>
        <v>-3.1683041708727377</v>
      </c>
      <c r="F41" s="17">
        <f t="shared" si="10"/>
        <v>-3.2041756233869512</v>
      </c>
    </row>
    <row r="42" spans="1:6" x14ac:dyDescent="0.2">
      <c r="B42" s="17"/>
      <c r="C42" s="17"/>
      <c r="D42" s="17"/>
      <c r="E42" s="17"/>
      <c r="F42" s="17"/>
    </row>
    <row r="43" spans="1:6" x14ac:dyDescent="0.2">
      <c r="A43" t="str">
        <f>$A29</f>
        <v>All qualifications</v>
      </c>
      <c r="B43" s="17">
        <f>IF(C$3-B$3 &lt;&gt; 0,(EXP(LN(C15/B15)/(C$3-B$3))-1)*100,0)</f>
        <v>-0.26675580585359127</v>
      </c>
      <c r="C43" s="17">
        <f t="shared" ref="C43" si="18">IF(D$3-C$3 &lt;&gt; 0,(EXP(LN(D15/C15)/(D$3-C$3))-1)*100,0)</f>
        <v>-0.46272893746274191</v>
      </c>
      <c r="D43" s="17">
        <f>IF(E$3-D$3 &lt;&gt; 0,(EXP(LN(E15/D15)/(E$3-D$3))-1)*100,0)</f>
        <v>0.32473787001081611</v>
      </c>
      <c r="E43" s="17">
        <f>IF(F$3-E$3 &lt;&gt; 0,(EXP(LN(F15/E15)/(F$3-E$3))-1)*100,0)</f>
        <v>0.34391559747728451</v>
      </c>
      <c r="F43" s="17">
        <f t="shared" si="10"/>
        <v>0.33752261436221787</v>
      </c>
    </row>
    <row r="44" spans="1:6" x14ac:dyDescent="0.2">
      <c r="B44" s="17"/>
      <c r="C44" s="17"/>
      <c r="D44" s="17"/>
      <c r="E44" s="17"/>
      <c r="F44" s="17"/>
    </row>
    <row r="46" spans="1:6" x14ac:dyDescent="0.2">
      <c r="A46" s="1" t="s">
        <v>15</v>
      </c>
      <c r="B46" s="19" t="str">
        <f>CONCATENATE(B$3,"-",C$3)</f>
        <v>2015-2019</v>
      </c>
      <c r="C46" s="19" t="str">
        <f>CONCATENATE(C$3,"-",D$3)</f>
        <v>2019-2020</v>
      </c>
      <c r="D46" s="19" t="str">
        <f>CONCATENATE(D$3,"-",E$3)</f>
        <v>2020-2025</v>
      </c>
      <c r="E46" s="19" t="str">
        <f>CONCATENATE(E$3,"-",F$3)</f>
        <v>2025-2035</v>
      </c>
      <c r="F46" s="19" t="str">
        <f>CONCATENATE(D$3,"-",F$3)</f>
        <v>2020-2035</v>
      </c>
    </row>
    <row r="47" spans="1:6" x14ac:dyDescent="0.2">
      <c r="A47" t="str">
        <f>$A33</f>
        <v>RQF8 Doctorate</v>
      </c>
      <c r="B47" s="26">
        <f>C5-B5</f>
        <v>3.9819981983683608</v>
      </c>
      <c r="C47" s="26">
        <f>D5-C5</f>
        <v>-1.8619661796335301</v>
      </c>
      <c r="D47" s="26">
        <f>E5-D5</f>
        <v>3.7931249160870912</v>
      </c>
      <c r="E47" s="26">
        <f>F5-E5</f>
        <v>5.0717607166753069</v>
      </c>
      <c r="F47" s="26">
        <f>F5-D5</f>
        <v>8.8648856327623982</v>
      </c>
    </row>
    <row r="48" spans="1:6" x14ac:dyDescent="0.2">
      <c r="A48" t="str">
        <f t="shared" ref="A48:A55" si="19">$A34</f>
        <v>RQF7 Other higher degree</v>
      </c>
      <c r="B48" s="26">
        <f t="shared" ref="B48:E48" si="20">C6-B6</f>
        <v>28.372220512036776</v>
      </c>
      <c r="C48" s="26">
        <f t="shared" si="20"/>
        <v>-13.326831798211288</v>
      </c>
      <c r="D48" s="26">
        <f t="shared" si="20"/>
        <v>20.404293532129941</v>
      </c>
      <c r="E48" s="26">
        <f t="shared" si="20"/>
        <v>27.61327700594218</v>
      </c>
      <c r="F48" s="26">
        <f t="shared" ref="F48:F57" si="21">F6-D6</f>
        <v>48.017570538072121</v>
      </c>
    </row>
    <row r="49" spans="1:6" x14ac:dyDescent="0.2">
      <c r="A49" t="str">
        <f t="shared" si="19"/>
        <v>RQF6 First degree</v>
      </c>
      <c r="B49" s="26">
        <f t="shared" ref="B49:E49" si="22">C7-B7</f>
        <v>-5.926955314135256</v>
      </c>
      <c r="C49" s="26">
        <f t="shared" si="22"/>
        <v>20.998970856495362</v>
      </c>
      <c r="D49" s="26">
        <f t="shared" si="22"/>
        <v>26.799637928503586</v>
      </c>
      <c r="E49" s="26">
        <f t="shared" si="22"/>
        <v>58.815148120836938</v>
      </c>
      <c r="F49" s="26">
        <f t="shared" si="21"/>
        <v>85.614786049340523</v>
      </c>
    </row>
    <row r="50" spans="1:6" x14ac:dyDescent="0.2">
      <c r="A50" t="str">
        <f t="shared" si="19"/>
        <v>RQF5 Foundation degree;Nursing;Teaching</v>
      </c>
      <c r="B50" s="26">
        <f t="shared" ref="B50:E50" si="23">C8-B8</f>
        <v>-9.4356478728344939</v>
      </c>
      <c r="C50" s="26">
        <f t="shared" si="23"/>
        <v>6.2081230976868369</v>
      </c>
      <c r="D50" s="26">
        <f t="shared" si="23"/>
        <v>-1.7090195401881232</v>
      </c>
      <c r="E50" s="26">
        <f t="shared" si="23"/>
        <v>6.3995162402327708</v>
      </c>
      <c r="F50" s="26">
        <f t="shared" si="21"/>
        <v>4.6904967000446476</v>
      </c>
    </row>
    <row r="51" spans="1:6" x14ac:dyDescent="0.2">
      <c r="A51" t="str">
        <f t="shared" si="19"/>
        <v>RQF4 HE below degree level</v>
      </c>
      <c r="B51" s="26">
        <f t="shared" ref="B51:E51" si="24">C9-B9</f>
        <v>-3.8918556282792593</v>
      </c>
      <c r="C51" s="26">
        <f t="shared" si="24"/>
        <v>3.7010180988337709</v>
      </c>
      <c r="D51" s="26">
        <f t="shared" si="24"/>
        <v>3.6657551335795091</v>
      </c>
      <c r="E51" s="26">
        <f t="shared" si="24"/>
        <v>9.855567263270764</v>
      </c>
      <c r="F51" s="26">
        <f t="shared" si="21"/>
        <v>13.521322396850273</v>
      </c>
    </row>
    <row r="52" spans="1:6" x14ac:dyDescent="0.2">
      <c r="A52" t="str">
        <f t="shared" si="19"/>
        <v>RQF3 A level &amp; equivalent</v>
      </c>
      <c r="B52" s="26">
        <f t="shared" ref="B52:E52" si="25">C10-B10</f>
        <v>-9.1814057039943009</v>
      </c>
      <c r="C52" s="26">
        <f t="shared" si="25"/>
        <v>30.927648272330089</v>
      </c>
      <c r="D52" s="26">
        <f t="shared" si="25"/>
        <v>-8.8789646420696613</v>
      </c>
      <c r="E52" s="26">
        <f t="shared" si="25"/>
        <v>14.933880201950501</v>
      </c>
      <c r="F52" s="26">
        <f t="shared" si="21"/>
        <v>6.0549155598808397</v>
      </c>
    </row>
    <row r="53" spans="1:6" x14ac:dyDescent="0.2">
      <c r="A53" t="str">
        <f t="shared" si="19"/>
        <v>RQF2 GCSE(A-C) &amp; equivalent</v>
      </c>
      <c r="B53" s="26">
        <f t="shared" ref="B53:E53" si="26">C11-B11</f>
        <v>-13.825560344245559</v>
      </c>
      <c r="C53" s="26">
        <f>D11-C11</f>
        <v>-1.8673511277558532</v>
      </c>
      <c r="D53" s="26">
        <f t="shared" si="26"/>
        <v>-9.9244207360777068</v>
      </c>
      <c r="E53" s="26">
        <f t="shared" si="26"/>
        <v>-24.666339901213604</v>
      </c>
      <c r="F53" s="26">
        <f t="shared" si="21"/>
        <v>-34.590760637291311</v>
      </c>
    </row>
    <row r="54" spans="1:6" x14ac:dyDescent="0.2">
      <c r="A54" t="str">
        <f t="shared" si="19"/>
        <v>RQF1 GCSE(below grade C) &amp; equivalent</v>
      </c>
      <c r="B54" s="26">
        <f t="shared" ref="B54:E54" si="27">C12-B12</f>
        <v>10.207371866810718</v>
      </c>
      <c r="C54" s="26">
        <f t="shared" si="27"/>
        <v>-35.249734879631333</v>
      </c>
      <c r="D54" s="26">
        <f t="shared" si="27"/>
        <v>-7.5210202442471257</v>
      </c>
      <c r="E54" s="26">
        <f t="shared" si="27"/>
        <v>-44.875863805181808</v>
      </c>
      <c r="F54" s="26">
        <f t="shared" si="21"/>
        <v>-52.396884049428934</v>
      </c>
    </row>
    <row r="55" spans="1:6" x14ac:dyDescent="0.2">
      <c r="A55" t="str">
        <f t="shared" si="19"/>
        <v>No Qualification</v>
      </c>
      <c r="B55" s="26">
        <f t="shared" ref="B55:E55" si="28">C13-B13</f>
        <v>-13.135165714604575</v>
      </c>
      <c r="C55" s="26">
        <f t="shared" si="28"/>
        <v>-15.058876340600129</v>
      </c>
      <c r="D55" s="26">
        <f t="shared" si="28"/>
        <v>-7.1923863475744625</v>
      </c>
      <c r="E55" s="26">
        <f t="shared" si="28"/>
        <v>-10.925945842731576</v>
      </c>
      <c r="F55" s="26">
        <f t="shared" si="21"/>
        <v>-18.118332190306038</v>
      </c>
    </row>
    <row r="56" spans="1:6" x14ac:dyDescent="0.2">
      <c r="B56" s="20"/>
      <c r="C56" s="26"/>
      <c r="D56" s="20"/>
      <c r="E56" s="20"/>
      <c r="F56" s="26"/>
    </row>
    <row r="57" spans="1:6" x14ac:dyDescent="0.2">
      <c r="A57" s="23" t="str">
        <f>$A43</f>
        <v>All qualifications</v>
      </c>
      <c r="B57" s="28">
        <f>C15-B15</f>
        <v>-12.835000000877926</v>
      </c>
      <c r="C57" s="28">
        <f t="shared" ref="C57" si="29">D15-C15</f>
        <v>-5.5290000004858939</v>
      </c>
      <c r="D57" s="28">
        <f>E15-D15</f>
        <v>19.437000000142916</v>
      </c>
      <c r="E57" s="28">
        <f>F15-E15</f>
        <v>42.220999999781498</v>
      </c>
      <c r="F57" s="28">
        <f t="shared" si="21"/>
        <v>61.657999999924414</v>
      </c>
    </row>
  </sheetData>
  <phoneticPr fontId="4" type="noConversion"/>
  <pageMargins left="0.74803149606299213" right="0.74803149606299213" top="0.78740157480314965" bottom="0.78740157480314965" header="0.51181102362204722" footer="0.51181102362204722"/>
  <pageSetup paperSize="9" scale="92" orientation="portrait" r:id="rId1"/>
  <headerFooter alignWithMargins="0"/>
  <ignoredErrors>
    <ignoredError sqref="C44:C45" formula="1"/>
  </ignoredErrors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24"/>
  <dimension ref="A1:BP52"/>
  <sheetViews>
    <sheetView zoomScale="75" zoomScaleNormal="75" workbookViewId="0"/>
  </sheetViews>
  <sheetFormatPr defaultRowHeight="12.75" x14ac:dyDescent="0.2"/>
  <cols>
    <col min="1" max="1" width="17" style="80" customWidth="1"/>
    <col min="2" max="8" width="9.140625" style="80"/>
    <col min="9" max="9" width="31.85546875" style="80" customWidth="1"/>
    <col min="10" max="10" width="11.28515625" style="80" customWidth="1"/>
    <col min="11" max="11" width="6.140625" style="80" customWidth="1"/>
    <col min="12" max="12" width="27.140625" customWidth="1"/>
    <col min="13" max="33" width="4.7109375" bestFit="1" customWidth="1"/>
    <col min="34" max="37" width="6.42578125" customWidth="1"/>
    <col min="38" max="38" width="7.140625" customWidth="1"/>
    <col min="39" max="68" width="6.28515625" customWidth="1"/>
  </cols>
  <sheetData>
    <row r="1" spans="1:68" ht="15.75" x14ac:dyDescent="0.25">
      <c r="A1" s="79" t="str">
        <f>CONCATENATE("Qualification Figure 1  Employment by Qualification, ",$M$2,"-",$O$2,", ",Info!B5)</f>
        <v>Qualification Figure 1  Employment by Qualification, 2010-2035, North East</v>
      </c>
      <c r="H1"/>
      <c r="L1" s="45"/>
    </row>
    <row r="2" spans="1:68" x14ac:dyDescent="0.2">
      <c r="A2" s="1" t="s">
        <v>539</v>
      </c>
      <c r="L2" s="15" t="s">
        <v>28</v>
      </c>
      <c r="M2" s="15">
        <f>M4</f>
        <v>2010</v>
      </c>
      <c r="N2" s="46" t="s">
        <v>27</v>
      </c>
      <c r="O2" s="47">
        <f>MAX(M4:BP4)</f>
        <v>2035</v>
      </c>
    </row>
    <row r="3" spans="1:68" x14ac:dyDescent="0.2">
      <c r="L3" s="15"/>
      <c r="M3" s="15"/>
      <c r="N3" s="46"/>
      <c r="O3" s="15"/>
    </row>
    <row r="4" spans="1:68" x14ac:dyDescent="0.2">
      <c r="L4" s="13"/>
      <c r="M4" s="47">
        <v>2010</v>
      </c>
      <c r="N4" s="47">
        <v>2011</v>
      </c>
      <c r="O4" s="47">
        <v>2012</v>
      </c>
      <c r="P4" s="47">
        <v>2013</v>
      </c>
      <c r="Q4" s="47">
        <v>2014</v>
      </c>
      <c r="R4" s="47">
        <v>2015</v>
      </c>
      <c r="S4" s="47">
        <v>2016</v>
      </c>
      <c r="T4" s="47">
        <v>2017</v>
      </c>
      <c r="U4" s="47">
        <v>2018</v>
      </c>
      <c r="V4" s="47">
        <v>2019</v>
      </c>
      <c r="W4" s="47">
        <v>2020</v>
      </c>
      <c r="X4" s="47">
        <v>2021</v>
      </c>
      <c r="Y4" s="47">
        <v>2022</v>
      </c>
      <c r="Z4" s="47">
        <v>2023</v>
      </c>
      <c r="AA4" s="47">
        <v>2024</v>
      </c>
      <c r="AB4" s="47">
        <v>2025</v>
      </c>
      <c r="AC4" s="47">
        <v>2026</v>
      </c>
      <c r="AD4" s="47">
        <v>2027</v>
      </c>
      <c r="AE4" s="47">
        <v>2028</v>
      </c>
      <c r="AF4" s="47">
        <v>2029</v>
      </c>
      <c r="AG4" s="47">
        <v>2030</v>
      </c>
      <c r="AH4" s="47">
        <v>2031</v>
      </c>
      <c r="AI4" s="47">
        <v>2032</v>
      </c>
      <c r="AJ4" s="47">
        <v>2033</v>
      </c>
      <c r="AK4" s="47">
        <v>2034</v>
      </c>
      <c r="AL4" s="47">
        <v>2035</v>
      </c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</row>
    <row r="5" spans="1:68" x14ac:dyDescent="0.2">
      <c r="L5" s="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  <c r="BM5" s="11"/>
      <c r="BN5" s="11"/>
      <c r="BO5" s="11"/>
      <c r="BP5" s="11"/>
    </row>
    <row r="6" spans="1:68" x14ac:dyDescent="0.2">
      <c r="L6" s="232" t="str">
        <f>name!F12</f>
        <v>No Qualification</v>
      </c>
      <c r="M6" s="11">
        <v>82.143308373044206</v>
      </c>
      <c r="N6" s="11">
        <v>71.318421471818169</v>
      </c>
      <c r="O6" s="11">
        <v>72.374163450909677</v>
      </c>
      <c r="P6" s="11">
        <v>72.670722394612483</v>
      </c>
      <c r="Q6" s="11">
        <v>68.775942207674248</v>
      </c>
      <c r="R6" s="11">
        <v>75.077963238946651</v>
      </c>
      <c r="S6" s="11">
        <v>58.934907527805045</v>
      </c>
      <c r="T6" s="11">
        <v>67.287504124931701</v>
      </c>
      <c r="U6" s="11">
        <v>64.432508182647339</v>
      </c>
      <c r="V6" s="11">
        <v>61.942797524342076</v>
      </c>
      <c r="W6" s="11">
        <v>46.883921183741947</v>
      </c>
      <c r="X6" s="11">
        <v>47.601458676402174</v>
      </c>
      <c r="Y6" s="11">
        <v>46.894517383822901</v>
      </c>
      <c r="Z6" s="11">
        <v>43.988333789856355</v>
      </c>
      <c r="AA6" s="11">
        <v>41.167794336795936</v>
      </c>
      <c r="AB6" s="11">
        <v>39.691534836167484</v>
      </c>
      <c r="AC6" s="11">
        <v>38.383982247881335</v>
      </c>
      <c r="AD6" s="11">
        <v>37.090547876468683</v>
      </c>
      <c r="AE6" s="11">
        <v>35.826447447975077</v>
      </c>
      <c r="AF6" s="11">
        <v>34.591833718167813</v>
      </c>
      <c r="AG6" s="11">
        <v>33.397961049566355</v>
      </c>
      <c r="AH6" s="11">
        <v>32.229898919302691</v>
      </c>
      <c r="AI6" s="11">
        <v>31.091520328914417</v>
      </c>
      <c r="AJ6" s="11">
        <v>29.984812907745795</v>
      </c>
      <c r="AK6" s="11">
        <v>28.962793017807247</v>
      </c>
      <c r="AL6" s="11">
        <v>28.765588993435909</v>
      </c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  <c r="BM6" s="11"/>
      <c r="BN6" s="11"/>
      <c r="BO6" s="11"/>
      <c r="BP6" s="11"/>
    </row>
    <row r="7" spans="1:68" x14ac:dyDescent="0.2">
      <c r="L7" s="232" t="str">
        <f>name!F11</f>
        <v>RQF1 GCSE(below grade C) &amp; equivalent</v>
      </c>
      <c r="M7" s="11">
        <v>186.50030707603176</v>
      </c>
      <c r="N7" s="11">
        <v>170.13865979123216</v>
      </c>
      <c r="O7" s="11">
        <v>179.06806224662142</v>
      </c>
      <c r="P7" s="11">
        <v>177.33856878622831</v>
      </c>
      <c r="Q7" s="11">
        <v>180.60103488025388</v>
      </c>
      <c r="R7" s="11">
        <v>152.67228098628755</v>
      </c>
      <c r="S7" s="11">
        <v>143.9396471889105</v>
      </c>
      <c r="T7" s="11">
        <v>171.45098513004888</v>
      </c>
      <c r="U7" s="11">
        <v>161.25603011416604</v>
      </c>
      <c r="V7" s="11">
        <v>162.87965285309826</v>
      </c>
      <c r="W7" s="11">
        <v>127.62991797346693</v>
      </c>
      <c r="X7" s="11">
        <v>142.87793204507085</v>
      </c>
      <c r="Y7" s="11">
        <v>133.62534102488982</v>
      </c>
      <c r="Z7" s="11">
        <v>129.03473252873616</v>
      </c>
      <c r="AA7" s="11">
        <v>124.68559908515178</v>
      </c>
      <c r="AB7" s="11">
        <v>120.10889772921981</v>
      </c>
      <c r="AC7" s="11">
        <v>115.45300035286945</v>
      </c>
      <c r="AD7" s="11">
        <v>110.79185231488309</v>
      </c>
      <c r="AE7" s="11">
        <v>106.17400069157412</v>
      </c>
      <c r="AF7" s="11">
        <v>101.60092550908119</v>
      </c>
      <c r="AG7" s="11">
        <v>97.108740131267936</v>
      </c>
      <c r="AH7" s="11">
        <v>92.651913786347691</v>
      </c>
      <c r="AI7" s="11">
        <v>88.24312272256995</v>
      </c>
      <c r="AJ7" s="11">
        <v>83.888922947533928</v>
      </c>
      <c r="AK7" s="11">
        <v>79.574563090080119</v>
      </c>
      <c r="AL7" s="11">
        <v>75.233033924037997</v>
      </c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  <c r="BM7" s="11"/>
      <c r="BN7" s="11"/>
      <c r="BO7" s="11"/>
      <c r="BP7" s="11"/>
    </row>
    <row r="8" spans="1:68" x14ac:dyDescent="0.2">
      <c r="L8" s="232" t="str">
        <f>name!F10</f>
        <v>RQF2 GCSE(A-C) &amp; equivalent</v>
      </c>
      <c r="M8" s="11">
        <v>290.32291808832548</v>
      </c>
      <c r="N8" s="11">
        <v>286.99458304156673</v>
      </c>
      <c r="O8" s="11">
        <v>277.45362360088785</v>
      </c>
      <c r="P8" s="11">
        <v>279.25216880065841</v>
      </c>
      <c r="Q8" s="11">
        <v>276.8910519815438</v>
      </c>
      <c r="R8" s="11">
        <v>281.87826629551103</v>
      </c>
      <c r="S8" s="11">
        <v>259.94366619299961</v>
      </c>
      <c r="T8" s="11">
        <v>259.75298483609021</v>
      </c>
      <c r="U8" s="11">
        <v>290.37255323311234</v>
      </c>
      <c r="V8" s="11">
        <v>268.05270595126547</v>
      </c>
      <c r="W8" s="11">
        <v>266.18535482350961</v>
      </c>
      <c r="X8" s="11">
        <v>267.90173769592604</v>
      </c>
      <c r="Y8" s="11">
        <v>261.76126639072572</v>
      </c>
      <c r="Z8" s="11">
        <v>259.82592955411735</v>
      </c>
      <c r="AA8" s="11">
        <v>258.31850450095999</v>
      </c>
      <c r="AB8" s="11">
        <v>256.26093408743191</v>
      </c>
      <c r="AC8" s="11">
        <v>253.94043284051253</v>
      </c>
      <c r="AD8" s="11">
        <v>251.50416577673494</v>
      </c>
      <c r="AE8" s="11">
        <v>249.05116074156317</v>
      </c>
      <c r="AF8" s="11">
        <v>246.58185896957264</v>
      </c>
      <c r="AG8" s="11">
        <v>244.18219915182959</v>
      </c>
      <c r="AH8" s="11">
        <v>241.74100521268454</v>
      </c>
      <c r="AI8" s="11">
        <v>239.28535947616078</v>
      </c>
      <c r="AJ8" s="11">
        <v>236.82962999651028</v>
      </c>
      <c r="AK8" s="11">
        <v>234.33105741393416</v>
      </c>
      <c r="AL8" s="11">
        <v>231.5945941862183</v>
      </c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  <c r="BM8" s="11"/>
      <c r="BN8" s="11"/>
      <c r="BO8" s="11"/>
      <c r="BP8" s="11"/>
    </row>
    <row r="9" spans="1:68" x14ac:dyDescent="0.2">
      <c r="L9" s="232" t="str">
        <f>name!F9</f>
        <v>RQF3 A level &amp; equivalent</v>
      </c>
      <c r="M9" s="11">
        <v>254.4417762232161</v>
      </c>
      <c r="N9" s="11">
        <v>265.9032539684618</v>
      </c>
      <c r="O9" s="11">
        <v>253.91346312285447</v>
      </c>
      <c r="P9" s="11">
        <v>265.16558228404261</v>
      </c>
      <c r="Q9" s="11">
        <v>275.99864405224935</v>
      </c>
      <c r="R9" s="11">
        <v>272.73140733839097</v>
      </c>
      <c r="S9" s="11">
        <v>281.81464270705413</v>
      </c>
      <c r="T9" s="11">
        <v>261.33722596846326</v>
      </c>
      <c r="U9" s="11">
        <v>278.65343633166384</v>
      </c>
      <c r="V9" s="11">
        <v>263.55000163439666</v>
      </c>
      <c r="W9" s="11">
        <v>294.47764990672675</v>
      </c>
      <c r="X9" s="11">
        <v>275.84859808900734</v>
      </c>
      <c r="Y9" s="11">
        <v>279.69524801558174</v>
      </c>
      <c r="Z9" s="11">
        <v>281.50144800498799</v>
      </c>
      <c r="AA9" s="11">
        <v>283.84377373010881</v>
      </c>
      <c r="AB9" s="11">
        <v>285.59868526465709</v>
      </c>
      <c r="AC9" s="11">
        <v>287.08950659921453</v>
      </c>
      <c r="AD9" s="11">
        <v>288.49084261057425</v>
      </c>
      <c r="AE9" s="11">
        <v>289.90676105450927</v>
      </c>
      <c r="AF9" s="11">
        <v>291.33821853278528</v>
      </c>
      <c r="AG9" s="11">
        <v>292.88261312633398</v>
      </c>
      <c r="AH9" s="11">
        <v>294.41553007772239</v>
      </c>
      <c r="AI9" s="11">
        <v>295.96775631127758</v>
      </c>
      <c r="AJ9" s="11">
        <v>297.55691222012956</v>
      </c>
      <c r="AK9" s="11">
        <v>299.14065138778568</v>
      </c>
      <c r="AL9" s="11">
        <v>300.53256546660759</v>
      </c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  <c r="BC9" s="11"/>
      <c r="BD9" s="11"/>
      <c r="BE9" s="11"/>
      <c r="BF9" s="11"/>
    </row>
    <row r="10" spans="1:68" x14ac:dyDescent="0.2">
      <c r="L10" s="232" t="str">
        <f>name!F8</f>
        <v>RQF4 HE below degree level</v>
      </c>
      <c r="M10" s="11">
        <v>49.663917113263906</v>
      </c>
      <c r="N10" s="11">
        <v>50.996082529110218</v>
      </c>
      <c r="O10" s="11">
        <v>47.548611325393935</v>
      </c>
      <c r="P10" s="11">
        <v>45.47651229879876</v>
      </c>
      <c r="Q10" s="11">
        <v>47.840831719122065</v>
      </c>
      <c r="R10" s="11">
        <v>55.53036217836766</v>
      </c>
      <c r="S10" s="11">
        <v>55.234393120982553</v>
      </c>
      <c r="T10" s="11">
        <v>52.698254698506105</v>
      </c>
      <c r="U10" s="11">
        <v>52.99371440815456</v>
      </c>
      <c r="V10" s="11">
        <v>51.638506550088401</v>
      </c>
      <c r="W10" s="11">
        <v>55.339524648922172</v>
      </c>
      <c r="X10" s="11">
        <v>56.814704602004049</v>
      </c>
      <c r="Y10" s="11">
        <v>56.106565456970969</v>
      </c>
      <c r="Z10" s="11">
        <v>57.016929965729695</v>
      </c>
      <c r="AA10" s="11">
        <v>58.068068832108558</v>
      </c>
      <c r="AB10" s="11">
        <v>59.005279782501681</v>
      </c>
      <c r="AC10" s="11">
        <v>59.919584822039376</v>
      </c>
      <c r="AD10" s="11">
        <v>60.862534808809151</v>
      </c>
      <c r="AE10" s="11">
        <v>61.800995296044469</v>
      </c>
      <c r="AF10" s="11">
        <v>62.741710346786327</v>
      </c>
      <c r="AG10" s="11">
        <v>63.735064415494229</v>
      </c>
      <c r="AH10">
        <v>64.736491859519973</v>
      </c>
      <c r="AI10">
        <v>65.754102754918193</v>
      </c>
      <c r="AJ10">
        <v>66.792532820659446</v>
      </c>
      <c r="AK10">
        <v>67.829055945780482</v>
      </c>
      <c r="AL10" s="11">
        <v>68.860847045772445</v>
      </c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  <c r="BC10" s="11"/>
      <c r="BD10" s="11"/>
      <c r="BE10" s="11"/>
      <c r="BF10" s="11"/>
      <c r="BG10" s="11"/>
      <c r="BH10" s="11"/>
      <c r="BI10" s="11"/>
      <c r="BJ10" s="11"/>
      <c r="BK10" s="11"/>
      <c r="BL10" s="11"/>
      <c r="BM10" s="11"/>
      <c r="BN10" s="11"/>
      <c r="BO10" s="11"/>
      <c r="BP10" s="11"/>
    </row>
    <row r="11" spans="1:68" x14ac:dyDescent="0.2">
      <c r="L11" s="232" t="str">
        <f>name!F7</f>
        <v>RQF5 Foundation degree;Nursing;Teaching</v>
      </c>
      <c r="M11" s="11">
        <v>64.275919021757559</v>
      </c>
      <c r="N11" s="11">
        <v>64.110721088521672</v>
      </c>
      <c r="O11" s="11">
        <v>62.828628167197081</v>
      </c>
      <c r="P11" s="11">
        <v>58.61992968292563</v>
      </c>
      <c r="Q11" s="11">
        <v>61.471131214949835</v>
      </c>
      <c r="R11" s="11">
        <v>69.125685102589387</v>
      </c>
      <c r="S11" s="11">
        <v>65.93054716827038</v>
      </c>
      <c r="T11" s="11">
        <v>61.118819471078176</v>
      </c>
      <c r="U11" s="11">
        <v>59.283246937026853</v>
      </c>
      <c r="V11" s="11">
        <v>59.690037229754893</v>
      </c>
      <c r="W11" s="11">
        <v>65.89816032744173</v>
      </c>
      <c r="X11" s="11">
        <v>64.447864339181095</v>
      </c>
      <c r="Y11" s="11">
        <v>63.09172720772991</v>
      </c>
      <c r="Z11" s="11">
        <v>63.390672221282244</v>
      </c>
      <c r="AA11" s="11">
        <v>63.863975528575374</v>
      </c>
      <c r="AB11" s="11">
        <v>64.189140787253606</v>
      </c>
      <c r="AC11" s="11">
        <v>64.453490943304089</v>
      </c>
      <c r="AD11" s="11">
        <v>64.736998490379747</v>
      </c>
      <c r="AE11" s="11">
        <v>65.207711513706315</v>
      </c>
      <c r="AF11" s="11">
        <v>65.863776940511869</v>
      </c>
      <c r="AG11" s="11">
        <v>66.56351431178193</v>
      </c>
      <c r="AH11">
        <v>67.281908310578729</v>
      </c>
      <c r="AI11">
        <v>68.058442126988069</v>
      </c>
      <c r="AJ11">
        <v>68.887150634931473</v>
      </c>
      <c r="AK11">
        <v>69.758063675722582</v>
      </c>
      <c r="AL11" s="11">
        <v>70.588657027486377</v>
      </c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  <c r="BM11" s="11"/>
      <c r="BN11" s="11"/>
      <c r="BO11" s="11"/>
      <c r="BP11" s="11"/>
    </row>
    <row r="12" spans="1:68" x14ac:dyDescent="0.2">
      <c r="L12" s="232" t="str">
        <f>name!F6</f>
        <v>RQF6 First degree</v>
      </c>
      <c r="M12" s="11">
        <v>155.08023802893101</v>
      </c>
      <c r="N12" s="11">
        <v>163.66135371718812</v>
      </c>
      <c r="O12" s="11">
        <v>165.02989135577539</v>
      </c>
      <c r="P12" s="11">
        <v>158.28708840050993</v>
      </c>
      <c r="Q12" s="11">
        <v>169.98428294984853</v>
      </c>
      <c r="R12" s="11">
        <v>199.31135081178232</v>
      </c>
      <c r="S12" s="11">
        <v>196.18695280731515</v>
      </c>
      <c r="T12" s="11">
        <v>187.01226312997767</v>
      </c>
      <c r="U12" s="11">
        <v>193.24565506556536</v>
      </c>
      <c r="V12" s="11">
        <v>193.38439549764706</v>
      </c>
      <c r="W12" s="11">
        <v>214.38336635414242</v>
      </c>
      <c r="X12" s="11">
        <v>222.41640998234584</v>
      </c>
      <c r="Y12" s="11">
        <v>222.3254595093471</v>
      </c>
      <c r="Z12" s="11">
        <v>228.46622816427993</v>
      </c>
      <c r="AA12" s="11">
        <v>235.05698643664118</v>
      </c>
      <c r="AB12" s="11">
        <v>241.18300428264601</v>
      </c>
      <c r="AC12" s="11">
        <v>247.12100166165615</v>
      </c>
      <c r="AD12" s="11">
        <v>252.98514638396887</v>
      </c>
      <c r="AE12" s="11">
        <v>258.76481828678516</v>
      </c>
      <c r="AF12" s="11">
        <v>264.45842485813046</v>
      </c>
      <c r="AG12" s="11">
        <v>270.28591393729278</v>
      </c>
      <c r="AH12">
        <v>276.15791466337879</v>
      </c>
      <c r="AI12">
        <v>282.06803112799838</v>
      </c>
      <c r="AJ12">
        <v>288.04327480614108</v>
      </c>
      <c r="AK12">
        <v>294.06610427143522</v>
      </c>
      <c r="AL12">
        <v>299.99815240348295</v>
      </c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  <c r="BM12" s="11"/>
      <c r="BN12" s="11"/>
      <c r="BO12" s="11"/>
      <c r="BP12" s="11"/>
    </row>
    <row r="13" spans="1:68" x14ac:dyDescent="0.2">
      <c r="L13" s="232" t="str">
        <f>name!F5</f>
        <v>RQF7 Other higher degree</v>
      </c>
      <c r="M13" s="11">
        <v>76.790820316700376</v>
      </c>
      <c r="N13" s="11">
        <v>61.793561159200394</v>
      </c>
      <c r="O13" s="11">
        <v>58.504940186283775</v>
      </c>
      <c r="P13" s="11">
        <v>72.445670007452705</v>
      </c>
      <c r="Q13" s="11">
        <v>76.188326323168255</v>
      </c>
      <c r="R13" s="11">
        <v>87.509531338397863</v>
      </c>
      <c r="S13" s="11">
        <v>82.435285429634661</v>
      </c>
      <c r="T13" s="11">
        <v>100.46378318951639</v>
      </c>
      <c r="U13" s="11">
        <v>82.893201598784728</v>
      </c>
      <c r="V13" s="11">
        <v>115.88175185043464</v>
      </c>
      <c r="W13" s="11">
        <v>102.55492005222335</v>
      </c>
      <c r="X13" s="11">
        <v>97.384131978114425</v>
      </c>
      <c r="Y13" s="11">
        <v>111.29117347881021</v>
      </c>
      <c r="Z13" s="11">
        <v>115.23679225988661</v>
      </c>
      <c r="AA13" s="11">
        <v>119.28648440961365</v>
      </c>
      <c r="AB13" s="11">
        <v>122.95921358435329</v>
      </c>
      <c r="AC13" s="11">
        <v>126.38216374959018</v>
      </c>
      <c r="AD13" s="11">
        <v>129.62821812567958</v>
      </c>
      <c r="AE13" s="11">
        <v>132.73580353071372</v>
      </c>
      <c r="AF13" s="11">
        <v>135.70991973156575</v>
      </c>
      <c r="AG13" s="11">
        <v>138.58519606147266</v>
      </c>
      <c r="AH13">
        <v>141.30681188848288</v>
      </c>
      <c r="AI13">
        <v>143.88066537489365</v>
      </c>
      <c r="AJ13">
        <v>146.31787717880007</v>
      </c>
      <c r="AK13">
        <v>148.58064330930401</v>
      </c>
      <c r="AL13">
        <v>150.57249059029547</v>
      </c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  <c r="BM13" s="11"/>
      <c r="BN13" s="11"/>
      <c r="BO13" s="11"/>
      <c r="BP13" s="11"/>
    </row>
    <row r="14" spans="1:68" x14ac:dyDescent="0.2">
      <c r="L14" s="232" t="str">
        <f>name!F4</f>
        <v>RQF8 Doctorate</v>
      </c>
      <c r="M14" s="11">
        <v>12.347795757563052</v>
      </c>
      <c r="N14" s="11">
        <v>9.9823632317160005</v>
      </c>
      <c r="O14" s="11">
        <v>9.1156165430220017</v>
      </c>
      <c r="P14" s="11">
        <v>11.745757343587551</v>
      </c>
      <c r="Q14" s="11">
        <v>11.904754671909552</v>
      </c>
      <c r="R14" s="11">
        <v>13.866152711380108</v>
      </c>
      <c r="S14" s="11">
        <v>13.298957857794788</v>
      </c>
      <c r="T14" s="11">
        <v>16.198179452812344</v>
      </c>
      <c r="U14" s="11">
        <v>14.037654129134623</v>
      </c>
      <c r="V14" s="11">
        <v>17.848150909748469</v>
      </c>
      <c r="W14" s="11">
        <v>15.986184730114939</v>
      </c>
      <c r="X14" s="11">
        <v>15.224162590622708</v>
      </c>
      <c r="Y14" s="11">
        <v>17.749701532865704</v>
      </c>
      <c r="Z14" s="11">
        <v>18.435933512227045</v>
      </c>
      <c r="AA14" s="11">
        <v>19.138813140948034</v>
      </c>
      <c r="AB14" s="11">
        <v>19.77930964620203</v>
      </c>
      <c r="AC14" s="11">
        <v>20.384836783124474</v>
      </c>
      <c r="AD14" s="11">
        <v>20.964693613385844</v>
      </c>
      <c r="AE14" s="11">
        <v>21.527301437947287</v>
      </c>
      <c r="AF14" s="11">
        <v>22.064331394253944</v>
      </c>
      <c r="AG14" s="11">
        <v>22.590797815536135</v>
      </c>
      <c r="AH14">
        <v>23.090525282991603</v>
      </c>
      <c r="AI14">
        <v>23.569999777103845</v>
      </c>
      <c r="AJ14">
        <v>24.023886488368419</v>
      </c>
      <c r="AK14">
        <v>24.46006788871324</v>
      </c>
      <c r="AL14">
        <v>24.851070362877337</v>
      </c>
      <c r="AV14" s="11"/>
      <c r="AW14" s="11"/>
      <c r="AX14" s="11"/>
      <c r="AY14" s="11"/>
      <c r="AZ14" s="11"/>
      <c r="BA14" s="11"/>
      <c r="BB14" s="11"/>
      <c r="BC14" s="11"/>
      <c r="BD14" s="11"/>
      <c r="BE14" s="11"/>
      <c r="BF14" s="11"/>
    </row>
    <row r="15" spans="1:68" x14ac:dyDescent="0.2">
      <c r="L15" s="232"/>
      <c r="AV15" s="11"/>
      <c r="AW15" s="11"/>
      <c r="AX15" s="11"/>
      <c r="AY15" s="11"/>
      <c r="AZ15" s="11"/>
      <c r="BA15" s="11"/>
      <c r="BB15" s="11"/>
      <c r="BC15" s="11"/>
      <c r="BD15" s="11"/>
      <c r="BE15" s="11"/>
      <c r="BF15" s="11"/>
      <c r="BG15" s="11"/>
      <c r="BH15" s="11"/>
      <c r="BI15" s="11"/>
      <c r="BJ15" s="11"/>
      <c r="BK15" s="11"/>
      <c r="BL15" s="11"/>
      <c r="BM15" s="11"/>
      <c r="BN15" s="11"/>
      <c r="BO15" s="11"/>
      <c r="BP15" s="11"/>
    </row>
    <row r="16" spans="1:68" x14ac:dyDescent="0.2">
      <c r="L16" s="232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</row>
    <row r="17" spans="13:68" x14ac:dyDescent="0.2">
      <c r="M17" s="11"/>
      <c r="AV17" s="11"/>
      <c r="AW17" s="11"/>
      <c r="AX17" s="11"/>
      <c r="AY17" s="11"/>
      <c r="AZ17" s="11"/>
      <c r="BA17" s="11"/>
      <c r="BB17" s="11"/>
      <c r="BC17" s="11"/>
      <c r="BD17" s="11"/>
      <c r="BE17" s="11"/>
      <c r="BF17" s="11"/>
      <c r="BG17" s="11"/>
      <c r="BH17" s="11"/>
      <c r="BI17" s="11"/>
      <c r="BJ17" s="11"/>
      <c r="BK17" s="11"/>
      <c r="BL17" s="11"/>
      <c r="BM17" s="11"/>
      <c r="BN17" s="11"/>
      <c r="BO17" s="11"/>
      <c r="BP17" s="11"/>
    </row>
    <row r="18" spans="13:68" x14ac:dyDescent="0.2">
      <c r="AV18" s="11"/>
      <c r="AW18" s="11"/>
      <c r="AX18" s="11"/>
      <c r="AY18" s="11"/>
      <c r="AZ18" s="11"/>
      <c r="BA18" s="11"/>
      <c r="BB18" s="11"/>
      <c r="BC18" s="11"/>
      <c r="BD18" s="11"/>
      <c r="BE18" s="11"/>
      <c r="BF18" s="11"/>
      <c r="BG18" s="11"/>
      <c r="BH18" s="11"/>
      <c r="BI18" s="11"/>
      <c r="BJ18" s="11"/>
      <c r="BK18" s="11"/>
      <c r="BL18" s="11"/>
      <c r="BM18" s="11"/>
      <c r="BN18" s="11"/>
      <c r="BO18" s="11"/>
      <c r="BP18" s="11"/>
    </row>
    <row r="19" spans="13:68" x14ac:dyDescent="0.2">
      <c r="AV19" s="11"/>
      <c r="AW19" s="11"/>
      <c r="AX19" s="11"/>
      <c r="AY19" s="11"/>
      <c r="AZ19" s="11"/>
      <c r="BA19" s="11"/>
      <c r="BB19" s="11"/>
      <c r="BC19" s="11"/>
      <c r="BD19" s="11"/>
      <c r="BE19" s="11"/>
      <c r="BF19" s="11"/>
      <c r="BG19" s="11"/>
      <c r="BH19" s="11"/>
      <c r="BI19" s="11"/>
      <c r="BJ19" s="11"/>
      <c r="BK19" s="11"/>
      <c r="BL19" s="11"/>
      <c r="BM19" s="11"/>
      <c r="BN19" s="11"/>
      <c r="BO19" s="11"/>
      <c r="BP19" s="11"/>
    </row>
    <row r="20" spans="13:68" x14ac:dyDescent="0.2"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  <c r="BM20" s="11"/>
      <c r="BN20" s="11"/>
      <c r="BO20" s="11"/>
      <c r="BP20" s="11"/>
    </row>
    <row r="21" spans="13:68" x14ac:dyDescent="0.2"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</row>
    <row r="22" spans="13:68" x14ac:dyDescent="0.2">
      <c r="AV22" s="11"/>
      <c r="AW22" s="11"/>
      <c r="AX22" s="11"/>
      <c r="AY22" s="11"/>
      <c r="AZ22" s="11"/>
      <c r="BA22" s="11"/>
      <c r="BB22" s="11"/>
      <c r="BC22" s="11"/>
      <c r="BD22" s="11"/>
      <c r="BE22" s="11"/>
      <c r="BF22" s="11"/>
      <c r="BG22" s="11"/>
      <c r="BH22" s="11"/>
      <c r="BI22" s="11"/>
      <c r="BJ22" s="11"/>
      <c r="BK22" s="11"/>
      <c r="BL22" s="11"/>
      <c r="BM22" s="11"/>
      <c r="BN22" s="11"/>
      <c r="BO22" s="11"/>
      <c r="BP22" s="11"/>
    </row>
    <row r="23" spans="13:68" x14ac:dyDescent="0.2"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  <c r="BM23" s="11"/>
      <c r="BN23" s="11"/>
      <c r="BO23" s="11"/>
      <c r="BP23" s="11"/>
    </row>
    <row r="24" spans="13:68" x14ac:dyDescent="0.2">
      <c r="AV24" s="11"/>
      <c r="AW24" s="11"/>
      <c r="AX24" s="11"/>
      <c r="AY24" s="11"/>
      <c r="AZ24" s="11"/>
      <c r="BA24" s="11"/>
      <c r="BB24" s="11"/>
      <c r="BC24" s="11"/>
      <c r="BD24" s="11"/>
      <c r="BE24" s="11"/>
      <c r="BF24" s="11"/>
      <c r="BG24" s="11"/>
      <c r="BH24" s="11"/>
      <c r="BI24" s="11"/>
      <c r="BJ24" s="11"/>
      <c r="BK24" s="11"/>
      <c r="BL24" s="11"/>
      <c r="BM24" s="11"/>
      <c r="BN24" s="11"/>
      <c r="BO24" s="11"/>
      <c r="BP24" s="11"/>
    </row>
    <row r="25" spans="13:68" x14ac:dyDescent="0.2"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  <c r="BM25" s="11"/>
      <c r="BN25" s="11"/>
      <c r="BO25" s="11"/>
      <c r="BP25" s="11"/>
    </row>
    <row r="26" spans="13:68" x14ac:dyDescent="0.2"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</row>
    <row r="27" spans="13:68" x14ac:dyDescent="0.2"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  <c r="BM27" s="11"/>
      <c r="BN27" s="11"/>
      <c r="BO27" s="11"/>
      <c r="BP27" s="11"/>
    </row>
    <row r="28" spans="13:68" x14ac:dyDescent="0.2"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  <c r="BM28" s="11"/>
      <c r="BN28" s="11"/>
      <c r="BO28" s="11"/>
      <c r="BP28" s="11"/>
    </row>
    <row r="29" spans="13:68" x14ac:dyDescent="0.2"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  <c r="BM29" s="11"/>
      <c r="BN29" s="11"/>
      <c r="BO29" s="11"/>
      <c r="BP29" s="11"/>
    </row>
    <row r="30" spans="13:68" x14ac:dyDescent="0.2">
      <c r="AV30" s="11"/>
      <c r="AW30" s="11"/>
      <c r="AX30" s="11"/>
      <c r="AY30" s="11"/>
      <c r="AZ30" s="11"/>
      <c r="BA30" s="11"/>
      <c r="BB30" s="11"/>
      <c r="BC30" s="11"/>
      <c r="BD30" s="11"/>
      <c r="BE30" s="11"/>
      <c r="BF30" s="11"/>
      <c r="BG30" s="11"/>
      <c r="BH30" s="11"/>
      <c r="BI30" s="11"/>
      <c r="BJ30" s="11"/>
      <c r="BK30" s="11"/>
      <c r="BL30" s="11"/>
      <c r="BM30" s="11"/>
      <c r="BN30" s="11"/>
      <c r="BO30" s="11"/>
      <c r="BP30" s="11"/>
    </row>
    <row r="32" spans="13:68" x14ac:dyDescent="0.2">
      <c r="AV32" s="11"/>
      <c r="AW32" s="11"/>
      <c r="AX32" s="11"/>
      <c r="AY32" s="11"/>
      <c r="AZ32" s="11"/>
      <c r="BA32" s="11"/>
      <c r="BB32" s="11"/>
      <c r="BC32" s="11"/>
      <c r="BD32" s="11"/>
      <c r="BE32" s="11"/>
      <c r="BF32" s="11"/>
    </row>
    <row r="34" spans="1:58" x14ac:dyDescent="0.2"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</row>
    <row r="35" spans="1:58" x14ac:dyDescent="0.2"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</row>
    <row r="36" spans="1:58" x14ac:dyDescent="0.2"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</row>
    <row r="37" spans="1:58" x14ac:dyDescent="0.2"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</row>
    <row r="38" spans="1:58" x14ac:dyDescent="0.2"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</row>
    <row r="40" spans="1:58" x14ac:dyDescent="0.2">
      <c r="AV40" s="11"/>
      <c r="AW40" s="11"/>
      <c r="AX40" s="11"/>
      <c r="AY40" s="11"/>
      <c r="AZ40" s="11"/>
      <c r="BA40" s="11"/>
      <c r="BB40" s="11"/>
      <c r="BC40" s="11"/>
      <c r="BD40" s="11"/>
      <c r="BE40" s="11"/>
      <c r="BF40" s="11"/>
    </row>
    <row r="41" spans="1:58" x14ac:dyDescent="0.2">
      <c r="AV41" s="11"/>
      <c r="AW41" s="11"/>
      <c r="AX41" s="11"/>
      <c r="AY41" s="11"/>
      <c r="AZ41" s="11"/>
      <c r="BA41" s="11"/>
      <c r="BB41" s="11"/>
      <c r="BC41" s="11"/>
      <c r="BD41" s="11"/>
      <c r="BE41" s="11"/>
      <c r="BF41" s="11"/>
    </row>
    <row r="42" spans="1:58" x14ac:dyDescent="0.2">
      <c r="AV42" s="11"/>
      <c r="AW42" s="11"/>
      <c r="AX42" s="11"/>
      <c r="AY42" s="11"/>
      <c r="AZ42" s="11"/>
      <c r="BA42" s="11"/>
      <c r="BB42" s="11"/>
      <c r="BC42" s="11"/>
      <c r="BD42" s="11"/>
      <c r="BE42" s="11"/>
      <c r="BF42" s="11"/>
    </row>
    <row r="43" spans="1:58" x14ac:dyDescent="0.2">
      <c r="AV43" s="11"/>
      <c r="AW43" s="11"/>
      <c r="AX43" s="11"/>
      <c r="AY43" s="11"/>
      <c r="AZ43" s="11"/>
      <c r="BA43" s="11"/>
      <c r="BB43" s="11"/>
      <c r="BC43" s="11"/>
      <c r="BD43" s="11"/>
      <c r="BE43" s="11"/>
      <c r="BF43" s="11"/>
    </row>
    <row r="45" spans="1:58" x14ac:dyDescent="0.2">
      <c r="AV45" s="11"/>
      <c r="AW45" s="11"/>
      <c r="AX45" s="11"/>
      <c r="AY45" s="11"/>
      <c r="AZ45" s="11"/>
      <c r="BA45" s="11"/>
      <c r="BB45" s="11"/>
      <c r="BC45" s="11"/>
      <c r="BD45" s="11"/>
      <c r="BE45" s="11"/>
      <c r="BF45" s="11"/>
    </row>
    <row r="46" spans="1:58" x14ac:dyDescent="0.2">
      <c r="AV46" s="11"/>
      <c r="AW46" s="11"/>
      <c r="AX46" s="11"/>
      <c r="AY46" s="11"/>
      <c r="AZ46" s="11"/>
      <c r="BA46" s="11"/>
      <c r="BB46" s="11"/>
      <c r="BC46" s="11"/>
      <c r="BD46" s="11"/>
      <c r="BE46" s="11"/>
      <c r="BF46" s="11"/>
    </row>
    <row r="47" spans="1:58" x14ac:dyDescent="0.2">
      <c r="AV47" s="11"/>
      <c r="AW47" s="11"/>
      <c r="AX47" s="11"/>
      <c r="AY47" s="11"/>
      <c r="AZ47" s="11"/>
      <c r="BA47" s="11"/>
      <c r="BB47" s="11"/>
      <c r="BC47" s="11"/>
      <c r="BD47" s="11"/>
      <c r="BE47" s="11"/>
      <c r="BF47" s="11"/>
    </row>
    <row r="48" spans="1:58" ht="12.75" customHeight="1" x14ac:dyDescent="0.25">
      <c r="A48" s="79"/>
      <c r="AV48" s="11"/>
      <c r="AW48" s="11"/>
      <c r="AX48" s="11"/>
      <c r="AY48" s="11"/>
      <c r="AZ48" s="11"/>
      <c r="BA48" s="11"/>
      <c r="BB48" s="11"/>
      <c r="BC48" s="11"/>
      <c r="BD48" s="11"/>
      <c r="BE48" s="11"/>
      <c r="BF48" s="11"/>
    </row>
    <row r="51" spans="1:1" ht="15.75" x14ac:dyDescent="0.25">
      <c r="A51" s="79" t="str">
        <f>CONCATENATE("Qualification Figure 1.1  Employment by Qualification, ",$M$2,"-",$O$2," ",Info!B5)</f>
        <v>Qualification Figure 1.1  Employment by Qualification, 2010-2035 North East</v>
      </c>
    </row>
    <row r="52" spans="1:1" x14ac:dyDescent="0.2">
      <c r="A52"/>
    </row>
  </sheetData>
  <phoneticPr fontId="4" type="noConversion"/>
  <conditionalFormatting sqref="L4:AL4">
    <cfRule type="cellIs" dxfId="6" priority="1" stopIfTrue="1" operator="equal">
      <formula>0</formula>
    </cfRule>
  </conditionalFormatting>
  <pageMargins left="0.19685039370078741" right="0.19685039370078741" top="0.78740157480314965" bottom="0.78740157480314965" header="0.51181102362204722" footer="0.51181102362204722"/>
  <pageSetup paperSize="9" scale="80" orientation="portrait" r:id="rId1"/>
  <headerFooter alignWithMargins="0"/>
  <rowBreaks count="1" manualBreakCount="1">
    <brk id="50" max="9" man="1"/>
  </rowBreaks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35"/>
  <dimension ref="A1:L23"/>
  <sheetViews>
    <sheetView zoomScale="85" zoomScaleNormal="85" workbookViewId="0">
      <selection activeCell="A8" sqref="A8"/>
    </sheetView>
  </sheetViews>
  <sheetFormatPr defaultColWidth="9.140625" defaultRowHeight="12.75" x14ac:dyDescent="0.2"/>
  <cols>
    <col min="1" max="1" width="57.85546875" style="90" customWidth="1"/>
    <col min="2" max="6" width="11.7109375" style="90" customWidth="1"/>
    <col min="7" max="7" width="5.7109375" style="90" customWidth="1"/>
    <col min="8" max="12" width="11.7109375" style="90" customWidth="1"/>
    <col min="13" max="16384" width="9.140625" style="90"/>
  </cols>
  <sheetData>
    <row r="1" spans="1:12" ht="15.75" x14ac:dyDescent="0.25">
      <c r="A1" s="18" t="str">
        <f>CONCATENATE("Summary Table 12  Employment Change by ISCED Qualifications in Broad Qualifications, ",B$5,"-",F$5)</f>
        <v>Summary Table 12  Employment Change by ISCED Qualifications in Broad Qualifications, 2008-2020</v>
      </c>
    </row>
    <row r="3" spans="1:12" x14ac:dyDescent="0.2">
      <c r="F3" s="116"/>
      <c r="L3" s="116" t="s">
        <v>19</v>
      </c>
    </row>
    <row r="4" spans="1:12" x14ac:dyDescent="0.2">
      <c r="A4" s="95"/>
      <c r="B4" s="117" t="s">
        <v>17</v>
      </c>
      <c r="C4" s="95"/>
      <c r="D4" s="95"/>
      <c r="E4" s="95"/>
      <c r="F4" s="118"/>
      <c r="H4" s="117" t="s">
        <v>18</v>
      </c>
      <c r="I4" s="95"/>
      <c r="J4" s="95"/>
      <c r="K4" s="95"/>
      <c r="L4" s="95"/>
    </row>
    <row r="5" spans="1:12" x14ac:dyDescent="0.2">
      <c r="A5" s="91"/>
      <c r="B5" s="119">
        <v>2008</v>
      </c>
      <c r="C5" s="119">
        <v>2010</v>
      </c>
      <c r="D5" s="119">
        <v>2012</v>
      </c>
      <c r="E5" s="119">
        <v>2015</v>
      </c>
      <c r="F5" s="119">
        <v>2020</v>
      </c>
      <c r="H5" s="120" t="str">
        <f>CONCATENATE(B$5,"-",C$5)</f>
        <v>2008-2010</v>
      </c>
      <c r="I5" s="120" t="str">
        <f>CONCATENATE(B$5,"-",D$5)</f>
        <v>2008-2012</v>
      </c>
      <c r="J5" s="120" t="str">
        <f>CONCATENATE(D$5,"-",E$5)</f>
        <v>2012-2015</v>
      </c>
      <c r="K5" s="120" t="str">
        <f>CONCATENATE(E$5,"-",F$5)</f>
        <v>2015-2020</v>
      </c>
      <c r="L5" s="120" t="str">
        <f>CONCATENATE(D$5,"-",F$5)</f>
        <v>2012-2020</v>
      </c>
    </row>
    <row r="7" spans="1:12" s="121" customFormat="1" x14ac:dyDescent="0.2">
      <c r="A7" s="121" t="str">
        <f>name!F4</f>
        <v>RQF8 Doctorate</v>
      </c>
      <c r="B7" s="122">
        <v>71325.851049592791</v>
      </c>
      <c r="C7" s="122">
        <v>67875.205285452204</v>
      </c>
      <c r="D7" s="122">
        <v>65953.088065984106</v>
      </c>
      <c r="E7" s="122">
        <v>63161.5699830265</v>
      </c>
      <c r="F7" s="122">
        <v>59517.030027737295</v>
      </c>
      <c r="H7" s="122">
        <f>C7-B7</f>
        <v>-3450.6457641405868</v>
      </c>
      <c r="I7" s="122">
        <f>D7-B7</f>
        <v>-5372.7629836086853</v>
      </c>
      <c r="J7" s="122">
        <f>E7-D7</f>
        <v>-2791.5180829576057</v>
      </c>
      <c r="K7" s="122">
        <f>F7-E7</f>
        <v>-3644.539955289205</v>
      </c>
      <c r="L7" s="122">
        <f>F7-D7</f>
        <v>-6436.0580382468106</v>
      </c>
    </row>
    <row r="8" spans="1:12" x14ac:dyDescent="0.2">
      <c r="A8" s="90" t="str">
        <f>name!J4</f>
        <v>SE</v>
      </c>
      <c r="B8" s="93">
        <v>21828.171692536111</v>
      </c>
      <c r="C8" s="93">
        <v>20792.172573048945</v>
      </c>
      <c r="D8" s="93">
        <v>20234.216118009812</v>
      </c>
      <c r="E8" s="93">
        <v>19430.497541178578</v>
      </c>
      <c r="F8" s="93">
        <v>18413.968008235337</v>
      </c>
      <c r="H8" s="93">
        <f>C8-B8</f>
        <v>-1035.9991194871654</v>
      </c>
      <c r="I8" s="93">
        <f>D8-B8</f>
        <v>-1593.9555745262987</v>
      </c>
      <c r="J8" s="93">
        <f t="shared" ref="J8:K10" si="0">E8-D8</f>
        <v>-803.7185768312338</v>
      </c>
      <c r="K8" s="93">
        <f t="shared" si="0"/>
        <v>-1016.5295329432411</v>
      </c>
      <c r="L8" s="93">
        <f>F8-D8</f>
        <v>-1820.2481097744749</v>
      </c>
    </row>
    <row r="9" spans="1:12" x14ac:dyDescent="0.2">
      <c r="A9" s="90" t="str">
        <f>name!J5</f>
        <v>FT</v>
      </c>
      <c r="B9" s="93">
        <v>49497.679357056688</v>
      </c>
      <c r="C9" s="93">
        <v>47083.032712403263</v>
      </c>
      <c r="D9" s="93">
        <v>45718.871947974287</v>
      </c>
      <c r="E9" s="93">
        <v>43731.072441847915</v>
      </c>
      <c r="F9" s="93">
        <v>41103.062019501958</v>
      </c>
      <c r="H9" s="93">
        <f>C9-B9</f>
        <v>-2414.646644653425</v>
      </c>
      <c r="I9" s="93">
        <f>D9-B9</f>
        <v>-3778.8074090824011</v>
      </c>
      <c r="J9" s="93">
        <f t="shared" si="0"/>
        <v>-1987.7995061263719</v>
      </c>
      <c r="K9" s="93">
        <f t="shared" si="0"/>
        <v>-2628.0104223459566</v>
      </c>
      <c r="L9" s="93">
        <f>F9-D9</f>
        <v>-4615.8099284723285</v>
      </c>
    </row>
    <row r="10" spans="1:12" x14ac:dyDescent="0.2">
      <c r="A10" s="90" t="str">
        <f>name!J6</f>
        <v>PT</v>
      </c>
      <c r="B10" s="93">
        <v>0</v>
      </c>
      <c r="C10" s="93">
        <v>0</v>
      </c>
      <c r="D10" s="93">
        <v>0</v>
      </c>
      <c r="E10" s="93">
        <v>0</v>
      </c>
      <c r="F10" s="93">
        <v>0</v>
      </c>
      <c r="H10" s="93">
        <f>C10-B10</f>
        <v>0</v>
      </c>
      <c r="I10" s="93">
        <f>D10-B10</f>
        <v>0</v>
      </c>
      <c r="J10" s="93">
        <f t="shared" si="0"/>
        <v>0</v>
      </c>
      <c r="K10" s="93">
        <f t="shared" si="0"/>
        <v>0</v>
      </c>
      <c r="L10" s="93">
        <f>F10-D10</f>
        <v>0</v>
      </c>
    </row>
    <row r="11" spans="1:12" x14ac:dyDescent="0.2">
      <c r="H11" s="93"/>
      <c r="I11" s="93"/>
      <c r="J11" s="93"/>
      <c r="K11" s="93"/>
      <c r="L11" s="93"/>
    </row>
    <row r="12" spans="1:12" s="121" customFormat="1" x14ac:dyDescent="0.2">
      <c r="A12" s="121" t="str">
        <f>name!F5</f>
        <v>RQF7 Other higher degree</v>
      </c>
      <c r="B12" s="122">
        <v>117603.36216609999</v>
      </c>
      <c r="C12" s="122">
        <v>115939.95604983499</v>
      </c>
      <c r="D12" s="122">
        <v>117782.27837055401</v>
      </c>
      <c r="E12" s="122">
        <v>118889.39584623399</v>
      </c>
      <c r="F12" s="122">
        <v>120707.41471465</v>
      </c>
      <c r="H12" s="122">
        <f>C12-B12</f>
        <v>-1663.4061162650032</v>
      </c>
      <c r="I12" s="122">
        <f>D12-B12</f>
        <v>178.9162044540135</v>
      </c>
      <c r="J12" s="122">
        <f t="shared" ref="J12:K14" si="1">E12-D12</f>
        <v>1107.1174756799883</v>
      </c>
      <c r="K12" s="122">
        <f t="shared" si="1"/>
        <v>1818.0188684160094</v>
      </c>
      <c r="L12" s="122">
        <f>F12-D12</f>
        <v>2925.1363440959976</v>
      </c>
    </row>
    <row r="13" spans="1:12" x14ac:dyDescent="0.2">
      <c r="A13" s="90">
        <f>name!J7</f>
        <v>0</v>
      </c>
      <c r="B13" s="93">
        <v>85684.696366442135</v>
      </c>
      <c r="C13" s="93">
        <v>84496.661838978005</v>
      </c>
      <c r="D13" s="93">
        <v>85862.536135946357</v>
      </c>
      <c r="E13" s="93">
        <v>86649.544796460745</v>
      </c>
      <c r="F13" s="93">
        <v>87931.502704386687</v>
      </c>
      <c r="H13" s="93">
        <f>C13-B13</f>
        <v>-1188.0345274641295</v>
      </c>
      <c r="I13" s="93">
        <f>D13-B13</f>
        <v>177.8397695042222</v>
      </c>
      <c r="J13" s="93">
        <f t="shared" si="1"/>
        <v>787.00866051438788</v>
      </c>
      <c r="K13" s="93">
        <f t="shared" si="1"/>
        <v>1281.957907925942</v>
      </c>
      <c r="L13" s="93">
        <f>F13-D13</f>
        <v>2068.9665684403299</v>
      </c>
    </row>
    <row r="14" spans="1:12" x14ac:dyDescent="0.2">
      <c r="A14" s="90">
        <f>name!J8</f>
        <v>0</v>
      </c>
      <c r="B14" s="93">
        <v>31918.665799657861</v>
      </c>
      <c r="C14" s="93">
        <v>31443.29421085698</v>
      </c>
      <c r="D14" s="93">
        <v>31919.742234607653</v>
      </c>
      <c r="E14" s="93">
        <v>32239.851049773246</v>
      </c>
      <c r="F14" s="93">
        <v>32775.912010263324</v>
      </c>
      <c r="H14" s="93">
        <f>C14-B14</f>
        <v>-475.371588800881</v>
      </c>
      <c r="I14" s="93">
        <f>D14-B14</f>
        <v>1.0764349497912917</v>
      </c>
      <c r="J14" s="93">
        <f t="shared" si="1"/>
        <v>320.10881516559311</v>
      </c>
      <c r="K14" s="93">
        <f t="shared" si="1"/>
        <v>536.06096049007829</v>
      </c>
      <c r="L14" s="93">
        <f>F14-D14</f>
        <v>856.1697756556714</v>
      </c>
    </row>
    <row r="15" spans="1:12" x14ac:dyDescent="0.2">
      <c r="H15" s="93"/>
      <c r="I15" s="93"/>
      <c r="J15" s="93"/>
      <c r="K15" s="93"/>
      <c r="L15" s="93"/>
    </row>
    <row r="16" spans="1:12" s="121" customFormat="1" x14ac:dyDescent="0.2">
      <c r="A16" s="121" t="str">
        <f>name!F6</f>
        <v>RQF6 First degree</v>
      </c>
      <c r="B16" s="122">
        <v>10699.858351711669</v>
      </c>
      <c r="C16" s="122">
        <v>10970.73916072664</v>
      </c>
      <c r="D16" s="122">
        <v>11301.540359819686</v>
      </c>
      <c r="E16" s="122">
        <v>11603.888290360199</v>
      </c>
      <c r="F16" s="122">
        <v>11675.073262162417</v>
      </c>
      <c r="H16" s="122">
        <f>C16-B16</f>
        <v>270.88080901497051</v>
      </c>
      <c r="I16" s="122">
        <f>D16-B16</f>
        <v>601.68200810801682</v>
      </c>
      <c r="J16" s="122">
        <f t="shared" ref="J16:K18" si="2">E16-D16</f>
        <v>302.34793054051261</v>
      </c>
      <c r="K16" s="122">
        <f t="shared" si="2"/>
        <v>71.18497180221857</v>
      </c>
      <c r="L16" s="122">
        <f>F16-D16</f>
        <v>373.53290234273118</v>
      </c>
    </row>
    <row r="17" spans="1:12" x14ac:dyDescent="0.2">
      <c r="A17" s="90">
        <f>name!J9</f>
        <v>0</v>
      </c>
      <c r="B17" s="93">
        <v>8525.1872183076739</v>
      </c>
      <c r="C17" s="93">
        <v>8709.9422108052859</v>
      </c>
      <c r="D17" s="93">
        <v>8966.579956519352</v>
      </c>
      <c r="E17" s="93">
        <v>9198.0093388787081</v>
      </c>
      <c r="F17" s="93">
        <v>9243.5195858644965</v>
      </c>
      <c r="H17" s="93">
        <f>C17-B17</f>
        <v>184.75499249761197</v>
      </c>
      <c r="I17" s="93">
        <f>D17-B17</f>
        <v>441.39273821167808</v>
      </c>
      <c r="J17" s="93">
        <f t="shared" si="2"/>
        <v>231.42938235935617</v>
      </c>
      <c r="K17" s="93">
        <f t="shared" si="2"/>
        <v>45.510246985788399</v>
      </c>
      <c r="L17" s="93">
        <f>F17-D17</f>
        <v>276.93962934514457</v>
      </c>
    </row>
    <row r="18" spans="1:12" x14ac:dyDescent="0.2">
      <c r="A18" s="90">
        <f>name!J10</f>
        <v>0</v>
      </c>
      <c r="B18" s="93">
        <v>2174.6711334039956</v>
      </c>
      <c r="C18" s="93">
        <v>2260.7969499213555</v>
      </c>
      <c r="D18" s="93">
        <v>2334.9604033003338</v>
      </c>
      <c r="E18" s="93">
        <v>2405.8789514814907</v>
      </c>
      <c r="F18" s="93">
        <v>2431.5536762979191</v>
      </c>
      <c r="H18" s="93">
        <f>C18-B18</f>
        <v>86.125816517359908</v>
      </c>
      <c r="I18" s="93">
        <f>D18-B18</f>
        <v>160.28926989633828</v>
      </c>
      <c r="J18" s="93">
        <f t="shared" si="2"/>
        <v>70.918548181156893</v>
      </c>
      <c r="K18" s="93">
        <f t="shared" si="2"/>
        <v>25.674724816428352</v>
      </c>
      <c r="L18" s="93">
        <f>F18-D18</f>
        <v>96.593272997585245</v>
      </c>
    </row>
    <row r="19" spans="1:12" x14ac:dyDescent="0.2">
      <c r="H19" s="93"/>
      <c r="I19" s="93"/>
      <c r="J19" s="93"/>
      <c r="K19" s="93"/>
      <c r="L19" s="93"/>
    </row>
    <row r="20" spans="1:12" x14ac:dyDescent="0.2">
      <c r="A20" s="91" t="str">
        <f>name!J3</f>
        <v>EE</v>
      </c>
      <c r="B20" s="92">
        <v>199629.07156740446</v>
      </c>
      <c r="C20" s="92">
        <v>194785.90049601384</v>
      </c>
      <c r="D20" s="92">
        <v>195036.90679635777</v>
      </c>
      <c r="E20" s="92">
        <v>193654.85411962072</v>
      </c>
      <c r="F20" s="92">
        <v>191899.51800454973</v>
      </c>
      <c r="H20" s="92">
        <f>C20-B20</f>
        <v>-4843.1710713906214</v>
      </c>
      <c r="I20" s="92">
        <f>D20-B20</f>
        <v>-4592.1647710466932</v>
      </c>
      <c r="J20" s="92">
        <f>E20-D20</f>
        <v>-1382.0526767370466</v>
      </c>
      <c r="K20" s="92">
        <f>F20-E20</f>
        <v>-1755.336115070997</v>
      </c>
      <c r="L20" s="92">
        <f>F20-D20</f>
        <v>-3137.3887918080436</v>
      </c>
    </row>
    <row r="23" spans="1:12" x14ac:dyDescent="0.2">
      <c r="A23" s="90" t="str">
        <f>CONCATENATE("Note: For ",Info!$A$1," there is no European LFS data for some of the ISCED Qualifications.")</f>
        <v>Note: For Region/Nation there is no European LFS data for some of the ISCED Qualifications.</v>
      </c>
    </row>
  </sheetData>
  <pageMargins left="0.51181102362204722" right="0.31496062992125984" top="0.74803149606299213" bottom="0.74803149606299213" header="0.31496062992125984" footer="0.31496062992125984"/>
  <pageSetup paperSize="9" scale="75" orientation="landscape" r:id="rId1"/>
  <ignoredErrors>
    <ignoredError sqref="I5:I20" formula="1"/>
  </ignoredErrors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55"/>
  <dimension ref="A1:CS102"/>
  <sheetViews>
    <sheetView showGridLines="0" zoomScale="85" zoomScaleNormal="85" zoomScaleSheetLayoutView="85" workbookViewId="0"/>
  </sheetViews>
  <sheetFormatPr defaultColWidth="9.140625" defaultRowHeight="12.75" x14ac:dyDescent="0.2"/>
  <cols>
    <col min="1" max="1" width="50.7109375" style="129" customWidth="1"/>
    <col min="2" max="2" width="13" style="129" customWidth="1"/>
    <col min="3" max="3" width="10.140625" style="129" customWidth="1"/>
    <col min="4" max="4" width="3.7109375" style="129" customWidth="1"/>
    <col min="5" max="6" width="10.140625" style="129" customWidth="1"/>
    <col min="7" max="7" width="3.7109375" style="129" customWidth="1"/>
    <col min="8" max="9" width="10.140625" style="129" customWidth="1"/>
    <col min="10" max="10" width="3.7109375" style="129" customWidth="1"/>
    <col min="11" max="12" width="10.140625" style="129" customWidth="1"/>
    <col min="13" max="13" width="3.7109375" style="129" customWidth="1"/>
    <col min="14" max="15" width="10.140625" style="129" customWidth="1"/>
    <col min="16" max="16" width="3.7109375" style="129" customWidth="1"/>
    <col min="17" max="18" width="10.140625" style="129" customWidth="1"/>
    <col min="19" max="19" width="9.140625" style="129"/>
    <col min="20" max="20" width="16.7109375" style="129" customWidth="1"/>
    <col min="21" max="21" width="9.140625" style="129"/>
    <col min="22" max="22" width="8.85546875" style="129" customWidth="1"/>
    <col min="23" max="41" width="9.140625" style="129"/>
    <col min="42" max="46" width="9.140625" style="136" customWidth="1"/>
    <col min="47" max="49" width="9.140625" style="129"/>
    <col min="50" max="50" width="9.140625" style="129" customWidth="1"/>
    <col min="51" max="16384" width="9.140625" style="129"/>
  </cols>
  <sheetData>
    <row r="1" spans="1:97" ht="18.75" customHeight="1" x14ac:dyDescent="0.25">
      <c r="A1" s="276" t="str">
        <f>CONCATENATE("ShiftShare Table 1  Shift-share by occupation, ",I4,", ",Info!B5)</f>
        <v>ShiftShare Table 1  Shift-share by occupation, 2015-2020, North East</v>
      </c>
      <c r="W1" s="203" t="str">
        <f>CONCATENATE("Shift-share Figure 1: Levels of Employment, ",C4," - ",F40,", ",Info!B5)</f>
        <v>Shift-share Figure 1: Levels of Employment, 2015 - 2035, North East</v>
      </c>
      <c r="AK1" s="203" t="str">
        <f>CONCATENATE("Shift-share Figure 1.1: Net Changes, ",C4,"-",F40,", ",Info!B5)</f>
        <v>Shift-share Figure 1.1: Net Changes, 2015-2035, North East</v>
      </c>
    </row>
    <row r="2" spans="1:97" ht="18.75" customHeight="1" x14ac:dyDescent="0.25">
      <c r="A2" s="135" t="s">
        <v>537</v>
      </c>
      <c r="W2" s="203"/>
      <c r="AK2" s="203"/>
    </row>
    <row r="3" spans="1:97" x14ac:dyDescent="0.2">
      <c r="A3" s="145"/>
      <c r="B3" s="275"/>
      <c r="C3" s="275"/>
      <c r="D3" s="275"/>
      <c r="E3" s="275"/>
      <c r="F3" s="275"/>
      <c r="G3" s="275"/>
      <c r="H3" s="275"/>
      <c r="I3" s="275"/>
      <c r="J3" s="275"/>
      <c r="K3" s="377" t="s">
        <v>53</v>
      </c>
      <c r="L3" s="377"/>
      <c r="M3" s="377"/>
      <c r="N3" s="377"/>
      <c r="O3" s="377"/>
      <c r="P3" s="377"/>
      <c r="Q3" s="377"/>
      <c r="R3" s="377"/>
      <c r="AT3" s="137"/>
      <c r="AU3" s="125"/>
      <c r="AW3" s="137"/>
      <c r="AX3" s="136"/>
      <c r="AY3" s="138"/>
      <c r="AZ3" s="125"/>
      <c r="BA3" s="125"/>
      <c r="BB3" s="125"/>
      <c r="BC3" s="125"/>
      <c r="BD3" s="125"/>
      <c r="BE3" s="125"/>
      <c r="BF3" s="125"/>
      <c r="BG3" s="125"/>
      <c r="BH3" s="125"/>
      <c r="BI3" s="125"/>
      <c r="BJ3" s="125"/>
      <c r="BK3" s="125"/>
      <c r="BL3" s="125"/>
      <c r="BM3" s="125"/>
      <c r="BN3" s="125"/>
      <c r="BO3" s="125"/>
      <c r="BP3" s="125"/>
      <c r="BQ3" s="125"/>
      <c r="BR3" s="125"/>
      <c r="BS3" s="125"/>
      <c r="BT3" s="125"/>
      <c r="BU3" s="125"/>
      <c r="BV3" s="125"/>
      <c r="BW3" s="125"/>
      <c r="BX3" s="125"/>
      <c r="BY3" s="125"/>
      <c r="BZ3" s="125"/>
      <c r="CA3" s="125"/>
      <c r="CB3" s="125"/>
      <c r="CC3" s="125"/>
      <c r="CD3" s="125"/>
      <c r="CE3" s="125"/>
      <c r="CF3" s="125"/>
      <c r="CG3" s="125"/>
      <c r="CH3" s="125"/>
      <c r="CI3" s="125"/>
      <c r="CJ3" s="125"/>
      <c r="CK3" s="125"/>
      <c r="CL3" s="125"/>
      <c r="CM3" s="125"/>
      <c r="CN3" s="125"/>
      <c r="CO3" s="125"/>
      <c r="CP3" s="125"/>
      <c r="CQ3" s="125"/>
      <c r="CR3" s="125"/>
      <c r="CS3" s="125"/>
    </row>
    <row r="4" spans="1:97" x14ac:dyDescent="0.2">
      <c r="B4" s="270" t="s">
        <v>54</v>
      </c>
      <c r="C4" s="271">
        <v>2015</v>
      </c>
      <c r="D4" s="135"/>
      <c r="E4" s="270" t="s">
        <v>55</v>
      </c>
      <c r="F4" s="271">
        <v>2020</v>
      </c>
      <c r="G4" s="135"/>
      <c r="H4" s="270" t="s">
        <v>18</v>
      </c>
      <c r="I4" s="270" t="str">
        <f>CONCATENATE(C4,"-",F4)</f>
        <v>2015-2020</v>
      </c>
      <c r="J4" s="135"/>
      <c r="K4" s="376" t="s">
        <v>56</v>
      </c>
      <c r="L4" s="376"/>
      <c r="M4" s="135"/>
      <c r="N4" s="376" t="s">
        <v>57</v>
      </c>
      <c r="O4" s="376"/>
      <c r="P4" s="135"/>
      <c r="Q4" s="376" t="s">
        <v>58</v>
      </c>
      <c r="R4" s="376"/>
      <c r="AW4" s="136"/>
      <c r="AX4" s="136"/>
      <c r="AY4" s="138"/>
    </row>
    <row r="5" spans="1:97" x14ac:dyDescent="0.2">
      <c r="A5" s="142" t="s">
        <v>507</v>
      </c>
      <c r="B5" s="272" t="s">
        <v>60</v>
      </c>
      <c r="C5" s="272" t="s">
        <v>61</v>
      </c>
      <c r="D5" s="135"/>
      <c r="E5" s="272" t="str">
        <f>B5</f>
        <v>000s</v>
      </c>
      <c r="F5" s="272" t="str">
        <f>C5</f>
        <v>% share</v>
      </c>
      <c r="G5" s="135"/>
      <c r="H5" s="272" t="str">
        <f>E5</f>
        <v>000s</v>
      </c>
      <c r="I5" s="272" t="s">
        <v>62</v>
      </c>
      <c r="J5" s="135"/>
      <c r="K5" s="272" t="str">
        <f>H5</f>
        <v>000s</v>
      </c>
      <c r="L5" s="272" t="str">
        <f>I5</f>
        <v xml:space="preserve">%   </v>
      </c>
      <c r="M5" s="135"/>
      <c r="N5" s="272" t="str">
        <f>K5</f>
        <v>000s</v>
      </c>
      <c r="O5" s="272" t="str">
        <f>L5</f>
        <v xml:space="preserve">%   </v>
      </c>
      <c r="P5" s="135"/>
      <c r="Q5" s="272" t="str">
        <f>N5</f>
        <v>000s</v>
      </c>
      <c r="R5" s="272" t="str">
        <f>O5</f>
        <v xml:space="preserve">%   </v>
      </c>
      <c r="Z5" s="138" t="e">
        <f>"Levels of Employment, "&amp;#REF!&amp;"-"&amp;#REF!</f>
        <v>#REF!</v>
      </c>
      <c r="AM5" s="129" t="e">
        <f>"Net Changes, "&amp;#REF!&amp;"-"&amp;#REF!</f>
        <v>#REF!</v>
      </c>
      <c r="AV5" s="136"/>
      <c r="AW5" s="136"/>
      <c r="AX5" s="136"/>
    </row>
    <row r="6" spans="1:97" x14ac:dyDescent="0.2">
      <c r="A6" s="142"/>
      <c r="B6" s="270"/>
      <c r="C6" s="270"/>
      <c r="D6" s="135"/>
      <c r="E6" s="270"/>
      <c r="F6" s="270"/>
      <c r="G6" s="135"/>
      <c r="H6" s="270"/>
      <c r="I6" s="270"/>
      <c r="J6" s="135"/>
      <c r="K6" s="270"/>
      <c r="L6" s="270"/>
      <c r="M6" s="135"/>
      <c r="N6" s="270"/>
      <c r="O6" s="270"/>
      <c r="P6" s="135"/>
      <c r="Q6" s="270"/>
      <c r="R6" s="270"/>
      <c r="T6" s="135"/>
      <c r="AV6" s="136"/>
      <c r="AW6" s="136"/>
      <c r="AX6" s="136"/>
      <c r="AY6" s="138"/>
    </row>
    <row r="7" spans="1:97" x14ac:dyDescent="0.2">
      <c r="A7" s="277"/>
      <c r="B7" s="270"/>
      <c r="C7" s="270"/>
      <c r="D7" s="275"/>
      <c r="E7" s="270"/>
      <c r="F7" s="270"/>
      <c r="G7" s="275"/>
      <c r="H7" s="270"/>
      <c r="I7" s="270"/>
      <c r="J7" s="275"/>
      <c r="K7" s="270"/>
      <c r="L7" s="270"/>
      <c r="M7" s="275"/>
      <c r="N7" s="270"/>
      <c r="O7" s="270"/>
      <c r="P7" s="275"/>
      <c r="Q7" s="270"/>
      <c r="R7" s="270"/>
      <c r="T7" s="135"/>
      <c r="AV7" s="136"/>
      <c r="AW7" s="136"/>
      <c r="AX7" s="136"/>
      <c r="AY7" s="138"/>
    </row>
    <row r="8" spans="1:97" x14ac:dyDescent="0.2">
      <c r="A8" s="10" t="str">
        <f>name!$D4</f>
        <v>11 Corporate managers and directors</v>
      </c>
      <c r="B8" s="150">
        <v>52.789581565562479</v>
      </c>
      <c r="C8" s="140">
        <f t="shared" ref="C8:C33" si="0">B8/B$35*100</f>
        <v>4.3710731500617515</v>
      </c>
      <c r="E8" s="150">
        <v>61.768389193758232</v>
      </c>
      <c r="F8" s="140">
        <f t="shared" ref="F8:F33" si="1">E8/E$35*100</f>
        <v>5.1935057366943438</v>
      </c>
      <c r="H8" s="150">
        <f>E8-B8</f>
        <v>8.978807628195753</v>
      </c>
      <c r="I8" s="140">
        <f>IF(B8&lt;&gt;0,((E8/B8)-1)*100,0)</f>
        <v>17.008673609288682</v>
      </c>
      <c r="K8" s="207">
        <f t="shared" ref="K8:K33" si="2">(($E$35/$B$35)-1)*B8</f>
        <v>-0.8027038733368429</v>
      </c>
      <c r="L8" s="140">
        <f>IF(B8&lt;&gt;0,K8/B8*100,0)</f>
        <v>-1.5205725249780924</v>
      </c>
      <c r="N8" s="150">
        <f>H8-(K8+Q8)</f>
        <v>10.767742636123698</v>
      </c>
      <c r="O8" s="140">
        <f>IF(B8&lt;&gt;0,N8/B8*100,0)</f>
        <v>20.397476768688925</v>
      </c>
      <c r="Q8" s="150">
        <v>-0.9862311345911019</v>
      </c>
      <c r="R8" s="140">
        <f>IF(B8&lt;&gt;0,Q8/B8*100,0)</f>
        <v>-1.8682306344221418</v>
      </c>
      <c r="AT8" s="136" t="e">
        <f ca="1">CONCATENATE("C:",INT(CELL("col",#REF!))," R:",INT(CELL("row",#REF!)))</f>
        <v>#REF!</v>
      </c>
    </row>
    <row r="9" spans="1:97" x14ac:dyDescent="0.2">
      <c r="A9" s="10" t="str">
        <f>name!$D5</f>
        <v>12 Other managers and proprietors</v>
      </c>
      <c r="B9" s="150">
        <v>35.787011508835903</v>
      </c>
      <c r="C9" s="140">
        <f t="shared" si="0"/>
        <v>2.9632294950651739</v>
      </c>
      <c r="E9" s="150">
        <v>37.959358890498983</v>
      </c>
      <c r="F9" s="140">
        <f t="shared" si="1"/>
        <v>3.1916349241460771</v>
      </c>
      <c r="H9" s="150">
        <f t="shared" ref="H9:H32" si="3">E9-B9</f>
        <v>2.1723473816630801</v>
      </c>
      <c r="I9" s="140">
        <f t="shared" ref="I9:I35" si="4">IF(B9&lt;&gt;0,((E9/B9)-1)*100,0)</f>
        <v>6.0702117614004125</v>
      </c>
      <c r="K9" s="207">
        <f t="shared" si="2"/>
        <v>-0.54416746451410647</v>
      </c>
      <c r="L9" s="140">
        <f t="shared" ref="L9:L32" si="5">IF(B9&lt;&gt;0,K9/B9*100,0)</f>
        <v>-1.5205725249780919</v>
      </c>
      <c r="N9" s="150">
        <f t="shared" ref="N9:N31" si="6">H9-(K9+Q9)</f>
        <v>2.3715670224804688</v>
      </c>
      <c r="O9" s="140">
        <f>IF(B9&lt;&gt;0,N9/B9*100,0)</f>
        <v>6.6268931729460645</v>
      </c>
      <c r="Q9" s="150">
        <v>0.34494782369671761</v>
      </c>
      <c r="R9" s="140">
        <f>IF(B9&lt;&gt;0,Q9/B9*100,0)</f>
        <v>0.9638911134324506</v>
      </c>
      <c r="T9" s="135"/>
    </row>
    <row r="10" spans="1:97" x14ac:dyDescent="0.2">
      <c r="A10" s="10" t="str">
        <f>name!$D6</f>
        <v>21 Science, research, engineering and technology professionals</v>
      </c>
      <c r="B10" s="150">
        <v>53.08494534255329</v>
      </c>
      <c r="C10" s="140">
        <f t="shared" si="0"/>
        <v>4.3955298067886464</v>
      </c>
      <c r="E10" s="150">
        <v>57.693711549572342</v>
      </c>
      <c r="F10" s="140">
        <f t="shared" si="1"/>
        <v>4.8509055491796911</v>
      </c>
      <c r="H10" s="150">
        <f t="shared" si="3"/>
        <v>4.6087662070190518</v>
      </c>
      <c r="I10" s="140">
        <f t="shared" si="4"/>
        <v>8.6818704950697878</v>
      </c>
      <c r="K10" s="207">
        <f t="shared" si="2"/>
        <v>-0.80719509377850274</v>
      </c>
      <c r="L10" s="140">
        <f t="shared" si="5"/>
        <v>-1.5205725249780924</v>
      </c>
      <c r="N10" s="150">
        <f t="shared" si="6"/>
        <v>8.4971982827484442</v>
      </c>
      <c r="O10" s="140">
        <f t="shared" ref="O10:O32" si="7">IF(B10&lt;&gt;0,N10/B10*100,0)</f>
        <v>16.006794822744265</v>
      </c>
      <c r="Q10" s="150">
        <v>-3.0812369819508896</v>
      </c>
      <c r="R10" s="140">
        <f t="shared" ref="R10:R32" si="8">IF(B10&lt;&gt;0,Q10/B10*100,0)</f>
        <v>-5.8043518026963978</v>
      </c>
      <c r="AT10" s="136" t="e">
        <f ca="1">CONCATENATE("C:",INT(CELL("col",#REF!))," R:",INT(CELL("row",#REF!)))</f>
        <v>#REF!</v>
      </c>
    </row>
    <row r="11" spans="1:97" x14ac:dyDescent="0.2">
      <c r="A11" s="10" t="str">
        <f>name!$D7</f>
        <v>22 Health professionals</v>
      </c>
      <c r="B11" s="150">
        <v>74.445418040172925</v>
      </c>
      <c r="C11" s="140">
        <f t="shared" si="0"/>
        <v>6.1642157086693583</v>
      </c>
      <c r="E11" s="150">
        <v>80.600575984282628</v>
      </c>
      <c r="F11" s="140">
        <f t="shared" si="1"/>
        <v>6.7769219696203473</v>
      </c>
      <c r="H11" s="150">
        <f>E11-B11</f>
        <v>6.1551579441097033</v>
      </c>
      <c r="I11" s="140">
        <f>IF(B11&lt;&gt;0,((E11/B11)-1)*100,0)</f>
        <v>8.268014481144025</v>
      </c>
      <c r="K11" s="207">
        <f t="shared" si="2"/>
        <v>-1.1319965728239536</v>
      </c>
      <c r="L11" s="140">
        <f t="shared" si="5"/>
        <v>-1.5205725249780921</v>
      </c>
      <c r="N11" s="150">
        <f t="shared" si="6"/>
        <v>6.6476158903654854</v>
      </c>
      <c r="O11" s="140">
        <f t="shared" si="7"/>
        <v>8.9295165039952327</v>
      </c>
      <c r="Q11" s="150">
        <v>0.63953862656817173</v>
      </c>
      <c r="R11" s="140">
        <f>IF(B11&lt;&gt;0,Q11/B11*100,0)</f>
        <v>0.85907050212688452</v>
      </c>
      <c r="T11" s="135"/>
    </row>
    <row r="12" spans="1:97" x14ac:dyDescent="0.2">
      <c r="A12" s="10" t="str">
        <f>name!$D8</f>
        <v>23 Teaching and other educational professionals</v>
      </c>
      <c r="B12" s="150">
        <v>51.740039318389456</v>
      </c>
      <c r="C12" s="140">
        <f t="shared" si="0"/>
        <v>4.2841691474078223</v>
      </c>
      <c r="E12" s="150">
        <v>53.708575195788306</v>
      </c>
      <c r="F12" s="140">
        <f t="shared" si="1"/>
        <v>4.5158340217360387</v>
      </c>
      <c r="H12" s="150">
        <f t="shared" si="3"/>
        <v>1.9685358773988497</v>
      </c>
      <c r="I12" s="140">
        <f t="shared" si="4"/>
        <v>3.8046663731451602</v>
      </c>
      <c r="K12" s="207">
        <f t="shared" si="2"/>
        <v>-0.78674482228829223</v>
      </c>
      <c r="L12" s="140">
        <f t="shared" si="5"/>
        <v>-1.5205725249780921</v>
      </c>
      <c r="N12" s="150">
        <f t="shared" si="6"/>
        <v>3.9822171773757682</v>
      </c>
      <c r="O12" s="140">
        <f t="shared" si="7"/>
        <v>7.6965870722877625</v>
      </c>
      <c r="Q12" s="150">
        <v>-1.2269364776886262</v>
      </c>
      <c r="R12" s="140">
        <f t="shared" si="8"/>
        <v>-2.3713481741645066</v>
      </c>
      <c r="AT12" s="136" t="e">
        <f ca="1">CONCATENATE("C:",INT(CELL("col",#REF!))," R:",INT(CELL("row",#REF!)))</f>
        <v>#REF!</v>
      </c>
    </row>
    <row r="13" spans="1:97" x14ac:dyDescent="0.2">
      <c r="A13" s="10" t="str">
        <f>name!$D9</f>
        <v>24 Business, media and public service professionals</v>
      </c>
      <c r="B13" s="150">
        <v>52.220322486637031</v>
      </c>
      <c r="C13" s="140">
        <f t="shared" si="0"/>
        <v>4.323937465301122</v>
      </c>
      <c r="E13" s="150">
        <v>62.751374352085939</v>
      </c>
      <c r="F13" s="140">
        <f t="shared" si="1"/>
        <v>5.2761554402967201</v>
      </c>
      <c r="H13" s="150">
        <f t="shared" si="3"/>
        <v>10.531051865448909</v>
      </c>
      <c r="I13" s="140">
        <f t="shared" si="4"/>
        <v>20.166577615723757</v>
      </c>
      <c r="K13" s="207">
        <f t="shared" si="2"/>
        <v>-0.79404787618675909</v>
      </c>
      <c r="L13" s="140">
        <f t="shared" si="5"/>
        <v>-1.5205725249780921</v>
      </c>
      <c r="N13" s="150">
        <f>H13-(K13+Q13)</f>
        <v>13.573416956369423</v>
      </c>
      <c r="O13" s="140">
        <f>IF(B13&lt;&gt;0,N13/B13*100,0)</f>
        <v>25.992595047345418</v>
      </c>
      <c r="Q13" s="150">
        <v>-2.2483172147337553</v>
      </c>
      <c r="R13" s="140">
        <f t="shared" si="8"/>
        <v>-4.3054449066435598</v>
      </c>
      <c r="T13" s="135"/>
    </row>
    <row r="14" spans="1:97" x14ac:dyDescent="0.2">
      <c r="A14" s="10" t="str">
        <f>name!$D10</f>
        <v>31 Science, engineering and technology associate professionals</v>
      </c>
      <c r="B14" s="150">
        <v>22.173700353829513</v>
      </c>
      <c r="C14" s="140">
        <f t="shared" si="0"/>
        <v>1.8360226275664784</v>
      </c>
      <c r="E14" s="150">
        <v>25.674611673300856</v>
      </c>
      <c r="F14" s="140">
        <f t="shared" si="1"/>
        <v>2.158729485310293</v>
      </c>
      <c r="H14" s="150">
        <f t="shared" si="3"/>
        <v>3.5009113194713422</v>
      </c>
      <c r="I14" s="140">
        <f t="shared" si="4"/>
        <v>15.788575039829645</v>
      </c>
      <c r="K14" s="207">
        <f t="shared" si="2"/>
        <v>-0.33716719535130157</v>
      </c>
      <c r="L14" s="140">
        <f>IF(B14&lt;&gt;0,K14/B14*100,0)</f>
        <v>-1.5205725249780921</v>
      </c>
      <c r="N14" s="150">
        <f t="shared" si="6"/>
        <v>4.6554275659983322</v>
      </c>
      <c r="O14" s="140">
        <f t="shared" si="7"/>
        <v>20.995266877926923</v>
      </c>
      <c r="Q14" s="150">
        <v>-0.8173490511756889</v>
      </c>
      <c r="R14" s="140">
        <f t="shared" si="8"/>
        <v>-3.6861193131191947</v>
      </c>
      <c r="AT14" s="136" t="e">
        <f ca="1">CONCATENATE("C:",INT(CELL("col",#REF!))," R:",INT(CELL("row",#REF!)))</f>
        <v>#REF!</v>
      </c>
    </row>
    <row r="15" spans="1:97" x14ac:dyDescent="0.2">
      <c r="A15" s="10" t="str">
        <f>name!$D11</f>
        <v>32 Health and social care associate professionals</v>
      </c>
      <c r="B15" s="150">
        <v>25.961609747557699</v>
      </c>
      <c r="C15" s="140">
        <f t="shared" si="0"/>
        <v>2.1496683992274748</v>
      </c>
      <c r="E15" s="150">
        <v>28.696516826584283</v>
      </c>
      <c r="F15" s="140">
        <f t="shared" si="1"/>
        <v>2.4128122281853428</v>
      </c>
      <c r="H15" s="150">
        <f t="shared" si="3"/>
        <v>2.7349070790265841</v>
      </c>
      <c r="I15" s="140">
        <f t="shared" si="4"/>
        <v>10.534427971223415</v>
      </c>
      <c r="K15" s="207">
        <f t="shared" si="2"/>
        <v>-0.39476510486339661</v>
      </c>
      <c r="L15" s="140">
        <f t="shared" si="5"/>
        <v>-1.5205725249780921</v>
      </c>
      <c r="N15" s="150">
        <f t="shared" si="6"/>
        <v>3.051128669592241</v>
      </c>
      <c r="O15" s="140">
        <f t="shared" si="7"/>
        <v>11.752463345918954</v>
      </c>
      <c r="Q15" s="150">
        <v>7.8543514297739619E-2</v>
      </c>
      <c r="R15" s="140">
        <f t="shared" si="8"/>
        <v>0.30253715028255707</v>
      </c>
      <c r="T15" s="11"/>
    </row>
    <row r="16" spans="1:97" x14ac:dyDescent="0.2">
      <c r="A16" s="10" t="str">
        <f>name!$D12</f>
        <v>33 Protective service occupations</v>
      </c>
      <c r="B16" s="150">
        <v>14.68743195603696</v>
      </c>
      <c r="C16" s="140">
        <f t="shared" si="0"/>
        <v>1.2161460190143498</v>
      </c>
      <c r="E16" s="150">
        <v>16.490904766190859</v>
      </c>
      <c r="F16" s="140">
        <f t="shared" si="1"/>
        <v>1.3865604984101951</v>
      </c>
      <c r="H16" s="150">
        <f t="shared" si="3"/>
        <v>1.8034728101538988</v>
      </c>
      <c r="I16" s="140">
        <f t="shared" si="4"/>
        <v>12.279020699820965</v>
      </c>
      <c r="K16" s="207">
        <f t="shared" si="2"/>
        <v>-0.2233330549483504</v>
      </c>
      <c r="L16" s="140">
        <f t="shared" si="5"/>
        <v>-1.5205725249780921</v>
      </c>
      <c r="N16" s="150">
        <f t="shared" si="6"/>
        <v>1.3234520492412558</v>
      </c>
      <c r="O16" s="140">
        <f t="shared" si="7"/>
        <v>9.0107791014975813</v>
      </c>
      <c r="Q16" s="150">
        <v>0.70335381586099344</v>
      </c>
      <c r="R16" s="140">
        <f t="shared" si="8"/>
        <v>4.7888141233014849</v>
      </c>
      <c r="T16" s="11"/>
    </row>
    <row r="17" spans="1:20" x14ac:dyDescent="0.2">
      <c r="A17" s="10" t="str">
        <f>name!$D13</f>
        <v>34 Culture, media and sports occupations</v>
      </c>
      <c r="B17" s="150">
        <v>15.58428987447075</v>
      </c>
      <c r="C17" s="140">
        <f t="shared" si="0"/>
        <v>1.2904074821747924</v>
      </c>
      <c r="E17" s="150">
        <v>14.871594679764716</v>
      </c>
      <c r="F17" s="140">
        <f t="shared" si="1"/>
        <v>1.2504083932134642</v>
      </c>
      <c r="H17" s="150">
        <f t="shared" si="3"/>
        <v>-0.71269519470603448</v>
      </c>
      <c r="I17" s="140">
        <f t="shared" si="4"/>
        <v>-4.5731643882826472</v>
      </c>
      <c r="K17" s="207">
        <f t="shared" si="2"/>
        <v>-0.23697043004414503</v>
      </c>
      <c r="L17" s="140">
        <f t="shared" si="5"/>
        <v>-1.5205725249780921</v>
      </c>
      <c r="N17" s="150">
        <f t="shared" si="6"/>
        <v>0.83152458629437831</v>
      </c>
      <c r="O17" s="140">
        <f t="shared" si="7"/>
        <v>5.3356591348864226</v>
      </c>
      <c r="Q17" s="150">
        <v>-1.3072493509562677</v>
      </c>
      <c r="R17" s="140">
        <f t="shared" si="8"/>
        <v>-8.3882509981909745</v>
      </c>
      <c r="T17" s="11"/>
    </row>
    <row r="18" spans="1:20" x14ac:dyDescent="0.2">
      <c r="A18" s="10" t="str">
        <f>name!$D14</f>
        <v>35 Business and public service associate professionals</v>
      </c>
      <c r="B18" s="150">
        <v>50.660121656326183</v>
      </c>
      <c r="C18" s="140">
        <f t="shared" si="0"/>
        <v>4.1947500052791868</v>
      </c>
      <c r="E18" s="150">
        <v>54.538524390761594</v>
      </c>
      <c r="F18" s="140">
        <f t="shared" si="1"/>
        <v>4.5856164130452521</v>
      </c>
      <c r="H18" s="150">
        <f t="shared" si="3"/>
        <v>3.8784027344354115</v>
      </c>
      <c r="I18" s="140">
        <f t="shared" si="4"/>
        <v>7.6557311898028058</v>
      </c>
      <c r="K18" s="207">
        <f t="shared" si="2"/>
        <v>-0.77032389102657228</v>
      </c>
      <c r="L18" s="140">
        <f t="shared" si="5"/>
        <v>-1.5205725249780921</v>
      </c>
      <c r="N18" s="150">
        <f t="shared" si="6"/>
        <v>5.0110014737590571</v>
      </c>
      <c r="O18" s="140">
        <f t="shared" si="7"/>
        <v>9.8914122389070656</v>
      </c>
      <c r="Q18" s="150">
        <v>-0.36227484829707329</v>
      </c>
      <c r="R18" s="140">
        <f t="shared" si="8"/>
        <v>-0.71510852412616388</v>
      </c>
      <c r="T18" s="11"/>
    </row>
    <row r="19" spans="1:20" x14ac:dyDescent="0.2">
      <c r="A19" s="10" t="str">
        <f>name!$D15</f>
        <v>41 Administrative occupations</v>
      </c>
      <c r="B19" s="150">
        <v>114.57040469271979</v>
      </c>
      <c r="C19" s="140">
        <f t="shared" si="0"/>
        <v>9.4866374176898702</v>
      </c>
      <c r="E19" s="150">
        <v>110.91865106364448</v>
      </c>
      <c r="F19" s="140">
        <f t="shared" si="1"/>
        <v>9.3260753295416521</v>
      </c>
      <c r="H19" s="150">
        <f t="shared" si="3"/>
        <v>-3.6517536290753156</v>
      </c>
      <c r="I19" s="140">
        <f t="shared" si="4"/>
        <v>-3.1873446191181709</v>
      </c>
      <c r="K19" s="207">
        <f t="shared" si="2"/>
        <v>-1.7421260955137079</v>
      </c>
      <c r="L19" s="140">
        <f t="shared" si="5"/>
        <v>-1.5205725249780921</v>
      </c>
      <c r="N19" s="150">
        <f t="shared" si="6"/>
        <v>-0.79179066462357373</v>
      </c>
      <c r="O19" s="140">
        <f t="shared" si="7"/>
        <v>-0.69109528481388605</v>
      </c>
      <c r="Q19" s="150">
        <v>-1.1178368689380338</v>
      </c>
      <c r="R19" s="140">
        <f t="shared" si="8"/>
        <v>-0.97567680932619161</v>
      </c>
      <c r="T19" s="11"/>
    </row>
    <row r="20" spans="1:20" x14ac:dyDescent="0.2">
      <c r="A20" s="10" t="str">
        <f>name!$D16</f>
        <v>42 Secretarial and related occupations</v>
      </c>
      <c r="B20" s="150">
        <v>25.1803806130523</v>
      </c>
      <c r="C20" s="140">
        <f t="shared" si="0"/>
        <v>2.0849812092060596</v>
      </c>
      <c r="E20" s="150">
        <v>21.772443071641227</v>
      </c>
      <c r="F20" s="140">
        <f t="shared" si="1"/>
        <v>1.8306339127562374</v>
      </c>
      <c r="H20" s="150">
        <f t="shared" si="3"/>
        <v>-3.4079375414110729</v>
      </c>
      <c r="I20" s="140">
        <f t="shared" si="4"/>
        <v>-13.534098605501466</v>
      </c>
      <c r="K20" s="207">
        <f t="shared" si="2"/>
        <v>-0.38288594928698333</v>
      </c>
      <c r="L20" s="140">
        <f t="shared" si="5"/>
        <v>-1.5205725249780919</v>
      </c>
      <c r="N20" s="150">
        <f t="shared" si="6"/>
        <v>-2.9337752386838827</v>
      </c>
      <c r="O20" s="140">
        <f t="shared" si="7"/>
        <v>-11.651036113263334</v>
      </c>
      <c r="Q20" s="150">
        <v>-9.1276353440206751E-2</v>
      </c>
      <c r="R20" s="140">
        <f t="shared" si="8"/>
        <v>-0.36248996726004001</v>
      </c>
      <c r="T20" s="11"/>
    </row>
    <row r="21" spans="1:20" x14ac:dyDescent="0.2">
      <c r="A21" s="10" t="str">
        <f>name!$D17</f>
        <v>51 Skilled agricultural and related trades</v>
      </c>
      <c r="B21" s="150">
        <v>12.543419718462415</v>
      </c>
      <c r="C21" s="140">
        <f t="shared" si="0"/>
        <v>1.0386179150374935</v>
      </c>
      <c r="E21" s="150">
        <v>10.301868360565633</v>
      </c>
      <c r="F21" s="140">
        <f t="shared" si="1"/>
        <v>0.86618435623174861</v>
      </c>
      <c r="H21" s="150">
        <f t="shared" si="3"/>
        <v>-2.2415513578967818</v>
      </c>
      <c r="I21" s="140">
        <f t="shared" si="4"/>
        <v>-17.870336863538782</v>
      </c>
      <c r="K21" s="207">
        <f t="shared" si="2"/>
        <v>-0.19073179393162384</v>
      </c>
      <c r="L21" s="140">
        <f t="shared" si="5"/>
        <v>-1.5205725249780921</v>
      </c>
      <c r="N21" s="150">
        <f t="shared" si="6"/>
        <v>-0.41857493072010299</v>
      </c>
      <c r="O21" s="140">
        <f t="shared" si="7"/>
        <v>-3.3370080896201757</v>
      </c>
      <c r="Q21" s="150">
        <v>-1.6322446332450551</v>
      </c>
      <c r="R21" s="140">
        <f t="shared" si="8"/>
        <v>-13.012756248940519</v>
      </c>
      <c r="T21" s="11"/>
    </row>
    <row r="22" spans="1:20" x14ac:dyDescent="0.2">
      <c r="A22" s="10" t="str">
        <f>name!$D18</f>
        <v>52 Skilled metal, electrical and electronic trades</v>
      </c>
      <c r="B22" s="150">
        <v>51.747021542468346</v>
      </c>
      <c r="C22" s="140">
        <f t="shared" si="0"/>
        <v>4.2847472882320874</v>
      </c>
      <c r="E22" s="150">
        <v>42.60775024378303</v>
      </c>
      <c r="F22" s="140">
        <f t="shared" si="1"/>
        <v>3.58247314212118</v>
      </c>
      <c r="H22" s="150">
        <f t="shared" si="3"/>
        <v>-9.1392712986853155</v>
      </c>
      <c r="I22" s="140">
        <f t="shared" si="4"/>
        <v>-17.661444130044845</v>
      </c>
      <c r="K22" s="207">
        <f t="shared" si="2"/>
        <v>-0.78685099206926823</v>
      </c>
      <c r="L22" s="140">
        <f t="shared" si="5"/>
        <v>-1.5205725249780921</v>
      </c>
      <c r="N22" s="150">
        <f t="shared" si="6"/>
        <v>-5.6313109508317378</v>
      </c>
      <c r="O22" s="140">
        <f t="shared" si="7"/>
        <v>-10.882386624339659</v>
      </c>
      <c r="Q22" s="150">
        <v>-2.7211093557843098</v>
      </c>
      <c r="R22" s="140">
        <f t="shared" si="8"/>
        <v>-5.2584849807270899</v>
      </c>
      <c r="T22" s="11"/>
    </row>
    <row r="23" spans="1:20" x14ac:dyDescent="0.2">
      <c r="A23" s="10" t="str">
        <f>name!$D19</f>
        <v>53 Skilled construction and building trades</v>
      </c>
      <c r="B23" s="150">
        <v>41.419150338928858</v>
      </c>
      <c r="C23" s="140">
        <f t="shared" si="0"/>
        <v>3.4295808107516672</v>
      </c>
      <c r="E23" s="150">
        <v>36.039102763857159</v>
      </c>
      <c r="F23" s="140">
        <f t="shared" si="1"/>
        <v>3.0301791805236653</v>
      </c>
      <c r="H23" s="150">
        <f t="shared" si="3"/>
        <v>-5.3800475750716998</v>
      </c>
      <c r="I23" s="140">
        <f t="shared" si="4"/>
        <v>-12.989275567092262</v>
      </c>
      <c r="K23" s="207">
        <f t="shared" si="2"/>
        <v>-0.62980822013312254</v>
      </c>
      <c r="L23" s="140">
        <f t="shared" si="5"/>
        <v>-1.5205725249780921</v>
      </c>
      <c r="N23" s="150">
        <f t="shared" si="6"/>
        <v>-6.0223119692878218</v>
      </c>
      <c r="O23" s="140">
        <f t="shared" si="7"/>
        <v>-14.53992155804219</v>
      </c>
      <c r="Q23" s="150">
        <v>1.2720726143492442</v>
      </c>
      <c r="R23" s="140">
        <f t="shared" si="8"/>
        <v>3.071218515928015</v>
      </c>
      <c r="T23" s="11"/>
    </row>
    <row r="24" spans="1:20" x14ac:dyDescent="0.2">
      <c r="A24" s="10" t="str">
        <f>name!$D20</f>
        <v>54 Textiles, printing and other skilled trades</v>
      </c>
      <c r="B24" s="150">
        <v>25.386641391134777</v>
      </c>
      <c r="C24" s="140">
        <f t="shared" si="0"/>
        <v>2.1020599759295169</v>
      </c>
      <c r="E24" s="150">
        <v>21.093602961826281</v>
      </c>
      <c r="F24" s="140">
        <f t="shared" si="1"/>
        <v>1.7735568212108681</v>
      </c>
      <c r="H24" s="150">
        <f t="shared" si="3"/>
        <v>-4.2930384293084956</v>
      </c>
      <c r="I24" s="140">
        <f t="shared" si="4"/>
        <v>-16.910619893215419</v>
      </c>
      <c r="K24" s="207">
        <f t="shared" si="2"/>
        <v>-0.38602229400831156</v>
      </c>
      <c r="L24" s="140">
        <f t="shared" si="5"/>
        <v>-1.5205725249780924</v>
      </c>
      <c r="N24" s="150">
        <f t="shared" si="6"/>
        <v>-3.1724773917379081</v>
      </c>
      <c r="O24" s="140">
        <f t="shared" si="7"/>
        <v>-12.496640823255035</v>
      </c>
      <c r="Q24" s="150">
        <v>-0.73453874356227589</v>
      </c>
      <c r="R24" s="140">
        <f t="shared" si="8"/>
        <v>-2.893406544982287</v>
      </c>
      <c r="T24" s="11"/>
    </row>
    <row r="25" spans="1:20" x14ac:dyDescent="0.2">
      <c r="A25" s="10" t="str">
        <f>name!$D21</f>
        <v>61 Caring personal service occupations</v>
      </c>
      <c r="B25" s="150">
        <v>88.684911099512362</v>
      </c>
      <c r="C25" s="140">
        <f t="shared" si="0"/>
        <v>7.3432715741693997</v>
      </c>
      <c r="E25" s="150">
        <v>85.269437786949581</v>
      </c>
      <c r="F25" s="140">
        <f t="shared" si="1"/>
        <v>7.1694813494662792</v>
      </c>
      <c r="H25" s="150">
        <f t="shared" si="3"/>
        <v>-3.4154733125627814</v>
      </c>
      <c r="I25" s="140">
        <f t="shared" si="4"/>
        <v>-3.8512451218790988</v>
      </c>
      <c r="K25" s="207">
        <f t="shared" si="2"/>
        <v>-1.3485183919804313</v>
      </c>
      <c r="L25" s="140">
        <f t="shared" si="5"/>
        <v>-1.5205725249780919</v>
      </c>
      <c r="N25" s="150">
        <f t="shared" si="6"/>
        <v>-2.3235715938349006</v>
      </c>
      <c r="O25" s="140">
        <f t="shared" si="7"/>
        <v>-2.6200303580703221</v>
      </c>
      <c r="Q25" s="150">
        <v>0.25661667325255078</v>
      </c>
      <c r="R25" s="140">
        <f t="shared" si="8"/>
        <v>0.28935776116932005</v>
      </c>
      <c r="T25" s="11"/>
    </row>
    <row r="26" spans="1:20" x14ac:dyDescent="0.2">
      <c r="A26" s="10" t="str">
        <f>name!$D22</f>
        <v>62 Leisure, travel and related personal service occupations</v>
      </c>
      <c r="B26" s="150">
        <v>27.405172717445431</v>
      </c>
      <c r="C26" s="140">
        <f t="shared" si="0"/>
        <v>2.2691980327454635</v>
      </c>
      <c r="E26" s="150">
        <v>26.609234004473503</v>
      </c>
      <c r="F26" s="140">
        <f t="shared" si="1"/>
        <v>2.2373128270801681</v>
      </c>
      <c r="H26" s="150">
        <f t="shared" si="3"/>
        <v>-0.7959387129719282</v>
      </c>
      <c r="I26" s="140">
        <f t="shared" si="4"/>
        <v>-2.9043375175127228</v>
      </c>
      <c r="K26" s="207">
        <f t="shared" si="2"/>
        <v>-0.41671552676426721</v>
      </c>
      <c r="L26" s="140">
        <f t="shared" si="5"/>
        <v>-1.5205725249780921</v>
      </c>
      <c r="N26" s="150">
        <f t="shared" si="6"/>
        <v>-1.3213525543005282</v>
      </c>
      <c r="O26" s="140">
        <f t="shared" si="7"/>
        <v>-4.8215443410046053</v>
      </c>
      <c r="Q26" s="150">
        <v>0.94212936809286729</v>
      </c>
      <c r="R26" s="140">
        <f t="shared" si="8"/>
        <v>3.4377793484699763</v>
      </c>
      <c r="T26" s="11"/>
    </row>
    <row r="27" spans="1:20" x14ac:dyDescent="0.2">
      <c r="A27" s="10" t="str">
        <f>name!$D23</f>
        <v>63 Community and civil enforcement occupations</v>
      </c>
      <c r="B27" s="150">
        <v>1.3802744895746679</v>
      </c>
      <c r="C27" s="140">
        <f t="shared" si="0"/>
        <v>0.11428923249944564</v>
      </c>
      <c r="E27" s="150">
        <v>1.5568242574433744</v>
      </c>
      <c r="F27" s="140">
        <f t="shared" si="1"/>
        <v>0.13089827689523292</v>
      </c>
      <c r="H27" s="150">
        <f t="shared" si="3"/>
        <v>0.17654976786870646</v>
      </c>
      <c r="I27" s="140">
        <f t="shared" si="4"/>
        <v>12.790917256111168</v>
      </c>
      <c r="K27" s="207">
        <f t="shared" si="2"/>
        <v>-2.0988074657753999E-2</v>
      </c>
      <c r="L27" s="140">
        <f t="shared" si="5"/>
        <v>-1.5205725249780919</v>
      </c>
      <c r="N27" s="150">
        <f t="shared" si="6"/>
        <v>0.11979467799935946</v>
      </c>
      <c r="O27" s="140">
        <f t="shared" si="7"/>
        <v>8.6790474578918158</v>
      </c>
      <c r="Q27" s="150">
        <v>7.7743164527101005E-2</v>
      </c>
      <c r="R27" s="140">
        <f t="shared" si="8"/>
        <v>5.6324423231974379</v>
      </c>
      <c r="T27" s="171"/>
    </row>
    <row r="28" spans="1:20" x14ac:dyDescent="0.2">
      <c r="A28" s="10" t="str">
        <f>name!$D24</f>
        <v>71 Sales occupations</v>
      </c>
      <c r="B28" s="150">
        <v>115.11953582269213</v>
      </c>
      <c r="C28" s="140">
        <f t="shared" si="0"/>
        <v>9.5321064717513053</v>
      </c>
      <c r="E28" s="150">
        <v>103.628321303587</v>
      </c>
      <c r="F28" s="140">
        <f t="shared" si="1"/>
        <v>8.713102093142636</v>
      </c>
      <c r="H28" s="150">
        <f t="shared" si="3"/>
        <v>-11.491214519105128</v>
      </c>
      <c r="I28" s="140">
        <f t="shared" si="4"/>
        <v>-9.9819847578294425</v>
      </c>
      <c r="K28" s="207">
        <f t="shared" si="2"/>
        <v>-1.7504760326021691</v>
      </c>
      <c r="L28" s="140">
        <f t="shared" si="5"/>
        <v>-1.5205725249780924</v>
      </c>
      <c r="N28" s="150">
        <f t="shared" si="6"/>
        <v>-10.657533557552458</v>
      </c>
      <c r="O28" s="140">
        <f t="shared" si="7"/>
        <v>-9.2577975418240595</v>
      </c>
      <c r="Q28" s="150">
        <v>0.91679507104949953</v>
      </c>
      <c r="R28" s="140">
        <f t="shared" si="8"/>
        <v>0.79638530897271287</v>
      </c>
      <c r="T28" s="11"/>
    </row>
    <row r="29" spans="1:20" x14ac:dyDescent="0.2">
      <c r="A29" s="10" t="str">
        <f>name!$D25</f>
        <v>72 Customer service occupations</v>
      </c>
      <c r="B29" s="150">
        <v>20.669868608587418</v>
      </c>
      <c r="C29" s="140">
        <f t="shared" si="0"/>
        <v>1.711502630080338</v>
      </c>
      <c r="E29" s="150">
        <v>22.33440238005921</v>
      </c>
      <c r="F29" s="140">
        <f t="shared" si="1"/>
        <v>1.8778836294827423</v>
      </c>
      <c r="H29" s="150">
        <f t="shared" si="3"/>
        <v>1.6645337714717918</v>
      </c>
      <c r="I29" s="140">
        <f t="shared" si="4"/>
        <v>8.0529480036474421</v>
      </c>
      <c r="K29" s="207">
        <f t="shared" si="2"/>
        <v>-0.31430034301125176</v>
      </c>
      <c r="L29" s="140">
        <f t="shared" si="5"/>
        <v>-1.5205725249780921</v>
      </c>
      <c r="N29" s="150">
        <f t="shared" si="6"/>
        <v>1.7884947016180608</v>
      </c>
      <c r="O29" s="140">
        <f t="shared" si="7"/>
        <v>8.6526660400493309</v>
      </c>
      <c r="Q29" s="150">
        <v>0.19033941286498282</v>
      </c>
      <c r="R29" s="140">
        <f t="shared" si="8"/>
        <v>0.92085448857621277</v>
      </c>
      <c r="T29" s="11"/>
    </row>
    <row r="30" spans="1:20" x14ac:dyDescent="0.2">
      <c r="A30" s="10" t="str">
        <f>name!$D26</f>
        <v>81 Process, plant and machine operatives</v>
      </c>
      <c r="B30" s="150">
        <v>43.708317600696866</v>
      </c>
      <c r="C30" s="140">
        <f t="shared" si="0"/>
        <v>3.6191280141423086</v>
      </c>
      <c r="E30" s="150">
        <v>34.877203113995151</v>
      </c>
      <c r="F30" s="140">
        <f t="shared" si="1"/>
        <v>2.9324862897783248</v>
      </c>
      <c r="H30" s="150">
        <f t="shared" si="3"/>
        <v>-8.8311144867017148</v>
      </c>
      <c r="I30" s="140">
        <f t="shared" si="4"/>
        <v>-20.204654334626948</v>
      </c>
      <c r="K30" s="207">
        <f t="shared" si="2"/>
        <v>-0.66461666856636015</v>
      </c>
      <c r="L30" s="140">
        <f t="shared" si="5"/>
        <v>-1.5205725249780919</v>
      </c>
      <c r="N30" s="150">
        <f t="shared" si="6"/>
        <v>-6.1509171099786188</v>
      </c>
      <c r="O30" s="140">
        <f t="shared" si="7"/>
        <v>-14.072646689747106</v>
      </c>
      <c r="Q30" s="150">
        <v>-2.0155807081567358</v>
      </c>
      <c r="R30" s="140">
        <f t="shared" si="8"/>
        <v>-4.6114351199017554</v>
      </c>
      <c r="T30" s="11"/>
    </row>
    <row r="31" spans="1:20" x14ac:dyDescent="0.2">
      <c r="A31" s="10" t="str">
        <f>name!$D27</f>
        <v>82 Transport and mobile machine drivers and operatives</v>
      </c>
      <c r="B31" s="150">
        <v>41.108961810145928</v>
      </c>
      <c r="C31" s="140">
        <f t="shared" si="0"/>
        <v>3.4038966376741384</v>
      </c>
      <c r="E31" s="150">
        <v>43.757334690000292</v>
      </c>
      <c r="F31" s="140">
        <f t="shared" si="1"/>
        <v>3.679130566641605</v>
      </c>
      <c r="H31" s="150">
        <f t="shared" si="3"/>
        <v>2.6483728798543638</v>
      </c>
      <c r="I31" s="140">
        <f t="shared" si="4"/>
        <v>6.4423248927700572</v>
      </c>
      <c r="K31" s="207">
        <f t="shared" si="2"/>
        <v>-0.62509157858881559</v>
      </c>
      <c r="L31" s="140">
        <f t="shared" si="5"/>
        <v>-1.5205725249780924</v>
      </c>
      <c r="N31" s="150">
        <f t="shared" si="6"/>
        <v>-2.8841991433774803</v>
      </c>
      <c r="O31" s="140">
        <f t="shared" si="7"/>
        <v>-7.0159863357717862</v>
      </c>
      <c r="Q31" s="150">
        <v>6.1576636018206594</v>
      </c>
      <c r="R31" s="140">
        <f t="shared" si="8"/>
        <v>14.978883753519925</v>
      </c>
      <c r="T31" s="11"/>
    </row>
    <row r="32" spans="1:20" x14ac:dyDescent="0.2">
      <c r="A32" s="10" t="str">
        <f>name!$D28</f>
        <v>91 Elementary trades and related occupations</v>
      </c>
      <c r="B32" s="150">
        <v>20.317502556909954</v>
      </c>
      <c r="C32" s="140">
        <f t="shared" si="0"/>
        <v>1.6823260815682468</v>
      </c>
      <c r="E32" s="150">
        <v>15.637941740926959</v>
      </c>
      <c r="F32" s="140">
        <f t="shared" si="1"/>
        <v>1.3148430969574814</v>
      </c>
      <c r="H32" s="150">
        <f t="shared" si="3"/>
        <v>-4.6795608159829953</v>
      </c>
      <c r="I32" s="140">
        <f t="shared" si="4"/>
        <v>-23.032165507918112</v>
      </c>
      <c r="K32" s="207">
        <f t="shared" si="2"/>
        <v>-0.3089423616420941</v>
      </c>
      <c r="L32" s="140">
        <f t="shared" si="5"/>
        <v>-1.5205725249780919</v>
      </c>
      <c r="N32" s="150">
        <f>H32-(K32+Q32)</f>
        <v>-4.2615132729716256</v>
      </c>
      <c r="O32" s="140">
        <f t="shared" si="7"/>
        <v>-20.974592034798544</v>
      </c>
      <c r="Q32" s="150">
        <v>-0.10910518136927558</v>
      </c>
      <c r="R32" s="140">
        <f t="shared" si="8"/>
        <v>-0.53700094814147836</v>
      </c>
      <c r="T32" s="11"/>
    </row>
    <row r="33" spans="1:20" x14ac:dyDescent="0.2">
      <c r="A33" s="10" t="str">
        <f>name!$D29</f>
        <v>92 Elementary administration and service occupations</v>
      </c>
      <c r="B33" s="150">
        <v>129.32696514894883</v>
      </c>
      <c r="C33" s="140">
        <f t="shared" si="0"/>
        <v>10.708507401966539</v>
      </c>
      <c r="E33" s="150">
        <v>118.1807447549491</v>
      </c>
      <c r="F33" s="140">
        <f t="shared" si="1"/>
        <v>9.9366744683324288</v>
      </c>
      <c r="H33" s="150">
        <f t="shared" ref="H33" si="9">E33-B33</f>
        <v>-11.146220393999727</v>
      </c>
      <c r="I33" s="140">
        <f>IF(B33&lt;&gt;0,((E33/B33)-1)*100,0)</f>
        <v>-8.6186360138911233</v>
      </c>
      <c r="K33" s="207">
        <f t="shared" si="2"/>
        <v>-1.9665102994429084</v>
      </c>
      <c r="L33" s="140">
        <f t="shared" ref="L33" si="10">IF(B33&lt;&gt;0,K33/B33*100,0)</f>
        <v>-1.5205725249780921</v>
      </c>
      <c r="N33" s="150">
        <f>H33-(K33+Q33)</f>
        <v>-16.051253312096048</v>
      </c>
      <c r="O33" s="140">
        <f t="shared" ref="O33" si="11">IF(B33&lt;&gt;0,N33/B33*100,0)</f>
        <v>-12.4113739881002</v>
      </c>
      <c r="Q33" s="150">
        <v>6.8715432175392284</v>
      </c>
      <c r="R33" s="140">
        <f t="shared" ref="R33" si="12">IF(B33&lt;&gt;0,Q33/B33*100,0)</f>
        <v>5.3133104991871685</v>
      </c>
      <c r="T33" s="11"/>
    </row>
    <row r="34" spans="1:20" x14ac:dyDescent="0.2">
      <c r="A34" s="10"/>
      <c r="B34" s="150"/>
      <c r="C34" s="140"/>
      <c r="E34" s="150"/>
      <c r="F34" s="140"/>
      <c r="H34" s="150"/>
      <c r="I34" s="140"/>
      <c r="K34" s="207"/>
      <c r="L34" s="140"/>
      <c r="N34" s="150"/>
      <c r="O34" s="140"/>
      <c r="Q34" s="150"/>
      <c r="R34" s="140"/>
      <c r="T34" s="11"/>
    </row>
    <row r="35" spans="1:20" x14ac:dyDescent="0.2">
      <c r="A35" s="148" t="str">
        <f>name!$D$3</f>
        <v>All occupations</v>
      </c>
      <c r="B35" s="151">
        <f>SUM(B8:B33)</f>
        <v>1207.7030000016518</v>
      </c>
      <c r="C35" s="146">
        <f>B35/B$35*100</f>
        <v>100</v>
      </c>
      <c r="D35" s="144"/>
      <c r="E35" s="151">
        <f>SUM(E8:E33)</f>
        <v>1189.3390000002905</v>
      </c>
      <c r="F35" s="146">
        <f t="shared" ref="F35" si="13">E35/E$35*100</f>
        <v>100</v>
      </c>
      <c r="G35" s="144"/>
      <c r="H35" s="151">
        <f>E35-B35</f>
        <v>-18.364000001361319</v>
      </c>
      <c r="I35" s="146">
        <f t="shared" si="4"/>
        <v>-1.5205725249780921</v>
      </c>
      <c r="J35" s="144"/>
      <c r="K35" s="151"/>
      <c r="L35" s="146"/>
      <c r="M35" s="144"/>
      <c r="N35" s="147"/>
      <c r="O35" s="146"/>
      <c r="P35" s="144"/>
      <c r="Q35" s="147"/>
      <c r="R35" s="146"/>
    </row>
    <row r="37" spans="1:20" ht="15.75" x14ac:dyDescent="0.25">
      <c r="A37" s="276" t="str">
        <f>CONCATENATE("ShiftShare Table 1.1  Shift-share by occupation, ",I40,", ",Info!B5)</f>
        <v>ShiftShare Table 1.1  Shift-share by occupation, 2020-2035, North East</v>
      </c>
    </row>
    <row r="38" spans="1:20" ht="15.75" x14ac:dyDescent="0.25">
      <c r="A38" s="276"/>
    </row>
    <row r="39" spans="1:20" x14ac:dyDescent="0.2">
      <c r="A39" s="145"/>
      <c r="B39" s="275"/>
      <c r="C39" s="275"/>
      <c r="D39" s="275"/>
      <c r="E39" s="275"/>
      <c r="F39" s="275"/>
      <c r="G39" s="275"/>
      <c r="H39" s="275"/>
      <c r="I39" s="275"/>
      <c r="J39" s="275"/>
      <c r="K39" s="377" t="str">
        <f>K3</f>
        <v>Components of change</v>
      </c>
      <c r="L39" s="377"/>
      <c r="M39" s="377"/>
      <c r="N39" s="377"/>
      <c r="O39" s="377"/>
      <c r="P39" s="377"/>
      <c r="Q39" s="377"/>
      <c r="R39" s="377"/>
    </row>
    <row r="40" spans="1:20" x14ac:dyDescent="0.2">
      <c r="B40" s="270" t="str">
        <f>B4</f>
        <v>Base year</v>
      </c>
      <c r="C40" s="271">
        <v>2020</v>
      </c>
      <c r="D40" s="135"/>
      <c r="E40" s="270" t="str">
        <f>E4</f>
        <v>Target year</v>
      </c>
      <c r="F40" s="275">
        <v>2035</v>
      </c>
      <c r="G40" s="135"/>
      <c r="H40" s="270" t="str">
        <f>H4</f>
        <v>Change</v>
      </c>
      <c r="I40" s="270" t="str">
        <f>CONCATENATE(C40,"-",F40)</f>
        <v>2020-2035</v>
      </c>
      <c r="J40" s="135"/>
      <c r="K40" s="376" t="str">
        <f>K4</f>
        <v>Scale effect</v>
      </c>
      <c r="L40" s="376"/>
      <c r="M40" s="135"/>
      <c r="N40" s="376" t="str">
        <f>N4</f>
        <v>Occupation effect</v>
      </c>
      <c r="O40" s="376"/>
      <c r="P40" s="135"/>
      <c r="Q40" s="376" t="str">
        <f>Q4</f>
        <v>Industry mix effect</v>
      </c>
      <c r="R40" s="376"/>
    </row>
    <row r="41" spans="1:20" x14ac:dyDescent="0.2">
      <c r="A41" s="142" t="str">
        <f>A5</f>
        <v>SOC2020 Sub-Major Groups</v>
      </c>
      <c r="B41" s="272" t="str">
        <f>B5</f>
        <v>000s</v>
      </c>
      <c r="C41" s="272" t="str">
        <f>C5</f>
        <v>% share</v>
      </c>
      <c r="D41" s="135"/>
      <c r="E41" s="272" t="str">
        <f>E5</f>
        <v>000s</v>
      </c>
      <c r="F41" s="272" t="str">
        <f>F5</f>
        <v>% share</v>
      </c>
      <c r="G41" s="135"/>
      <c r="H41" s="272" t="str">
        <f>H5</f>
        <v>000s</v>
      </c>
      <c r="I41" s="272" t="str">
        <f>I5</f>
        <v xml:space="preserve">%   </v>
      </c>
      <c r="J41" s="135"/>
      <c r="K41" s="272" t="str">
        <f>H41</f>
        <v>000s</v>
      </c>
      <c r="L41" s="272" t="str">
        <f>I41</f>
        <v xml:space="preserve">%   </v>
      </c>
      <c r="M41" s="135"/>
      <c r="N41" s="272" t="str">
        <f>K41</f>
        <v>000s</v>
      </c>
      <c r="O41" s="272" t="str">
        <f>L41</f>
        <v xml:space="preserve">%   </v>
      </c>
      <c r="P41" s="135"/>
      <c r="Q41" s="272" t="str">
        <f>Q5</f>
        <v>000s</v>
      </c>
      <c r="R41" s="272" t="str">
        <f>O41</f>
        <v xml:space="preserve">%   </v>
      </c>
    </row>
    <row r="42" spans="1:20" x14ac:dyDescent="0.2">
      <c r="A42" s="273"/>
      <c r="B42" s="272"/>
      <c r="C42" s="272"/>
      <c r="D42" s="274"/>
      <c r="E42" s="272"/>
      <c r="F42" s="272"/>
      <c r="G42" s="274"/>
      <c r="H42" s="272"/>
      <c r="I42" s="272"/>
      <c r="J42" s="274"/>
      <c r="K42" s="272"/>
      <c r="L42" s="272"/>
      <c r="M42" s="274"/>
      <c r="N42" s="272"/>
      <c r="O42" s="272"/>
      <c r="P42" s="274"/>
      <c r="Q42" s="272"/>
      <c r="R42" s="272"/>
    </row>
    <row r="43" spans="1:20" x14ac:dyDescent="0.2">
      <c r="A43" s="142"/>
      <c r="B43" s="270"/>
      <c r="C43" s="270"/>
      <c r="D43" s="275"/>
      <c r="E43" s="270"/>
      <c r="F43" s="270"/>
      <c r="G43" s="275"/>
      <c r="H43" s="270"/>
      <c r="I43" s="270"/>
      <c r="J43" s="275"/>
      <c r="K43" s="270"/>
      <c r="L43" s="270"/>
      <c r="M43" s="275"/>
      <c r="N43" s="270"/>
      <c r="O43" s="270"/>
      <c r="P43" s="275"/>
      <c r="Q43" s="270"/>
      <c r="R43" s="143"/>
    </row>
    <row r="44" spans="1:20" x14ac:dyDescent="0.2">
      <c r="A44" s="134" t="str">
        <f t="shared" ref="A44:A69" si="14">A8</f>
        <v>11 Corporate managers and directors</v>
      </c>
      <c r="B44" s="150">
        <v>61.768389193758232</v>
      </c>
      <c r="C44" s="140">
        <f t="shared" ref="C44:C69" si="15">B44/B$71*100</f>
        <v>5.1935057366943438</v>
      </c>
      <c r="E44" s="150">
        <v>62.544495989530091</v>
      </c>
      <c r="F44" s="140">
        <f t="shared" ref="F44:F69" si="16">E44/E$71*100</f>
        <v>4.9995720205179923</v>
      </c>
      <c r="H44" s="150">
        <f>E44-B44</f>
        <v>0.77610679577185948</v>
      </c>
      <c r="I44" s="140">
        <f>IF(B44&gt;0,((E44/B44)-1)*100,0)</f>
        <v>1.2564789302458967</v>
      </c>
      <c r="K44" s="150">
        <f>(($E$71/$B$71)-1)*B44</f>
        <v>3.2022117671269412</v>
      </c>
      <c r="L44" s="140">
        <f>IF(B44&gt;0,K44/B44*100,0)</f>
        <v>5.1842241782962484</v>
      </c>
      <c r="N44" s="150">
        <f>H44-(K44+Q44)</f>
        <v>-1.02871712289201</v>
      </c>
      <c r="O44" s="140">
        <f>IF(B44&gt;0,N44/B44*100,0)</f>
        <v>-1.665442690540428</v>
      </c>
      <c r="Q44" s="150">
        <v>-1.3973878484630717</v>
      </c>
      <c r="R44" s="140">
        <f>IF(B44&gt;0,Q44/B44*100,0)</f>
        <v>-2.2623025575099169</v>
      </c>
      <c r="T44" s="150"/>
    </row>
    <row r="45" spans="1:20" x14ac:dyDescent="0.2">
      <c r="A45" s="134" t="str">
        <f t="shared" si="14"/>
        <v>12 Other managers and proprietors</v>
      </c>
      <c r="B45" s="150">
        <v>37.959358890498983</v>
      </c>
      <c r="C45" s="140">
        <f t="shared" si="15"/>
        <v>3.1916349241460771</v>
      </c>
      <c r="E45" s="150">
        <v>53.565388035408674</v>
      </c>
      <c r="F45" s="140">
        <f t="shared" si="16"/>
        <v>4.2818158664968484</v>
      </c>
      <c r="H45" s="150">
        <f t="shared" ref="H45:H71" si="17">E45-B45</f>
        <v>15.606029144909691</v>
      </c>
      <c r="I45" s="140">
        <f t="shared" ref="I45:I71" si="18">IF(B45&gt;0,((E45/B45)-1)*100,0)</f>
        <v>41.112467652386499</v>
      </c>
      <c r="K45" s="150">
        <f t="shared" ref="K45:K68" si="19">(($E$71/$B$71)-1)*B45</f>
        <v>1.9678982615274947</v>
      </c>
      <c r="L45" s="140">
        <f t="shared" ref="L45:L68" si="20">IF(B45&gt;0,K45/B45*100,0)</f>
        <v>5.1842241782962484</v>
      </c>
      <c r="N45" s="150">
        <f t="shared" ref="N45:N68" si="21">H45-(K45+Q45)</f>
        <v>12.166692399620976</v>
      </c>
      <c r="O45" s="140">
        <f t="shared" ref="O45:O68" si="22">IF(B45&gt;0,N45/B45*100,0)</f>
        <v>32.051891167914938</v>
      </c>
      <c r="Q45" s="150">
        <v>1.4714384837612207</v>
      </c>
      <c r="R45" s="140">
        <f>IF(B45&gt;0,Q45/B45*100,0)</f>
        <v>3.8763523061753116</v>
      </c>
      <c r="T45" s="150"/>
    </row>
    <row r="46" spans="1:20" x14ac:dyDescent="0.2">
      <c r="A46" s="134" t="str">
        <f t="shared" si="14"/>
        <v>21 Science, research, engineering and technology professionals</v>
      </c>
      <c r="B46" s="150">
        <v>57.693711549572342</v>
      </c>
      <c r="C46" s="140">
        <f t="shared" si="15"/>
        <v>4.8509055491796911</v>
      </c>
      <c r="E46" s="150">
        <v>66.33260773023207</v>
      </c>
      <c r="F46" s="140">
        <f t="shared" si="16"/>
        <v>5.3023794405758613</v>
      </c>
      <c r="H46" s="150">
        <f t="shared" si="17"/>
        <v>8.638896180659728</v>
      </c>
      <c r="I46" s="140">
        <f t="shared" si="18"/>
        <v>14.973722349682594</v>
      </c>
      <c r="K46" s="150">
        <f t="shared" si="19"/>
        <v>2.9909713435094245</v>
      </c>
      <c r="L46" s="140">
        <f t="shared" si="20"/>
        <v>5.1842241782962484</v>
      </c>
      <c r="N46" s="150">
        <f t="shared" si="21"/>
        <v>6.836350993947657</v>
      </c>
      <c r="O46" s="140">
        <f t="shared" si="22"/>
        <v>11.849386718817073</v>
      </c>
      <c r="Q46" s="150">
        <v>-1.1884261567973535</v>
      </c>
      <c r="R46" s="140">
        <f t="shared" ref="R46:R68" si="23">IF(B46&gt;0,Q46/B46*100,0)</f>
        <v>-2.0598885474307171</v>
      </c>
      <c r="T46" s="150"/>
    </row>
    <row r="47" spans="1:20" x14ac:dyDescent="0.2">
      <c r="A47" s="134" t="str">
        <f t="shared" si="14"/>
        <v>22 Health professionals</v>
      </c>
      <c r="B47" s="150">
        <v>80.600575984282628</v>
      </c>
      <c r="C47" s="140">
        <f t="shared" si="15"/>
        <v>6.7769219696203473</v>
      </c>
      <c r="E47" s="150">
        <v>98.888062303322812</v>
      </c>
      <c r="F47" s="140">
        <f t="shared" si="16"/>
        <v>7.9047401635100654</v>
      </c>
      <c r="H47" s="150">
        <f t="shared" si="17"/>
        <v>18.287486319040184</v>
      </c>
      <c r="I47" s="140">
        <f t="shared" si="18"/>
        <v>22.689026840957439</v>
      </c>
      <c r="K47" s="150">
        <f t="shared" si="19"/>
        <v>4.1785145480232195</v>
      </c>
      <c r="L47" s="140">
        <f t="shared" si="20"/>
        <v>5.1842241782962484</v>
      </c>
      <c r="N47" s="150">
        <f t="shared" si="21"/>
        <v>9.1068576999876463</v>
      </c>
      <c r="O47" s="140">
        <f t="shared" si="22"/>
        <v>11.298750150077726</v>
      </c>
      <c r="Q47" s="150">
        <v>5.0021140710293173</v>
      </c>
      <c r="R47" s="140">
        <f t="shared" si="23"/>
        <v>6.2060525125834651</v>
      </c>
      <c r="T47" s="150"/>
    </row>
    <row r="48" spans="1:20" x14ac:dyDescent="0.2">
      <c r="A48" s="134" t="str">
        <f t="shared" si="14"/>
        <v>23 Teaching and other educational professionals</v>
      </c>
      <c r="B48" s="150">
        <v>53.708575195788306</v>
      </c>
      <c r="C48" s="140">
        <f t="shared" si="15"/>
        <v>4.5158340217360387</v>
      </c>
      <c r="E48" s="150">
        <v>63.137330106243262</v>
      </c>
      <c r="F48" s="140">
        <f t="shared" si="16"/>
        <v>5.0469609524429346</v>
      </c>
      <c r="H48" s="150">
        <f t="shared" si="17"/>
        <v>9.4287549104549555</v>
      </c>
      <c r="I48" s="140">
        <f t="shared" si="18"/>
        <v>17.555399442423369</v>
      </c>
      <c r="K48" s="150">
        <f t="shared" si="19"/>
        <v>2.784372941118479</v>
      </c>
      <c r="L48" s="140">
        <f t="shared" si="20"/>
        <v>5.1842241782962484</v>
      </c>
      <c r="N48" s="150">
        <f t="shared" si="21"/>
        <v>4.2781669933018893</v>
      </c>
      <c r="O48" s="140">
        <f t="shared" si="22"/>
        <v>7.9655194309406525</v>
      </c>
      <c r="Q48" s="150">
        <v>2.3662149760345872</v>
      </c>
      <c r="R48" s="140">
        <f t="shared" si="23"/>
        <v>4.4056558331864659</v>
      </c>
      <c r="T48" s="150"/>
    </row>
    <row r="49" spans="1:20" x14ac:dyDescent="0.2">
      <c r="A49" s="134" t="str">
        <f t="shared" si="14"/>
        <v>24 Business, media and public service professionals</v>
      </c>
      <c r="B49" s="150">
        <v>62.751374352085939</v>
      </c>
      <c r="C49" s="140">
        <f t="shared" si="15"/>
        <v>5.2761554402967201</v>
      </c>
      <c r="E49" s="150">
        <v>78.429102753555412</v>
      </c>
      <c r="F49" s="140">
        <f t="shared" si="16"/>
        <v>6.269327804426557</v>
      </c>
      <c r="H49" s="150">
        <f t="shared" si="17"/>
        <v>15.677728401469473</v>
      </c>
      <c r="I49" s="140">
        <f t="shared" si="18"/>
        <v>24.983880533842552</v>
      </c>
      <c r="K49" s="150">
        <f t="shared" si="19"/>
        <v>3.25317192137403</v>
      </c>
      <c r="L49" s="140">
        <f t="shared" si="20"/>
        <v>5.1842241782962484</v>
      </c>
      <c r="N49" s="150">
        <f t="shared" si="21"/>
        <v>13.479161175065665</v>
      </c>
      <c r="O49" s="140">
        <f t="shared" si="22"/>
        <v>21.480264479048177</v>
      </c>
      <c r="Q49" s="150">
        <v>-1.0546046949702221</v>
      </c>
      <c r="R49" s="140">
        <f t="shared" si="23"/>
        <v>-1.6806081235018651</v>
      </c>
      <c r="T49" s="150"/>
    </row>
    <row r="50" spans="1:20" x14ac:dyDescent="0.2">
      <c r="A50" s="134" t="str">
        <f t="shared" si="14"/>
        <v>31 Science, engineering and technology associate professionals</v>
      </c>
      <c r="B50" s="150">
        <v>25.674611673300856</v>
      </c>
      <c r="C50" s="140">
        <f t="shared" si="15"/>
        <v>2.158729485310293</v>
      </c>
      <c r="E50" s="150">
        <v>23.163165143553364</v>
      </c>
      <c r="F50" s="140">
        <f t="shared" si="16"/>
        <v>1.8515763941519787</v>
      </c>
      <c r="H50" s="150">
        <f t="shared" si="17"/>
        <v>-2.5114465297474915</v>
      </c>
      <c r="I50" s="140">
        <f t="shared" si="18"/>
        <v>-9.7818286862704777</v>
      </c>
      <c r="K50" s="150">
        <f t="shared" si="19"/>
        <v>1.3310294260509339</v>
      </c>
      <c r="L50" s="140">
        <f t="shared" si="20"/>
        <v>5.1842241782962484</v>
      </c>
      <c r="N50" s="150">
        <f t="shared" si="21"/>
        <v>-2.9596900290908694</v>
      </c>
      <c r="O50" s="140">
        <f t="shared" si="22"/>
        <v>-11.527691506114051</v>
      </c>
      <c r="Q50" s="150">
        <v>-0.88278592670755607</v>
      </c>
      <c r="R50" s="140">
        <f t="shared" si="23"/>
        <v>-3.4383613584526742</v>
      </c>
      <c r="T50" s="150"/>
    </row>
    <row r="51" spans="1:20" x14ac:dyDescent="0.2">
      <c r="A51" s="134" t="str">
        <f t="shared" si="14"/>
        <v>32 Health and social care associate professionals</v>
      </c>
      <c r="B51" s="150">
        <v>28.696516826584283</v>
      </c>
      <c r="C51" s="140">
        <f t="shared" si="15"/>
        <v>2.4128122281853428</v>
      </c>
      <c r="E51" s="150">
        <v>31.883140108811844</v>
      </c>
      <c r="F51" s="140">
        <f t="shared" si="16"/>
        <v>2.5486184306442325</v>
      </c>
      <c r="H51" s="150">
        <f t="shared" si="17"/>
        <v>3.1866232822275613</v>
      </c>
      <c r="I51" s="140">
        <f t="shared" si="18"/>
        <v>11.104564715936149</v>
      </c>
      <c r="K51" s="150">
        <f t="shared" si="19"/>
        <v>1.4876917636526337</v>
      </c>
      <c r="L51" s="140">
        <f t="shared" si="20"/>
        <v>5.1842241782962484</v>
      </c>
      <c r="N51" s="150">
        <f t="shared" si="21"/>
        <v>-9.6139330822477831E-3</v>
      </c>
      <c r="O51" s="140">
        <f t="shared" si="22"/>
        <v>-3.3502090655620938E-2</v>
      </c>
      <c r="Q51" s="150">
        <v>1.7085454516571752</v>
      </c>
      <c r="R51" s="140">
        <f t="shared" si="23"/>
        <v>5.9538426282955319</v>
      </c>
      <c r="T51" s="150"/>
    </row>
    <row r="52" spans="1:20" x14ac:dyDescent="0.2">
      <c r="A52" s="134" t="str">
        <f t="shared" si="14"/>
        <v>33 Protective service occupations</v>
      </c>
      <c r="B52" s="150">
        <v>16.490904766190859</v>
      </c>
      <c r="C52" s="140">
        <f t="shared" si="15"/>
        <v>1.3865604984101951</v>
      </c>
      <c r="E52" s="150">
        <v>21.562302765848596</v>
      </c>
      <c r="F52" s="140">
        <f t="shared" si="16"/>
        <v>1.7236094703540403</v>
      </c>
      <c r="H52" s="150">
        <f t="shared" si="17"/>
        <v>5.0713979996577372</v>
      </c>
      <c r="I52" s="140">
        <f t="shared" si="18"/>
        <v>30.752697147672325</v>
      </c>
      <c r="K52" s="150">
        <f t="shared" si="19"/>
        <v>0.85492547210867487</v>
      </c>
      <c r="L52" s="140">
        <f t="shared" si="20"/>
        <v>5.1842241782962484</v>
      </c>
      <c r="N52" s="150">
        <f t="shared" si="21"/>
        <v>4.8059585018772477</v>
      </c>
      <c r="O52" s="140">
        <f t="shared" si="22"/>
        <v>29.143085658527813</v>
      </c>
      <c r="Q52" s="150">
        <v>-0.58948597432818584</v>
      </c>
      <c r="R52" s="140">
        <f t="shared" si="23"/>
        <v>-3.57461268915173</v>
      </c>
      <c r="T52" s="150"/>
    </row>
    <row r="53" spans="1:20" x14ac:dyDescent="0.2">
      <c r="A53" s="134" t="str">
        <f t="shared" si="14"/>
        <v>34 Culture, media and sports occupations</v>
      </c>
      <c r="B53" s="150">
        <v>14.871594679764716</v>
      </c>
      <c r="C53" s="140">
        <f t="shared" si="15"/>
        <v>1.2504083932134642</v>
      </c>
      <c r="E53" s="150">
        <v>15.744184153452183</v>
      </c>
      <c r="F53" s="140">
        <f t="shared" si="16"/>
        <v>1.2585309280077819</v>
      </c>
      <c r="H53" s="150">
        <f t="shared" si="17"/>
        <v>0.87258947368746753</v>
      </c>
      <c r="I53" s="140">
        <f t="shared" si="18"/>
        <v>5.8674909616436066</v>
      </c>
      <c r="K53" s="150">
        <f t="shared" si="19"/>
        <v>0.7709768070865809</v>
      </c>
      <c r="L53" s="140">
        <f t="shared" si="20"/>
        <v>5.1842241782962484</v>
      </c>
      <c r="N53" s="150">
        <f t="shared" si="21"/>
        <v>0.42306254284162281</v>
      </c>
      <c r="O53" s="140">
        <f t="shared" si="22"/>
        <v>2.8447691854947466</v>
      </c>
      <c r="Q53" s="150">
        <v>-0.32144987624073618</v>
      </c>
      <c r="R53" s="140">
        <f t="shared" si="23"/>
        <v>-2.161502402147379</v>
      </c>
      <c r="T53" s="150"/>
    </row>
    <row r="54" spans="1:20" x14ac:dyDescent="0.2">
      <c r="A54" s="134" t="str">
        <f t="shared" si="14"/>
        <v>35 Business and public service associate professionals</v>
      </c>
      <c r="B54" s="150">
        <v>54.538524390761594</v>
      </c>
      <c r="C54" s="140">
        <f t="shared" si="15"/>
        <v>4.5856164130452521</v>
      </c>
      <c r="E54" s="150">
        <v>54.505397506817054</v>
      </c>
      <c r="F54" s="140">
        <f t="shared" si="16"/>
        <v>4.3569566918871745</v>
      </c>
      <c r="H54" s="150">
        <f t="shared" si="17"/>
        <v>-3.3126883944539998E-2</v>
      </c>
      <c r="I54" s="140">
        <f t="shared" si="18"/>
        <v>-6.0740337797171584E-2</v>
      </c>
      <c r="K54" s="150">
        <f t="shared" si="19"/>
        <v>2.8273993679518594</v>
      </c>
      <c r="L54" s="140">
        <f t="shared" si="20"/>
        <v>5.1842241782962484</v>
      </c>
      <c r="N54" s="150">
        <f t="shared" si="21"/>
        <v>-2.0060699818218937</v>
      </c>
      <c r="O54" s="140">
        <f t="shared" si="22"/>
        <v>-3.6782623003304185</v>
      </c>
      <c r="Q54" s="150">
        <v>-0.85445627007450575</v>
      </c>
      <c r="R54" s="140">
        <f t="shared" si="23"/>
        <v>-1.5667022157629995</v>
      </c>
      <c r="T54" s="150"/>
    </row>
    <row r="55" spans="1:20" x14ac:dyDescent="0.2">
      <c r="A55" s="134" t="str">
        <f t="shared" si="14"/>
        <v>41 Administrative occupations</v>
      </c>
      <c r="B55" s="150">
        <v>110.91865106364448</v>
      </c>
      <c r="C55" s="140">
        <f t="shared" si="15"/>
        <v>9.3260753295416521</v>
      </c>
      <c r="E55" s="150">
        <v>97.055349402964936</v>
      </c>
      <c r="F55" s="140">
        <f t="shared" si="16"/>
        <v>7.7582399800278061</v>
      </c>
      <c r="H55" s="150">
        <f t="shared" si="17"/>
        <v>-13.863301660679539</v>
      </c>
      <c r="I55" s="140">
        <f t="shared" si="18"/>
        <v>-12.498620861089316</v>
      </c>
      <c r="K55" s="150">
        <f t="shared" si="19"/>
        <v>5.7502715266815061</v>
      </c>
      <c r="L55" s="140">
        <f t="shared" si="20"/>
        <v>5.1842241782962484</v>
      </c>
      <c r="N55" s="150">
        <f t="shared" si="21"/>
        <v>-18.344308925400682</v>
      </c>
      <c r="O55" s="140">
        <f t="shared" si="22"/>
        <v>-16.538525080759253</v>
      </c>
      <c r="Q55" s="150">
        <v>-1.2692642619603633</v>
      </c>
      <c r="R55" s="140">
        <f t="shared" si="23"/>
        <v>-1.1443199586263153</v>
      </c>
      <c r="T55" s="150"/>
    </row>
    <row r="56" spans="1:20" x14ac:dyDescent="0.2">
      <c r="A56" s="134" t="str">
        <f t="shared" si="14"/>
        <v>42 Secretarial and related occupations</v>
      </c>
      <c r="B56" s="150">
        <v>21.772443071641227</v>
      </c>
      <c r="C56" s="140">
        <f t="shared" si="15"/>
        <v>1.8306339127562374</v>
      </c>
      <c r="E56" s="150">
        <v>20.167851374538614</v>
      </c>
      <c r="F56" s="140">
        <f t="shared" si="16"/>
        <v>1.6121422652920183</v>
      </c>
      <c r="H56" s="150">
        <f t="shared" si="17"/>
        <v>-1.6045916971026131</v>
      </c>
      <c r="I56" s="140">
        <f t="shared" si="18"/>
        <v>-7.3698284194510304</v>
      </c>
      <c r="K56" s="150">
        <f t="shared" si="19"/>
        <v>1.1287322579258108</v>
      </c>
      <c r="L56" s="140">
        <f t="shared" si="20"/>
        <v>5.1842241782962475</v>
      </c>
      <c r="N56" s="150">
        <f t="shared" si="21"/>
        <v>-3.1210065223683054</v>
      </c>
      <c r="O56" s="140">
        <f t="shared" si="22"/>
        <v>-14.334663832160574</v>
      </c>
      <c r="Q56" s="150">
        <v>0.38768256733988182</v>
      </c>
      <c r="R56" s="140">
        <f t="shared" si="23"/>
        <v>1.7806112344132905</v>
      </c>
      <c r="T56" s="150"/>
    </row>
    <row r="57" spans="1:20" x14ac:dyDescent="0.2">
      <c r="A57" s="134" t="str">
        <f t="shared" si="14"/>
        <v>51 Skilled agricultural and related trades</v>
      </c>
      <c r="B57" s="150">
        <v>10.301868360565633</v>
      </c>
      <c r="C57" s="140">
        <f t="shared" si="15"/>
        <v>0.86618435623174861</v>
      </c>
      <c r="E57" s="150">
        <v>11.586104938365459</v>
      </c>
      <c r="F57" s="140">
        <f t="shared" si="16"/>
        <v>0.92614969806989889</v>
      </c>
      <c r="H57" s="150">
        <f t="shared" si="17"/>
        <v>1.2842365777998257</v>
      </c>
      <c r="I57" s="140">
        <f t="shared" si="18"/>
        <v>12.466055018871479</v>
      </c>
      <c r="K57" s="150">
        <f t="shared" si="19"/>
        <v>0.5340719503646949</v>
      </c>
      <c r="L57" s="140">
        <f t="shared" si="20"/>
        <v>5.1842241782962484</v>
      </c>
      <c r="N57" s="150">
        <f t="shared" si="21"/>
        <v>0.71960841865379388</v>
      </c>
      <c r="O57" s="140">
        <f t="shared" si="22"/>
        <v>6.9852224224527273</v>
      </c>
      <c r="Q57" s="150">
        <v>3.055620878133692E-2</v>
      </c>
      <c r="R57" s="140">
        <f t="shared" si="23"/>
        <v>0.29660841812250849</v>
      </c>
      <c r="T57" s="150"/>
    </row>
    <row r="58" spans="1:20" x14ac:dyDescent="0.2">
      <c r="A58" s="134" t="str">
        <f t="shared" si="14"/>
        <v>52 Skilled metal, electrical and electronic trades</v>
      </c>
      <c r="B58" s="150">
        <v>42.60775024378303</v>
      </c>
      <c r="C58" s="140">
        <f t="shared" si="15"/>
        <v>3.58247314212118</v>
      </c>
      <c r="E58" s="150">
        <v>36.473047170903065</v>
      </c>
      <c r="F58" s="140">
        <f t="shared" si="16"/>
        <v>2.91551835623082</v>
      </c>
      <c r="H58" s="150">
        <f t="shared" si="17"/>
        <v>-6.1347030728799652</v>
      </c>
      <c r="I58" s="140">
        <f t="shared" si="18"/>
        <v>-14.398091985096285</v>
      </c>
      <c r="K58" s="150">
        <f t="shared" si="19"/>
        <v>2.2088812899662784</v>
      </c>
      <c r="L58" s="140">
        <f t="shared" si="20"/>
        <v>5.1842241782962475</v>
      </c>
      <c r="N58" s="150">
        <f t="shared" si="21"/>
        <v>-5.2963785276605702</v>
      </c>
      <c r="O58" s="140">
        <f t="shared" si="22"/>
        <v>-12.430551947373409</v>
      </c>
      <c r="Q58" s="150">
        <v>-3.0472058351856735</v>
      </c>
      <c r="R58" s="140">
        <f t="shared" si="23"/>
        <v>-7.151764216019119</v>
      </c>
      <c r="T58" s="150"/>
    </row>
    <row r="59" spans="1:20" x14ac:dyDescent="0.2">
      <c r="A59" s="134" t="str">
        <f t="shared" si="14"/>
        <v>53 Skilled construction and building trades</v>
      </c>
      <c r="B59" s="150">
        <v>36.039102763857159</v>
      </c>
      <c r="C59" s="140">
        <f t="shared" si="15"/>
        <v>3.0301791805236653</v>
      </c>
      <c r="E59" s="150">
        <v>31.960757016792254</v>
      </c>
      <c r="F59" s="140">
        <f t="shared" si="16"/>
        <v>2.5548228346500292</v>
      </c>
      <c r="H59" s="150">
        <f t="shared" si="17"/>
        <v>-4.0783457470649047</v>
      </c>
      <c r="I59" s="140">
        <f t="shared" si="18"/>
        <v>-11.316446399312108</v>
      </c>
      <c r="K59" s="150">
        <f t="shared" si="19"/>
        <v>1.8683478791249144</v>
      </c>
      <c r="L59" s="140">
        <f t="shared" si="20"/>
        <v>5.1842241782962484</v>
      </c>
      <c r="N59" s="150">
        <f t="shared" si="21"/>
        <v>-2.98560684645508</v>
      </c>
      <c r="O59" s="140">
        <f t="shared" si="22"/>
        <v>-8.2843539863297622</v>
      </c>
      <c r="Q59" s="150">
        <v>-2.9610867797347393</v>
      </c>
      <c r="R59" s="140">
        <f t="shared" si="23"/>
        <v>-8.2163165912785985</v>
      </c>
      <c r="T59" s="150"/>
    </row>
    <row r="60" spans="1:20" x14ac:dyDescent="0.2">
      <c r="A60" s="134" t="str">
        <f t="shared" si="14"/>
        <v>54 Textiles, printing and other skilled trades</v>
      </c>
      <c r="B60" s="150">
        <v>21.093602961826281</v>
      </c>
      <c r="C60" s="140">
        <f t="shared" si="15"/>
        <v>1.7735568212108681</v>
      </c>
      <c r="E60" s="150">
        <v>20.007455074440646</v>
      </c>
      <c r="F60" s="140">
        <f t="shared" si="16"/>
        <v>1.5993207876947146</v>
      </c>
      <c r="H60" s="150">
        <f t="shared" si="17"/>
        <v>-1.0861478873856356</v>
      </c>
      <c r="I60" s="140">
        <f t="shared" si="18"/>
        <v>-5.1491814335904103</v>
      </c>
      <c r="K60" s="150">
        <f t="shared" si="19"/>
        <v>1.0935396648208116</v>
      </c>
      <c r="L60" s="140">
        <f t="shared" si="20"/>
        <v>5.1842241782962475</v>
      </c>
      <c r="N60" s="150">
        <f t="shared" si="21"/>
        <v>-2.8523694288944395</v>
      </c>
      <c r="O60" s="140">
        <f t="shared" si="22"/>
        <v>-13.522438220044517</v>
      </c>
      <c r="Q60" s="150">
        <v>0.67268187668799251</v>
      </c>
      <c r="R60" s="140">
        <f t="shared" si="23"/>
        <v>3.189032608157861</v>
      </c>
      <c r="T60" s="150"/>
    </row>
    <row r="61" spans="1:20" x14ac:dyDescent="0.2">
      <c r="A61" s="134" t="str">
        <f t="shared" si="14"/>
        <v>61 Caring personal service occupations</v>
      </c>
      <c r="B61" s="150">
        <v>85.269437786949581</v>
      </c>
      <c r="C61" s="140">
        <f t="shared" si="15"/>
        <v>7.1694813494662792</v>
      </c>
      <c r="E61" s="150">
        <v>96.070574814222852</v>
      </c>
      <c r="F61" s="140">
        <f t="shared" si="16"/>
        <v>7.6795207993469647</v>
      </c>
      <c r="H61" s="150">
        <f t="shared" si="17"/>
        <v>10.801137027273271</v>
      </c>
      <c r="I61" s="140">
        <f t="shared" si="18"/>
        <v>12.667067248948571</v>
      </c>
      <c r="K61" s="150">
        <f t="shared" si="19"/>
        <v>4.420558810448318</v>
      </c>
      <c r="L61" s="140">
        <f t="shared" si="20"/>
        <v>5.1842241782962493</v>
      </c>
      <c r="N61" s="150">
        <f t="shared" si="21"/>
        <v>0.88036869658832018</v>
      </c>
      <c r="O61" s="140">
        <f t="shared" si="22"/>
        <v>1.0324551438792997</v>
      </c>
      <c r="Q61" s="150">
        <v>5.5002095202366323</v>
      </c>
      <c r="R61" s="140">
        <f t="shared" si="23"/>
        <v>6.4503879267730255</v>
      </c>
      <c r="T61" s="150"/>
    </row>
    <row r="62" spans="1:20" x14ac:dyDescent="0.2">
      <c r="A62" s="134" t="str">
        <f t="shared" si="14"/>
        <v>62 Leisure, travel and related personal service occupations</v>
      </c>
      <c r="B62" s="150">
        <v>26.609234004473503</v>
      </c>
      <c r="C62" s="140">
        <f t="shared" si="15"/>
        <v>2.2373128270801681</v>
      </c>
      <c r="E62" s="150">
        <v>27.345758662070583</v>
      </c>
      <c r="F62" s="140">
        <f t="shared" si="16"/>
        <v>2.1859172054022462</v>
      </c>
      <c r="H62" s="150">
        <f t="shared" si="17"/>
        <v>0.73652465759708008</v>
      </c>
      <c r="I62" s="140">
        <f t="shared" si="18"/>
        <v>2.7679288230290977</v>
      </c>
      <c r="K62" s="150">
        <f t="shared" si="19"/>
        <v>1.3794823429193424</v>
      </c>
      <c r="L62" s="140">
        <f t="shared" si="20"/>
        <v>5.1842241782962484</v>
      </c>
      <c r="N62" s="150">
        <f t="shared" si="21"/>
        <v>-5.4928016417276071E-2</v>
      </c>
      <c r="O62" s="140">
        <f t="shared" si="22"/>
        <v>-0.2064246434453606</v>
      </c>
      <c r="Q62" s="150">
        <v>-0.5880296689049862</v>
      </c>
      <c r="R62" s="140">
        <f t="shared" si="23"/>
        <v>-2.2098707118217971</v>
      </c>
      <c r="T62" s="150"/>
    </row>
    <row r="63" spans="1:20" x14ac:dyDescent="0.2">
      <c r="A63" s="134" t="str">
        <f t="shared" si="14"/>
        <v>63 Community and civil enforcement occupations</v>
      </c>
      <c r="B63" s="150">
        <v>1.5568242574433744</v>
      </c>
      <c r="C63" s="140">
        <f t="shared" si="15"/>
        <v>0.13089827689523292</v>
      </c>
      <c r="E63" s="150">
        <v>1.3602839748610343</v>
      </c>
      <c r="F63" s="140">
        <f t="shared" si="16"/>
        <v>0.10873599016311015</v>
      </c>
      <c r="H63" s="150">
        <f t="shared" si="17"/>
        <v>-0.19654028258234013</v>
      </c>
      <c r="I63" s="140">
        <f t="shared" si="18"/>
        <v>-12.624436036544019</v>
      </c>
      <c r="K63" s="150">
        <f t="shared" si="19"/>
        <v>8.0709259567960448E-2</v>
      </c>
      <c r="L63" s="140">
        <f t="shared" si="20"/>
        <v>5.1842241782962484</v>
      </c>
      <c r="N63" s="150">
        <f t="shared" si="21"/>
        <v>-0.2728218441414193</v>
      </c>
      <c r="O63" s="140">
        <f t="shared" si="22"/>
        <v>-17.524254445357172</v>
      </c>
      <c r="Q63" s="150">
        <v>-4.4276980088813001E-3</v>
      </c>
      <c r="R63" s="140">
        <f t="shared" si="23"/>
        <v>-0.28440576948309448</v>
      </c>
      <c r="T63" s="150"/>
    </row>
    <row r="64" spans="1:20" x14ac:dyDescent="0.2">
      <c r="A64" s="134" t="str">
        <f t="shared" si="14"/>
        <v>71 Sales occupations</v>
      </c>
      <c r="B64" s="150">
        <v>103.628321303587</v>
      </c>
      <c r="C64" s="140">
        <f t="shared" si="15"/>
        <v>8.713102093142636</v>
      </c>
      <c r="E64" s="150">
        <v>95.173047322350257</v>
      </c>
      <c r="F64" s="140">
        <f t="shared" si="16"/>
        <v>7.6077758237896722</v>
      </c>
      <c r="H64" s="150">
        <f t="shared" si="17"/>
        <v>-8.4552739812367435</v>
      </c>
      <c r="I64" s="140">
        <f t="shared" si="18"/>
        <v>-8.159230869393685</v>
      </c>
      <c r="K64" s="150">
        <f t="shared" si="19"/>
        <v>5.3723244885830796</v>
      </c>
      <c r="L64" s="140">
        <f t="shared" si="20"/>
        <v>5.1842241782962493</v>
      </c>
      <c r="N64" s="150">
        <f t="shared" si="21"/>
        <v>-10.30891280420375</v>
      </c>
      <c r="O64" s="140">
        <f t="shared" si="22"/>
        <v>-9.9479685423090185</v>
      </c>
      <c r="Q64" s="150">
        <v>-3.5186856656160739</v>
      </c>
      <c r="R64" s="140">
        <f t="shared" si="23"/>
        <v>-3.3954865053809167</v>
      </c>
      <c r="T64" s="150"/>
    </row>
    <row r="65" spans="1:20" x14ac:dyDescent="0.2">
      <c r="A65" s="134" t="str">
        <f t="shared" si="14"/>
        <v>72 Customer service occupations</v>
      </c>
      <c r="B65" s="150">
        <v>22.33440238005921</v>
      </c>
      <c r="C65" s="140">
        <f t="shared" si="15"/>
        <v>1.8778836294827423</v>
      </c>
      <c r="E65" s="150">
        <v>33.517955388270146</v>
      </c>
      <c r="F65" s="140">
        <f t="shared" si="16"/>
        <v>2.6792994218422952</v>
      </c>
      <c r="H65" s="150">
        <f t="shared" si="17"/>
        <v>11.183553008210936</v>
      </c>
      <c r="I65" s="140">
        <f t="shared" si="18"/>
        <v>50.073213591763398</v>
      </c>
      <c r="K65" s="150">
        <f t="shared" si="19"/>
        <v>1.1578654882650024</v>
      </c>
      <c r="L65" s="140">
        <f t="shared" si="20"/>
        <v>5.1842241782962484</v>
      </c>
      <c r="N65" s="150">
        <f t="shared" si="21"/>
        <v>10.102155895380772</v>
      </c>
      <c r="O65" s="140">
        <f t="shared" si="22"/>
        <v>45.231368735436881</v>
      </c>
      <c r="Q65" s="150">
        <v>-7.6468375434838823E-2</v>
      </c>
      <c r="R65" s="140">
        <f t="shared" si="23"/>
        <v>-0.34237932196973386</v>
      </c>
      <c r="T65" s="150"/>
    </row>
    <row r="66" spans="1:20" x14ac:dyDescent="0.2">
      <c r="A66" s="134" t="str">
        <f t="shared" si="14"/>
        <v>81 Process, plant and machine operatives</v>
      </c>
      <c r="B66" s="150">
        <v>34.877203113995151</v>
      </c>
      <c r="C66" s="140">
        <f t="shared" si="15"/>
        <v>2.9324862897783248</v>
      </c>
      <c r="E66" s="150">
        <v>38.843978717677466</v>
      </c>
      <c r="F66" s="140">
        <f t="shared" si="16"/>
        <v>3.1050417161408754</v>
      </c>
      <c r="H66" s="150">
        <f t="shared" si="17"/>
        <v>3.966775603682315</v>
      </c>
      <c r="I66" s="140">
        <f t="shared" si="18"/>
        <v>11.373548477258977</v>
      </c>
      <c r="K66" s="150">
        <f t="shared" si="19"/>
        <v>1.8081123965492287</v>
      </c>
      <c r="L66" s="140">
        <f t="shared" si="20"/>
        <v>5.1842241782962484</v>
      </c>
      <c r="N66" s="150">
        <f t="shared" si="21"/>
        <v>5.2911018232126956</v>
      </c>
      <c r="O66" s="140">
        <f t="shared" si="22"/>
        <v>15.170659774291186</v>
      </c>
      <c r="Q66" s="150">
        <v>-3.1324386160796092</v>
      </c>
      <c r="R66" s="140">
        <f t="shared" si="23"/>
        <v>-8.9813354753284607</v>
      </c>
      <c r="T66" s="150"/>
    </row>
    <row r="67" spans="1:20" x14ac:dyDescent="0.2">
      <c r="A67" s="134" t="str">
        <f t="shared" si="14"/>
        <v>82 Transport and mobile machine drivers and operatives</v>
      </c>
      <c r="B67" s="150">
        <v>43.757334690000292</v>
      </c>
      <c r="C67" s="140">
        <f t="shared" si="15"/>
        <v>3.679130566641605</v>
      </c>
      <c r="E67" s="150">
        <v>41.62594804306957</v>
      </c>
      <c r="F67" s="140">
        <f t="shared" si="16"/>
        <v>3.3274218917441449</v>
      </c>
      <c r="H67" s="150">
        <f t="shared" si="17"/>
        <v>-2.1313866469307214</v>
      </c>
      <c r="I67" s="140">
        <f t="shared" si="18"/>
        <v>-4.8709242965335413</v>
      </c>
      <c r="K67" s="150">
        <f t="shared" si="19"/>
        <v>2.2684783247770071</v>
      </c>
      <c r="L67" s="140">
        <f t="shared" si="20"/>
        <v>5.1842241782962493</v>
      </c>
      <c r="N67" s="150">
        <f t="shared" si="21"/>
        <v>-3.3258121700255012</v>
      </c>
      <c r="O67" s="140">
        <f t="shared" si="22"/>
        <v>-7.6005821505977993</v>
      </c>
      <c r="Q67" s="150">
        <v>-1.0740528016822271</v>
      </c>
      <c r="R67" s="140">
        <f t="shared" si="23"/>
        <v>-2.4545663242319842</v>
      </c>
      <c r="T67" s="150"/>
    </row>
    <row r="68" spans="1:20" x14ac:dyDescent="0.2">
      <c r="A68" s="134" t="str">
        <f t="shared" si="14"/>
        <v>91 Elementary trades and related occupations</v>
      </c>
      <c r="B68" s="150">
        <v>15.637941740926959</v>
      </c>
      <c r="C68" s="140">
        <f t="shared" si="15"/>
        <v>1.3148430969574814</v>
      </c>
      <c r="E68" s="150">
        <v>11.728541244332119</v>
      </c>
      <c r="F68" s="140">
        <f t="shared" si="16"/>
        <v>0.93753552121468942</v>
      </c>
      <c r="H68" s="150">
        <f t="shared" si="17"/>
        <v>-3.9094004965948397</v>
      </c>
      <c r="I68" s="140">
        <f t="shared" si="18"/>
        <v>-24.999456842605582</v>
      </c>
      <c r="K68" s="150">
        <f t="shared" si="19"/>
        <v>0.81070595672101664</v>
      </c>
      <c r="L68" s="140">
        <f t="shared" si="20"/>
        <v>5.1842241782962484</v>
      </c>
      <c r="N68" s="150">
        <f t="shared" si="21"/>
        <v>-4.0826426492715981</v>
      </c>
      <c r="O68" s="140">
        <f t="shared" si="22"/>
        <v>-26.107289033995301</v>
      </c>
      <c r="Q68" s="150">
        <v>-0.63746380404425784</v>
      </c>
      <c r="R68" s="140">
        <f t="shared" si="23"/>
        <v>-4.076391986906529</v>
      </c>
      <c r="T68" s="150"/>
    </row>
    <row r="69" spans="1:20" x14ac:dyDescent="0.2">
      <c r="A69" s="134" t="str">
        <f t="shared" si="14"/>
        <v>92 Elementary administration and service occupations</v>
      </c>
      <c r="B69" s="150">
        <v>118.1807447549491</v>
      </c>
      <c r="C69" s="140">
        <f t="shared" si="15"/>
        <v>9.9366744683324288</v>
      </c>
      <c r="E69" s="150">
        <v>118.32517025857831</v>
      </c>
      <c r="F69" s="140">
        <f t="shared" si="16"/>
        <v>9.4584695453752659</v>
      </c>
      <c r="H69" s="150">
        <f t="shared" ref="H69" si="24">E69-B69</f>
        <v>0.1444255036292077</v>
      </c>
      <c r="I69" s="140">
        <f t="shared" ref="I69" si="25">IF(B69&gt;0,((E69/B69)-1)*100,0)</f>
        <v>0.12220730536829372</v>
      </c>
      <c r="K69" s="150">
        <f t="shared" ref="K69" si="26">(($E$71/$B$71)-1)*B69</f>
        <v>6.1267547436766465</v>
      </c>
      <c r="L69" s="140">
        <f t="shared" ref="L69" si="27">IF(B69&gt;0,K69/B69*100,0)</f>
        <v>5.1842241782962484</v>
      </c>
      <c r="N69" s="150">
        <f t="shared" ref="N69" si="28">H69-(K69+Q69)</f>
        <v>-11.440606338744645</v>
      </c>
      <c r="O69" s="140">
        <f t="shared" ref="O69" si="29">IF(B69&gt;0,N69/B69*100,0)</f>
        <v>-9.6806009832371984</v>
      </c>
      <c r="Q69" s="150">
        <v>5.4582770986972067</v>
      </c>
      <c r="R69" s="140">
        <f t="shared" ref="R69" si="30">IF(B69&gt;0,Q69/B69*100,0)</f>
        <v>4.6185841103092455</v>
      </c>
      <c r="T69" s="150"/>
    </row>
    <row r="70" spans="1:20" x14ac:dyDescent="0.2">
      <c r="A70" s="134"/>
      <c r="B70" s="150"/>
      <c r="C70" s="140"/>
      <c r="E70" s="150"/>
      <c r="F70" s="140"/>
      <c r="H70" s="150"/>
      <c r="I70" s="140"/>
      <c r="K70" s="150"/>
      <c r="L70" s="140"/>
      <c r="N70" s="150"/>
      <c r="O70" s="140"/>
      <c r="Q70" s="150"/>
      <c r="R70" s="140"/>
      <c r="T70" s="150"/>
    </row>
    <row r="71" spans="1:20" x14ac:dyDescent="0.2">
      <c r="A71" s="148" t="str">
        <f>name!$D$3</f>
        <v>All occupations</v>
      </c>
      <c r="B71" s="151">
        <f>SUM(B44:B69)</f>
        <v>1189.3390000002905</v>
      </c>
      <c r="C71" s="146">
        <f>B71/B$71*100</f>
        <v>100</v>
      </c>
      <c r="D71" s="144"/>
      <c r="E71" s="151">
        <f>SUM(E44:E69)</f>
        <v>1250.9970000002124</v>
      </c>
      <c r="F71" s="146">
        <f>E71/E$71*100</f>
        <v>100</v>
      </c>
      <c r="G71" s="144"/>
      <c r="H71" s="151">
        <f t="shared" si="17"/>
        <v>61.657999999921913</v>
      </c>
      <c r="I71" s="146">
        <f t="shared" si="18"/>
        <v>5.1842241782962484</v>
      </c>
      <c r="J71" s="144"/>
      <c r="K71" s="144"/>
      <c r="L71" s="144"/>
      <c r="M71" s="144"/>
      <c r="N71" s="144"/>
      <c r="O71" s="144"/>
      <c r="P71" s="144"/>
      <c r="Q71" s="144"/>
      <c r="R71" s="144"/>
    </row>
    <row r="78" spans="1:20" x14ac:dyDescent="0.2">
      <c r="T78" s="150"/>
    </row>
    <row r="79" spans="1:20" x14ac:dyDescent="0.2">
      <c r="T79" s="150"/>
    </row>
    <row r="80" spans="1:20" x14ac:dyDescent="0.2">
      <c r="T80" s="150"/>
    </row>
    <row r="81" spans="20:20" x14ac:dyDescent="0.2">
      <c r="T81" s="150"/>
    </row>
    <row r="82" spans="20:20" x14ac:dyDescent="0.2">
      <c r="T82" s="150"/>
    </row>
    <row r="83" spans="20:20" x14ac:dyDescent="0.2">
      <c r="T83" s="150"/>
    </row>
    <row r="84" spans="20:20" x14ac:dyDescent="0.2">
      <c r="T84" s="150"/>
    </row>
    <row r="85" spans="20:20" x14ac:dyDescent="0.2">
      <c r="T85" s="150"/>
    </row>
    <row r="86" spans="20:20" x14ac:dyDescent="0.2">
      <c r="T86" s="150"/>
    </row>
    <row r="87" spans="20:20" x14ac:dyDescent="0.2">
      <c r="T87" s="150"/>
    </row>
    <row r="88" spans="20:20" x14ac:dyDescent="0.2">
      <c r="T88" s="150"/>
    </row>
    <row r="89" spans="20:20" x14ac:dyDescent="0.2">
      <c r="T89" s="150"/>
    </row>
    <row r="90" spans="20:20" x14ac:dyDescent="0.2">
      <c r="T90" s="150"/>
    </row>
    <row r="91" spans="20:20" x14ac:dyDescent="0.2">
      <c r="T91" s="150"/>
    </row>
    <row r="92" spans="20:20" x14ac:dyDescent="0.2">
      <c r="T92" s="150"/>
    </row>
    <row r="93" spans="20:20" x14ac:dyDescent="0.2">
      <c r="T93" s="150"/>
    </row>
    <row r="94" spans="20:20" x14ac:dyDescent="0.2">
      <c r="T94" s="150"/>
    </row>
    <row r="95" spans="20:20" x14ac:dyDescent="0.2">
      <c r="T95" s="150"/>
    </row>
    <row r="96" spans="20:20" x14ac:dyDescent="0.2">
      <c r="T96" s="150"/>
    </row>
    <row r="97" spans="20:20" x14ac:dyDescent="0.2">
      <c r="T97" s="150"/>
    </row>
    <row r="98" spans="20:20" x14ac:dyDescent="0.2">
      <c r="T98" s="150"/>
    </row>
    <row r="99" spans="20:20" x14ac:dyDescent="0.2">
      <c r="T99" s="150"/>
    </row>
    <row r="100" spans="20:20" x14ac:dyDescent="0.2">
      <c r="T100" s="150"/>
    </row>
    <row r="101" spans="20:20" x14ac:dyDescent="0.2">
      <c r="T101" s="150"/>
    </row>
    <row r="102" spans="20:20" x14ac:dyDescent="0.2">
      <c r="T102" s="150"/>
    </row>
  </sheetData>
  <mergeCells count="8">
    <mergeCell ref="K40:L40"/>
    <mergeCell ref="N40:O40"/>
    <mergeCell ref="Q40:R40"/>
    <mergeCell ref="K3:R3"/>
    <mergeCell ref="K4:L4"/>
    <mergeCell ref="N4:O4"/>
    <mergeCell ref="Q4:R4"/>
    <mergeCell ref="K39:R39"/>
  </mergeCells>
  <pageMargins left="0.39370078740157483" right="0.39370078740157483" top="0.51181102362204722" bottom="0.51181102362204722" header="0.31496062992125984" footer="0.31496062992125984"/>
  <pageSetup paperSize="9" scale="57" fitToHeight="0" orientation="landscape" r:id="rId1"/>
  <rowBreaks count="2" manualBreakCount="2">
    <brk id="71" max="16383" man="1"/>
    <brk id="144" max="16383" man="1"/>
  </rowBreaks>
  <colBreaks count="1" manualBreakCount="1">
    <brk id="18" max="1048575" man="1"/>
  </colBreaks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18"/>
  <dimension ref="A1:AD294"/>
  <sheetViews>
    <sheetView showGridLines="0" zoomScale="85" zoomScaleNormal="85" workbookViewId="0">
      <selection sqref="A1:G2"/>
    </sheetView>
  </sheetViews>
  <sheetFormatPr defaultColWidth="9.140625" defaultRowHeight="12.75" x14ac:dyDescent="0.2"/>
  <cols>
    <col min="1" max="1" width="40.85546875" customWidth="1"/>
    <col min="2" max="3" width="9.7109375" customWidth="1"/>
    <col min="4" max="7" width="11.7109375" customWidth="1"/>
    <col min="8" max="8" width="7.7109375" customWidth="1"/>
    <col min="9" max="9" width="47" customWidth="1"/>
    <col min="10" max="14" width="11.7109375" customWidth="1"/>
    <col min="15" max="15" width="7.7109375" customWidth="1"/>
    <col min="16" max="16" width="53.5703125" customWidth="1"/>
    <col min="17" max="21" width="11.7109375" customWidth="1"/>
    <col min="22" max="22" width="11.85546875" customWidth="1"/>
    <col min="23" max="23" width="5.42578125" customWidth="1"/>
    <col min="24" max="24" width="32.28515625" customWidth="1"/>
    <col min="25" max="29" width="11.7109375" customWidth="1"/>
    <col min="30" max="30" width="11.85546875" customWidth="1"/>
  </cols>
  <sheetData>
    <row r="1" spans="1:30" ht="21" customHeight="1" x14ac:dyDescent="0.2">
      <c r="A1" s="378" t="str">
        <f>CONCATENATE("Replacement Demand Table 1  Replacement Demand by Occupation and Qualification, ",$B$6,"-",$C$6,", ",Info!B5)</f>
        <v>Replacement Demand Table 1  Replacement Demand by Occupation and Qualification, 2020-2035, North East</v>
      </c>
      <c r="B1" s="378"/>
      <c r="C1" s="378"/>
      <c r="D1" s="378"/>
      <c r="E1" s="378"/>
      <c r="F1" s="378"/>
      <c r="G1" s="378"/>
      <c r="I1" s="378" t="str">
        <f>CONCATENATE("Replacement Demand Table 1.1  Replacement Demand by Occupation Group and Qualification, ",$B$6,"-",$C$6,", ",Info!B5)</f>
        <v>Replacement Demand Table 1.1  Replacement Demand by Occupation Group and Qualification, 2020-2035, North East</v>
      </c>
      <c r="J1" s="378"/>
      <c r="K1" s="378"/>
      <c r="L1" s="378"/>
      <c r="M1" s="378"/>
      <c r="N1" s="378"/>
      <c r="P1" s="378" t="str">
        <f>CONCATENATE("Replacement Demand Table 1.2  Replacement Demand by Occupation and Gender, ",$B$6,"-",$C$6,", ",Info!B5)</f>
        <v>Replacement Demand Table 1.2  Replacement Demand by Occupation and Gender, 2020-2035, North East</v>
      </c>
      <c r="Q1" s="378"/>
      <c r="R1" s="378"/>
      <c r="S1" s="378"/>
      <c r="T1" s="378"/>
      <c r="U1" s="378"/>
      <c r="V1" s="378"/>
      <c r="W1" s="89"/>
      <c r="X1" s="378" t="str">
        <f>CONCATENATE("Replacement Demand Table 1.3  Replacement Demand by Industry, ",$B$6,"-",$C$6,", ",Info!B5)</f>
        <v>Replacement Demand Table 1.3  Replacement Demand by Industry, 2020-2035, North East</v>
      </c>
      <c r="Y1" s="378"/>
      <c r="Z1" s="378"/>
      <c r="AA1" s="378"/>
      <c r="AB1" s="378"/>
      <c r="AC1" s="378"/>
      <c r="AD1" s="378"/>
    </row>
    <row r="2" spans="1:30" ht="14.25" customHeight="1" x14ac:dyDescent="0.2">
      <c r="A2" s="378"/>
      <c r="B2" s="378"/>
      <c r="C2" s="378"/>
      <c r="D2" s="378"/>
      <c r="E2" s="378"/>
      <c r="F2" s="378"/>
      <c r="G2" s="378"/>
      <c r="I2" s="378"/>
      <c r="J2" s="378"/>
      <c r="K2" s="378"/>
      <c r="L2" s="378"/>
      <c r="M2" s="378"/>
      <c r="N2" s="378"/>
      <c r="P2" s="378"/>
      <c r="Q2" s="378"/>
      <c r="R2" s="378"/>
      <c r="S2" s="378"/>
      <c r="T2" s="378"/>
      <c r="U2" s="378"/>
      <c r="V2" s="378"/>
      <c r="X2" s="378"/>
      <c r="Y2" s="378"/>
      <c r="Z2" s="378"/>
      <c r="AA2" s="378"/>
      <c r="AB2" s="378"/>
      <c r="AC2" s="378"/>
      <c r="AD2" s="378"/>
    </row>
    <row r="3" spans="1:30" ht="15.75" x14ac:dyDescent="0.25">
      <c r="A3" s="1" t="s">
        <v>540</v>
      </c>
      <c r="B3" s="18"/>
      <c r="C3" s="18"/>
      <c r="D3" s="18"/>
      <c r="E3" s="18"/>
      <c r="F3" s="18"/>
      <c r="G3" s="18"/>
      <c r="I3" s="1" t="s">
        <v>541</v>
      </c>
      <c r="P3" s="181" t="s">
        <v>537</v>
      </c>
      <c r="S3" s="89"/>
      <c r="T3" s="89"/>
      <c r="U3" s="89"/>
      <c r="V3" s="89"/>
      <c r="W3" s="89"/>
      <c r="X3" s="1" t="s">
        <v>533</v>
      </c>
    </row>
    <row r="4" spans="1:30" ht="12.75" customHeight="1" x14ac:dyDescent="0.25">
      <c r="A4" s="18"/>
      <c r="B4" s="18"/>
      <c r="C4" s="18"/>
      <c r="D4" s="18"/>
      <c r="E4" s="18"/>
      <c r="F4" s="18"/>
      <c r="G4" s="18"/>
      <c r="I4" s="1"/>
      <c r="P4" s="1"/>
      <c r="S4" s="89"/>
      <c r="T4" s="89"/>
      <c r="U4" s="89"/>
      <c r="V4" s="89"/>
      <c r="W4" s="89"/>
    </row>
    <row r="5" spans="1:30" s="70" customFormat="1" x14ac:dyDescent="0.2">
      <c r="B5" s="15"/>
      <c r="F5" s="15" t="s">
        <v>35</v>
      </c>
      <c r="N5" s="15" t="s">
        <v>35</v>
      </c>
      <c r="Q5" s="15"/>
      <c r="S5" s="340"/>
      <c r="T5" s="340"/>
      <c r="U5" s="83" t="s">
        <v>35</v>
      </c>
      <c r="V5" s="340"/>
      <c r="W5" s="340"/>
      <c r="Y5" s="15"/>
      <c r="AA5" s="340"/>
      <c r="AB5" s="340"/>
      <c r="AC5" s="83" t="s">
        <v>35</v>
      </c>
      <c r="AD5" s="340"/>
    </row>
    <row r="6" spans="1:30" ht="24.95" customHeight="1" x14ac:dyDescent="0.2">
      <c r="A6" s="201" t="str">
        <f>CONCATENATE(name!F3," (Constrained)")</f>
        <v>All qualifications (Constrained)</v>
      </c>
      <c r="B6" s="74">
        <v>2020</v>
      </c>
      <c r="C6" s="74">
        <v>2035</v>
      </c>
      <c r="D6" s="87" t="s">
        <v>40</v>
      </c>
      <c r="E6" s="87" t="s">
        <v>139</v>
      </c>
      <c r="F6" s="87" t="s">
        <v>39</v>
      </c>
      <c r="G6" s="87" t="s">
        <v>138</v>
      </c>
      <c r="I6" s="202"/>
      <c r="J6" s="74">
        <f>B6</f>
        <v>2020</v>
      </c>
      <c r="K6" s="74">
        <f>C6</f>
        <v>2035</v>
      </c>
      <c r="L6" s="87" t="str">
        <f>D6</f>
        <v>Net Change</v>
      </c>
      <c r="M6" s="87" t="str">
        <f>E6</f>
        <v>Replacement Demand level</v>
      </c>
      <c r="N6" s="87" t="str">
        <f>F6</f>
        <v>Total Requirement</v>
      </c>
      <c r="P6" s="201" t="s">
        <v>98</v>
      </c>
      <c r="Q6" s="74">
        <f>B6</f>
        <v>2020</v>
      </c>
      <c r="R6" s="74">
        <f>C6</f>
        <v>2035</v>
      </c>
      <c r="S6" s="341" t="str">
        <f t="shared" ref="S6:V6" si="0">D6</f>
        <v>Net Change</v>
      </c>
      <c r="T6" s="341" t="str">
        <f t="shared" si="0"/>
        <v>Replacement Demand level</v>
      </c>
      <c r="U6" s="341" t="str">
        <f t="shared" si="0"/>
        <v>Total Requirement</v>
      </c>
      <c r="V6" s="341" t="str">
        <f t="shared" si="0"/>
        <v>Replacement Demand rate</v>
      </c>
      <c r="W6" s="345"/>
      <c r="X6" s="201"/>
      <c r="Y6" s="74">
        <f>J6</f>
        <v>2020</v>
      </c>
      <c r="Z6" s="74">
        <f>K6</f>
        <v>2035</v>
      </c>
      <c r="AA6" s="341" t="str">
        <f t="shared" ref="AA6" si="1">L6</f>
        <v>Net Change</v>
      </c>
      <c r="AB6" s="341" t="str">
        <f t="shared" ref="AB6" si="2">M6</f>
        <v>Replacement Demand level</v>
      </c>
      <c r="AC6" s="341" t="str">
        <f t="shared" ref="AC6" si="3">N6</f>
        <v>Total Requirement</v>
      </c>
      <c r="AD6" s="341" t="str">
        <f>G6</f>
        <v>Replacement Demand rate</v>
      </c>
    </row>
    <row r="7" spans="1:30" x14ac:dyDescent="0.2">
      <c r="A7" s="10" t="str">
        <f>name!D4</f>
        <v>11 Corporate managers and directors</v>
      </c>
      <c r="B7" s="11">
        <f t="shared" ref="B7:F16" si="4">SUM(B36,B65,B94,B123,B152,B181,B210,B239,B268)</f>
        <v>61.768389193758239</v>
      </c>
      <c r="C7" s="11">
        <f t="shared" si="4"/>
        <v>62.544495989529892</v>
      </c>
      <c r="D7" s="11">
        <f t="shared" si="4"/>
        <v>0.77610679577164832</v>
      </c>
      <c r="E7" s="11">
        <f t="shared" si="4"/>
        <v>30.543483151153445</v>
      </c>
      <c r="F7" s="11">
        <f t="shared" si="4"/>
        <v>31.319589946925095</v>
      </c>
      <c r="G7" s="200">
        <f>IF(B7&gt;0,(1+(E7/B7))^(1/($C$6-$B$6))-1,0)</f>
        <v>2.7147355283696495E-2</v>
      </c>
      <c r="H7" s="11"/>
      <c r="I7" s="233" t="str">
        <f>name!F3</f>
        <v>All qualifications</v>
      </c>
      <c r="J7" s="35"/>
      <c r="K7" s="35"/>
      <c r="L7" s="35"/>
      <c r="M7" s="35"/>
      <c r="N7" s="35"/>
      <c r="O7" s="11"/>
      <c r="P7" s="10" t="str">
        <f>name!D4</f>
        <v>11 Corporate managers and directors</v>
      </c>
      <c r="Q7" s="11">
        <v>39.735415904179817</v>
      </c>
      <c r="R7" s="11">
        <v>36.746803874452283</v>
      </c>
      <c r="S7" s="342">
        <f>R7-Q7</f>
        <v>-2.988612029727534</v>
      </c>
      <c r="T7" s="342">
        <v>16.681409694544289</v>
      </c>
      <c r="U7" s="342">
        <f>SUM(S7:T7)</f>
        <v>13.692797664816755</v>
      </c>
      <c r="V7" s="343">
        <f>IF(Q7&gt;0,(1+(T7/Q7))^(1/($C$6-$B$6))-1,0)</f>
        <v>2.3643482250115699E-2</v>
      </c>
      <c r="W7" s="343"/>
      <c r="X7" s="10" t="str">
        <f>name!A4</f>
        <v>Agriculture, etc</v>
      </c>
      <c r="Y7" s="10">
        <v>5.4509999999013061</v>
      </c>
      <c r="Z7" s="10">
        <v>5.7999999998997858</v>
      </c>
      <c r="AA7" s="342">
        <f>Z7-Y7</f>
        <v>0.34899999999847964</v>
      </c>
      <c r="AB7" s="10">
        <v>3.0916687057113847</v>
      </c>
      <c r="AC7" s="342">
        <f>SUM(AA7:AB7)</f>
        <v>3.4406687057098644</v>
      </c>
      <c r="AD7" s="343">
        <f>IF(Y7&gt;0,(1+(AB7/Y7))^(1/($C$6-$B$6))-1,0)</f>
        <v>3.0404686970755046E-2</v>
      </c>
    </row>
    <row r="8" spans="1:30" x14ac:dyDescent="0.2">
      <c r="A8" s="10" t="str">
        <f>name!D5</f>
        <v>12 Other managers and proprietors</v>
      </c>
      <c r="B8" s="11">
        <f t="shared" si="4"/>
        <v>37.959358890498997</v>
      </c>
      <c r="C8" s="11">
        <f t="shared" si="4"/>
        <v>53.565388035408738</v>
      </c>
      <c r="D8" s="11">
        <f t="shared" si="4"/>
        <v>15.606029144909742</v>
      </c>
      <c r="E8" s="11">
        <f t="shared" si="4"/>
        <v>27.032583578390614</v>
      </c>
      <c r="F8" s="11">
        <f t="shared" si="4"/>
        <v>42.638612723300362</v>
      </c>
      <c r="G8" s="200">
        <f>IF(B8&gt;0,(1+(E8/B8))^(1/($C$6-$B$6))-1,0)</f>
        <v>3.6500167378919146E-2</v>
      </c>
      <c r="H8" s="11"/>
      <c r="I8" s="10" t="str">
        <f>name!E4</f>
        <v>Managers, directors and senior officials</v>
      </c>
      <c r="J8" s="11">
        <f t="array" ref="J8:J16">MMULT(aggregation!$B$38:$AA$46,B7:B32)</f>
        <v>99.727748084257229</v>
      </c>
      <c r="K8" s="11">
        <f t="array" ref="K8:K16">MMULT(aggregation!$B$38:$AA$46,C7:C32)</f>
        <v>116.10988402493862</v>
      </c>
      <c r="L8" s="11">
        <f t="array" ref="L8:L16">MMULT(aggregation!$B$38:$AA$46,D7:D32)</f>
        <v>16.38213594068139</v>
      </c>
      <c r="M8" s="11">
        <f t="array" ref="M8:M16">MMULT(aggregation!$B$38:$AA$46,E7:E32)</f>
        <v>57.57606672954406</v>
      </c>
      <c r="N8" s="11">
        <f t="array" ref="N8:N16">MMULT(aggregation!$B$38:$AA$46,F7:F32)</f>
        <v>73.958202670225461</v>
      </c>
      <c r="O8" s="11"/>
      <c r="P8" s="10" t="str">
        <f>name!D5</f>
        <v>12 Other managers and proprietors</v>
      </c>
      <c r="Q8" s="11">
        <v>21.607011035550773</v>
      </c>
      <c r="R8" s="11">
        <v>31.839345231094963</v>
      </c>
      <c r="S8" s="342">
        <f t="shared" ref="S8:S31" si="5">R8-Q8</f>
        <v>10.23233419554419</v>
      </c>
      <c r="T8" s="342">
        <v>14.304544178035325</v>
      </c>
      <c r="U8" s="342">
        <f t="shared" ref="U8:U31" si="6">SUM(S8:T8)</f>
        <v>24.536878373579516</v>
      </c>
      <c r="V8" s="343">
        <f t="shared" ref="V8:V33" si="7">IF(Q8&gt;0,(1+(T8/Q8))^(1/($C$6-$B$6))-1,0)</f>
        <v>3.4449517348636549E-2</v>
      </c>
      <c r="W8" s="343"/>
      <c r="X8" s="10" t="str">
        <f>name!A5</f>
        <v>Coal, oil &amp; gas; Mining &amp; related</v>
      </c>
      <c r="Y8" s="10">
        <v>1.8109999999980091</v>
      </c>
      <c r="Z8" s="10">
        <v>1.3979999999938684</v>
      </c>
      <c r="AA8" s="342">
        <f t="shared" ref="AA8:AA71" si="8">Z8-Y8</f>
        <v>-0.41300000000414072</v>
      </c>
      <c r="AB8" s="10">
        <v>0.64060617939738562</v>
      </c>
      <c r="AC8" s="342">
        <f t="shared" ref="AC8:AC71" si="9">SUM(AA8:AB8)</f>
        <v>0.2276061793932449</v>
      </c>
      <c r="AD8" s="343">
        <f t="shared" ref="AD8:AD71" si="10">IF(Y8&gt;0,(1+(AB8/Y8))^(1/($C$6-$B$6))-1,0)</f>
        <v>2.0396163643305654E-2</v>
      </c>
    </row>
    <row r="9" spans="1:30" x14ac:dyDescent="0.2">
      <c r="A9" s="10" t="str">
        <f>name!D6</f>
        <v>21 Science, research, engineering and technology professionals</v>
      </c>
      <c r="B9" s="11">
        <f t="shared" si="4"/>
        <v>57.6937115495721</v>
      </c>
      <c r="C9" s="11">
        <f t="shared" si="4"/>
        <v>66.332607730232198</v>
      </c>
      <c r="D9" s="11">
        <f t="shared" si="4"/>
        <v>8.638896180660101</v>
      </c>
      <c r="E9" s="11">
        <f t="shared" si="4"/>
        <v>22.811965431608169</v>
      </c>
      <c r="F9" s="11">
        <f t="shared" si="4"/>
        <v>31.45086161226827</v>
      </c>
      <c r="G9" s="200">
        <f t="shared" ref="G9:G33" si="11">IF(B9&gt;0,(1+(E9/B9))^(1/($C$6-$B$6))-1,0)</f>
        <v>2.2460490485519902E-2</v>
      </c>
      <c r="H9" s="11"/>
      <c r="I9" s="10" t="str">
        <f>name!E5</f>
        <v>Professional occupations</v>
      </c>
      <c r="J9" s="11">
        <v>254.7542370817292</v>
      </c>
      <c r="K9" s="11">
        <v>306.7871028933539</v>
      </c>
      <c r="L9" s="11">
        <v>52.032865811624674</v>
      </c>
      <c r="M9" s="11">
        <v>137.75663114734991</v>
      </c>
      <c r="N9" s="11">
        <v>189.78949695897458</v>
      </c>
      <c r="O9" s="11"/>
      <c r="P9" s="10" t="str">
        <f>name!D6</f>
        <v>21 Science, research, engineering and technology professionals</v>
      </c>
      <c r="Q9" s="11">
        <v>46.485415600666066</v>
      </c>
      <c r="R9" s="11">
        <v>50.029337898578653</v>
      </c>
      <c r="S9" s="342">
        <f t="shared" si="5"/>
        <v>3.5439222979125873</v>
      </c>
      <c r="T9" s="342">
        <v>15.573367297349993</v>
      </c>
      <c r="U9" s="342">
        <f t="shared" si="6"/>
        <v>19.11728959526258</v>
      </c>
      <c r="V9" s="343">
        <f t="shared" si="7"/>
        <v>1.9449621717278154E-2</v>
      </c>
      <c r="W9" s="343"/>
      <c r="X9" s="10" t="str">
        <f>name!A6</f>
        <v>Food products</v>
      </c>
      <c r="Y9" s="10">
        <v>10.491999999958361</v>
      </c>
      <c r="Z9" s="10">
        <v>10.216999999918167</v>
      </c>
      <c r="AA9" s="342">
        <f t="shared" si="8"/>
        <v>-0.27500000004019398</v>
      </c>
      <c r="AB9" s="10">
        <v>4.4435377346778031</v>
      </c>
      <c r="AC9" s="342">
        <f t="shared" si="9"/>
        <v>4.1685377346376091</v>
      </c>
      <c r="AD9" s="343">
        <f t="shared" si="10"/>
        <v>2.382132723175534E-2</v>
      </c>
    </row>
    <row r="10" spans="1:30" x14ac:dyDescent="0.2">
      <c r="A10" s="10" t="str">
        <f>name!D7</f>
        <v>22 Health professionals</v>
      </c>
      <c r="B10" s="11">
        <f t="shared" si="4"/>
        <v>80.600575984282841</v>
      </c>
      <c r="C10" s="11">
        <f t="shared" si="4"/>
        <v>98.888062303322755</v>
      </c>
      <c r="D10" s="11">
        <f t="shared" si="4"/>
        <v>18.287486319039896</v>
      </c>
      <c r="E10" s="11">
        <f t="shared" si="4"/>
        <v>50.082335398849601</v>
      </c>
      <c r="F10" s="11">
        <f t="shared" si="4"/>
        <v>68.369821717889494</v>
      </c>
      <c r="G10" s="200">
        <f t="shared" si="11"/>
        <v>3.2742485744508443E-2</v>
      </c>
      <c r="H10" s="11"/>
      <c r="I10" s="10" t="str">
        <f>name!E6</f>
        <v>Associate professional occupations</v>
      </c>
      <c r="J10" s="11">
        <v>140.27215233660229</v>
      </c>
      <c r="K10" s="11">
        <v>146.85818967848317</v>
      </c>
      <c r="L10" s="11">
        <v>6.5860373418808891</v>
      </c>
      <c r="M10" s="11">
        <v>65.621908003179584</v>
      </c>
      <c r="N10" s="11">
        <v>72.207945345060466</v>
      </c>
      <c r="O10" s="11"/>
      <c r="P10" s="10" t="str">
        <f>name!D7</f>
        <v>22 Health professionals</v>
      </c>
      <c r="Q10" s="11">
        <v>21.095818552794629</v>
      </c>
      <c r="R10" s="11">
        <v>25.843409901291938</v>
      </c>
      <c r="S10" s="342">
        <f t="shared" si="5"/>
        <v>4.7475913484973091</v>
      </c>
      <c r="T10" s="342">
        <v>9.2803454823822165</v>
      </c>
      <c r="U10" s="342">
        <f t="shared" si="6"/>
        <v>14.027936830879526</v>
      </c>
      <c r="V10" s="343">
        <f t="shared" si="7"/>
        <v>2.4603346160390949E-2</v>
      </c>
      <c r="W10" s="343"/>
      <c r="X10" s="10" t="str">
        <f>name!A7</f>
        <v>Beverages and tobacco</v>
      </c>
      <c r="Y10" s="10">
        <v>1.5969999999941284</v>
      </c>
      <c r="Z10" s="10">
        <v>1.6199999999947829</v>
      </c>
      <c r="AA10" s="342">
        <f t="shared" si="8"/>
        <v>2.3000000000654497E-2</v>
      </c>
      <c r="AB10" s="10">
        <v>0.79565085066532304</v>
      </c>
      <c r="AC10" s="342">
        <f t="shared" si="9"/>
        <v>0.81865085066597754</v>
      </c>
      <c r="AD10" s="343">
        <f t="shared" si="10"/>
        <v>2.7318149538198666E-2</v>
      </c>
    </row>
    <row r="11" spans="1:30" x14ac:dyDescent="0.2">
      <c r="A11" s="10" t="str">
        <f>name!D8</f>
        <v>23 Teaching and other educational professionals</v>
      </c>
      <c r="B11" s="11">
        <f t="shared" si="4"/>
        <v>53.70857519578837</v>
      </c>
      <c r="C11" s="11">
        <f t="shared" si="4"/>
        <v>63.137330106243411</v>
      </c>
      <c r="D11" s="11">
        <f t="shared" si="4"/>
        <v>9.4287549104550479</v>
      </c>
      <c r="E11" s="11">
        <f t="shared" si="4"/>
        <v>29.793537255553954</v>
      </c>
      <c r="F11" s="11">
        <f t="shared" si="4"/>
        <v>39.222292166009012</v>
      </c>
      <c r="G11" s="200">
        <f t="shared" si="11"/>
        <v>2.9856992430022711E-2</v>
      </c>
      <c r="H11" s="11"/>
      <c r="I11" s="10" t="str">
        <f>name!E7</f>
        <v>Administrative and secretarial occupations</v>
      </c>
      <c r="J11" s="11">
        <v>132.69109413528548</v>
      </c>
      <c r="K11" s="11">
        <v>117.22320077750371</v>
      </c>
      <c r="L11" s="11">
        <v>-15.467893357781763</v>
      </c>
      <c r="M11" s="11">
        <v>62.973815245923007</v>
      </c>
      <c r="N11" s="11">
        <v>47.505921888141224</v>
      </c>
      <c r="O11" s="11"/>
      <c r="P11" s="10" t="str">
        <f>name!D8</f>
        <v>23 Teaching and other educational professionals</v>
      </c>
      <c r="Q11" s="11">
        <v>17.693644709941591</v>
      </c>
      <c r="R11" s="11">
        <v>20.678324469522309</v>
      </c>
      <c r="S11" s="342">
        <f t="shared" si="5"/>
        <v>2.9846797595807182</v>
      </c>
      <c r="T11" s="342">
        <v>8.5754262032341373</v>
      </c>
      <c r="U11" s="342">
        <f t="shared" si="6"/>
        <v>11.560105962814855</v>
      </c>
      <c r="V11" s="343">
        <f t="shared" si="7"/>
        <v>2.6695899178410087E-2</v>
      </c>
      <c r="W11" s="343"/>
      <c r="X11" s="10" t="str">
        <f>name!A8</f>
        <v>Textiles</v>
      </c>
      <c r="Y11" s="10">
        <v>1.2579999999952975</v>
      </c>
      <c r="Z11" s="10">
        <v>0.94700000000099527</v>
      </c>
      <c r="AA11" s="342">
        <f t="shared" si="8"/>
        <v>-0.31099999999430228</v>
      </c>
      <c r="AB11" s="10">
        <v>0.51409573897176719</v>
      </c>
      <c r="AC11" s="342">
        <f t="shared" si="9"/>
        <v>0.20309573897746491</v>
      </c>
      <c r="AD11" s="343">
        <f t="shared" si="10"/>
        <v>2.310553926050507E-2</v>
      </c>
    </row>
    <row r="12" spans="1:30" x14ac:dyDescent="0.2">
      <c r="A12" s="10" t="str">
        <f>name!D9</f>
        <v>24 Business, media and public service professionals</v>
      </c>
      <c r="B12" s="11">
        <f t="shared" si="4"/>
        <v>62.75137435208589</v>
      </c>
      <c r="C12" s="11">
        <f t="shared" si="4"/>
        <v>78.429102753555526</v>
      </c>
      <c r="D12" s="11">
        <f t="shared" si="4"/>
        <v>15.677728401469631</v>
      </c>
      <c r="E12" s="11">
        <f t="shared" si="4"/>
        <v>35.068793061338191</v>
      </c>
      <c r="F12" s="11">
        <f t="shared" si="4"/>
        <v>50.746521462807813</v>
      </c>
      <c r="G12" s="200">
        <f t="shared" si="11"/>
        <v>3.0039020787582249E-2</v>
      </c>
      <c r="H12" s="11"/>
      <c r="I12" s="10" t="str">
        <f>name!E8</f>
        <v>Skilled trades occupations</v>
      </c>
      <c r="J12" s="11">
        <v>110.04232433003205</v>
      </c>
      <c r="K12" s="11">
        <v>100.02736420050142</v>
      </c>
      <c r="L12" s="11">
        <v>-10.014960129530627</v>
      </c>
      <c r="M12" s="11">
        <v>44.270582282107227</v>
      </c>
      <c r="N12" s="11">
        <v>34.255622152576592</v>
      </c>
      <c r="O12" s="11"/>
      <c r="P12" s="10" t="str">
        <f>name!D9</f>
        <v>24 Business, media and public service professionals</v>
      </c>
      <c r="Q12" s="11">
        <v>30.862420269723909</v>
      </c>
      <c r="R12" s="11">
        <v>36.804428294204449</v>
      </c>
      <c r="S12" s="342">
        <f t="shared" si="5"/>
        <v>5.9420080244805398</v>
      </c>
      <c r="T12" s="342">
        <v>14.613051808543707</v>
      </c>
      <c r="U12" s="342">
        <f t="shared" si="6"/>
        <v>20.555059833024245</v>
      </c>
      <c r="V12" s="343">
        <f t="shared" si="7"/>
        <v>2.6179061714320717E-2</v>
      </c>
      <c r="W12" s="343"/>
      <c r="X12" s="10" t="str">
        <f>name!A9</f>
        <v>Wearing apparel; Leather, etc</v>
      </c>
      <c r="Y12" s="10">
        <v>0.33299999999699459</v>
      </c>
      <c r="Z12" s="10">
        <v>0.25200000000129252</v>
      </c>
      <c r="AA12" s="342">
        <f t="shared" si="8"/>
        <v>-8.0999999995702066E-2</v>
      </c>
      <c r="AB12" s="10">
        <v>0.14495753311684112</v>
      </c>
      <c r="AC12" s="342">
        <f t="shared" si="9"/>
        <v>6.3957533121139054E-2</v>
      </c>
      <c r="AD12" s="343">
        <f t="shared" si="10"/>
        <v>2.4384515666796114E-2</v>
      </c>
    </row>
    <row r="13" spans="1:30" x14ac:dyDescent="0.2">
      <c r="A13" s="10" t="str">
        <f>name!D10</f>
        <v>31 Science, engineering and technology associate professionals</v>
      </c>
      <c r="B13" s="11">
        <f t="shared" si="4"/>
        <v>25.674611673300859</v>
      </c>
      <c r="C13" s="11">
        <f t="shared" si="4"/>
        <v>23.163165143553329</v>
      </c>
      <c r="D13" s="11">
        <f t="shared" si="4"/>
        <v>-2.5114465297475324</v>
      </c>
      <c r="E13" s="11">
        <f t="shared" si="4"/>
        <v>9.0666081496631907</v>
      </c>
      <c r="F13" s="11">
        <f t="shared" si="4"/>
        <v>6.5551616199156602</v>
      </c>
      <c r="G13" s="200">
        <f t="shared" si="11"/>
        <v>2.0366234355206014E-2</v>
      </c>
      <c r="H13" s="11"/>
      <c r="I13" s="10" t="str">
        <f>name!E9</f>
        <v>Caring, leisure and other service occupations</v>
      </c>
      <c r="J13" s="11">
        <v>113.4354960488664</v>
      </c>
      <c r="K13" s="11">
        <v>124.77661745115464</v>
      </c>
      <c r="L13" s="11">
        <v>11.341121402288231</v>
      </c>
      <c r="M13" s="11">
        <v>66.707633771614908</v>
      </c>
      <c r="N13" s="11">
        <v>78.048755173903146</v>
      </c>
      <c r="O13" s="11"/>
      <c r="P13" s="10" t="str">
        <f>name!D10</f>
        <v>31 Science, engineering and technology associate professionals</v>
      </c>
      <c r="Q13" s="11">
        <v>20.428744491910066</v>
      </c>
      <c r="R13" s="11">
        <v>16.631563600966476</v>
      </c>
      <c r="S13" s="342">
        <f t="shared" si="5"/>
        <v>-3.79718089094359</v>
      </c>
      <c r="T13" s="342">
        <v>6.1101285939770751</v>
      </c>
      <c r="U13" s="342">
        <f t="shared" si="6"/>
        <v>2.3129477030334851</v>
      </c>
      <c r="V13" s="343">
        <f t="shared" si="7"/>
        <v>1.759755166937027E-2</v>
      </c>
      <c r="W13" s="343"/>
      <c r="X13" s="10" t="str">
        <f>name!A10</f>
        <v xml:space="preserve">Wood and cork </v>
      </c>
      <c r="Y13" s="10">
        <v>3.9399999999997344</v>
      </c>
      <c r="Z13" s="10">
        <v>3.6879999999642861</v>
      </c>
      <c r="AA13" s="342">
        <f t="shared" si="8"/>
        <v>-0.25200000003544831</v>
      </c>
      <c r="AB13" s="10">
        <v>1.5808367749254131</v>
      </c>
      <c r="AC13" s="342">
        <f t="shared" si="9"/>
        <v>1.3288367748899648</v>
      </c>
      <c r="AD13" s="343">
        <f t="shared" si="10"/>
        <v>2.2744719060404872E-2</v>
      </c>
    </row>
    <row r="14" spans="1:30" x14ac:dyDescent="0.2">
      <c r="A14" s="10" t="str">
        <f>name!D11</f>
        <v>32 Health and social care associate professionals</v>
      </c>
      <c r="B14" s="11">
        <f t="shared" si="4"/>
        <v>28.696516826584269</v>
      </c>
      <c r="C14" s="11">
        <f t="shared" si="4"/>
        <v>31.88314010881184</v>
      </c>
      <c r="D14" s="11">
        <f t="shared" si="4"/>
        <v>3.1866232822275782</v>
      </c>
      <c r="E14" s="11">
        <f t="shared" si="4"/>
        <v>17.592389879613759</v>
      </c>
      <c r="F14" s="11">
        <f t="shared" si="4"/>
        <v>20.779013161841334</v>
      </c>
      <c r="G14" s="200">
        <f t="shared" si="11"/>
        <v>3.2388557836439791E-2</v>
      </c>
      <c r="H14" s="11"/>
      <c r="I14" s="10" t="str">
        <f>name!E10</f>
        <v>Sales and customer service occupations</v>
      </c>
      <c r="J14" s="11">
        <v>125.9627236836462</v>
      </c>
      <c r="K14" s="11">
        <v>128.69100271062038</v>
      </c>
      <c r="L14" s="11">
        <v>2.7282790269741977</v>
      </c>
      <c r="M14" s="11">
        <v>62.956606297236519</v>
      </c>
      <c r="N14" s="11">
        <v>65.684885324210711</v>
      </c>
      <c r="O14" s="11"/>
      <c r="P14" s="10" t="str">
        <f>name!D11</f>
        <v>32 Health and social care associate professionals</v>
      </c>
      <c r="Q14" s="11">
        <v>6.5622472118968682</v>
      </c>
      <c r="R14" s="11">
        <v>6.4497924322423712</v>
      </c>
      <c r="S14" s="342">
        <f t="shared" si="5"/>
        <v>-0.11245477965449702</v>
      </c>
      <c r="T14" s="342">
        <v>3.0040690304368995</v>
      </c>
      <c r="U14" s="342">
        <f t="shared" si="6"/>
        <v>2.8916142507824025</v>
      </c>
      <c r="V14" s="343">
        <f t="shared" si="7"/>
        <v>2.5446034049535493E-2</v>
      </c>
      <c r="W14" s="343"/>
      <c r="X14" s="10" t="str">
        <f>name!A11</f>
        <v>Paper, etc</v>
      </c>
      <c r="Y14" s="10">
        <v>1.890999999995721</v>
      </c>
      <c r="Z14" s="10">
        <v>1.7639999999872062</v>
      </c>
      <c r="AA14" s="342">
        <f t="shared" si="8"/>
        <v>-0.12700000000851475</v>
      </c>
      <c r="AB14" s="10">
        <v>0.74528414185564973</v>
      </c>
      <c r="AC14" s="342">
        <f t="shared" si="9"/>
        <v>0.61828414184713498</v>
      </c>
      <c r="AD14" s="343">
        <f t="shared" si="10"/>
        <v>2.2398128624715907E-2</v>
      </c>
    </row>
    <row r="15" spans="1:30" x14ac:dyDescent="0.2">
      <c r="A15" s="10" t="str">
        <f>name!D12</f>
        <v>33 Protective service occupations</v>
      </c>
      <c r="B15" s="11">
        <f t="shared" si="4"/>
        <v>16.490904766190798</v>
      </c>
      <c r="C15" s="11">
        <f t="shared" si="4"/>
        <v>21.562302765848621</v>
      </c>
      <c r="D15" s="11">
        <f t="shared" si="4"/>
        <v>5.0713979996578225</v>
      </c>
      <c r="E15" s="11">
        <f t="shared" si="4"/>
        <v>6.9469219583139283</v>
      </c>
      <c r="F15" s="11">
        <f t="shared" si="4"/>
        <v>12.01831995797175</v>
      </c>
      <c r="G15" s="200">
        <f t="shared" si="11"/>
        <v>2.3712933991456131E-2</v>
      </c>
      <c r="H15" s="11"/>
      <c r="I15" s="10" t="str">
        <f>name!E11</f>
        <v>Process, plant and machine operatives</v>
      </c>
      <c r="J15" s="11">
        <v>78.634537803995272</v>
      </c>
      <c r="K15" s="11">
        <v>80.469926760747057</v>
      </c>
      <c r="L15" s="11">
        <v>1.8353889567517729</v>
      </c>
      <c r="M15" s="11">
        <v>37.249894060342832</v>
      </c>
      <c r="N15" s="11">
        <v>39.085283017094596</v>
      </c>
      <c r="O15" s="11"/>
      <c r="P15" s="10" t="str">
        <f>name!D12</f>
        <v>33 Protective service occupations</v>
      </c>
      <c r="Q15" s="11">
        <v>11.988773796171809</v>
      </c>
      <c r="R15" s="11">
        <v>13.961513754404317</v>
      </c>
      <c r="S15" s="342">
        <f t="shared" si="5"/>
        <v>1.9727399582325074</v>
      </c>
      <c r="T15" s="342">
        <v>3.6939139417768105</v>
      </c>
      <c r="U15" s="342">
        <f t="shared" si="6"/>
        <v>5.6666539000093179</v>
      </c>
      <c r="V15" s="343">
        <f t="shared" si="7"/>
        <v>1.8067050757921477E-2</v>
      </c>
      <c r="W15" s="343"/>
      <c r="X15" s="10" t="str">
        <f>name!A12</f>
        <v>Printing and recording</v>
      </c>
      <c r="Y15" s="10">
        <v>3.4059999999881088</v>
      </c>
      <c r="Z15" s="10">
        <v>2.5139999999974294</v>
      </c>
      <c r="AA15" s="342">
        <f t="shared" si="8"/>
        <v>-0.89199999999067936</v>
      </c>
      <c r="AB15" s="10">
        <v>1.3230077990312832</v>
      </c>
      <c r="AC15" s="342">
        <f t="shared" si="9"/>
        <v>0.43100779904060382</v>
      </c>
      <c r="AD15" s="343">
        <f t="shared" si="10"/>
        <v>2.2119543782749052E-2</v>
      </c>
    </row>
    <row r="16" spans="1:30" x14ac:dyDescent="0.2">
      <c r="A16" s="10" t="str">
        <f>name!D13</f>
        <v>34 Culture, media and sports occupations</v>
      </c>
      <c r="B16" s="11">
        <f t="shared" si="4"/>
        <v>14.871594679764726</v>
      </c>
      <c r="C16" s="11">
        <f t="shared" si="4"/>
        <v>15.744184153452188</v>
      </c>
      <c r="D16" s="11">
        <f t="shared" si="4"/>
        <v>0.87258947368746154</v>
      </c>
      <c r="E16" s="11">
        <f t="shared" si="4"/>
        <v>7.2362884699627692</v>
      </c>
      <c r="F16" s="11">
        <f t="shared" si="4"/>
        <v>8.1088779436502332</v>
      </c>
      <c r="G16" s="200">
        <f t="shared" si="11"/>
        <v>2.6784509276264634E-2</v>
      </c>
      <c r="H16" s="11"/>
      <c r="I16" s="10" t="str">
        <f>name!E12</f>
        <v>Elementary occupations</v>
      </c>
      <c r="J16" s="11">
        <v>133.81868649587602</v>
      </c>
      <c r="K16" s="11">
        <v>130.05371150291032</v>
      </c>
      <c r="L16" s="11">
        <v>-3.7649749929657146</v>
      </c>
      <c r="M16" s="11">
        <v>61.946889764523362</v>
      </c>
      <c r="N16" s="11">
        <v>58.181914771557643</v>
      </c>
      <c r="O16" s="11"/>
      <c r="P16" s="10" t="str">
        <f>name!D13</f>
        <v>34 Culture, media and sports occupations</v>
      </c>
      <c r="Q16" s="11">
        <v>6.2979093288572043</v>
      </c>
      <c r="R16" s="11">
        <v>6.4829890439361764</v>
      </c>
      <c r="S16" s="342">
        <f t="shared" si="5"/>
        <v>0.18507971507897203</v>
      </c>
      <c r="T16" s="342">
        <v>2.4831638216358223</v>
      </c>
      <c r="U16" s="342">
        <f t="shared" si="6"/>
        <v>2.6682435367147943</v>
      </c>
      <c r="V16" s="343">
        <f t="shared" si="7"/>
        <v>2.2406054773560946E-2</v>
      </c>
      <c r="W16" s="343"/>
      <c r="X16" s="10" t="str">
        <f>name!A13</f>
        <v>Coke and petroleum; Chemicals, etc</v>
      </c>
      <c r="Y16" s="10">
        <v>8.4149999999691669</v>
      </c>
      <c r="Z16" s="10">
        <v>5.3699999999972308</v>
      </c>
      <c r="AA16" s="342">
        <f t="shared" si="8"/>
        <v>-3.0449999999719362</v>
      </c>
      <c r="AB16" s="10">
        <v>2.7517128997256424</v>
      </c>
      <c r="AC16" s="342">
        <f t="shared" si="9"/>
        <v>-0.29328710024629379</v>
      </c>
      <c r="AD16" s="343">
        <f t="shared" si="10"/>
        <v>1.9040431269547131E-2</v>
      </c>
    </row>
    <row r="17" spans="1:30" x14ac:dyDescent="0.2">
      <c r="A17" s="10" t="str">
        <f>name!D14</f>
        <v>35 Business and public service associate professionals</v>
      </c>
      <c r="B17" s="11">
        <f t="shared" ref="B17:F26" si="12">SUM(B46,B75,B104,B133,B162,B191,B220,B249,B278)</f>
        <v>54.538524390761637</v>
      </c>
      <c r="C17" s="11">
        <f t="shared" si="12"/>
        <v>54.505397506817197</v>
      </c>
      <c r="D17" s="11">
        <f t="shared" si="12"/>
        <v>-3.31268839444403E-2</v>
      </c>
      <c r="E17" s="11">
        <f t="shared" si="12"/>
        <v>24.779699545625931</v>
      </c>
      <c r="F17" s="11">
        <f t="shared" si="12"/>
        <v>24.746572661681491</v>
      </c>
      <c r="G17" s="200">
        <f t="shared" si="11"/>
        <v>2.5285085435941657E-2</v>
      </c>
      <c r="H17" s="11"/>
      <c r="O17" s="11"/>
      <c r="P17" s="10" t="str">
        <f>name!D14</f>
        <v>35 Business and public service associate professionals</v>
      </c>
      <c r="Q17" s="11">
        <v>26.564514034525022</v>
      </c>
      <c r="R17" s="11">
        <v>24.135730477065955</v>
      </c>
      <c r="S17" s="342">
        <f t="shared" si="5"/>
        <v>-2.4287835574590666</v>
      </c>
      <c r="T17" s="342">
        <v>9.235870816358732</v>
      </c>
      <c r="U17" s="342">
        <f t="shared" si="6"/>
        <v>6.8070872588996654</v>
      </c>
      <c r="V17" s="343">
        <f t="shared" si="7"/>
        <v>2.0091325888013323E-2</v>
      </c>
      <c r="W17" s="343"/>
      <c r="X17" s="10" t="str">
        <f>name!A14</f>
        <v>Pharmaceuticals</v>
      </c>
      <c r="Y17" s="10">
        <v>3.6499999999898907</v>
      </c>
      <c r="Z17" s="10">
        <v>4.014000000010209</v>
      </c>
      <c r="AA17" s="342">
        <f t="shared" si="8"/>
        <v>0.36400000002031829</v>
      </c>
      <c r="AB17" s="10">
        <v>1.7371870760091921</v>
      </c>
      <c r="AC17" s="342">
        <f t="shared" si="9"/>
        <v>2.1011870760295102</v>
      </c>
      <c r="AD17" s="343">
        <f t="shared" si="10"/>
        <v>2.629279387812522E-2</v>
      </c>
    </row>
    <row r="18" spans="1:30" x14ac:dyDescent="0.2">
      <c r="A18" s="10" t="str">
        <f>name!D15</f>
        <v>41 Administrative occupations</v>
      </c>
      <c r="B18" s="11">
        <f t="shared" si="12"/>
        <v>110.91865106364428</v>
      </c>
      <c r="C18" s="11">
        <f t="shared" si="12"/>
        <v>97.055349402965078</v>
      </c>
      <c r="D18" s="11">
        <f t="shared" si="12"/>
        <v>-13.863301660679175</v>
      </c>
      <c r="E18" s="11">
        <f t="shared" si="12"/>
        <v>50.925256074583146</v>
      </c>
      <c r="F18" s="11">
        <f t="shared" si="12"/>
        <v>37.061954413903955</v>
      </c>
      <c r="G18" s="200">
        <f t="shared" si="11"/>
        <v>2.5508942212060903E-2</v>
      </c>
      <c r="H18" s="11"/>
      <c r="I18" s="86" t="str">
        <f>name!F4</f>
        <v>RQF8 Doctorate</v>
      </c>
      <c r="J18" s="11"/>
      <c r="K18" s="11"/>
      <c r="L18" s="11"/>
      <c r="M18" s="11"/>
      <c r="N18" s="11"/>
      <c r="O18" s="11"/>
      <c r="P18" s="10" t="str">
        <f>name!D15</f>
        <v>41 Administrative occupations</v>
      </c>
      <c r="Q18" s="11">
        <v>37.233378622315428</v>
      </c>
      <c r="R18" s="11">
        <v>38.957957029619536</v>
      </c>
      <c r="S18" s="342">
        <f t="shared" si="5"/>
        <v>1.7245784073041079</v>
      </c>
      <c r="T18" s="342">
        <v>13.789090517980187</v>
      </c>
      <c r="U18" s="342">
        <f t="shared" si="6"/>
        <v>15.513668925284295</v>
      </c>
      <c r="V18" s="343">
        <f t="shared" si="7"/>
        <v>2.1226168758182951E-2</v>
      </c>
      <c r="W18" s="343"/>
      <c r="X18" s="10" t="str">
        <f>name!A15</f>
        <v>Rubber and plastic</v>
      </c>
      <c r="Y18" s="10">
        <v>7.3699999999915331</v>
      </c>
      <c r="Z18" s="10">
        <v>7.1339999999419161</v>
      </c>
      <c r="AA18" s="342">
        <f t="shared" si="8"/>
        <v>-0.23600000004961696</v>
      </c>
      <c r="AB18" s="10">
        <v>2.9175869809950146</v>
      </c>
      <c r="AC18" s="342">
        <f t="shared" si="9"/>
        <v>2.6815869809453976</v>
      </c>
      <c r="AD18" s="343">
        <f t="shared" si="10"/>
        <v>2.2483720618202252E-2</v>
      </c>
    </row>
    <row r="19" spans="1:30" x14ac:dyDescent="0.2">
      <c r="A19" s="10" t="str">
        <f>name!D16</f>
        <v>42 Secretarial and related occupations</v>
      </c>
      <c r="B19" s="11">
        <f t="shared" si="12"/>
        <v>21.77244307164122</v>
      </c>
      <c r="C19" s="11">
        <f t="shared" si="12"/>
        <v>20.167851374538632</v>
      </c>
      <c r="D19" s="11">
        <f t="shared" si="12"/>
        <v>-1.6045916971025878</v>
      </c>
      <c r="E19" s="11">
        <f t="shared" si="12"/>
        <v>12.048559171339857</v>
      </c>
      <c r="F19" s="11">
        <f t="shared" si="12"/>
        <v>10.443967474237269</v>
      </c>
      <c r="G19" s="200">
        <f t="shared" si="11"/>
        <v>2.9797786434668572E-2</v>
      </c>
      <c r="H19" s="11"/>
      <c r="I19" s="11" t="str">
        <f t="shared" ref="I19:I27" si="13">I8</f>
        <v>Managers, directors and senior officials</v>
      </c>
      <c r="J19" s="11">
        <f t="array" ref="J19:J27">MMULT(aggregation!$B$38:$AA$46,B36:B61)</f>
        <v>0.99254865391564051</v>
      </c>
      <c r="K19" s="11">
        <f t="array" ref="K19:K27">MMULT(aggregation!$B$38:$AA$46,C36:C61)</f>
        <v>1.7612670307299318</v>
      </c>
      <c r="L19" s="11">
        <f t="array" ref="L19:L27">MMULT(aggregation!$B$38:$AA$46,D36:D61)</f>
        <v>0.76871837681429134</v>
      </c>
      <c r="M19" s="11">
        <f t="array" ref="M19:M27">MMULT(aggregation!$B$38:$AA$46,E36:E61)</f>
        <v>0.83283494180655793</v>
      </c>
      <c r="N19" s="11">
        <f t="array" ref="N19:N27">MMULT(aggregation!$B$38:$AA$46,F36:F61)</f>
        <v>1.6015533186208493</v>
      </c>
      <c r="O19" s="11"/>
      <c r="P19" s="10" t="str">
        <f>name!D16</f>
        <v>42 Secretarial and related occupations</v>
      </c>
      <c r="Q19" s="11">
        <v>1.1666759509376754</v>
      </c>
      <c r="R19" s="11">
        <v>2.0435303176081177</v>
      </c>
      <c r="S19" s="342">
        <f t="shared" si="5"/>
        <v>0.87685436667044225</v>
      </c>
      <c r="T19" s="342">
        <v>0.59170120986827501</v>
      </c>
      <c r="U19" s="342">
        <f t="shared" si="6"/>
        <v>1.4685555765387173</v>
      </c>
      <c r="V19" s="343">
        <f t="shared" si="7"/>
        <v>2.7726257624049122E-2</v>
      </c>
      <c r="W19" s="343"/>
      <c r="X19" s="10" t="str">
        <f>name!A16</f>
        <v>Other non-metallic</v>
      </c>
      <c r="Y19" s="10">
        <v>4.3089999999962192</v>
      </c>
      <c r="Z19" s="10">
        <v>4.1449999999727254</v>
      </c>
      <c r="AA19" s="342">
        <f t="shared" si="8"/>
        <v>-0.1640000000234938</v>
      </c>
      <c r="AB19" s="10">
        <v>1.8585125360720474</v>
      </c>
      <c r="AC19" s="342">
        <f t="shared" si="9"/>
        <v>1.6945125360485536</v>
      </c>
      <c r="AD19" s="343">
        <f t="shared" si="10"/>
        <v>2.4194021604529992E-2</v>
      </c>
    </row>
    <row r="20" spans="1:30" x14ac:dyDescent="0.2">
      <c r="A20" s="10" t="str">
        <f>name!D17</f>
        <v>51 Skilled agricultural and related trades</v>
      </c>
      <c r="B20" s="11">
        <f t="shared" si="12"/>
        <v>10.301868360565642</v>
      </c>
      <c r="C20" s="11">
        <f t="shared" si="12"/>
        <v>11.586104938365441</v>
      </c>
      <c r="D20" s="11">
        <f t="shared" si="12"/>
        <v>1.2842365777998002</v>
      </c>
      <c r="E20" s="11">
        <f t="shared" si="12"/>
        <v>6.0567057681012804</v>
      </c>
      <c r="F20" s="11">
        <f t="shared" si="12"/>
        <v>7.3409423459010803</v>
      </c>
      <c r="G20" s="200">
        <f t="shared" si="11"/>
        <v>3.1308577929336057E-2</v>
      </c>
      <c r="H20" s="11"/>
      <c r="I20" s="11" t="str">
        <f t="shared" si="13"/>
        <v>Professional occupations</v>
      </c>
      <c r="J20" s="11">
        <v>12.548088374098205</v>
      </c>
      <c r="K20" s="11">
        <v>19.227063214053796</v>
      </c>
      <c r="L20" s="11">
        <v>6.6789748399555915</v>
      </c>
      <c r="M20" s="11">
        <v>8.2507256909598521</v>
      </c>
      <c r="N20" s="11">
        <v>14.929700530915444</v>
      </c>
      <c r="O20" s="11"/>
      <c r="P20" s="10" t="str">
        <f>name!D17</f>
        <v>51 Skilled agricultural and related trades</v>
      </c>
      <c r="Q20" s="11">
        <v>8.1366460268245948</v>
      </c>
      <c r="R20" s="11">
        <v>8.7701206946933734</v>
      </c>
      <c r="S20" s="342">
        <f t="shared" si="5"/>
        <v>0.6334746678687786</v>
      </c>
      <c r="T20" s="342">
        <v>4.3150484832795328</v>
      </c>
      <c r="U20" s="342">
        <f t="shared" si="6"/>
        <v>4.9485231511483114</v>
      </c>
      <c r="V20" s="343">
        <f t="shared" si="7"/>
        <v>2.8771368364419736E-2</v>
      </c>
      <c r="W20" s="343"/>
      <c r="X20" s="10" t="str">
        <f>name!A17</f>
        <v>Basic metals</v>
      </c>
      <c r="Y20" s="10">
        <v>2.6919999999986155</v>
      </c>
      <c r="Z20" s="10">
        <v>2.3349999999884523</v>
      </c>
      <c r="AA20" s="342">
        <f t="shared" si="8"/>
        <v>-0.35700000001016319</v>
      </c>
      <c r="AB20" s="10">
        <v>0.95204495881889295</v>
      </c>
      <c r="AC20" s="342">
        <f t="shared" si="9"/>
        <v>0.59504495880872976</v>
      </c>
      <c r="AD20" s="343">
        <f t="shared" si="10"/>
        <v>2.0392469205203545E-2</v>
      </c>
    </row>
    <row r="21" spans="1:30" x14ac:dyDescent="0.2">
      <c r="A21" s="10" t="str">
        <f>name!D18</f>
        <v>52 Skilled metal, electrical and electronic trades</v>
      </c>
      <c r="B21" s="11">
        <f t="shared" si="12"/>
        <v>42.607750243782974</v>
      </c>
      <c r="C21" s="11">
        <f t="shared" si="12"/>
        <v>36.473047170903151</v>
      </c>
      <c r="D21" s="11">
        <f t="shared" si="12"/>
        <v>-6.134703072879824</v>
      </c>
      <c r="E21" s="11">
        <f t="shared" si="12"/>
        <v>14.656533449391997</v>
      </c>
      <c r="F21" s="11">
        <f t="shared" si="12"/>
        <v>8.5218303765121739</v>
      </c>
      <c r="G21" s="200">
        <f t="shared" si="11"/>
        <v>1.9904908565520962E-2</v>
      </c>
      <c r="H21" s="11"/>
      <c r="I21" s="11" t="str">
        <f t="shared" si="13"/>
        <v>Associate professional occupations</v>
      </c>
      <c r="J21" s="11">
        <v>1.2484812310002762</v>
      </c>
      <c r="K21" s="11">
        <v>1.9009770666054289</v>
      </c>
      <c r="L21" s="11">
        <v>0.65249583560515234</v>
      </c>
      <c r="M21" s="11">
        <v>0.83447647271851899</v>
      </c>
      <c r="N21" s="11">
        <v>1.4869723083236712</v>
      </c>
      <c r="O21" s="11"/>
      <c r="P21" s="10" t="str">
        <f>name!D18</f>
        <v>52 Skilled metal, electrical and electronic trades</v>
      </c>
      <c r="Q21" s="11">
        <v>42.007258387746035</v>
      </c>
      <c r="R21" s="11">
        <v>34.571447362125326</v>
      </c>
      <c r="S21" s="342">
        <f t="shared" si="5"/>
        <v>-7.4358110256207084</v>
      </c>
      <c r="T21" s="342">
        <v>13.788543735721396</v>
      </c>
      <c r="U21" s="342">
        <f t="shared" si="6"/>
        <v>6.3527327101006872</v>
      </c>
      <c r="V21" s="343">
        <f t="shared" si="7"/>
        <v>1.9103936512322228E-2</v>
      </c>
      <c r="W21" s="343"/>
      <c r="X21" s="10" t="str">
        <f>name!A18</f>
        <v>Metal products</v>
      </c>
      <c r="Y21" s="10">
        <v>13.777999999973744</v>
      </c>
      <c r="Z21" s="10">
        <v>12.076999999927137</v>
      </c>
      <c r="AA21" s="342">
        <f t="shared" si="8"/>
        <v>-1.7010000000466068</v>
      </c>
      <c r="AB21" s="10">
        <v>5.1456854588975895</v>
      </c>
      <c r="AC21" s="342">
        <f t="shared" si="9"/>
        <v>3.4446854588509828</v>
      </c>
      <c r="AD21" s="343">
        <f t="shared" si="10"/>
        <v>2.1381457721000086E-2</v>
      </c>
    </row>
    <row r="22" spans="1:30" x14ac:dyDescent="0.2">
      <c r="A22" s="10" t="str">
        <f>name!D19</f>
        <v>53 Skilled construction and building trades</v>
      </c>
      <c r="B22" s="11">
        <f t="shared" si="12"/>
        <v>36.039102763857152</v>
      </c>
      <c r="C22" s="11">
        <f t="shared" si="12"/>
        <v>31.960757016792183</v>
      </c>
      <c r="D22" s="11">
        <f t="shared" si="12"/>
        <v>-4.0783457470649651</v>
      </c>
      <c r="E22" s="11">
        <f t="shared" si="12"/>
        <v>14.310706692725715</v>
      </c>
      <c r="F22" s="11">
        <f t="shared" si="12"/>
        <v>10.232360945660748</v>
      </c>
      <c r="G22" s="200">
        <f t="shared" si="11"/>
        <v>2.2543025243805692E-2</v>
      </c>
      <c r="H22" s="11"/>
      <c r="I22" s="11" t="str">
        <f t="shared" si="13"/>
        <v>Administrative and secretarial occupations</v>
      </c>
      <c r="J22" s="11">
        <v>0.56255020061913785</v>
      </c>
      <c r="K22" s="11">
        <v>0.79938323355695595</v>
      </c>
      <c r="L22" s="11">
        <v>0.23683303293781799</v>
      </c>
      <c r="M22" s="11">
        <v>0.38960490447059642</v>
      </c>
      <c r="N22" s="11">
        <v>0.62643793740841447</v>
      </c>
      <c r="O22" s="11"/>
      <c r="P22" s="10" t="str">
        <f>name!D19</f>
        <v>53 Skilled construction and building trades</v>
      </c>
      <c r="Q22" s="11">
        <v>35.010299414621841</v>
      </c>
      <c r="R22" s="11">
        <v>30.71757010536988</v>
      </c>
      <c r="S22" s="342">
        <f t="shared" si="5"/>
        <v>-4.2927293092519605</v>
      </c>
      <c r="T22" s="342">
        <v>13.683710243720739</v>
      </c>
      <c r="U22" s="342">
        <f t="shared" si="6"/>
        <v>9.3909809344687787</v>
      </c>
      <c r="V22" s="343">
        <f t="shared" si="7"/>
        <v>2.2237905247853185E-2</v>
      </c>
      <c r="W22" s="343"/>
      <c r="X22" s="10" t="str">
        <f>name!A19</f>
        <v>Computer, etc</v>
      </c>
      <c r="Y22" s="10">
        <v>2.5149999999891826</v>
      </c>
      <c r="Z22" s="10">
        <v>3.9199999999929354</v>
      </c>
      <c r="AA22" s="342">
        <f t="shared" si="8"/>
        <v>1.4050000000037528</v>
      </c>
      <c r="AB22" s="10">
        <v>1.4829192632415775</v>
      </c>
      <c r="AC22" s="342">
        <f t="shared" si="9"/>
        <v>2.8879192632453305</v>
      </c>
      <c r="AD22" s="343">
        <f t="shared" si="10"/>
        <v>3.1382445619392074E-2</v>
      </c>
    </row>
    <row r="23" spans="1:30" x14ac:dyDescent="0.2">
      <c r="A23" s="10" t="str">
        <f>name!D20</f>
        <v>54 Textiles, printing and other skilled trades</v>
      </c>
      <c r="B23" s="11">
        <f t="shared" si="12"/>
        <v>21.093602961826285</v>
      </c>
      <c r="C23" s="11">
        <f t="shared" si="12"/>
        <v>20.007455074440646</v>
      </c>
      <c r="D23" s="11">
        <f t="shared" si="12"/>
        <v>-1.0861478873856369</v>
      </c>
      <c r="E23" s="11">
        <f t="shared" si="12"/>
        <v>9.2466363718882327</v>
      </c>
      <c r="F23" s="11">
        <f t="shared" si="12"/>
        <v>8.1604884845025936</v>
      </c>
      <c r="G23" s="200">
        <f t="shared" si="11"/>
        <v>2.4529691428941902E-2</v>
      </c>
      <c r="H23" s="11"/>
      <c r="I23" s="11" t="str">
        <f t="shared" si="13"/>
        <v>Skilled trades occupations</v>
      </c>
      <c r="J23" s="11">
        <v>0.11389983370453693</v>
      </c>
      <c r="K23" s="11">
        <v>0.18019737704483385</v>
      </c>
      <c r="L23" s="11">
        <v>6.6297543340296916E-2</v>
      </c>
      <c r="M23" s="11">
        <v>8.6519004550336912E-2</v>
      </c>
      <c r="N23" s="11">
        <v>0.15281654789063381</v>
      </c>
      <c r="O23" s="11"/>
      <c r="P23" s="10" t="str">
        <f>name!D20</f>
        <v>54 Textiles, printing and other skilled trades</v>
      </c>
      <c r="Q23" s="11">
        <v>10.94759386747138</v>
      </c>
      <c r="R23" s="11">
        <v>10.261425400620922</v>
      </c>
      <c r="S23" s="342">
        <f t="shared" si="5"/>
        <v>-0.68616846685045729</v>
      </c>
      <c r="T23" s="342">
        <v>3.2782243884219353</v>
      </c>
      <c r="U23" s="342">
        <f t="shared" si="6"/>
        <v>2.592055921571478</v>
      </c>
      <c r="V23" s="343">
        <f t="shared" si="7"/>
        <v>1.7615949492079341E-2</v>
      </c>
      <c r="W23" s="343"/>
      <c r="X23" s="10" t="str">
        <f>name!A20</f>
        <v>Electrical equipment</v>
      </c>
      <c r="Y23" s="10">
        <v>3.2529999999857546</v>
      </c>
      <c r="Z23" s="10">
        <v>2.8159999999894652</v>
      </c>
      <c r="AA23" s="342">
        <f t="shared" si="8"/>
        <v>-0.43699999999628947</v>
      </c>
      <c r="AB23" s="10">
        <v>1.2979612498646136</v>
      </c>
      <c r="AC23" s="342">
        <f t="shared" si="9"/>
        <v>0.86096124986832412</v>
      </c>
      <c r="AD23" s="343">
        <f t="shared" si="10"/>
        <v>2.2636457833557388E-2</v>
      </c>
    </row>
    <row r="24" spans="1:30" x14ac:dyDescent="0.2">
      <c r="A24" s="10" t="str">
        <f>name!D21</f>
        <v>61 Caring personal service occupations</v>
      </c>
      <c r="B24" s="11">
        <f t="shared" si="12"/>
        <v>85.269437786949524</v>
      </c>
      <c r="C24" s="11">
        <f t="shared" si="12"/>
        <v>96.070574814223022</v>
      </c>
      <c r="D24" s="11">
        <f t="shared" si="12"/>
        <v>10.80113702727348</v>
      </c>
      <c r="E24" s="11">
        <f t="shared" si="12"/>
        <v>52.384100278294021</v>
      </c>
      <c r="F24" s="11">
        <f t="shared" si="12"/>
        <v>63.185237305567505</v>
      </c>
      <c r="G24" s="200">
        <f t="shared" si="11"/>
        <v>3.244343069587563E-2</v>
      </c>
      <c r="H24" s="11"/>
      <c r="I24" s="11" t="str">
        <f t="shared" si="13"/>
        <v>Caring, leisure and other service occupations</v>
      </c>
      <c r="J24" s="11">
        <v>7.6068834427441306E-2</v>
      </c>
      <c r="K24" s="11">
        <v>0.13224255919253999</v>
      </c>
      <c r="L24" s="11">
        <v>5.617372476509868E-2</v>
      </c>
      <c r="M24" s="11">
        <v>6.4305607854871882E-2</v>
      </c>
      <c r="N24" s="11">
        <v>0.12047933261997056</v>
      </c>
      <c r="O24" s="11"/>
      <c r="P24" s="10" t="str">
        <f>name!D21</f>
        <v>61 Caring personal service occupations</v>
      </c>
      <c r="Q24" s="11">
        <v>10.944111595436329</v>
      </c>
      <c r="R24" s="11">
        <v>15.182187696737737</v>
      </c>
      <c r="S24" s="342">
        <f t="shared" si="5"/>
        <v>4.2380761013014077</v>
      </c>
      <c r="T24" s="342">
        <v>6.0114298679059948</v>
      </c>
      <c r="U24" s="342">
        <f t="shared" si="6"/>
        <v>10.249505969207402</v>
      </c>
      <c r="V24" s="343">
        <f t="shared" si="7"/>
        <v>2.9616301656180788E-2</v>
      </c>
      <c r="W24" s="343"/>
      <c r="X24" s="10" t="str">
        <f>name!A21</f>
        <v>Machinery n.e.c.</v>
      </c>
      <c r="Y24" s="10">
        <v>10.91199999996423</v>
      </c>
      <c r="Z24" s="10">
        <v>9.1099999999595926</v>
      </c>
      <c r="AA24" s="342">
        <f t="shared" si="8"/>
        <v>-1.8020000000046377</v>
      </c>
      <c r="AB24" s="10">
        <v>4.0897913855897539</v>
      </c>
      <c r="AC24" s="342">
        <f t="shared" si="9"/>
        <v>2.2877913855851162</v>
      </c>
      <c r="AD24" s="343">
        <f t="shared" si="10"/>
        <v>2.1447189096342578E-2</v>
      </c>
    </row>
    <row r="25" spans="1:30" x14ac:dyDescent="0.2">
      <c r="A25" s="10" t="str">
        <f>name!D22</f>
        <v>62 Leisure, travel and related personal service occupations</v>
      </c>
      <c r="B25" s="11">
        <f t="shared" si="12"/>
        <v>26.609234004473489</v>
      </c>
      <c r="C25" s="11">
        <f t="shared" si="12"/>
        <v>27.345758662070583</v>
      </c>
      <c r="D25" s="11">
        <f t="shared" si="12"/>
        <v>0.73652465759708841</v>
      </c>
      <c r="E25" s="11">
        <f t="shared" si="12"/>
        <v>13.676147163262671</v>
      </c>
      <c r="F25" s="11">
        <f t="shared" si="12"/>
        <v>14.412671820859762</v>
      </c>
      <c r="G25" s="200">
        <f t="shared" si="11"/>
        <v>2.803446248859931E-2</v>
      </c>
      <c r="H25" s="11"/>
      <c r="I25" s="11" t="str">
        <f t="shared" si="13"/>
        <v>Sales and customer service occupations</v>
      </c>
      <c r="J25" s="11">
        <v>0.22584206884979252</v>
      </c>
      <c r="K25" s="11">
        <v>0.37390703827027683</v>
      </c>
      <c r="L25" s="11">
        <v>0.1480649694204843</v>
      </c>
      <c r="M25" s="11">
        <v>0.1612080648760203</v>
      </c>
      <c r="N25" s="11">
        <v>0.30927303429650466</v>
      </c>
      <c r="O25" s="11"/>
      <c r="P25" s="10" t="str">
        <f>name!D22</f>
        <v>62 Leisure, travel and related personal service occupations</v>
      </c>
      <c r="Q25" s="11">
        <v>8.4141567658143206</v>
      </c>
      <c r="R25" s="11">
        <v>8.9031187115617278</v>
      </c>
      <c r="S25" s="342">
        <f t="shared" si="5"/>
        <v>0.48896194574740726</v>
      </c>
      <c r="T25" s="342">
        <v>3.5299362438273127</v>
      </c>
      <c r="U25" s="342">
        <f t="shared" si="6"/>
        <v>4.0188981895747204</v>
      </c>
      <c r="V25" s="343">
        <f t="shared" si="7"/>
        <v>2.36296064380348E-2</v>
      </c>
      <c r="W25" s="343"/>
      <c r="X25" s="10" t="str">
        <f>name!A22</f>
        <v>Motor vehicles, etc</v>
      </c>
      <c r="Y25" s="10">
        <v>12.739999999972374</v>
      </c>
      <c r="Z25" s="10">
        <v>10.994999999943127</v>
      </c>
      <c r="AA25" s="342">
        <f t="shared" si="8"/>
        <v>-1.7450000000292469</v>
      </c>
      <c r="AB25" s="10">
        <v>4.5533883687616905</v>
      </c>
      <c r="AC25" s="342">
        <f t="shared" si="9"/>
        <v>2.8083883687324436</v>
      </c>
      <c r="AD25" s="343">
        <f t="shared" si="10"/>
        <v>2.0580762441527289E-2</v>
      </c>
    </row>
    <row r="26" spans="1:30" x14ac:dyDescent="0.2">
      <c r="A26" s="10" t="str">
        <f>name!D23</f>
        <v>63 Community and civil enforcement occupations</v>
      </c>
      <c r="B26" s="11">
        <f t="shared" si="12"/>
        <v>1.5568242574433748</v>
      </c>
      <c r="C26" s="11">
        <f t="shared" si="12"/>
        <v>1.3602839748610367</v>
      </c>
      <c r="D26" s="11">
        <f t="shared" si="12"/>
        <v>-0.19654028258233797</v>
      </c>
      <c r="E26" s="11">
        <f t="shared" si="12"/>
        <v>0.64738633005821355</v>
      </c>
      <c r="F26" s="11">
        <f t="shared" si="12"/>
        <v>0.45084604747587548</v>
      </c>
      <c r="G26" s="200">
        <f t="shared" si="11"/>
        <v>2.3452205636042889E-2</v>
      </c>
      <c r="H26" s="11"/>
      <c r="I26" s="11" t="str">
        <f t="shared" si="13"/>
        <v>Process, plant and machine operatives</v>
      </c>
      <c r="J26" s="11">
        <v>0.13545598325479088</v>
      </c>
      <c r="K26" s="11">
        <v>0.32406069060017256</v>
      </c>
      <c r="L26" s="11">
        <v>0.18860470734538168</v>
      </c>
      <c r="M26" s="11">
        <v>0.13982078182670005</v>
      </c>
      <c r="N26" s="11">
        <v>0.3284254891720817</v>
      </c>
      <c r="O26" s="11"/>
      <c r="P26" s="10" t="str">
        <f>name!D23</f>
        <v>63 Community and civil enforcement occupations</v>
      </c>
      <c r="Q26" s="11">
        <v>1.1888725263847495</v>
      </c>
      <c r="R26" s="11">
        <v>0.88019824990596762</v>
      </c>
      <c r="S26" s="342">
        <f t="shared" si="5"/>
        <v>-0.30867427647878187</v>
      </c>
      <c r="T26" s="342">
        <v>0.3368689586100459</v>
      </c>
      <c r="U26" s="342">
        <f t="shared" si="6"/>
        <v>2.8194682131264026E-2</v>
      </c>
      <c r="V26" s="343">
        <f t="shared" si="7"/>
        <v>1.677075026946806E-2</v>
      </c>
      <c r="W26" s="343"/>
      <c r="X26" s="10" t="str">
        <f>name!A23</f>
        <v>Other transport equipment</v>
      </c>
      <c r="Y26" s="10">
        <v>2.6639999999942705</v>
      </c>
      <c r="Z26" s="10">
        <v>1.6309999999958407</v>
      </c>
      <c r="AA26" s="342">
        <f t="shared" si="8"/>
        <v>-1.0329999999984298</v>
      </c>
      <c r="AB26" s="10">
        <v>0.7833761907598038</v>
      </c>
      <c r="AC26" s="342">
        <f t="shared" si="9"/>
        <v>-0.24962380923862604</v>
      </c>
      <c r="AD26" s="343">
        <f t="shared" si="10"/>
        <v>1.7334167092005748E-2</v>
      </c>
    </row>
    <row r="27" spans="1:30" x14ac:dyDescent="0.2">
      <c r="A27" s="10" t="str">
        <f>name!D24</f>
        <v>71 Sales occupations</v>
      </c>
      <c r="B27" s="11">
        <f t="shared" ref="B27:F33" si="14">SUM(B56,B85,B114,B143,B172,B201,B230,B259,B288)</f>
        <v>103.62832130358694</v>
      </c>
      <c r="C27" s="11">
        <f t="shared" si="14"/>
        <v>95.173047322350286</v>
      </c>
      <c r="D27" s="11">
        <f t="shared" si="14"/>
        <v>-8.4552739812366475</v>
      </c>
      <c r="E27" s="11">
        <f t="shared" si="14"/>
        <v>49.23707120530166</v>
      </c>
      <c r="F27" s="11">
        <f t="shared" si="14"/>
        <v>40.781797224065009</v>
      </c>
      <c r="G27" s="200">
        <f t="shared" si="11"/>
        <v>2.625522401842062E-2</v>
      </c>
      <c r="H27" s="11"/>
      <c r="I27" s="11" t="str">
        <f t="shared" si="13"/>
        <v>Elementary occupations</v>
      </c>
      <c r="J27" s="11">
        <v>8.3249550245111575E-2</v>
      </c>
      <c r="K27" s="11">
        <v>0.15197215282349946</v>
      </c>
      <c r="L27" s="11">
        <v>6.8722602578387887E-2</v>
      </c>
      <c r="M27" s="11">
        <v>7.243503797803541E-2</v>
      </c>
      <c r="N27" s="11">
        <v>0.1411576405564233</v>
      </c>
      <c r="O27" s="11"/>
      <c r="P27" s="10" t="str">
        <f>name!D24</f>
        <v>71 Sales occupations</v>
      </c>
      <c r="Q27" s="11">
        <v>33.147813017039283</v>
      </c>
      <c r="R27" s="11">
        <v>31.390267874528671</v>
      </c>
      <c r="S27" s="342">
        <f t="shared" si="5"/>
        <v>-1.7575451425106117</v>
      </c>
      <c r="T27" s="342">
        <v>10.650936632357098</v>
      </c>
      <c r="U27" s="342">
        <f t="shared" si="6"/>
        <v>8.8933914898464863</v>
      </c>
      <c r="V27" s="343">
        <f t="shared" si="7"/>
        <v>1.8748828060865641E-2</v>
      </c>
      <c r="W27" s="343"/>
      <c r="X27" s="10" t="str">
        <f>name!A24</f>
        <v>Furniture</v>
      </c>
      <c r="Y27" s="10">
        <v>2.8549999999972493</v>
      </c>
      <c r="Z27" s="10">
        <v>2.5959999999777632</v>
      </c>
      <c r="AA27" s="342">
        <f t="shared" si="8"/>
        <v>-0.25900000001948609</v>
      </c>
      <c r="AB27" s="10">
        <v>1.028705585590489</v>
      </c>
      <c r="AC27" s="342">
        <f t="shared" si="9"/>
        <v>0.76970558557100288</v>
      </c>
      <c r="AD27" s="343">
        <f t="shared" si="10"/>
        <v>2.0726396063990737E-2</v>
      </c>
    </row>
    <row r="28" spans="1:30" x14ac:dyDescent="0.2">
      <c r="A28" s="10" t="str">
        <f>name!D25</f>
        <v>72 Customer service occupations</v>
      </c>
      <c r="B28" s="11">
        <f t="shared" si="14"/>
        <v>22.334402380059252</v>
      </c>
      <c r="C28" s="11">
        <f t="shared" si="14"/>
        <v>33.517955388270103</v>
      </c>
      <c r="D28" s="11">
        <f t="shared" si="14"/>
        <v>11.183553008210845</v>
      </c>
      <c r="E28" s="11">
        <f t="shared" si="14"/>
        <v>13.719535091934857</v>
      </c>
      <c r="F28" s="11">
        <f t="shared" si="14"/>
        <v>24.903088100145702</v>
      </c>
      <c r="G28" s="200">
        <f t="shared" si="11"/>
        <v>3.2440956121378983E-2</v>
      </c>
      <c r="H28" s="11"/>
      <c r="O28" s="11"/>
      <c r="P28" s="10" t="str">
        <f>name!D25</f>
        <v>72 Customer service occupations</v>
      </c>
      <c r="Q28" s="11">
        <v>9.1098857598864456</v>
      </c>
      <c r="R28" s="11">
        <v>15.188379615319265</v>
      </c>
      <c r="S28" s="342">
        <f t="shared" si="5"/>
        <v>6.0784938554328196</v>
      </c>
      <c r="T28" s="342">
        <v>4.4680059224024422</v>
      </c>
      <c r="U28" s="342">
        <f t="shared" si="6"/>
        <v>10.546499777835262</v>
      </c>
      <c r="V28" s="343">
        <f t="shared" si="7"/>
        <v>2.6962598922227521E-2</v>
      </c>
      <c r="W28" s="343"/>
      <c r="X28" s="10" t="str">
        <f>name!A25</f>
        <v>Other manufacturing</v>
      </c>
      <c r="Y28" s="10">
        <v>3.1159999999829031</v>
      </c>
      <c r="Z28" s="10">
        <v>2.8459999999840551</v>
      </c>
      <c r="AA28" s="342">
        <f t="shared" si="8"/>
        <v>-0.26999999999884805</v>
      </c>
      <c r="AB28" s="10">
        <v>1.2871555580840031</v>
      </c>
      <c r="AC28" s="342">
        <f t="shared" si="9"/>
        <v>1.017155558085155</v>
      </c>
      <c r="AD28" s="343">
        <f t="shared" si="10"/>
        <v>2.3319159186853566E-2</v>
      </c>
    </row>
    <row r="29" spans="1:30" x14ac:dyDescent="0.2">
      <c r="A29" s="10" t="str">
        <f>name!D26</f>
        <v>81 Process, plant and machine operatives</v>
      </c>
      <c r="B29" s="11">
        <f t="shared" si="14"/>
        <v>34.877203113995073</v>
      </c>
      <c r="C29" s="11">
        <f t="shared" si="14"/>
        <v>38.84397871767748</v>
      </c>
      <c r="D29" s="11">
        <f t="shared" si="14"/>
        <v>3.9667756036824025</v>
      </c>
      <c r="E29" s="11">
        <f t="shared" si="14"/>
        <v>14.974916823936892</v>
      </c>
      <c r="F29" s="11">
        <f t="shared" si="14"/>
        <v>18.941692427619291</v>
      </c>
      <c r="G29" s="200">
        <f t="shared" si="11"/>
        <v>2.4101020036791709E-2</v>
      </c>
      <c r="H29" s="11"/>
      <c r="I29" s="86" t="str">
        <f>name!F5</f>
        <v>RQF7 Other higher degree</v>
      </c>
      <c r="J29" s="11"/>
      <c r="K29" s="11"/>
      <c r="L29" s="11"/>
      <c r="M29" s="11"/>
      <c r="N29" s="11"/>
      <c r="O29" s="11"/>
      <c r="P29" s="10" t="str">
        <f>name!D26</f>
        <v>81 Process, plant and machine operatives</v>
      </c>
      <c r="Q29" s="11">
        <v>28.545376766072533</v>
      </c>
      <c r="R29" s="11">
        <v>31.951310401733533</v>
      </c>
      <c r="S29" s="342">
        <f t="shared" si="5"/>
        <v>3.4059336356610004</v>
      </c>
      <c r="T29" s="342">
        <v>11.489990307653544</v>
      </c>
      <c r="U29" s="342">
        <f t="shared" si="6"/>
        <v>14.895923943314545</v>
      </c>
      <c r="V29" s="343">
        <f t="shared" si="7"/>
        <v>2.2807417742671809E-2</v>
      </c>
      <c r="W29" s="343"/>
      <c r="X29" s="10" t="str">
        <f>name!A26</f>
        <v>Repair and installation</v>
      </c>
      <c r="Y29" s="10">
        <v>1.7859999999964791</v>
      </c>
      <c r="Z29" s="10">
        <v>1.6249999999959348</v>
      </c>
      <c r="AA29" s="342">
        <f t="shared" si="8"/>
        <v>-0.16100000000054426</v>
      </c>
      <c r="AB29" s="10">
        <v>0.61346074034382159</v>
      </c>
      <c r="AC29" s="342">
        <f t="shared" si="9"/>
        <v>0.45246074034327732</v>
      </c>
      <c r="AD29" s="343">
        <f t="shared" si="10"/>
        <v>1.9879383882777102E-2</v>
      </c>
    </row>
    <row r="30" spans="1:30" x14ac:dyDescent="0.2">
      <c r="A30" s="10" t="str">
        <f>name!D27</f>
        <v>82 Transport and mobile machine drivers and operatives</v>
      </c>
      <c r="B30" s="11">
        <f t="shared" si="14"/>
        <v>43.757334690000199</v>
      </c>
      <c r="C30" s="11">
        <f t="shared" si="14"/>
        <v>41.62594804306957</v>
      </c>
      <c r="D30" s="11">
        <f t="shared" si="14"/>
        <v>-2.1313866469306295</v>
      </c>
      <c r="E30" s="11">
        <f t="shared" si="14"/>
        <v>22.274977236405942</v>
      </c>
      <c r="F30" s="11">
        <f t="shared" si="14"/>
        <v>20.143590589475309</v>
      </c>
      <c r="G30" s="200">
        <f t="shared" si="11"/>
        <v>2.7812060578642939E-2</v>
      </c>
      <c r="H30" s="11"/>
      <c r="I30" s="11" t="str">
        <f>I19</f>
        <v>Managers, directors and senior officials</v>
      </c>
      <c r="J30" s="11">
        <f t="array" ref="J30:J38">MMULT(aggregation!$B$38:$AA$46,B65:B90)</f>
        <v>9.4066154270458195</v>
      </c>
      <c r="K30" s="11">
        <f t="array" ref="K30:K38">MMULT(aggregation!$B$38:$AA$46,C65:C90)</f>
        <v>15.147482502863793</v>
      </c>
      <c r="L30" s="11">
        <f t="array" ref="L30:L38">MMULT(aggregation!$B$38:$AA$46,D65:D90)</f>
        <v>5.7408670758179738</v>
      </c>
      <c r="M30" s="11">
        <f t="array" ref="M30:M38">MMULT(aggregation!$B$38:$AA$46,E65:E90)</f>
        <v>7.5643730987056532</v>
      </c>
      <c r="N30" s="11">
        <f t="array" ref="N30:N38">MMULT(aggregation!$B$38:$AA$46,F65:F90)</f>
        <v>13.305240174523625</v>
      </c>
      <c r="O30" s="11"/>
      <c r="P30" s="10" t="str">
        <f>name!D27</f>
        <v>82 Transport and mobile machine drivers and operatives</v>
      </c>
      <c r="Q30" s="11">
        <v>42.563437961363526</v>
      </c>
      <c r="R30" s="11">
        <v>39.787648464139579</v>
      </c>
      <c r="S30" s="342">
        <f t="shared" si="5"/>
        <v>-2.775789497223947</v>
      </c>
      <c r="T30" s="342">
        <v>21.227933739394338</v>
      </c>
      <c r="U30" s="342">
        <f t="shared" si="6"/>
        <v>18.452144242170391</v>
      </c>
      <c r="V30" s="343">
        <f t="shared" si="7"/>
        <v>2.7341935369657344E-2</v>
      </c>
      <c r="W30" s="343"/>
      <c r="X30" s="10" t="str">
        <f>name!A27</f>
        <v>Electricity, gas, etc</v>
      </c>
      <c r="Y30" s="10">
        <v>10.234999999929453</v>
      </c>
      <c r="Z30" s="10">
        <v>10.257000000087229</v>
      </c>
      <c r="AA30" s="342">
        <f t="shared" si="8"/>
        <v>2.2000000157776256E-2</v>
      </c>
      <c r="AB30" s="10">
        <v>4.3596751530737681</v>
      </c>
      <c r="AC30" s="342">
        <f t="shared" si="9"/>
        <v>4.3816751532315443</v>
      </c>
      <c r="AD30" s="343">
        <f t="shared" si="10"/>
        <v>2.3938263418058492E-2</v>
      </c>
    </row>
    <row r="31" spans="1:30" x14ac:dyDescent="0.2">
      <c r="A31" s="10" t="str">
        <f>name!D28</f>
        <v>91 Elementary trades and related occupations</v>
      </c>
      <c r="B31" s="11">
        <f t="shared" si="14"/>
        <v>15.637941740926905</v>
      </c>
      <c r="C31" s="11">
        <f t="shared" si="14"/>
        <v>11.728541244332161</v>
      </c>
      <c r="D31" s="11">
        <f t="shared" si="14"/>
        <v>-3.9094004965947464</v>
      </c>
      <c r="E31" s="11">
        <f t="shared" si="14"/>
        <v>4.8080097971246181</v>
      </c>
      <c r="F31" s="11">
        <f t="shared" si="14"/>
        <v>0.8986093005298712</v>
      </c>
      <c r="G31" s="200">
        <f t="shared" si="11"/>
        <v>1.8032983595317464E-2</v>
      </c>
      <c r="H31" s="11"/>
      <c r="I31" s="11" t="str">
        <f>I20</f>
        <v>Professional occupations</v>
      </c>
      <c r="J31" s="11">
        <v>60.876582208708882</v>
      </c>
      <c r="K31" s="11">
        <v>86.428351306501426</v>
      </c>
      <c r="L31" s="11">
        <v>25.55176909779254</v>
      </c>
      <c r="M31" s="11">
        <v>39.77867933404977</v>
      </c>
      <c r="N31" s="11">
        <v>65.330448431842314</v>
      </c>
      <c r="O31" s="11"/>
      <c r="P31" s="10" t="str">
        <f>name!D28</f>
        <v>91 Elementary trades and related occupations</v>
      </c>
      <c r="Q31" s="11">
        <v>12.937368133451121</v>
      </c>
      <c r="R31" s="11">
        <v>9.6282752328034249</v>
      </c>
      <c r="S31" s="342">
        <f t="shared" si="5"/>
        <v>-3.3090929006476966</v>
      </c>
      <c r="T31" s="342">
        <v>3.3783344302749816</v>
      </c>
      <c r="U31" s="342">
        <f t="shared" si="6"/>
        <v>6.9241529627285026E-2</v>
      </c>
      <c r="V31" s="343">
        <f t="shared" si="7"/>
        <v>1.5587443906295073E-2</v>
      </c>
      <c r="W31" s="343"/>
      <c r="X31" s="10" t="str">
        <f>name!A28</f>
        <v>Water</v>
      </c>
      <c r="Y31" s="10">
        <v>2.9939999999879907</v>
      </c>
      <c r="Z31" s="10">
        <v>3.1720000000202733</v>
      </c>
      <c r="AA31" s="342">
        <f t="shared" si="8"/>
        <v>0.17800000003228256</v>
      </c>
      <c r="AB31" s="10">
        <v>1.398093756204519</v>
      </c>
      <c r="AC31" s="342">
        <f t="shared" si="9"/>
        <v>1.5760937562368016</v>
      </c>
      <c r="AD31" s="343">
        <f t="shared" si="10"/>
        <v>2.5875489719209943E-2</v>
      </c>
    </row>
    <row r="32" spans="1:30" x14ac:dyDescent="0.2">
      <c r="A32" s="10" t="str">
        <f>name!D29</f>
        <v>92 Elementary administration and service occupations</v>
      </c>
      <c r="B32" s="11">
        <f t="shared" si="14"/>
        <v>118.18074475494913</v>
      </c>
      <c r="C32" s="11">
        <f t="shared" si="14"/>
        <v>118.32517025857815</v>
      </c>
      <c r="D32" s="11">
        <f t="shared" si="14"/>
        <v>0.14442550362903184</v>
      </c>
      <c r="E32" s="11">
        <f t="shared" si="14"/>
        <v>57.138879967398744</v>
      </c>
      <c r="F32" s="11">
        <f t="shared" si="14"/>
        <v>57.283305471027774</v>
      </c>
      <c r="G32" s="200">
        <f t="shared" ref="G32" si="15">IF(B32&gt;0,(1+(E32/B32))^(1/($C$6-$B$6))-1,0)</f>
        <v>2.6641747886230416E-2</v>
      </c>
      <c r="H32" s="11"/>
      <c r="I32" s="11" t="str">
        <f>I21</f>
        <v>Associate professional occupations</v>
      </c>
      <c r="J32" s="11">
        <v>14.54638920164205</v>
      </c>
      <c r="K32" s="11">
        <v>19.79912864357696</v>
      </c>
      <c r="L32" s="11">
        <v>5.2527394419349092</v>
      </c>
      <c r="M32" s="11">
        <v>9.4263623648336239</v>
      </c>
      <c r="N32" s="11">
        <v>14.679101806768534</v>
      </c>
      <c r="O32" s="11"/>
      <c r="P32" s="10" t="str">
        <f>name!D29</f>
        <v>92 Elementary administration and service occupations</v>
      </c>
      <c r="Q32" s="11">
        <v>60.751210267884822</v>
      </c>
      <c r="R32" s="11">
        <v>61.266323865322299</v>
      </c>
      <c r="S32" s="342">
        <f t="shared" ref="S32" si="16">R32-Q32</f>
        <v>0.51511359743747676</v>
      </c>
      <c r="T32" s="342">
        <v>24.528293057887041</v>
      </c>
      <c r="U32" s="342">
        <f>SUM(S32:T32)</f>
        <v>25.043406655324517</v>
      </c>
      <c r="V32" s="343">
        <f>IF(Q32&gt;0,(1+(T32/Q32))^(1/($C$6-$B$6))-1,0)</f>
        <v>2.2867347849671926E-2</v>
      </c>
      <c r="W32" s="343"/>
      <c r="X32" s="10" t="str">
        <f>name!A29</f>
        <v>Sewerage</v>
      </c>
      <c r="Y32" s="10">
        <v>0.15600000000032818</v>
      </c>
      <c r="Z32" s="10">
        <v>0.16299999999826809</v>
      </c>
      <c r="AA32" s="342">
        <f t="shared" si="8"/>
        <v>6.9999999979399041E-3</v>
      </c>
      <c r="AB32" s="10">
        <v>6.8518523208070531E-2</v>
      </c>
      <c r="AC32" s="342">
        <f t="shared" si="9"/>
        <v>7.5518523206010435E-2</v>
      </c>
      <c r="AD32" s="343">
        <f t="shared" si="10"/>
        <v>2.4570479472884266E-2</v>
      </c>
    </row>
    <row r="33" spans="1:30" x14ac:dyDescent="0.2">
      <c r="A33" t="str">
        <f>name!D3</f>
        <v>All occupations</v>
      </c>
      <c r="B33" s="11">
        <f t="shared" si="14"/>
        <v>1189.3390000002903</v>
      </c>
      <c r="C33" s="11">
        <f t="shared" si="14"/>
        <v>1250.9970000002136</v>
      </c>
      <c r="D33" s="11">
        <f t="shared" si="14"/>
        <v>61.657999999923028</v>
      </c>
      <c r="E33" s="11">
        <f t="shared" si="14"/>
        <v>597.06002730182138</v>
      </c>
      <c r="F33" s="11">
        <f t="shared" si="14"/>
        <v>658.71802730174443</v>
      </c>
      <c r="G33" s="200">
        <f t="shared" si="11"/>
        <v>2.7491381065133158E-2</v>
      </c>
      <c r="H33" s="11"/>
      <c r="I33" s="11" t="str">
        <f>I22</f>
        <v>Administrative and secretarial occupations</v>
      </c>
      <c r="J33" s="11">
        <v>6.9271847559258726</v>
      </c>
      <c r="K33" s="11">
        <v>9.700587173180919</v>
      </c>
      <c r="L33" s="11">
        <v>2.7734024172550464</v>
      </c>
      <c r="M33" s="11">
        <v>5.0894966947633336</v>
      </c>
      <c r="N33" s="11">
        <v>7.8628991120183809</v>
      </c>
      <c r="O33" s="11"/>
      <c r="P33" s="10" t="str">
        <f>name!D3</f>
        <v>All occupations</v>
      </c>
      <c r="Q33" s="11">
        <f>SUM(Q7:Q32)</f>
        <v>591.42599999946799</v>
      </c>
      <c r="R33" s="11">
        <f>SUM(R7:R32)</f>
        <v>609.1029999998492</v>
      </c>
      <c r="S33" s="342">
        <f>R33-Q33</f>
        <v>17.677000000381213</v>
      </c>
      <c r="T33" s="11">
        <f>SUM(T7:T32)</f>
        <v>238.62333860757985</v>
      </c>
      <c r="U33" s="342">
        <f>SUM(S33:T33)</f>
        <v>256.30033860796107</v>
      </c>
      <c r="V33" s="343">
        <f t="shared" si="7"/>
        <v>2.2853807969329676E-2</v>
      </c>
      <c r="W33" s="11"/>
      <c r="X33" s="10" t="str">
        <f>name!A30</f>
        <v>Waste management</v>
      </c>
      <c r="Y33" s="10">
        <v>4.4339999999932243</v>
      </c>
      <c r="Z33" s="10">
        <v>4.6299999999651478</v>
      </c>
      <c r="AA33" s="342">
        <f t="shared" si="8"/>
        <v>0.19599999997192352</v>
      </c>
      <c r="AB33" s="10">
        <v>1.9995058837689639</v>
      </c>
      <c r="AC33" s="342">
        <f t="shared" si="9"/>
        <v>2.1955058837408874</v>
      </c>
      <c r="AD33" s="343">
        <f t="shared" si="10"/>
        <v>2.5124943371007458E-2</v>
      </c>
    </row>
    <row r="34" spans="1:30" ht="30" customHeight="1" x14ac:dyDescent="0.2">
      <c r="B34" s="11"/>
      <c r="C34" s="11"/>
      <c r="D34" s="11"/>
      <c r="E34" s="11"/>
      <c r="F34" s="11"/>
      <c r="G34" s="11"/>
      <c r="H34" s="11"/>
      <c r="I34" s="11" t="str">
        <f>I23</f>
        <v>Skilled trades occupations</v>
      </c>
      <c r="J34" s="11">
        <v>1.4392042794311424</v>
      </c>
      <c r="K34" s="11">
        <v>2.6405612647570695</v>
      </c>
      <c r="L34" s="11">
        <v>1.2013569853259272</v>
      </c>
      <c r="M34" s="11">
        <v>1.1890073788824247</v>
      </c>
      <c r="N34" s="11">
        <v>2.3903643642083519</v>
      </c>
      <c r="O34" s="11"/>
      <c r="P34" s="23"/>
      <c r="Q34" s="33"/>
      <c r="R34" s="33"/>
      <c r="S34" s="33"/>
      <c r="T34" s="33"/>
      <c r="U34" s="33"/>
      <c r="V34" s="33"/>
      <c r="W34" s="345"/>
      <c r="X34" s="10" t="str">
        <f>name!A31</f>
        <v>Construction</v>
      </c>
      <c r="Y34" s="10">
        <v>20.222999999794339</v>
      </c>
      <c r="Z34" s="10">
        <v>19.406999999361748</v>
      </c>
      <c r="AA34" s="342">
        <f t="shared" si="8"/>
        <v>-0.81600000043259158</v>
      </c>
      <c r="AB34" s="10">
        <v>8.1619167441910943</v>
      </c>
      <c r="AC34" s="342">
        <f t="shared" si="9"/>
        <v>7.3459167437585027</v>
      </c>
      <c r="AD34" s="343">
        <f t="shared" si="10"/>
        <v>2.2859860539780952E-2</v>
      </c>
    </row>
    <row r="35" spans="1:30" ht="38.25" x14ac:dyDescent="0.2">
      <c r="A35" s="201" t="str">
        <f>CONCATENATE(name!F4," (Constrained)")</f>
        <v>RQF8 Doctorate (Constrained)</v>
      </c>
      <c r="B35" s="74">
        <f t="shared" ref="B35:G35" si="17">B6</f>
        <v>2020</v>
      </c>
      <c r="C35" s="74">
        <f t="shared" si="17"/>
        <v>2035</v>
      </c>
      <c r="D35" s="87" t="str">
        <f t="shared" si="17"/>
        <v>Net Change</v>
      </c>
      <c r="E35" s="87" t="str">
        <f t="shared" si="17"/>
        <v>Replacement Demand level</v>
      </c>
      <c r="F35" s="87" t="str">
        <f t="shared" si="17"/>
        <v>Total Requirement</v>
      </c>
      <c r="G35" s="87" t="str">
        <f t="shared" si="17"/>
        <v>Replacement Demand rate</v>
      </c>
      <c r="H35" s="11"/>
      <c r="I35" s="11" t="str">
        <f t="shared" ref="I35:I38" si="18">I24</f>
        <v>Caring, leisure and other service occupations</v>
      </c>
      <c r="J35" s="11">
        <v>3.0919832673370005</v>
      </c>
      <c r="K35" s="11">
        <v>4.7036437361072974</v>
      </c>
      <c r="L35" s="11">
        <v>1.6116604687702978</v>
      </c>
      <c r="M35" s="11">
        <v>2.5817272120805805</v>
      </c>
      <c r="N35" s="11">
        <v>4.1933876808508792</v>
      </c>
      <c r="O35" s="11"/>
      <c r="P35" s="201" t="s">
        <v>99</v>
      </c>
      <c r="Q35" s="74">
        <f t="shared" ref="Q35:V35" si="19">B35</f>
        <v>2020</v>
      </c>
      <c r="R35" s="74">
        <f t="shared" si="19"/>
        <v>2035</v>
      </c>
      <c r="S35" s="341" t="str">
        <f t="shared" si="19"/>
        <v>Net Change</v>
      </c>
      <c r="T35" s="341" t="str">
        <f t="shared" si="19"/>
        <v>Replacement Demand level</v>
      </c>
      <c r="U35" s="341" t="str">
        <f t="shared" si="19"/>
        <v>Total Requirement</v>
      </c>
      <c r="V35" s="341" t="str">
        <f t="shared" si="19"/>
        <v>Replacement Demand rate</v>
      </c>
      <c r="W35" s="343"/>
      <c r="X35" s="10" t="str">
        <f>name!A32</f>
        <v>Civil engineering</v>
      </c>
      <c r="Y35" s="10">
        <v>8.8809999999063614</v>
      </c>
      <c r="Z35" s="10">
        <v>8.5469999997011872</v>
      </c>
      <c r="AA35" s="342">
        <f t="shared" si="8"/>
        <v>-0.33400000020517417</v>
      </c>
      <c r="AB35" s="10">
        <v>3.5861679465325103</v>
      </c>
      <c r="AC35" s="342">
        <f t="shared" si="9"/>
        <v>3.2521679463273361</v>
      </c>
      <c r="AD35" s="343">
        <f t="shared" si="10"/>
        <v>2.2869893364165561E-2</v>
      </c>
    </row>
    <row r="36" spans="1:30" ht="12.75" customHeight="1" x14ac:dyDescent="0.2">
      <c r="A36" t="str">
        <f t="shared" ref="A36:A62" si="20">A7</f>
        <v>11 Corporate managers and directors</v>
      </c>
      <c r="B36" s="11">
        <v>0.66384549097551093</v>
      </c>
      <c r="C36" s="11">
        <v>0.99211156495761588</v>
      </c>
      <c r="D36" s="11">
        <f>C36-B36</f>
        <v>0.32826607398210494</v>
      </c>
      <c r="E36" s="11">
        <v>0.46378959552016064</v>
      </c>
      <c r="F36" s="11">
        <f>SUM(D36:E36)</f>
        <v>0.79205566950226558</v>
      </c>
      <c r="G36" s="200">
        <f>IF(B36&gt;0,(1+(E36/B36))^(1/($C$6-$B$6))-1,0)</f>
        <v>3.5953124767566624E-2</v>
      </c>
      <c r="I36" s="11" t="str">
        <f t="shared" si="18"/>
        <v>Sales and customer service occupations</v>
      </c>
      <c r="J36" s="11">
        <v>3.202849373406373</v>
      </c>
      <c r="K36" s="11">
        <v>5.5643311319307927</v>
      </c>
      <c r="L36" s="11">
        <v>2.3614817585244201</v>
      </c>
      <c r="M36" s="11">
        <v>2.5177957355898331</v>
      </c>
      <c r="N36" s="11">
        <v>4.8792774941142536</v>
      </c>
      <c r="P36" s="10" t="str">
        <f>name!D4</f>
        <v>11 Corporate managers and directors</v>
      </c>
      <c r="Q36" s="11">
        <v>22.032973289578493</v>
      </c>
      <c r="R36" s="11">
        <v>25.797692115077673</v>
      </c>
      <c r="S36" s="342">
        <f>R36-Q36</f>
        <v>3.7647188254991804</v>
      </c>
      <c r="T36" s="342">
        <v>13.862073456609156</v>
      </c>
      <c r="U36" s="342">
        <f>SUM(S36:T36)</f>
        <v>17.626792282108337</v>
      </c>
      <c r="V36" s="343">
        <f>IF(Q36&gt;0,(1+(T36/Q36))^(1/($C$6-$B$6))-1,0)</f>
        <v>3.3072405030760921E-2</v>
      </c>
      <c r="W36" s="343"/>
      <c r="X36" s="10" t="str">
        <f>name!A33</f>
        <v>Specialised construction</v>
      </c>
      <c r="Y36" s="10">
        <v>40.059999999572746</v>
      </c>
      <c r="Z36" s="10">
        <v>38.400999998593115</v>
      </c>
      <c r="AA36" s="342">
        <f t="shared" si="8"/>
        <v>-1.6590000009796313</v>
      </c>
      <c r="AB36" s="10">
        <v>15.900033673112763</v>
      </c>
      <c r="AC36" s="342">
        <f t="shared" si="9"/>
        <v>14.241033672133131</v>
      </c>
      <c r="AD36" s="343">
        <f t="shared" si="10"/>
        <v>2.2534103484665335E-2</v>
      </c>
    </row>
    <row r="37" spans="1:30" x14ac:dyDescent="0.2">
      <c r="A37" t="str">
        <f t="shared" si="20"/>
        <v>12 Other managers and proprietors</v>
      </c>
      <c r="B37" s="11">
        <v>0.32870316294012958</v>
      </c>
      <c r="C37" s="11">
        <v>0.76915546577231597</v>
      </c>
      <c r="D37" s="11">
        <f t="shared" ref="D37:D60" si="21">C37-B37</f>
        <v>0.44045230283218639</v>
      </c>
      <c r="E37" s="11">
        <v>0.36904534628639735</v>
      </c>
      <c r="F37" s="11">
        <f t="shared" ref="F37:F57" si="22">SUM(D37:E37)</f>
        <v>0.80949764911858368</v>
      </c>
      <c r="G37" s="200">
        <f t="shared" ref="G37:G62" si="23">IF(B37&gt;0,(1+(E37/B37))^(1/($C$6-$B$6))-1,0)</f>
        <v>5.1460596845736672E-2</v>
      </c>
      <c r="I37" s="11" t="str">
        <f t="shared" si="18"/>
        <v>Process, plant and machine operatives</v>
      </c>
      <c r="J37" s="11">
        <v>0.79442008905467443</v>
      </c>
      <c r="K37" s="11">
        <v>1.8295555000219828</v>
      </c>
      <c r="L37" s="11">
        <v>1.0351354109673083</v>
      </c>
      <c r="M37" s="11">
        <v>0.81939841057588714</v>
      </c>
      <c r="N37" s="11">
        <v>1.8545338215431955</v>
      </c>
      <c r="P37" s="10" t="str">
        <f>name!D5</f>
        <v>12 Other managers and proprietors</v>
      </c>
      <c r="Q37" s="11">
        <v>16.352347854948217</v>
      </c>
      <c r="R37" s="11">
        <v>21.726042804313742</v>
      </c>
      <c r="S37" s="342">
        <f t="shared" ref="S37:S60" si="24">R37-Q37</f>
        <v>5.3736949493655253</v>
      </c>
      <c r="T37" s="342">
        <v>12.7280394003553</v>
      </c>
      <c r="U37" s="342">
        <f t="shared" ref="U37:U60" si="25">SUM(S37:T37)</f>
        <v>18.101734349720825</v>
      </c>
      <c r="V37" s="343">
        <f t="shared" ref="V37:V60" si="26">IF(Q37&gt;0,(1+(T37/Q37))^(1/($C$6-$B$6))-1,0)</f>
        <v>3.9125504994781624E-2</v>
      </c>
      <c r="W37" s="343"/>
      <c r="X37" s="10" t="str">
        <f>name!A34</f>
        <v>Motor vehicle trade</v>
      </c>
      <c r="Y37" s="10">
        <v>17.909999999999691</v>
      </c>
      <c r="Z37" s="10">
        <v>20.205999999801854</v>
      </c>
      <c r="AA37" s="342">
        <f t="shared" si="8"/>
        <v>2.295999999802163</v>
      </c>
      <c r="AB37" s="10">
        <v>7.7611444476524891</v>
      </c>
      <c r="AC37" s="342">
        <f t="shared" si="9"/>
        <v>10.057144447454652</v>
      </c>
      <c r="AD37" s="343">
        <f t="shared" si="10"/>
        <v>2.4290888823116141E-2</v>
      </c>
    </row>
    <row r="38" spans="1:30" x14ac:dyDescent="0.2">
      <c r="A38" t="str">
        <f t="shared" si="20"/>
        <v>21 Science, research, engineering and technology professionals</v>
      </c>
      <c r="B38" s="11">
        <v>2.4486249154106621</v>
      </c>
      <c r="C38" s="11">
        <v>3.9341827134261251</v>
      </c>
      <c r="D38" s="11">
        <f t="shared" si="21"/>
        <v>1.4855577980154631</v>
      </c>
      <c r="E38" s="11">
        <v>1.298320194656728</v>
      </c>
      <c r="F38" s="11">
        <f t="shared" si="22"/>
        <v>2.783877992672191</v>
      </c>
      <c r="G38" s="200">
        <f t="shared" si="23"/>
        <v>2.8766951714596978E-2</v>
      </c>
      <c r="I38" s="11" t="str">
        <f t="shared" si="18"/>
        <v>Elementary occupations</v>
      </c>
      <c r="J38" s="11">
        <v>2.2696914496711238</v>
      </c>
      <c r="K38" s="11">
        <v>4.7588493313550764</v>
      </c>
      <c r="L38" s="11">
        <v>2.489157881683953</v>
      </c>
      <c r="M38" s="11">
        <v>2.1325777924713254</v>
      </c>
      <c r="N38" s="11">
        <v>4.6217356741552784</v>
      </c>
      <c r="P38" s="10" t="str">
        <f>name!D6</f>
        <v>21 Science, research, engineering and technology professionals</v>
      </c>
      <c r="Q38" s="11">
        <v>11.208295948906075</v>
      </c>
      <c r="R38" s="11">
        <v>16.303269831653395</v>
      </c>
      <c r="S38" s="342">
        <f t="shared" si="24"/>
        <v>5.0949738827473201</v>
      </c>
      <c r="T38" s="342">
        <v>7.2385981342581767</v>
      </c>
      <c r="U38" s="342">
        <f t="shared" si="25"/>
        <v>12.333572017005498</v>
      </c>
      <c r="V38" s="343">
        <f t="shared" si="26"/>
        <v>3.3773934330264987E-2</v>
      </c>
      <c r="W38" s="343"/>
      <c r="X38" s="10" t="str">
        <f>name!A35</f>
        <v>Wholesale trade</v>
      </c>
      <c r="Y38" s="10">
        <v>29.149999999958176</v>
      </c>
      <c r="Z38" s="10">
        <v>28.750999999785385</v>
      </c>
      <c r="AA38" s="342">
        <f t="shared" si="8"/>
        <v>-0.39900000017279069</v>
      </c>
      <c r="AB38" s="10">
        <v>12.713534225082725</v>
      </c>
      <c r="AC38" s="342">
        <f t="shared" si="9"/>
        <v>12.314534224909934</v>
      </c>
      <c r="AD38" s="343">
        <f t="shared" si="10"/>
        <v>2.4424182965543606E-2</v>
      </c>
    </row>
    <row r="39" spans="1:30" x14ac:dyDescent="0.2">
      <c r="A39" t="str">
        <f t="shared" si="20"/>
        <v>22 Health professionals</v>
      </c>
      <c r="B39" s="11">
        <v>4.5457782901718593</v>
      </c>
      <c r="C39" s="11">
        <v>7.3824254579268498</v>
      </c>
      <c r="D39" s="11">
        <f t="shared" si="21"/>
        <v>2.8366471677549905</v>
      </c>
      <c r="E39" s="11">
        <v>3.3378457194635196</v>
      </c>
      <c r="F39" s="11">
        <f t="shared" si="22"/>
        <v>6.1744928872185101</v>
      </c>
      <c r="G39" s="200">
        <f t="shared" si="23"/>
        <v>3.7387897062960196E-2</v>
      </c>
      <c r="J39" s="11"/>
      <c r="K39" s="11"/>
      <c r="L39" s="11"/>
      <c r="M39" s="11"/>
      <c r="N39" s="11"/>
      <c r="P39" s="10" t="str">
        <f>name!D7</f>
        <v>22 Health professionals</v>
      </c>
      <c r="Q39" s="11">
        <v>59.504757431488315</v>
      </c>
      <c r="R39" s="11">
        <v>73.044652402030962</v>
      </c>
      <c r="S39" s="342">
        <f t="shared" si="24"/>
        <v>13.539894970542647</v>
      </c>
      <c r="T39" s="342">
        <v>40.80198991646737</v>
      </c>
      <c r="U39" s="342">
        <f t="shared" si="25"/>
        <v>54.341884887010018</v>
      </c>
      <c r="V39" s="343">
        <f t="shared" si="26"/>
        <v>3.5424802675778633E-2</v>
      </c>
      <c r="W39" s="343"/>
      <c r="X39" s="10" t="str">
        <f>name!A36</f>
        <v>Retail trade</v>
      </c>
      <c r="Y39" s="10">
        <v>123.410000001059</v>
      </c>
      <c r="Z39" s="10">
        <v>121.47999999949651</v>
      </c>
      <c r="AA39" s="342">
        <f t="shared" si="8"/>
        <v>-1.9300000015624903</v>
      </c>
      <c r="AB39" s="10">
        <v>59.660383368424654</v>
      </c>
      <c r="AC39" s="342">
        <f t="shared" si="9"/>
        <v>57.730383366862164</v>
      </c>
      <c r="AD39" s="343">
        <f t="shared" si="10"/>
        <v>2.6639215147038708E-2</v>
      </c>
    </row>
    <row r="40" spans="1:30" x14ac:dyDescent="0.2">
      <c r="A40" t="str">
        <f t="shared" si="20"/>
        <v>23 Teaching and other educational professionals</v>
      </c>
      <c r="B40" s="11">
        <v>4.6234101431584635</v>
      </c>
      <c r="C40" s="11">
        <v>6.2715629826586676</v>
      </c>
      <c r="D40" s="11">
        <f>C40-B40</f>
        <v>1.6481528395002041</v>
      </c>
      <c r="E40" s="11">
        <v>2.8979680010776465</v>
      </c>
      <c r="F40" s="11">
        <f>SUM(D40:E40)</f>
        <v>4.546120840577851</v>
      </c>
      <c r="G40" s="200">
        <f>IF(B40&gt;0,(1+(E40/B40))^(1/($C$6-$B$6))-1,0)</f>
        <v>3.2973071689135436E-2</v>
      </c>
      <c r="I40" s="86" t="str">
        <f>name!F6</f>
        <v>RQF6 First degree</v>
      </c>
      <c r="J40" s="11"/>
      <c r="K40" s="11"/>
      <c r="L40" s="11"/>
      <c r="M40" s="11"/>
      <c r="N40" s="11"/>
      <c r="P40" s="10" t="str">
        <f>name!D8</f>
        <v>23 Teaching and other educational professionals</v>
      </c>
      <c r="Q40" s="11">
        <v>36.014930485846712</v>
      </c>
      <c r="R40" s="11">
        <v>42.459005636721024</v>
      </c>
      <c r="S40" s="342">
        <f t="shared" si="24"/>
        <v>6.4440751508743119</v>
      </c>
      <c r="T40" s="342">
        <v>21.218111052319827</v>
      </c>
      <c r="U40" s="342">
        <f t="shared" si="25"/>
        <v>27.662186203194139</v>
      </c>
      <c r="V40" s="343">
        <f t="shared" si="26"/>
        <v>3.1361581283069206E-2</v>
      </c>
      <c r="W40" s="343"/>
      <c r="X40" s="10" t="str">
        <f>name!A37</f>
        <v>Land transport, etc</v>
      </c>
      <c r="Y40" s="10">
        <v>35.677000000126988</v>
      </c>
      <c r="Z40" s="10">
        <v>36.801000000212781</v>
      </c>
      <c r="AA40" s="342">
        <f t="shared" si="8"/>
        <v>1.1240000000857933</v>
      </c>
      <c r="AB40" s="10">
        <v>17.48749891673307</v>
      </c>
      <c r="AC40" s="342">
        <f t="shared" si="9"/>
        <v>18.611498916818864</v>
      </c>
      <c r="AD40" s="343">
        <f t="shared" si="10"/>
        <v>2.6949039630781657E-2</v>
      </c>
    </row>
    <row r="41" spans="1:30" x14ac:dyDescent="0.2">
      <c r="A41" t="str">
        <f t="shared" si="20"/>
        <v>24 Business, media and public service professionals</v>
      </c>
      <c r="B41" s="11">
        <v>0.93027502535722006</v>
      </c>
      <c r="C41" s="11">
        <v>1.6388920600421539</v>
      </c>
      <c r="D41" s="11">
        <f t="shared" si="21"/>
        <v>0.70861703468493387</v>
      </c>
      <c r="E41" s="11">
        <v>0.71659177576195676</v>
      </c>
      <c r="F41" s="11">
        <f t="shared" si="22"/>
        <v>1.4252088104468905</v>
      </c>
      <c r="G41" s="200">
        <f t="shared" si="23"/>
        <v>3.881084322782602E-2</v>
      </c>
      <c r="I41" s="11" t="str">
        <f>I30</f>
        <v>Managers, directors and senior officials</v>
      </c>
      <c r="J41" s="11">
        <f t="array" ref="J41:J49">MMULT(aggregation!$B$38:$AA$46,B94:B119)</f>
        <v>23.680447234179422</v>
      </c>
      <c r="K41" s="11">
        <f t="array" ref="K41:K49">MMULT(aggregation!$B$38:$AA$46,C94:C119)</f>
        <v>33.283962227769884</v>
      </c>
      <c r="L41" s="11">
        <f t="array" ref="L41:L49">MMULT(aggregation!$B$38:$AA$46,D94:D119)</f>
        <v>9.603514993590462</v>
      </c>
      <c r="M41" s="11">
        <f t="array" ref="M41:M49">MMULT(aggregation!$B$38:$AA$46,E94:E119)</f>
        <v>17.731924823651788</v>
      </c>
      <c r="N41" s="11">
        <f t="array" ref="N41:N49">MMULT(aggregation!$B$38:$AA$46,F94:F119)</f>
        <v>27.335439817242246</v>
      </c>
      <c r="P41" s="10" t="str">
        <f>name!D9</f>
        <v>24 Business, media and public service professionals</v>
      </c>
      <c r="Q41" s="11">
        <v>31.888954082362034</v>
      </c>
      <c r="R41" s="11">
        <v>41.624674459351105</v>
      </c>
      <c r="S41" s="342">
        <f t="shared" si="24"/>
        <v>9.7357203769890717</v>
      </c>
      <c r="T41" s="342">
        <v>20.455741252794478</v>
      </c>
      <c r="U41" s="342">
        <f t="shared" si="25"/>
        <v>30.19146162978355</v>
      </c>
      <c r="V41" s="343">
        <f t="shared" si="26"/>
        <v>3.3591256326844565E-2</v>
      </c>
      <c r="W41" s="343"/>
      <c r="X41" s="10" t="str">
        <f>name!A38</f>
        <v>Water transport</v>
      </c>
      <c r="Y41" s="10">
        <v>9.0000000000048097E-3</v>
      </c>
      <c r="Z41" s="10">
        <v>7.0000000000649733E-3</v>
      </c>
      <c r="AA41" s="342">
        <f t="shared" si="8"/>
        <v>-1.9999999999398364E-3</v>
      </c>
      <c r="AB41" s="10">
        <v>3.420721179691982E-3</v>
      </c>
      <c r="AC41" s="342">
        <f t="shared" si="9"/>
        <v>1.4207211797521457E-3</v>
      </c>
      <c r="AD41" s="343">
        <f t="shared" si="10"/>
        <v>2.1708375539436719E-2</v>
      </c>
    </row>
    <row r="42" spans="1:30" x14ac:dyDescent="0.2">
      <c r="A42" t="str">
        <f t="shared" si="20"/>
        <v>31 Science, engineering and technology associate professionals</v>
      </c>
      <c r="B42" s="11">
        <v>0.36250589257541382</v>
      </c>
      <c r="C42" s="11">
        <v>0.60069241711429888</v>
      </c>
      <c r="D42" s="11">
        <f t="shared" si="21"/>
        <v>0.23818652453888506</v>
      </c>
      <c r="E42" s="11">
        <v>0.23632517008987897</v>
      </c>
      <c r="F42" s="11">
        <f t="shared" si="22"/>
        <v>0.47451169462876402</v>
      </c>
      <c r="G42" s="200">
        <f t="shared" si="23"/>
        <v>3.4028756299824714E-2</v>
      </c>
      <c r="I42" s="11" t="str">
        <f>I31</f>
        <v>Professional occupations</v>
      </c>
      <c r="J42" s="11">
        <v>86.279948181439892</v>
      </c>
      <c r="K42" s="11">
        <v>114.95608862722908</v>
      </c>
      <c r="L42" s="11">
        <v>28.676140445789173</v>
      </c>
      <c r="M42" s="11">
        <v>53.20645014397757</v>
      </c>
      <c r="N42" s="11">
        <v>81.88259058976675</v>
      </c>
      <c r="P42" s="10" t="str">
        <f>name!D10</f>
        <v>31 Science, engineering and technology associate professionals</v>
      </c>
      <c r="Q42" s="11">
        <v>5.2458671813908486</v>
      </c>
      <c r="R42" s="11">
        <v>6.5316015425868352</v>
      </c>
      <c r="S42" s="342">
        <f t="shared" si="24"/>
        <v>1.2857343611959866</v>
      </c>
      <c r="T42" s="342">
        <v>2.9564795556861183</v>
      </c>
      <c r="U42" s="342">
        <f t="shared" si="25"/>
        <v>4.2422139168821049</v>
      </c>
      <c r="V42" s="343">
        <f t="shared" si="26"/>
        <v>3.0247071976752471E-2</v>
      </c>
      <c r="W42" s="343"/>
      <c r="X42" s="10" t="str">
        <f>name!A39</f>
        <v>Air transport</v>
      </c>
      <c r="Y42" s="10">
        <v>1.394999999993588</v>
      </c>
      <c r="Z42" s="10">
        <v>2.2039999999971811</v>
      </c>
      <c r="AA42" s="342">
        <f t="shared" si="8"/>
        <v>0.80900000000359307</v>
      </c>
      <c r="AB42" s="10">
        <v>0.9185555016397069</v>
      </c>
      <c r="AC42" s="342">
        <f t="shared" si="9"/>
        <v>1.7275555016433</v>
      </c>
      <c r="AD42" s="343">
        <f t="shared" si="10"/>
        <v>3.4301245512822209E-2</v>
      </c>
    </row>
    <row r="43" spans="1:30" x14ac:dyDescent="0.2">
      <c r="A43" t="str">
        <f t="shared" si="20"/>
        <v>32 Health and social care associate professionals</v>
      </c>
      <c r="B43" s="11">
        <v>8.3717666343405814E-2</v>
      </c>
      <c r="C43" s="11">
        <v>0.12445973666099817</v>
      </c>
      <c r="D43" s="11">
        <f t="shared" si="21"/>
        <v>4.074207031759236E-2</v>
      </c>
      <c r="E43" s="11">
        <v>7.12543843131795E-2</v>
      </c>
      <c r="F43" s="11">
        <f t="shared" si="22"/>
        <v>0.11199645463077186</v>
      </c>
      <c r="G43" s="200">
        <f t="shared" si="23"/>
        <v>4.1907308476753391E-2</v>
      </c>
      <c r="I43" s="11" t="str">
        <f>I32</f>
        <v>Associate professional occupations</v>
      </c>
      <c r="J43" s="11">
        <v>37.093984295220871</v>
      </c>
      <c r="K43" s="11">
        <v>48.635772482939743</v>
      </c>
      <c r="L43" s="11">
        <v>11.541788187718872</v>
      </c>
      <c r="M43" s="11">
        <v>22.626305418079596</v>
      </c>
      <c r="N43" s="11">
        <v>34.168093605798468</v>
      </c>
      <c r="P43" s="10" t="str">
        <f>name!D11</f>
        <v>32 Health and social care associate professionals</v>
      </c>
      <c r="Q43" s="11">
        <v>22.134269614687419</v>
      </c>
      <c r="R43" s="11">
        <v>25.433347676569465</v>
      </c>
      <c r="S43" s="342">
        <f t="shared" si="24"/>
        <v>3.2990780618820459</v>
      </c>
      <c r="T43" s="342">
        <v>14.588320849176855</v>
      </c>
      <c r="U43" s="342">
        <f t="shared" si="25"/>
        <v>17.887398911058902</v>
      </c>
      <c r="V43" s="343">
        <f t="shared" si="26"/>
        <v>3.432703004973825E-2</v>
      </c>
      <c r="W43" s="343"/>
      <c r="X43" s="10" t="str">
        <f>name!A40</f>
        <v>Warehousing, etc</v>
      </c>
      <c r="Y43" s="10">
        <v>15.12499999999523</v>
      </c>
      <c r="Z43" s="10">
        <v>15.459999999888396</v>
      </c>
      <c r="AA43" s="342">
        <f t="shared" si="8"/>
        <v>0.33499999989316542</v>
      </c>
      <c r="AB43" s="10">
        <v>6.8098207875307839</v>
      </c>
      <c r="AC43" s="342">
        <f t="shared" si="9"/>
        <v>7.1448207874239493</v>
      </c>
      <c r="AD43" s="343">
        <f t="shared" si="10"/>
        <v>2.5091377469070419E-2</v>
      </c>
    </row>
    <row r="44" spans="1:30" x14ac:dyDescent="0.2">
      <c r="A44" t="str">
        <f t="shared" si="20"/>
        <v>33 Protective service occupations</v>
      </c>
      <c r="B44" s="11">
        <v>3.6906482406152949E-2</v>
      </c>
      <c r="C44" s="11">
        <v>8.8977795975756738E-2</v>
      </c>
      <c r="D44" s="11">
        <f t="shared" si="21"/>
        <v>5.2071313569603789E-2</v>
      </c>
      <c r="E44" s="11">
        <v>2.628192805609145E-2</v>
      </c>
      <c r="F44" s="11">
        <f t="shared" si="22"/>
        <v>7.8353241625695236E-2</v>
      </c>
      <c r="G44" s="200">
        <f t="shared" si="23"/>
        <v>3.6499233100050432E-2</v>
      </c>
      <c r="I44" s="11" t="str">
        <f>I33</f>
        <v>Administrative and secretarial occupations</v>
      </c>
      <c r="J44" s="11">
        <v>24.172624816868467</v>
      </c>
      <c r="K44" s="11">
        <v>33.568285190594409</v>
      </c>
      <c r="L44" s="11">
        <v>9.3956603737259421</v>
      </c>
      <c r="M44" s="11">
        <v>16.790490231612338</v>
      </c>
      <c r="N44" s="11">
        <v>26.186150605338284</v>
      </c>
      <c r="P44" s="10" t="str">
        <f>name!D12</f>
        <v>33 Protective service occupations</v>
      </c>
      <c r="Q44" s="11">
        <v>4.5021309700189773</v>
      </c>
      <c r="R44" s="11">
        <v>7.60078901144432</v>
      </c>
      <c r="S44" s="342">
        <f t="shared" si="24"/>
        <v>3.0986580414253426</v>
      </c>
      <c r="T44" s="342">
        <v>3.2530080165371182</v>
      </c>
      <c r="U44" s="342">
        <f t="shared" si="25"/>
        <v>6.3516660579624613</v>
      </c>
      <c r="V44" s="343">
        <f t="shared" si="26"/>
        <v>3.6918836934932031E-2</v>
      </c>
      <c r="W44" s="343"/>
      <c r="X44" s="10" t="str">
        <f>name!A41</f>
        <v>Postal and courier</v>
      </c>
      <c r="Y44" s="10">
        <v>8.8869999999863971</v>
      </c>
      <c r="Z44" s="10">
        <v>9.2669999999169104</v>
      </c>
      <c r="AA44" s="342">
        <f t="shared" si="8"/>
        <v>0.37999999993051325</v>
      </c>
      <c r="AB44" s="10">
        <v>4.2962229486710033</v>
      </c>
      <c r="AC44" s="342">
        <f t="shared" si="9"/>
        <v>4.6762229486015165</v>
      </c>
      <c r="AD44" s="343">
        <f t="shared" si="10"/>
        <v>2.6639006787686048E-2</v>
      </c>
    </row>
    <row r="45" spans="1:30" x14ac:dyDescent="0.2">
      <c r="A45" t="str">
        <f t="shared" si="20"/>
        <v>34 Culture, media and sports occupations</v>
      </c>
      <c r="B45" s="11">
        <v>0.23410664164217967</v>
      </c>
      <c r="C45" s="11">
        <v>0.28420991694118253</v>
      </c>
      <c r="D45" s="11">
        <f t="shared" ref="D45:D46" si="27">C45-B45</f>
        <v>5.0103275299002853E-2</v>
      </c>
      <c r="E45" s="11">
        <v>0.151810272059521</v>
      </c>
      <c r="F45" s="11">
        <f t="shared" ref="F45:F46" si="28">SUM(D45:E45)</f>
        <v>0.20191354735852385</v>
      </c>
      <c r="G45" s="200">
        <f t="shared" si="23"/>
        <v>3.3884454231320138E-2</v>
      </c>
      <c r="I45" s="11" t="str">
        <f t="shared" ref="I45:I49" si="29">I34</f>
        <v>Skilled trades occupations</v>
      </c>
      <c r="J45" s="11">
        <v>5.0733404823559463</v>
      </c>
      <c r="K45" s="11">
        <v>7.4582268873994764</v>
      </c>
      <c r="L45" s="11">
        <v>2.3848864050435301</v>
      </c>
      <c r="M45" s="11">
        <v>3.7825705674263927</v>
      </c>
      <c r="N45" s="11">
        <v>6.1674569724699229</v>
      </c>
      <c r="P45" s="10" t="str">
        <f>name!D13</f>
        <v>34 Culture, media and sports occupations</v>
      </c>
      <c r="Q45" s="11">
        <v>8.5736853509075157</v>
      </c>
      <c r="R45" s="11">
        <v>9.261195109516013</v>
      </c>
      <c r="S45" s="342">
        <f t="shared" si="24"/>
        <v>0.68750975860849728</v>
      </c>
      <c r="T45" s="342">
        <v>4.7531246483269474</v>
      </c>
      <c r="U45" s="342">
        <f t="shared" si="25"/>
        <v>5.4406344069354446</v>
      </c>
      <c r="V45" s="343">
        <f t="shared" si="26"/>
        <v>2.9841947819035486E-2</v>
      </c>
      <c r="W45" s="343"/>
      <c r="X45" s="10" t="str">
        <f>name!A42</f>
        <v>Accommodation</v>
      </c>
      <c r="Y45" s="10">
        <v>13.47899999995753</v>
      </c>
      <c r="Z45" s="10">
        <v>15.575999999968696</v>
      </c>
      <c r="AA45" s="342">
        <f t="shared" si="8"/>
        <v>2.0970000000111657</v>
      </c>
      <c r="AB45" s="10">
        <v>7.5681748816642953</v>
      </c>
      <c r="AC45" s="342">
        <f t="shared" si="9"/>
        <v>9.6651748816754619</v>
      </c>
      <c r="AD45" s="343">
        <f t="shared" si="10"/>
        <v>3.0154606969821307E-2</v>
      </c>
    </row>
    <row r="46" spans="1:30" x14ac:dyDescent="0.2">
      <c r="A46" t="str">
        <f t="shared" si="20"/>
        <v>35 Business and public service associate professionals</v>
      </c>
      <c r="B46" s="11">
        <v>0.53124454803312404</v>
      </c>
      <c r="C46" s="11">
        <v>0.80263719991319238</v>
      </c>
      <c r="D46" s="11">
        <f t="shared" si="27"/>
        <v>0.27139265188006834</v>
      </c>
      <c r="E46" s="11">
        <v>0.34880471819984799</v>
      </c>
      <c r="F46" s="11">
        <f t="shared" si="28"/>
        <v>0.62019737007991638</v>
      </c>
      <c r="G46" s="200">
        <f t="shared" si="23"/>
        <v>3.4222940044631667E-2</v>
      </c>
      <c r="I46" s="11" t="str">
        <f t="shared" si="29"/>
        <v>Caring, leisure and other service occupations</v>
      </c>
      <c r="J46" s="11">
        <v>12.129168998488145</v>
      </c>
      <c r="K46" s="11">
        <v>18.773945751746133</v>
      </c>
      <c r="L46" s="11">
        <v>6.6447767532579869</v>
      </c>
      <c r="M46" s="11">
        <v>10.294039301594877</v>
      </c>
      <c r="N46" s="11">
        <v>16.938816054852865</v>
      </c>
      <c r="P46" s="10" t="str">
        <f>name!D14</f>
        <v>35 Business and public service associate professionals</v>
      </c>
      <c r="Q46" s="11">
        <v>27.974010356236636</v>
      </c>
      <c r="R46" s="11">
        <v>30.36966702975106</v>
      </c>
      <c r="S46" s="342">
        <f t="shared" si="24"/>
        <v>2.3956566735144236</v>
      </c>
      <c r="T46" s="342">
        <v>15.54382872926719</v>
      </c>
      <c r="U46" s="342">
        <f t="shared" si="25"/>
        <v>17.939485402781614</v>
      </c>
      <c r="V46" s="343">
        <f t="shared" si="26"/>
        <v>2.9897900251498966E-2</v>
      </c>
      <c r="W46" s="343"/>
      <c r="X46" s="10" t="str">
        <f>name!A43</f>
        <v>Food and beverage services</v>
      </c>
      <c r="Y46" s="10">
        <v>79.413000000012161</v>
      </c>
      <c r="Z46" s="10">
        <v>95.570999999749503</v>
      </c>
      <c r="AA46" s="342">
        <f t="shared" si="8"/>
        <v>16.157999999737342</v>
      </c>
      <c r="AB46" s="10">
        <v>44.525373515657748</v>
      </c>
      <c r="AC46" s="342">
        <f t="shared" si="9"/>
        <v>60.68337351539509</v>
      </c>
      <c r="AD46" s="343">
        <f t="shared" si="10"/>
        <v>3.0119510132153859E-2</v>
      </c>
    </row>
    <row r="47" spans="1:30" x14ac:dyDescent="0.2">
      <c r="A47" t="str">
        <f t="shared" si="20"/>
        <v>41 Administrative occupations</v>
      </c>
      <c r="B47" s="11">
        <v>0.5297666215659913</v>
      </c>
      <c r="C47" s="11">
        <v>0.72317299623700992</v>
      </c>
      <c r="D47" s="11">
        <f t="shared" si="21"/>
        <v>0.19340637467101862</v>
      </c>
      <c r="E47" s="11">
        <v>0.35077612019948379</v>
      </c>
      <c r="F47" s="11">
        <f t="shared" si="22"/>
        <v>0.54418249487050241</v>
      </c>
      <c r="G47" s="200">
        <f t="shared" si="23"/>
        <v>3.4453698430823687E-2</v>
      </c>
      <c r="I47" s="11" t="str">
        <f t="shared" si="29"/>
        <v>Sales and customer service occupations</v>
      </c>
      <c r="J47" s="11">
        <v>14.961706768185335</v>
      </c>
      <c r="K47" s="11">
        <v>24.128771250751413</v>
      </c>
      <c r="L47" s="11">
        <v>9.1670644825660759</v>
      </c>
      <c r="M47" s="11">
        <v>11.440158330585753</v>
      </c>
      <c r="N47" s="11">
        <v>20.607222813151829</v>
      </c>
      <c r="P47" s="10" t="str">
        <f>name!D15</f>
        <v>41 Administrative occupations</v>
      </c>
      <c r="Q47" s="11">
        <v>73.685272441329062</v>
      </c>
      <c r="R47" s="11">
        <v>58.097392373345521</v>
      </c>
      <c r="S47" s="342">
        <f t="shared" si="24"/>
        <v>-15.587880067983541</v>
      </c>
      <c r="T47" s="342">
        <v>37.136165556602954</v>
      </c>
      <c r="U47" s="342">
        <f t="shared" si="25"/>
        <v>21.548285488619413</v>
      </c>
      <c r="V47" s="343">
        <f t="shared" si="26"/>
        <v>2.758133193114265E-2</v>
      </c>
      <c r="W47" s="343"/>
      <c r="X47" s="10" t="str">
        <f>name!A44</f>
        <v>Publishing activities</v>
      </c>
      <c r="Y47" s="10">
        <v>3.0109999999822747</v>
      </c>
      <c r="Z47" s="10">
        <v>2.8350000000275255</v>
      </c>
      <c r="AA47" s="342">
        <f t="shared" si="8"/>
        <v>-0.17599999995474924</v>
      </c>
      <c r="AB47" s="10">
        <v>1.4651419759966269</v>
      </c>
      <c r="AC47" s="342">
        <f t="shared" si="9"/>
        <v>1.2891419760418776</v>
      </c>
      <c r="AD47" s="343">
        <f t="shared" si="10"/>
        <v>2.6785057404431267E-2</v>
      </c>
    </row>
    <row r="48" spans="1:30" x14ac:dyDescent="0.2">
      <c r="A48" t="str">
        <f t="shared" si="20"/>
        <v>42 Secretarial and related occupations</v>
      </c>
      <c r="B48" s="11">
        <v>3.2783579053146591E-2</v>
      </c>
      <c r="C48" s="11">
        <v>7.6210237319945973E-2</v>
      </c>
      <c r="D48" s="11">
        <f t="shared" si="21"/>
        <v>4.3426658266799381E-2</v>
      </c>
      <c r="E48" s="11">
        <v>3.8828784271112658E-2</v>
      </c>
      <c r="F48" s="11">
        <f t="shared" si="22"/>
        <v>8.2255442537912032E-2</v>
      </c>
      <c r="G48" s="200">
        <f t="shared" si="23"/>
        <v>5.3469846863076986E-2</v>
      </c>
      <c r="I48" s="11" t="str">
        <f t="shared" si="29"/>
        <v>Process, plant and machine operatives</v>
      </c>
      <c r="J48" s="11">
        <v>2.6453124532655936</v>
      </c>
      <c r="K48" s="11">
        <v>4.9687242147064339</v>
      </c>
      <c r="L48" s="11">
        <v>2.3234117614408398</v>
      </c>
      <c r="M48" s="11">
        <v>2.3472733200300135</v>
      </c>
      <c r="N48" s="11">
        <v>4.6706850814708538</v>
      </c>
      <c r="P48" s="10" t="str">
        <f>name!D16</f>
        <v>42 Secretarial and related occupations</v>
      </c>
      <c r="Q48" s="11">
        <v>20.605767120703554</v>
      </c>
      <c r="R48" s="11">
        <v>18.124321056930512</v>
      </c>
      <c r="S48" s="342">
        <f t="shared" si="24"/>
        <v>-2.481446063773042</v>
      </c>
      <c r="T48" s="342">
        <v>11.456857961471581</v>
      </c>
      <c r="U48" s="342">
        <f t="shared" si="25"/>
        <v>8.9754118976985389</v>
      </c>
      <c r="V48" s="343">
        <f t="shared" si="26"/>
        <v>2.9913346076315905E-2</v>
      </c>
      <c r="W48" s="343"/>
      <c r="X48" s="10" t="str">
        <f>name!A45</f>
        <v>Film and music</v>
      </c>
      <c r="Y48" s="10">
        <v>5.498999999997821</v>
      </c>
      <c r="Z48" s="10">
        <v>5.6870000000082168</v>
      </c>
      <c r="AA48" s="342">
        <f t="shared" si="8"/>
        <v>0.18800000001039585</v>
      </c>
      <c r="AB48" s="10">
        <v>2.7339306615282832</v>
      </c>
      <c r="AC48" s="342">
        <f t="shared" si="9"/>
        <v>2.9219306615386791</v>
      </c>
      <c r="AD48" s="343">
        <f t="shared" si="10"/>
        <v>2.7270261474519719E-2</v>
      </c>
    </row>
    <row r="49" spans="1:30" x14ac:dyDescent="0.2">
      <c r="A49" t="str">
        <f t="shared" si="20"/>
        <v>51 Skilled agricultural and related trades</v>
      </c>
      <c r="B49" s="11">
        <v>2.0714141501021091E-2</v>
      </c>
      <c r="C49" s="11">
        <v>2.6852291658792615E-2</v>
      </c>
      <c r="D49" s="11">
        <f t="shared" si="21"/>
        <v>6.1381501577715235E-3</v>
      </c>
      <c r="E49" s="11">
        <v>1.629277700637979E-2</v>
      </c>
      <c r="F49" s="11">
        <f t="shared" si="22"/>
        <v>2.2430927164151314E-2</v>
      </c>
      <c r="G49" s="200">
        <f t="shared" si="23"/>
        <v>3.9443925739762964E-2</v>
      </c>
      <c r="I49" s="11" t="str">
        <f t="shared" si="29"/>
        <v>Elementary occupations</v>
      </c>
      <c r="J49" s="11">
        <v>8.3468331241390707</v>
      </c>
      <c r="K49" s="11">
        <v>14.224375770346573</v>
      </c>
      <c r="L49" s="11">
        <v>5.8775426462075027</v>
      </c>
      <c r="M49" s="11">
        <v>7.4192322566240216</v>
      </c>
      <c r="N49" s="11">
        <v>13.296774902831524</v>
      </c>
      <c r="P49" s="10" t="str">
        <f>name!D17</f>
        <v>51 Skilled agricultural and related trades</v>
      </c>
      <c r="Q49" s="11">
        <v>2.1652223337410623</v>
      </c>
      <c r="R49" s="11">
        <v>2.8159842436720797</v>
      </c>
      <c r="S49" s="342">
        <f t="shared" si="24"/>
        <v>0.65076190993101735</v>
      </c>
      <c r="T49" s="342">
        <v>1.7416572848217462</v>
      </c>
      <c r="U49" s="342">
        <f t="shared" si="25"/>
        <v>2.3924191947527635</v>
      </c>
      <c r="V49" s="343">
        <f>IF(Q49&gt;0,(1+(T49/Q49))^(1/($C$6-$B$6))-1,0)</f>
        <v>4.0132106126306022E-2</v>
      </c>
      <c r="W49" s="343"/>
      <c r="X49" s="10" t="str">
        <f>name!A46</f>
        <v>Broadcasting</v>
      </c>
      <c r="Y49" s="10">
        <v>0.3849999999996358</v>
      </c>
      <c r="Z49" s="10">
        <v>0.3620000000024548</v>
      </c>
      <c r="AA49" s="342">
        <f t="shared" si="8"/>
        <v>-2.2999999997180998E-2</v>
      </c>
      <c r="AB49" s="10">
        <v>0.18160441876068828</v>
      </c>
      <c r="AC49" s="342">
        <f t="shared" si="9"/>
        <v>0.15860441876350728</v>
      </c>
      <c r="AD49" s="343">
        <f t="shared" si="10"/>
        <v>2.6095891060456511E-2</v>
      </c>
    </row>
    <row r="50" spans="1:30" x14ac:dyDescent="0.2">
      <c r="A50" t="str">
        <f t="shared" si="20"/>
        <v>52 Skilled metal, electrical and electronic trades</v>
      </c>
      <c r="B50" s="11">
        <v>3.3491818702344571E-2</v>
      </c>
      <c r="C50" s="11">
        <v>5.7768809405494219E-2</v>
      </c>
      <c r="D50" s="11">
        <f t="shared" si="21"/>
        <v>2.4276990703149648E-2</v>
      </c>
      <c r="E50" s="11">
        <v>2.2923052999876334E-2</v>
      </c>
      <c r="F50" s="11">
        <f>SUM(D50:E50)</f>
        <v>4.7200043703025982E-2</v>
      </c>
      <c r="G50" s="200">
        <f t="shared" si="23"/>
        <v>3.5373372129515523E-2</v>
      </c>
      <c r="O50" s="70"/>
      <c r="P50" s="10" t="str">
        <f>name!D18</f>
        <v>52 Skilled metal, electrical and electronic trades</v>
      </c>
      <c r="Q50" s="11">
        <v>0.6004918560369934</v>
      </c>
      <c r="R50" s="11">
        <v>1.9015998087777757</v>
      </c>
      <c r="S50" s="342">
        <f t="shared" si="24"/>
        <v>1.3011079527407823</v>
      </c>
      <c r="T50" s="342">
        <v>0.86798971367060429</v>
      </c>
      <c r="U50" s="342">
        <f t="shared" si="25"/>
        <v>2.1690976664113863</v>
      </c>
      <c r="V50" s="343">
        <f t="shared" si="26"/>
        <v>6.142853431863271E-2</v>
      </c>
      <c r="W50" s="343"/>
      <c r="X50" s="10" t="str">
        <f>name!A47</f>
        <v>Telecommunications</v>
      </c>
      <c r="Y50" s="10">
        <v>7.6689999999374914</v>
      </c>
      <c r="Z50" s="10">
        <v>9.1930000001206906</v>
      </c>
      <c r="AA50" s="342">
        <f t="shared" si="8"/>
        <v>1.5240000001831993</v>
      </c>
      <c r="AB50" s="10">
        <v>3.6689104152182859</v>
      </c>
      <c r="AC50" s="342">
        <f t="shared" si="9"/>
        <v>5.1929104154014851</v>
      </c>
      <c r="AD50" s="343">
        <f t="shared" si="10"/>
        <v>2.6407032302102618E-2</v>
      </c>
    </row>
    <row r="51" spans="1:30" x14ac:dyDescent="0.2">
      <c r="A51" t="str">
        <f t="shared" si="20"/>
        <v>53 Skilled construction and building trades</v>
      </c>
      <c r="B51" s="11">
        <v>6.681425236982081E-3</v>
      </c>
      <c r="C51" s="11">
        <v>1.2995004146545254E-2</v>
      </c>
      <c r="D51" s="11">
        <f t="shared" ref="D51" si="30">C51-B51</f>
        <v>6.3135789095631733E-3</v>
      </c>
      <c r="E51" s="11">
        <v>5.6117193063646405E-3</v>
      </c>
      <c r="F51" s="11">
        <f>SUM(D51:E51)</f>
        <v>1.1925298215927815E-2</v>
      </c>
      <c r="G51" s="200">
        <f t="shared" si="23"/>
        <v>4.1484773617066706E-2</v>
      </c>
      <c r="I51" s="86" t="str">
        <f>name!F7</f>
        <v>RQF5 Foundation degree;Nursing;Teaching</v>
      </c>
      <c r="J51" s="11"/>
      <c r="K51" s="11"/>
      <c r="L51" s="11"/>
      <c r="M51" s="11"/>
      <c r="N51" s="11"/>
      <c r="P51" s="10" t="str">
        <f>name!D19</f>
        <v>53 Skilled construction and building trades</v>
      </c>
      <c r="Q51" s="11">
        <v>1.0288033492352988</v>
      </c>
      <c r="R51" s="11">
        <v>1.2431869114223111</v>
      </c>
      <c r="S51" s="342">
        <f t="shared" si="24"/>
        <v>0.21438356218701227</v>
      </c>
      <c r="T51" s="342">
        <v>0.62699644900497686</v>
      </c>
      <c r="U51" s="342">
        <f t="shared" si="25"/>
        <v>0.84138001119198913</v>
      </c>
      <c r="V51" s="343">
        <f t="shared" si="26"/>
        <v>3.2234484513976147E-2</v>
      </c>
      <c r="W51" s="343"/>
      <c r="X51" s="10" t="str">
        <f>name!A48</f>
        <v>Computing services</v>
      </c>
      <c r="Y51" s="10">
        <v>13.944999999877892</v>
      </c>
      <c r="Z51" s="10">
        <v>16.876000000225748</v>
      </c>
      <c r="AA51" s="342">
        <f t="shared" si="8"/>
        <v>2.931000000347856</v>
      </c>
      <c r="AB51" s="10">
        <v>6.7185967265584052</v>
      </c>
      <c r="AC51" s="342">
        <f t="shared" si="9"/>
        <v>9.6495967269062604</v>
      </c>
      <c r="AD51" s="343">
        <f t="shared" si="10"/>
        <v>2.6563518816831833E-2</v>
      </c>
    </row>
    <row r="52" spans="1:30" x14ac:dyDescent="0.2">
      <c r="A52" t="str">
        <f t="shared" si="20"/>
        <v>54 Textiles, printing and other skilled trades</v>
      </c>
      <c r="B52" s="11">
        <v>5.3012448264189181E-2</v>
      </c>
      <c r="C52" s="11">
        <v>8.2581271834001754E-2</v>
      </c>
      <c r="D52" s="11">
        <f t="shared" si="21"/>
        <v>2.9568823569812573E-2</v>
      </c>
      <c r="E52" s="11">
        <v>4.1691455237716141E-2</v>
      </c>
      <c r="F52" s="11">
        <f t="shared" si="22"/>
        <v>7.1260278807528721E-2</v>
      </c>
      <c r="G52" s="200">
        <f t="shared" si="23"/>
        <v>3.9439782496193176E-2</v>
      </c>
      <c r="I52" s="11" t="str">
        <f>I41</f>
        <v>Managers, directors and senior officials</v>
      </c>
      <c r="J52" s="11">
        <f t="array" ref="J52:J60">MMULT(aggregation!$B$38:$AA$46,B123:B148)</f>
        <v>6.6341940080523738</v>
      </c>
      <c r="K52" s="11">
        <f t="array" ref="K52:K60">MMULT(aggregation!$B$38:$AA$46,C123:C148)</f>
        <v>8.6637557155547178</v>
      </c>
      <c r="L52" s="11">
        <f t="array" ref="L52:L60">MMULT(aggregation!$B$38:$AA$46,D123:D148)</f>
        <v>2.0295617075023435</v>
      </c>
      <c r="M52" s="11">
        <f t="array" ref="M52:M60">MMULT(aggregation!$B$38:$AA$46,E123:E148)</f>
        <v>4.501637851871763</v>
      </c>
      <c r="N52" s="11">
        <f t="array" ref="N52:N60">MMULT(aggregation!$B$38:$AA$46,F123:F148)</f>
        <v>6.531199559374107</v>
      </c>
      <c r="P52" s="10" t="str">
        <f>name!D20</f>
        <v>54 Textiles, printing and other skilled trades</v>
      </c>
      <c r="Q52" s="11">
        <v>10.146009094354905</v>
      </c>
      <c r="R52" s="11">
        <v>9.7460296738197343</v>
      </c>
      <c r="S52" s="342">
        <f t="shared" si="24"/>
        <v>-0.39997942053517122</v>
      </c>
      <c r="T52" s="342">
        <v>5.9684119834662965</v>
      </c>
      <c r="U52" s="342">
        <f t="shared" si="25"/>
        <v>5.5684325629311253</v>
      </c>
      <c r="V52" s="343">
        <f t="shared" si="26"/>
        <v>3.1322827706981027E-2</v>
      </c>
      <c r="W52" s="343"/>
      <c r="X52" s="10" t="str">
        <f>name!A49</f>
        <v>Information services</v>
      </c>
      <c r="Y52" s="10">
        <v>3.8609999999784357</v>
      </c>
      <c r="Z52" s="10">
        <v>4.6200000000123476</v>
      </c>
      <c r="AA52" s="342">
        <f t="shared" si="8"/>
        <v>0.75900000003391188</v>
      </c>
      <c r="AB52" s="10">
        <v>1.8347447355516742</v>
      </c>
      <c r="AC52" s="342">
        <f t="shared" si="9"/>
        <v>2.5937447355855863</v>
      </c>
      <c r="AD52" s="343">
        <f t="shared" si="10"/>
        <v>2.6258375217472985E-2</v>
      </c>
    </row>
    <row r="53" spans="1:30" x14ac:dyDescent="0.2">
      <c r="A53" t="str">
        <f t="shared" si="20"/>
        <v>61 Caring personal service occupations</v>
      </c>
      <c r="B53" s="11">
        <v>4.5692767854246565E-2</v>
      </c>
      <c r="C53" s="11">
        <v>7.3624765334773995E-2</v>
      </c>
      <c r="D53" s="11">
        <f t="shared" si="21"/>
        <v>2.793199748052743E-2</v>
      </c>
      <c r="E53" s="11">
        <v>3.8039401745027478E-2</v>
      </c>
      <c r="F53" s="11">
        <f t="shared" si="22"/>
        <v>6.5971399225554908E-2</v>
      </c>
      <c r="G53" s="200">
        <f t="shared" si="23"/>
        <v>4.1205192333163554E-2</v>
      </c>
      <c r="I53" s="11" t="str">
        <f>I42</f>
        <v>Professional occupations</v>
      </c>
      <c r="J53" s="11">
        <v>15.214825964049712</v>
      </c>
      <c r="K53" s="11">
        <v>6.7505732742910407</v>
      </c>
      <c r="L53" s="11">
        <v>-8.4642526897586698</v>
      </c>
      <c r="M53" s="11">
        <v>3.7620196041112193</v>
      </c>
      <c r="N53" s="11">
        <v>-4.7022330856474506</v>
      </c>
      <c r="P53" s="10" t="str">
        <f>name!D21</f>
        <v>61 Caring personal service occupations</v>
      </c>
      <c r="Q53" s="11">
        <v>74.325326191513227</v>
      </c>
      <c r="R53" s="11">
        <v>80.888387117485095</v>
      </c>
      <c r="S53" s="342">
        <f t="shared" si="24"/>
        <v>6.5630609259718682</v>
      </c>
      <c r="T53" s="342">
        <v>46.372670410388032</v>
      </c>
      <c r="U53" s="342">
        <f t="shared" si="25"/>
        <v>52.9357313363599</v>
      </c>
      <c r="V53" s="343">
        <f t="shared" si="26"/>
        <v>3.2850702357459571E-2</v>
      </c>
      <c r="W53" s="343"/>
      <c r="X53" s="10" t="str">
        <f>name!A50</f>
        <v>Financial services</v>
      </c>
      <c r="Y53" s="10">
        <v>13.752999999934991</v>
      </c>
      <c r="Z53" s="10">
        <v>14.218000000054928</v>
      </c>
      <c r="AA53" s="342">
        <f t="shared" si="8"/>
        <v>0.4650000001199377</v>
      </c>
      <c r="AB53" s="10">
        <v>6.992800361312038</v>
      </c>
      <c r="AC53" s="342">
        <f t="shared" si="9"/>
        <v>7.4578003614319757</v>
      </c>
      <c r="AD53" s="343">
        <f t="shared" si="10"/>
        <v>2.778478306742671E-2</v>
      </c>
    </row>
    <row r="54" spans="1:30" x14ac:dyDescent="0.2">
      <c r="A54" t="str">
        <f t="shared" si="20"/>
        <v>62 Leisure, travel and related personal service occupations</v>
      </c>
      <c r="B54" s="11">
        <v>2.8020851120402198E-2</v>
      </c>
      <c r="C54" s="11">
        <v>5.4397497479410445E-2</v>
      </c>
      <c r="D54" s="11">
        <f t="shared" ref="D54:D55" si="31">C54-B54</f>
        <v>2.6376646359008247E-2</v>
      </c>
      <c r="E54" s="11">
        <v>2.4302653924350794E-2</v>
      </c>
      <c r="F54" s="11">
        <f t="shared" ref="F54:F55" si="32">SUM(D54:E54)</f>
        <v>5.0679300283359041E-2</v>
      </c>
      <c r="G54" s="200">
        <f t="shared" si="23"/>
        <v>4.251193051335056E-2</v>
      </c>
      <c r="I54" s="11" t="str">
        <f>I43</f>
        <v>Associate professional occupations</v>
      </c>
      <c r="J54" s="11">
        <v>11.347964997313134</v>
      </c>
      <c r="K54" s="11">
        <v>10.504213491871909</v>
      </c>
      <c r="L54" s="11">
        <v>-0.84375150544122457</v>
      </c>
      <c r="M54" s="11">
        <v>4.9255443260846992</v>
      </c>
      <c r="N54" s="11">
        <v>4.0817928206434742</v>
      </c>
      <c r="P54" s="10" t="str">
        <f>name!D22</f>
        <v>62 Leisure, travel and related personal service occupations</v>
      </c>
      <c r="Q54" s="11">
        <v>18.195077238659177</v>
      </c>
      <c r="R54" s="11">
        <v>18.442639950508816</v>
      </c>
      <c r="S54" s="342">
        <f t="shared" si="24"/>
        <v>0.24756271184963907</v>
      </c>
      <c r="T54" s="342">
        <v>10.146210919435362</v>
      </c>
      <c r="U54" s="342">
        <f t="shared" si="25"/>
        <v>10.393773631285001</v>
      </c>
      <c r="V54" s="343">
        <f t="shared" si="26"/>
        <v>2.998534507274675E-2</v>
      </c>
      <c r="W54" s="343"/>
      <c r="X54" s="10" t="str">
        <f>name!A51</f>
        <v>Insurance and pensions</v>
      </c>
      <c r="Y54" s="10">
        <v>2.4019999999902506</v>
      </c>
      <c r="Z54" s="10">
        <v>2.4760000000064104</v>
      </c>
      <c r="AA54" s="342">
        <f t="shared" si="8"/>
        <v>7.4000000016159806E-2</v>
      </c>
      <c r="AB54" s="10">
        <v>1.2383119731073693</v>
      </c>
      <c r="AC54" s="342">
        <f t="shared" si="9"/>
        <v>1.3123119731235291</v>
      </c>
      <c r="AD54" s="343">
        <f t="shared" si="10"/>
        <v>2.8105557424594529E-2</v>
      </c>
    </row>
    <row r="55" spans="1:30" x14ac:dyDescent="0.2">
      <c r="A55" t="str">
        <f t="shared" si="20"/>
        <v>63 Community and civil enforcement occupations</v>
      </c>
      <c r="B55" s="11">
        <v>2.3552154527925451E-3</v>
      </c>
      <c r="C55" s="11">
        <v>4.2202963783555458E-3</v>
      </c>
      <c r="D55" s="11">
        <f t="shared" si="31"/>
        <v>1.8650809255630007E-3</v>
      </c>
      <c r="E55" s="11">
        <v>1.9635521854936104E-3</v>
      </c>
      <c r="F55" s="11">
        <f t="shared" si="32"/>
        <v>3.8286331110566111E-3</v>
      </c>
      <c r="G55" s="200">
        <f t="shared" si="23"/>
        <v>4.1250636168617794E-2</v>
      </c>
      <c r="I55" s="11" t="str">
        <f>I44</f>
        <v>Administrative and secretarial occupations</v>
      </c>
      <c r="J55" s="11">
        <v>9.3738020779086284</v>
      </c>
      <c r="K55" s="11">
        <v>11.243271291451107</v>
      </c>
      <c r="L55" s="11">
        <v>1.869469213542478</v>
      </c>
      <c r="M55" s="11">
        <v>6.2641994526722415</v>
      </c>
      <c r="N55" s="11">
        <v>8.1336686662147191</v>
      </c>
      <c r="P55" s="10" t="str">
        <f>name!D23</f>
        <v>63 Community and civil enforcement occupations</v>
      </c>
      <c r="Q55" s="11">
        <v>0.36795173105862278</v>
      </c>
      <c r="R55" s="11">
        <v>0.48008572495506774</v>
      </c>
      <c r="S55" s="342">
        <f t="shared" si="24"/>
        <v>0.11213399389644496</v>
      </c>
      <c r="T55" s="342">
        <v>0.31051737144816771</v>
      </c>
      <c r="U55" s="342">
        <f t="shared" si="25"/>
        <v>0.42265136534461267</v>
      </c>
      <c r="V55" s="343">
        <f t="shared" si="26"/>
        <v>4.1635921184888236E-2</v>
      </c>
      <c r="W55" s="343"/>
      <c r="X55" s="10" t="str">
        <f>name!A52</f>
        <v>Auxiliary financial services</v>
      </c>
      <c r="Y55" s="10">
        <v>6.9299999999605841</v>
      </c>
      <c r="Z55" s="10">
        <v>7.2440000000382057</v>
      </c>
      <c r="AA55" s="342">
        <f t="shared" si="8"/>
        <v>0.31400000007762152</v>
      </c>
      <c r="AB55" s="10">
        <v>3.5369651755471261</v>
      </c>
      <c r="AC55" s="342">
        <f t="shared" si="9"/>
        <v>3.8509651756247476</v>
      </c>
      <c r="AD55" s="343">
        <f t="shared" si="10"/>
        <v>2.787231697307635E-2</v>
      </c>
    </row>
    <row r="56" spans="1:30" x14ac:dyDescent="0.2">
      <c r="A56" t="str">
        <f t="shared" si="20"/>
        <v>71 Sales occupations</v>
      </c>
      <c r="B56" s="11">
        <v>0.15873370827601505</v>
      </c>
      <c r="C56" s="11">
        <v>0.22541840842607128</v>
      </c>
      <c r="D56" s="11">
        <f t="shared" si="21"/>
        <v>6.6684700150056231E-2</v>
      </c>
      <c r="E56" s="11">
        <v>0.10460060230358956</v>
      </c>
      <c r="F56" s="11">
        <f t="shared" si="22"/>
        <v>0.17128530245364579</v>
      </c>
      <c r="G56" s="200">
        <f t="shared" si="23"/>
        <v>3.4322294187186353E-2</v>
      </c>
      <c r="I56" s="11" t="str">
        <f t="shared" ref="I56:I60" si="33">I45</f>
        <v>Skilled trades occupations</v>
      </c>
      <c r="J56" s="11">
        <v>2.6192649959854251</v>
      </c>
      <c r="K56" s="11">
        <v>3.7208812529918553</v>
      </c>
      <c r="L56" s="11">
        <v>1.1016162570064303</v>
      </c>
      <c r="M56" s="11">
        <v>1.8993322245861868</v>
      </c>
      <c r="N56" s="11">
        <v>3.0009484815926171</v>
      </c>
      <c r="P56" s="10" t="str">
        <f>name!D24</f>
        <v>71 Sales occupations</v>
      </c>
      <c r="Q56" s="11">
        <v>70.48050828654759</v>
      </c>
      <c r="R56" s="11">
        <v>63.782779447821653</v>
      </c>
      <c r="S56" s="342">
        <f t="shared" si="24"/>
        <v>-6.6977288387259364</v>
      </c>
      <c r="T56" s="342">
        <v>38.586134572944552</v>
      </c>
      <c r="U56" s="342">
        <f t="shared" si="25"/>
        <v>31.888405734218615</v>
      </c>
      <c r="V56" s="343">
        <f t="shared" si="26"/>
        <v>2.9535977680304581E-2</v>
      </c>
      <c r="W56" s="343"/>
      <c r="X56" s="10" t="str">
        <f>name!A53</f>
        <v>Real estate</v>
      </c>
      <c r="Y56" s="10">
        <v>18.573999999919479</v>
      </c>
      <c r="Z56" s="10">
        <v>21.197000000018889</v>
      </c>
      <c r="AA56" s="342">
        <f t="shared" si="8"/>
        <v>2.6230000000994096</v>
      </c>
      <c r="AB56" s="10">
        <v>9.634901492863289</v>
      </c>
      <c r="AC56" s="342">
        <f t="shared" si="9"/>
        <v>12.257901492962699</v>
      </c>
      <c r="AD56" s="343">
        <f t="shared" si="10"/>
        <v>2.824999373674264E-2</v>
      </c>
    </row>
    <row r="57" spans="1:30" x14ac:dyDescent="0.2">
      <c r="A57" t="str">
        <f t="shared" si="20"/>
        <v>72 Customer service occupations</v>
      </c>
      <c r="B57" s="11">
        <v>6.7108360573777462E-2</v>
      </c>
      <c r="C57" s="11">
        <v>0.14848862984420555</v>
      </c>
      <c r="D57" s="11">
        <f t="shared" si="21"/>
        <v>8.1380269270428088E-2</v>
      </c>
      <c r="E57" s="11">
        <v>5.6607462572430746E-2</v>
      </c>
      <c r="F57" s="11">
        <f t="shared" si="22"/>
        <v>0.13798773184285884</v>
      </c>
      <c r="G57" s="200">
        <f t="shared" si="23"/>
        <v>4.1621433896972704E-2</v>
      </c>
      <c r="I57" s="11" t="str">
        <f t="shared" si="33"/>
        <v>Caring, leisure and other service occupations</v>
      </c>
      <c r="J57" s="11">
        <v>9.5954842654878778</v>
      </c>
      <c r="K57" s="11">
        <v>11.74777305936669</v>
      </c>
      <c r="L57" s="11">
        <v>2.1522887938788124</v>
      </c>
      <c r="M57" s="11">
        <v>6.4053569945481481</v>
      </c>
      <c r="N57" s="11">
        <v>8.5576457884269601</v>
      </c>
      <c r="P57" s="10" t="str">
        <f>name!D25</f>
        <v>72 Customer service occupations</v>
      </c>
      <c r="Q57" s="11">
        <v>13.224516620172782</v>
      </c>
      <c r="R57" s="11">
        <v>18.329575772950804</v>
      </c>
      <c r="S57" s="342">
        <f t="shared" si="24"/>
        <v>5.105059152778022</v>
      </c>
      <c r="T57" s="342">
        <v>9.2515291695324144</v>
      </c>
      <c r="U57" s="342">
        <f t="shared" si="25"/>
        <v>14.356588322310436</v>
      </c>
      <c r="V57" s="343">
        <f t="shared" si="26"/>
        <v>3.5991057724665598E-2</v>
      </c>
      <c r="W57" s="343"/>
      <c r="X57" s="10" t="str">
        <f>name!A54</f>
        <v>Legal and accounting</v>
      </c>
      <c r="Y57" s="10">
        <v>19.11199999997547</v>
      </c>
      <c r="Z57" s="10">
        <v>20.037000000184459</v>
      </c>
      <c r="AA57" s="342">
        <f t="shared" si="8"/>
        <v>0.92500000020898909</v>
      </c>
      <c r="AB57" s="10">
        <v>9.9215346691089028</v>
      </c>
      <c r="AC57" s="342">
        <f t="shared" si="9"/>
        <v>10.846534669317892</v>
      </c>
      <c r="AD57" s="343">
        <f t="shared" si="10"/>
        <v>2.8267836717962957E-2</v>
      </c>
    </row>
    <row r="58" spans="1:30" x14ac:dyDescent="0.2">
      <c r="A58" t="str">
        <f t="shared" si="20"/>
        <v>81 Process, plant and machine operatives</v>
      </c>
      <c r="B58" s="11">
        <v>5.8938737460019784E-2</v>
      </c>
      <c r="C58" s="11">
        <v>0.14201162620809793</v>
      </c>
      <c r="D58" s="11">
        <f t="shared" ref="D58:D59" si="34">C58-B58</f>
        <v>8.3072888748078139E-2</v>
      </c>
      <c r="E58" s="11">
        <v>4.8396857703372688E-2</v>
      </c>
      <c r="F58" s="11">
        <f t="shared" ref="F58:F59" si="35">SUM(D58:E58)</f>
        <v>0.13146974645145082</v>
      </c>
      <c r="G58" s="200">
        <f t="shared" si="23"/>
        <v>4.0773428718595905E-2</v>
      </c>
      <c r="I58" s="11" t="str">
        <f t="shared" si="33"/>
        <v>Sales and customer service occupations</v>
      </c>
      <c r="J58" s="11">
        <v>5.4356016563868446</v>
      </c>
      <c r="K58" s="11">
        <v>8.5116425378064662</v>
      </c>
      <c r="L58" s="11">
        <v>3.0760408814196221</v>
      </c>
      <c r="M58" s="11">
        <v>4.0865284850563111</v>
      </c>
      <c r="N58" s="11">
        <v>7.1625693664759336</v>
      </c>
      <c r="P58" s="10" t="str">
        <f>name!D26</f>
        <v>81 Process, plant and machine operatives</v>
      </c>
      <c r="Q58" s="11">
        <v>6.3318263479225232</v>
      </c>
      <c r="R58" s="11">
        <v>6.8926683159439364</v>
      </c>
      <c r="S58" s="342">
        <f t="shared" si="24"/>
        <v>0.56084196802141317</v>
      </c>
      <c r="T58" s="342">
        <v>3.4849265162833438</v>
      </c>
      <c r="U58" s="342">
        <f t="shared" si="25"/>
        <v>4.045768484304757</v>
      </c>
      <c r="V58" s="343">
        <f t="shared" si="26"/>
        <v>2.9664937238606415E-2</v>
      </c>
      <c r="W58" s="343"/>
      <c r="X58" s="10" t="str">
        <f>name!A55</f>
        <v>Head offices, etc</v>
      </c>
      <c r="Y58" s="10">
        <v>12.534999999947265</v>
      </c>
      <c r="Z58" s="10">
        <v>12.914000000125377</v>
      </c>
      <c r="AA58" s="342">
        <f t="shared" si="8"/>
        <v>0.37900000017811131</v>
      </c>
      <c r="AB58" s="10">
        <v>6.2281130812996448</v>
      </c>
      <c r="AC58" s="342">
        <f t="shared" si="9"/>
        <v>6.6071130814777561</v>
      </c>
      <c r="AD58" s="343">
        <f t="shared" si="10"/>
        <v>2.7256040862847275E-2</v>
      </c>
    </row>
    <row r="59" spans="1:30" x14ac:dyDescent="0.2">
      <c r="A59" t="str">
        <f t="shared" si="20"/>
        <v>82 Transport and mobile machine drivers and operatives</v>
      </c>
      <c r="B59" s="11">
        <v>7.6517245794771094E-2</v>
      </c>
      <c r="C59" s="11">
        <v>0.18204906439207463</v>
      </c>
      <c r="D59" s="11">
        <f t="shared" si="34"/>
        <v>0.10553181859730354</v>
      </c>
      <c r="E59" s="11">
        <v>9.1423924123327366E-2</v>
      </c>
      <c r="F59" s="11">
        <f t="shared" si="35"/>
        <v>0.19695574272063091</v>
      </c>
      <c r="G59" s="200">
        <f t="shared" si="23"/>
        <v>5.3804033003592489E-2</v>
      </c>
      <c r="I59" s="11" t="str">
        <f t="shared" si="33"/>
        <v>Process, plant and machine operatives</v>
      </c>
      <c r="J59" s="11">
        <v>1.3487093816040761</v>
      </c>
      <c r="K59" s="11">
        <v>2.1344432531573903</v>
      </c>
      <c r="L59" s="11">
        <v>0.78573387155331431</v>
      </c>
      <c r="M59" s="11">
        <v>1.004499943665399</v>
      </c>
      <c r="N59" s="11">
        <v>1.7902338152187134</v>
      </c>
      <c r="P59" s="10" t="str">
        <f>name!D27</f>
        <v>82 Transport and mobile machine drivers and operatives</v>
      </c>
      <c r="Q59" s="11">
        <v>1.1938967286367974</v>
      </c>
      <c r="R59" s="11">
        <v>1.8382995789300103</v>
      </c>
      <c r="S59" s="342">
        <f t="shared" si="24"/>
        <v>0.64440285029321287</v>
      </c>
      <c r="T59" s="342">
        <v>1.0470434970116089</v>
      </c>
      <c r="U59" s="342">
        <f t="shared" si="25"/>
        <v>1.6914463473048218</v>
      </c>
      <c r="V59" s="343">
        <f t="shared" si="26"/>
        <v>4.2871744044348459E-2</v>
      </c>
      <c r="W59" s="343"/>
      <c r="X59" s="10" t="str">
        <f>name!A56</f>
        <v>Architectural and related</v>
      </c>
      <c r="Y59" s="10">
        <v>26.238999999824618</v>
      </c>
      <c r="Z59" s="10">
        <v>25.321000000368326</v>
      </c>
      <c r="AA59" s="342">
        <f t="shared" si="8"/>
        <v>-0.91799999945629196</v>
      </c>
      <c r="AB59" s="10">
        <v>11.385941862711221</v>
      </c>
      <c r="AC59" s="342">
        <f t="shared" si="9"/>
        <v>10.467941863254929</v>
      </c>
      <c r="AD59" s="343">
        <f t="shared" si="10"/>
        <v>2.4319020566767824E-2</v>
      </c>
    </row>
    <row r="60" spans="1:30" x14ac:dyDescent="0.2">
      <c r="A60" t="str">
        <f t="shared" si="20"/>
        <v>91 Elementary trades and related occupations</v>
      </c>
      <c r="B60" s="11">
        <v>6.6504475281356805E-4</v>
      </c>
      <c r="C60" s="11">
        <v>7.9397589923341498E-4</v>
      </c>
      <c r="D60" s="11">
        <f t="shared" si="21"/>
        <v>1.2893114641984694E-4</v>
      </c>
      <c r="E60" s="11">
        <v>4.4718884982952045E-4</v>
      </c>
      <c r="F60" s="11">
        <f>SUM(D60:E60)</f>
        <v>5.7611999624936744E-4</v>
      </c>
      <c r="G60" s="200">
        <f t="shared" si="23"/>
        <v>3.4879242586340675E-2</v>
      </c>
      <c r="I60" s="11" t="str">
        <f t="shared" si="33"/>
        <v>Elementary occupations</v>
      </c>
      <c r="J60" s="11">
        <v>4.328312980653517</v>
      </c>
      <c r="K60" s="11">
        <v>7.3121031509952203</v>
      </c>
      <c r="L60" s="11">
        <v>2.9837901703417034</v>
      </c>
      <c r="M60" s="11">
        <v>3.5143401451871252</v>
      </c>
      <c r="N60" s="11">
        <v>6.4981303155288286</v>
      </c>
      <c r="P60" s="10" t="str">
        <f>name!D28</f>
        <v>91 Elementary trades and related occupations</v>
      </c>
      <c r="Q60" s="11">
        <v>2.7005736074758078</v>
      </c>
      <c r="R60" s="11">
        <v>2.1002660115287179</v>
      </c>
      <c r="S60" s="342">
        <f t="shared" si="24"/>
        <v>-0.60030759594708982</v>
      </c>
      <c r="T60" s="342">
        <v>1.4296753668496369</v>
      </c>
      <c r="U60" s="342">
        <f t="shared" si="25"/>
        <v>0.8293677709025471</v>
      </c>
      <c r="V60" s="343">
        <f t="shared" si="26"/>
        <v>2.8729863904024766E-2</v>
      </c>
      <c r="W60" s="343"/>
      <c r="X60" s="10" t="str">
        <f>name!A57</f>
        <v>Scientific research and development</v>
      </c>
      <c r="Y60" s="10">
        <v>3.0500000000023055</v>
      </c>
      <c r="Z60" s="10">
        <v>4.3240000000997343</v>
      </c>
      <c r="AA60" s="342">
        <f t="shared" si="8"/>
        <v>1.2740000000974288</v>
      </c>
      <c r="AB60" s="10">
        <v>1.6336788997126879</v>
      </c>
      <c r="AC60" s="342">
        <f t="shared" si="9"/>
        <v>2.9076788998101168</v>
      </c>
      <c r="AD60" s="343">
        <f t="shared" si="10"/>
        <v>2.9008948731018336E-2</v>
      </c>
    </row>
    <row r="61" spans="1:30" x14ac:dyDescent="0.2">
      <c r="A61" t="str">
        <f t="shared" si="20"/>
        <v>92 Elementary administration and service occupations</v>
      </c>
      <c r="B61" s="11">
        <v>8.258450549229801E-2</v>
      </c>
      <c r="C61" s="11">
        <v>0.15117817692426605</v>
      </c>
      <c r="D61" s="11">
        <f t="shared" ref="D61" si="36">C61-B61</f>
        <v>6.859367143196804E-2</v>
      </c>
      <c r="E61" s="11">
        <v>7.1987849128205883E-2</v>
      </c>
      <c r="F61" s="11">
        <f t="shared" ref="F61" si="37">SUM(D61:E61)</f>
        <v>0.14058152056017392</v>
      </c>
      <c r="G61" s="200">
        <f t="shared" ref="G61" si="38">IF(B61&gt;0,(1+(E61/B61))^(1/($C$6-$B$6))-1,0)</f>
        <v>4.2674814310796894E-2</v>
      </c>
      <c r="P61" s="10" t="str">
        <f>name!D29</f>
        <v>92 Elementary administration and service occupations</v>
      </c>
      <c r="Q61" s="11">
        <v>57.429534487064402</v>
      </c>
      <c r="R61" s="11">
        <v>57.058846393255962</v>
      </c>
      <c r="S61" s="342">
        <f t="shared" ref="S61" si="39">R61-Q61</f>
        <v>-0.37068809380843959</v>
      </c>
      <c r="T61" s="342">
        <v>32.610586909511717</v>
      </c>
      <c r="U61" s="342">
        <f t="shared" ref="U61" si="40">SUM(S61:T61)</f>
        <v>32.239898815703278</v>
      </c>
      <c r="V61" s="343">
        <f t="shared" ref="V61" si="41">IF(Q61&gt;0,(1+(T61/Q61))^(1/($C$6-$B$6))-1,0)</f>
        <v>3.0433695295301488E-2</v>
      </c>
      <c r="W61" s="11"/>
      <c r="X61" s="10" t="str">
        <f>name!A58</f>
        <v>Advertising, etc</v>
      </c>
      <c r="Y61" s="10">
        <v>2.7569999999933965</v>
      </c>
      <c r="Z61" s="10">
        <v>3.9340000000507063</v>
      </c>
      <c r="AA61" s="342">
        <f t="shared" si="8"/>
        <v>1.1770000000573098</v>
      </c>
      <c r="AB61" s="10">
        <v>1.7062182879577827</v>
      </c>
      <c r="AC61" s="342">
        <f t="shared" si="9"/>
        <v>2.8832182880150925</v>
      </c>
      <c r="AD61" s="343">
        <f t="shared" si="10"/>
        <v>3.2636386783623017E-2</v>
      </c>
    </row>
    <row r="62" spans="1:30" x14ac:dyDescent="0.2">
      <c r="A62" t="str">
        <f t="shared" si="20"/>
        <v>All occupations</v>
      </c>
      <c r="B62" s="11">
        <f>SUM(B36:B61)</f>
        <v>15.986184730114932</v>
      </c>
      <c r="C62" s="11">
        <f t="shared" ref="C62:F62" si="42">SUM(C36:C61)</f>
        <v>24.851070362877444</v>
      </c>
      <c r="D62" s="11">
        <f t="shared" si="42"/>
        <v>8.8648856327625012</v>
      </c>
      <c r="E62" s="11">
        <f t="shared" si="42"/>
        <v>10.831930507041491</v>
      </c>
      <c r="F62" s="11">
        <f t="shared" si="42"/>
        <v>19.696816139803992</v>
      </c>
      <c r="G62" s="200">
        <f t="shared" si="23"/>
        <v>3.5091864136453488E-2</v>
      </c>
      <c r="I62" s="86" t="str">
        <f>name!F8</f>
        <v>RQF4 HE below degree level</v>
      </c>
      <c r="J62" s="11"/>
      <c r="K62" s="11"/>
      <c r="L62" s="11"/>
      <c r="M62" s="11"/>
      <c r="N62" s="11"/>
      <c r="P62" s="10" t="str">
        <f>name!D3</f>
        <v>All occupations</v>
      </c>
      <c r="Q62" s="11">
        <f>SUM(Q36:Q61)</f>
        <v>597.91300000082299</v>
      </c>
      <c r="R62" s="11">
        <f>SUM(R36:R61)</f>
        <v>641.89400000036346</v>
      </c>
      <c r="S62" s="342">
        <f>R62-Q62</f>
        <v>43.980999999540472</v>
      </c>
      <c r="T62" s="11">
        <f>SUM(T36:T61)</f>
        <v>358.43668869424152</v>
      </c>
      <c r="U62" s="342">
        <f>SUM(S62:T62)</f>
        <v>402.417688693782</v>
      </c>
      <c r="V62" s="343">
        <f>IF(Q62&gt;0,(1+(T62/Q62))^(1/($C$6-$B$6))-1,0)</f>
        <v>3.1807265512586946E-2</v>
      </c>
      <c r="X62" s="10" t="str">
        <f>name!A59</f>
        <v>Other professional</v>
      </c>
      <c r="Y62" s="10">
        <v>5.6149999999886919</v>
      </c>
      <c r="Z62" s="10">
        <v>7.9800000000543747</v>
      </c>
      <c r="AA62" s="342">
        <f t="shared" si="8"/>
        <v>2.3650000000656828</v>
      </c>
      <c r="AB62" s="10">
        <v>3.4185341653243158</v>
      </c>
      <c r="AC62" s="342">
        <f t="shared" si="9"/>
        <v>5.7835341653899981</v>
      </c>
      <c r="AD62" s="343">
        <f t="shared" si="10"/>
        <v>3.2207939858625023E-2</v>
      </c>
    </row>
    <row r="63" spans="1:30" x14ac:dyDescent="0.2">
      <c r="I63" s="11" t="str">
        <f>I52</f>
        <v>Managers, directors and senior officials</v>
      </c>
      <c r="J63" s="11">
        <f t="array" ref="J63:J71">MMULT(aggregation!$B$38:$AA$46,B152:B177)</f>
        <v>6.311154684397815</v>
      </c>
      <c r="K63" s="11">
        <f t="array" ref="K63:K71">MMULT(aggregation!$B$38:$AA$46,C152:C177)</f>
        <v>7.4488894451100904</v>
      </c>
      <c r="L63" s="11">
        <f t="array" ref="L63:L71">MMULT(aggregation!$B$38:$AA$46,D152:D177)</f>
        <v>1.1377347607122754</v>
      </c>
      <c r="M63" s="11">
        <f t="array" ref="M63:M71">MMULT(aggregation!$B$38:$AA$46,E152:E177)</f>
        <v>3.8961567545263063</v>
      </c>
      <c r="N63" s="11">
        <f t="array" ref="N63:N71">MMULT(aggregation!$B$38:$AA$46,F152:F177)</f>
        <v>5.0338915152385812</v>
      </c>
      <c r="P63" s="23"/>
      <c r="Q63" s="33"/>
      <c r="R63" s="33"/>
      <c r="S63" s="33"/>
      <c r="T63" s="33"/>
      <c r="U63" s="33"/>
      <c r="V63" s="33"/>
      <c r="X63" s="10" t="str">
        <f>name!A60</f>
        <v>Veterinary</v>
      </c>
      <c r="Y63" s="10">
        <v>1.8010000000108048</v>
      </c>
      <c r="Z63" s="10">
        <v>2.5830000000275306</v>
      </c>
      <c r="AA63" s="342">
        <f t="shared" si="8"/>
        <v>0.78200000001672576</v>
      </c>
      <c r="AB63" s="10">
        <v>1.1684956843430809</v>
      </c>
      <c r="AC63" s="342">
        <f t="shared" si="9"/>
        <v>1.9504956843598067</v>
      </c>
      <c r="AD63" s="343">
        <f t="shared" si="10"/>
        <v>3.3898564588763058E-2</v>
      </c>
    </row>
    <row r="64" spans="1:30" ht="38.25" x14ac:dyDescent="0.2">
      <c r="A64" s="201" t="str">
        <f>CONCATENATE(name!F5," (Constrained)")</f>
        <v>RQF7 Other higher degree (Constrained)</v>
      </c>
      <c r="B64" s="74">
        <f t="shared" ref="B64:G64" si="43">B6</f>
        <v>2020</v>
      </c>
      <c r="C64" s="74">
        <f t="shared" si="43"/>
        <v>2035</v>
      </c>
      <c r="D64" s="87" t="str">
        <f t="shared" si="43"/>
        <v>Net Change</v>
      </c>
      <c r="E64" s="87" t="str">
        <f t="shared" si="43"/>
        <v>Replacement Demand level</v>
      </c>
      <c r="F64" s="87" t="str">
        <f t="shared" si="43"/>
        <v>Total Requirement</v>
      </c>
      <c r="G64" s="87" t="str">
        <f t="shared" si="43"/>
        <v>Replacement Demand rate</v>
      </c>
      <c r="I64" s="11" t="str">
        <f>I53</f>
        <v>Professional occupations</v>
      </c>
      <c r="J64" s="11">
        <v>10.689660677596498</v>
      </c>
      <c r="K64" s="11">
        <v>12.282291733462408</v>
      </c>
      <c r="L64" s="11">
        <v>1.5926310558659096</v>
      </c>
      <c r="M64" s="11">
        <v>4.9242083047986247</v>
      </c>
      <c r="N64" s="11">
        <v>6.5168393606645338</v>
      </c>
      <c r="P64" s="11"/>
      <c r="Q64" s="11"/>
      <c r="R64" s="11"/>
      <c r="S64" s="11"/>
      <c r="T64" s="11"/>
      <c r="U64" s="11"/>
      <c r="X64" s="10" t="str">
        <f>name!A61</f>
        <v>Rental and leasing</v>
      </c>
      <c r="Y64" s="10">
        <v>6.4210000000029446</v>
      </c>
      <c r="Z64" s="10">
        <v>6.812999999979616</v>
      </c>
      <c r="AA64" s="342">
        <f t="shared" si="8"/>
        <v>0.39199999997667145</v>
      </c>
      <c r="AB64" s="10">
        <v>2.910143391422455</v>
      </c>
      <c r="AC64" s="342">
        <f t="shared" si="9"/>
        <v>3.3021433913991265</v>
      </c>
      <c r="AD64" s="343">
        <f t="shared" si="10"/>
        <v>2.5231983725735763E-2</v>
      </c>
    </row>
    <row r="65" spans="1:30" x14ac:dyDescent="0.2">
      <c r="A65" t="str">
        <f t="shared" ref="A65:A91" si="44">A7</f>
        <v>11 Corporate managers and directors</v>
      </c>
      <c r="B65" s="11">
        <v>6.4011006291155885</v>
      </c>
      <c r="C65" s="11">
        <v>8.5049245924366002</v>
      </c>
      <c r="D65" s="11">
        <f>C65-B65</f>
        <v>2.1038239633210116</v>
      </c>
      <c r="E65" s="11">
        <v>4.3106725605746998</v>
      </c>
      <c r="F65" s="11">
        <f>SUM(D65:E65)</f>
        <v>6.4144965238957115</v>
      </c>
      <c r="G65" s="200">
        <f>IF(B65&gt;0,(1+(E65/B65))^(1/($C$6-$B$6))-1,0)</f>
        <v>3.4920796898844086E-2</v>
      </c>
      <c r="I65" s="11" t="str">
        <f>I54</f>
        <v>Associate professional occupations</v>
      </c>
      <c r="J65" s="11">
        <v>8.3089797122974201</v>
      </c>
      <c r="K65" s="11">
        <v>8.9372676682773786</v>
      </c>
      <c r="L65" s="11">
        <v>0.62828795597995746</v>
      </c>
      <c r="M65" s="11">
        <v>3.9292712914688392</v>
      </c>
      <c r="N65" s="11">
        <v>4.5575592474487969</v>
      </c>
      <c r="P65" s="11"/>
      <c r="Q65" s="11"/>
      <c r="R65" s="11"/>
      <c r="S65" s="11"/>
      <c r="T65" s="11"/>
      <c r="U65" s="11"/>
      <c r="X65" s="10" t="str">
        <f>name!A62</f>
        <v>Employment activities</v>
      </c>
      <c r="Y65" s="10">
        <v>26.429999999926494</v>
      </c>
      <c r="Z65" s="10">
        <v>28.079999999875387</v>
      </c>
      <c r="AA65" s="342">
        <f t="shared" si="8"/>
        <v>1.6499999999488928</v>
      </c>
      <c r="AB65" s="10">
        <v>12.388394550090888</v>
      </c>
      <c r="AC65" s="342">
        <f t="shared" si="9"/>
        <v>14.038394550039781</v>
      </c>
      <c r="AD65" s="343">
        <f t="shared" si="10"/>
        <v>2.5957475970910027E-2</v>
      </c>
    </row>
    <row r="66" spans="1:30" x14ac:dyDescent="0.2">
      <c r="A66" t="str">
        <f t="shared" si="44"/>
        <v>12 Other managers and proprietors</v>
      </c>
      <c r="B66" s="11">
        <v>3.005514797930231</v>
      </c>
      <c r="C66" s="11">
        <v>6.6425579104271932</v>
      </c>
      <c r="D66" s="11">
        <f t="shared" ref="D66:D89" si="45">C66-B66</f>
        <v>3.6370431124969622</v>
      </c>
      <c r="E66" s="11">
        <v>3.2537005381309529</v>
      </c>
      <c r="F66" s="11">
        <f t="shared" ref="F66:F89" si="46">SUM(D66:E66)</f>
        <v>6.8907436506279147</v>
      </c>
      <c r="G66" s="200">
        <f t="shared" ref="G66:G91" si="47">IF(B66&gt;0,(1+(E66/B66))^(1/($C$6-$B$6))-1,0)</f>
        <v>5.0122752310207241E-2</v>
      </c>
      <c r="I66" s="11" t="str">
        <f>I55</f>
        <v>Administrative and secretarial occupations</v>
      </c>
      <c r="J66" s="11">
        <v>8.4294347150974556</v>
      </c>
      <c r="K66" s="11">
        <v>10.425590885863471</v>
      </c>
      <c r="L66" s="11">
        <v>1.9961561707660145</v>
      </c>
      <c r="M66" s="11">
        <v>5.3290055127750842</v>
      </c>
      <c r="N66" s="11">
        <v>7.3251616835410989</v>
      </c>
      <c r="P66" s="11"/>
      <c r="Q66" s="11"/>
      <c r="R66" s="11"/>
      <c r="S66" s="11"/>
      <c r="T66" s="11"/>
      <c r="U66" s="11"/>
      <c r="X66" s="10" t="str">
        <f>name!A63</f>
        <v>Travel, etc</v>
      </c>
      <c r="Y66" s="10">
        <v>2.2989999999892463</v>
      </c>
      <c r="Z66" s="10">
        <v>2.4489999999889309</v>
      </c>
      <c r="AA66" s="342">
        <f t="shared" si="8"/>
        <v>0.14999999999968461</v>
      </c>
      <c r="AB66" s="10">
        <v>1.1238815255787631</v>
      </c>
      <c r="AC66" s="342">
        <f t="shared" si="9"/>
        <v>1.2738815255784477</v>
      </c>
      <c r="AD66" s="343">
        <f t="shared" si="10"/>
        <v>2.688905833986821E-2</v>
      </c>
    </row>
    <row r="67" spans="1:30" x14ac:dyDescent="0.2">
      <c r="A67" t="str">
        <f t="shared" si="44"/>
        <v>21 Science, research, engineering and technology professionals</v>
      </c>
      <c r="B67" s="11">
        <v>9.7305561490260892</v>
      </c>
      <c r="C67" s="11">
        <v>17.16293354496047</v>
      </c>
      <c r="D67" s="11">
        <f t="shared" si="45"/>
        <v>7.4323773959343811</v>
      </c>
      <c r="E67" s="11">
        <v>5.8258970264342542</v>
      </c>
      <c r="F67" s="11">
        <f t="shared" si="46"/>
        <v>13.258274422368636</v>
      </c>
      <c r="G67" s="200">
        <f t="shared" si="47"/>
        <v>3.1774669454546212E-2</v>
      </c>
      <c r="I67" s="11" t="str">
        <f t="shared" ref="I67:I71" si="48">I56</f>
        <v>Skilled trades occupations</v>
      </c>
      <c r="J67" s="11">
        <v>4.7565939958484869</v>
      </c>
      <c r="K67" s="11">
        <v>5.862142127917366</v>
      </c>
      <c r="L67" s="11">
        <v>1.1055481320688791</v>
      </c>
      <c r="M67" s="11">
        <v>2.8568674012504021</v>
      </c>
      <c r="N67" s="11">
        <v>3.9624155333192816</v>
      </c>
      <c r="P67" s="11"/>
      <c r="Q67" s="11"/>
      <c r="R67" s="11"/>
      <c r="S67" s="11"/>
      <c r="T67" s="11"/>
      <c r="U67" s="11"/>
      <c r="X67" s="10" t="str">
        <f>name!A64</f>
        <v>Security, etc</v>
      </c>
      <c r="Y67" s="10">
        <v>9.2589999999836703</v>
      </c>
      <c r="Z67" s="10">
        <v>9.7499999999636078</v>
      </c>
      <c r="AA67" s="342">
        <f t="shared" si="8"/>
        <v>0.49099999997993748</v>
      </c>
      <c r="AB67" s="10">
        <v>4.3124314846739198</v>
      </c>
      <c r="AC67" s="342">
        <f t="shared" si="9"/>
        <v>4.8034314846538573</v>
      </c>
      <c r="AD67" s="343">
        <f t="shared" si="10"/>
        <v>2.5819077742141205E-2</v>
      </c>
    </row>
    <row r="68" spans="1:30" x14ac:dyDescent="0.2">
      <c r="A68" t="str">
        <f t="shared" si="44"/>
        <v>22 Health professionals</v>
      </c>
      <c r="B68" s="11">
        <v>12.835572045886286</v>
      </c>
      <c r="C68" s="11">
        <v>17.434631312993528</v>
      </c>
      <c r="D68" s="11">
        <f t="shared" si="45"/>
        <v>4.5990592671072417</v>
      </c>
      <c r="E68" s="11">
        <v>8.9143333422856283</v>
      </c>
      <c r="F68" s="11">
        <f t="shared" si="46"/>
        <v>13.51339260939287</v>
      </c>
      <c r="G68" s="200">
        <f t="shared" si="47"/>
        <v>3.5784663360991287E-2</v>
      </c>
      <c r="I68" s="11" t="str">
        <f t="shared" si="48"/>
        <v>Caring, leisure and other service occupations</v>
      </c>
      <c r="J68" s="11">
        <v>6.5529984245799016</v>
      </c>
      <c r="K68" s="11">
        <v>8.743594130202478</v>
      </c>
      <c r="L68" s="11">
        <v>2.1905957056225764</v>
      </c>
      <c r="M68" s="11">
        <v>4.7133116947722762</v>
      </c>
      <c r="N68" s="11">
        <v>6.9039074003948526</v>
      </c>
      <c r="P68" s="11"/>
      <c r="Q68" s="11"/>
      <c r="R68" s="11"/>
      <c r="S68" s="11"/>
      <c r="T68" s="11"/>
      <c r="U68" s="11"/>
      <c r="X68" s="10" t="str">
        <f>name!A65</f>
        <v>Services to buildings</v>
      </c>
      <c r="Y68" s="10">
        <v>25.755999999916675</v>
      </c>
      <c r="Z68" s="10">
        <v>27.069999999938471</v>
      </c>
      <c r="AA68" s="342">
        <f t="shared" si="8"/>
        <v>1.314000000021796</v>
      </c>
      <c r="AB68" s="10">
        <v>13.293808782679072</v>
      </c>
      <c r="AC68" s="342">
        <f t="shared" si="9"/>
        <v>14.607808782700868</v>
      </c>
      <c r="AD68" s="343">
        <f t="shared" si="10"/>
        <v>2.8133159595272961E-2</v>
      </c>
    </row>
    <row r="69" spans="1:30" x14ac:dyDescent="0.2">
      <c r="A69" t="str">
        <f t="shared" si="44"/>
        <v>23 Teaching and other educational professionals</v>
      </c>
      <c r="B69" s="11">
        <v>26.217387211712566</v>
      </c>
      <c r="C69" s="11">
        <v>34.4128133080902</v>
      </c>
      <c r="D69" s="11">
        <f t="shared" ref="D69" si="49">C69-B69</f>
        <v>8.1954260963776342</v>
      </c>
      <c r="E69" s="11">
        <v>16.688302803077807</v>
      </c>
      <c r="F69" s="11">
        <f t="shared" ref="F69" si="50">SUM(D69:E69)</f>
        <v>24.883728899455441</v>
      </c>
      <c r="G69" s="200">
        <f t="shared" si="47"/>
        <v>3.3383918613215657E-2</v>
      </c>
      <c r="I69" s="11" t="str">
        <f t="shared" si="48"/>
        <v>Sales and customer service occupations</v>
      </c>
      <c r="J69" s="11">
        <v>4.4259399206105297</v>
      </c>
      <c r="K69" s="11">
        <v>6.254648083067698</v>
      </c>
      <c r="L69" s="11">
        <v>1.8287081624571682</v>
      </c>
      <c r="M69" s="11">
        <v>2.7536573967282498</v>
      </c>
      <c r="N69" s="11">
        <v>4.5823655591854173</v>
      </c>
      <c r="P69" s="11"/>
      <c r="Q69" s="11"/>
      <c r="R69" s="11"/>
      <c r="S69" s="11"/>
      <c r="T69" s="11"/>
      <c r="U69" s="11"/>
      <c r="X69" s="10" t="str">
        <f>name!A66</f>
        <v>Office administrative</v>
      </c>
      <c r="Y69" s="10">
        <v>17.344999999981905</v>
      </c>
      <c r="Z69" s="10">
        <v>18.403999999892996</v>
      </c>
      <c r="AA69" s="342">
        <f t="shared" si="8"/>
        <v>1.0589999999110908</v>
      </c>
      <c r="AB69" s="10">
        <v>7.501183151338493</v>
      </c>
      <c r="AC69" s="342">
        <f t="shared" si="9"/>
        <v>8.5601831512495838</v>
      </c>
      <c r="AD69" s="343">
        <f t="shared" si="10"/>
        <v>2.4249337865744902E-2</v>
      </c>
    </row>
    <row r="70" spans="1:30" x14ac:dyDescent="0.2">
      <c r="A70" t="str">
        <f t="shared" si="44"/>
        <v>24 Business, media and public service professionals</v>
      </c>
      <c r="B70" s="11">
        <v>12.093066802083939</v>
      </c>
      <c r="C70" s="11">
        <v>17.417973140457224</v>
      </c>
      <c r="D70" s="11">
        <f t="shared" si="45"/>
        <v>5.3249063383732853</v>
      </c>
      <c r="E70" s="11">
        <v>8.3501461622520807</v>
      </c>
      <c r="F70" s="11">
        <f t="shared" si="46"/>
        <v>13.675052500625366</v>
      </c>
      <c r="G70" s="200">
        <f t="shared" si="47"/>
        <v>3.5620996158672424E-2</v>
      </c>
      <c r="I70" s="11" t="str">
        <f t="shared" si="48"/>
        <v>Process, plant and machine operatives</v>
      </c>
      <c r="J70" s="11">
        <v>2.1216914906389435</v>
      </c>
      <c r="K70" s="11">
        <v>3.066868618555656</v>
      </c>
      <c r="L70" s="11">
        <v>0.94517712791671271</v>
      </c>
      <c r="M70" s="11">
        <v>1.5720588514847555</v>
      </c>
      <c r="N70" s="11">
        <v>2.5172359794014683</v>
      </c>
      <c r="P70" s="11"/>
      <c r="Q70" s="11"/>
      <c r="R70" s="11"/>
      <c r="S70" s="11"/>
      <c r="T70" s="11"/>
      <c r="U70" s="11"/>
      <c r="X70" s="10" t="str">
        <f>name!A67</f>
        <v>Public administration and defence</v>
      </c>
      <c r="Y70" s="10">
        <v>70.491999999956889</v>
      </c>
      <c r="Z70" s="10">
        <v>69.499000000265639</v>
      </c>
      <c r="AA70" s="342">
        <f t="shared" si="8"/>
        <v>-0.99299999969124997</v>
      </c>
      <c r="AB70" s="10">
        <v>34.584096357742482</v>
      </c>
      <c r="AC70" s="342">
        <f t="shared" si="9"/>
        <v>33.591096358051232</v>
      </c>
      <c r="AD70" s="343">
        <f t="shared" si="10"/>
        <v>2.696964386831624E-2</v>
      </c>
    </row>
    <row r="71" spans="1:30" x14ac:dyDescent="0.2">
      <c r="A71" t="str">
        <f t="shared" si="44"/>
        <v>31 Science, engineering and technology associate professionals</v>
      </c>
      <c r="B71" s="11">
        <v>2.2532892922257894</v>
      </c>
      <c r="C71" s="11">
        <v>3.2301504470095646</v>
      </c>
      <c r="D71" s="11">
        <f t="shared" si="45"/>
        <v>0.97686115478377511</v>
      </c>
      <c r="E71" s="11">
        <v>1.2469477606360171</v>
      </c>
      <c r="F71" s="11">
        <f t="shared" si="46"/>
        <v>2.2238089154197924</v>
      </c>
      <c r="G71" s="200">
        <f t="shared" si="47"/>
        <v>2.9797975402614085E-2</v>
      </c>
      <c r="I71" s="11" t="str">
        <f t="shared" si="48"/>
        <v>Elementary occupations</v>
      </c>
      <c r="J71" s="11">
        <v>3.7430710278548771</v>
      </c>
      <c r="K71" s="11">
        <v>5.8395543533160099</v>
      </c>
      <c r="L71" s="11">
        <v>2.0964833254611333</v>
      </c>
      <c r="M71" s="11">
        <v>2.9287397208184744</v>
      </c>
      <c r="N71" s="11">
        <v>5.0252230462796073</v>
      </c>
      <c r="P71" s="11"/>
      <c r="Q71" s="11"/>
      <c r="R71" s="11"/>
      <c r="S71" s="11"/>
      <c r="T71" s="11"/>
      <c r="U71" s="11"/>
      <c r="X71" s="10" t="str">
        <f>name!A68</f>
        <v xml:space="preserve">Education </v>
      </c>
      <c r="Y71" s="10">
        <v>104.24300000191386</v>
      </c>
      <c r="Z71" s="10">
        <v>114.767000001966</v>
      </c>
      <c r="AA71" s="342">
        <f t="shared" si="8"/>
        <v>10.524000000052141</v>
      </c>
      <c r="AB71" s="10">
        <v>58.700260463011574</v>
      </c>
      <c r="AC71" s="342">
        <f t="shared" si="9"/>
        <v>69.224260463063715</v>
      </c>
      <c r="AD71" s="343">
        <f t="shared" si="10"/>
        <v>3.0226302062908772E-2</v>
      </c>
    </row>
    <row r="72" spans="1:30" x14ac:dyDescent="0.2">
      <c r="A72" t="str">
        <f t="shared" si="44"/>
        <v>32 Health and social care associate professionals</v>
      </c>
      <c r="B72" s="11">
        <v>2.7001130690716462</v>
      </c>
      <c r="C72" s="11">
        <v>3.7138154543794411</v>
      </c>
      <c r="D72" s="11">
        <f t="shared" si="45"/>
        <v>1.0137023853077949</v>
      </c>
      <c r="E72" s="11">
        <v>2.1055645454696816</v>
      </c>
      <c r="F72" s="11">
        <f t="shared" si="46"/>
        <v>3.1192669307774765</v>
      </c>
      <c r="G72" s="200">
        <f t="shared" si="47"/>
        <v>3.9181752507634338E-2</v>
      </c>
      <c r="I72" s="11"/>
      <c r="J72" s="11"/>
      <c r="K72" s="11"/>
      <c r="L72" s="11"/>
      <c r="M72" s="11"/>
      <c r="N72" s="11"/>
      <c r="P72" s="11"/>
      <c r="Q72" s="11"/>
      <c r="R72" s="11"/>
      <c r="S72" s="11"/>
      <c r="T72" s="11"/>
      <c r="U72" s="11"/>
      <c r="X72" s="10" t="str">
        <f>name!A69</f>
        <v>Health</v>
      </c>
      <c r="Y72" s="10">
        <v>118.86499999959847</v>
      </c>
      <c r="Z72" s="10">
        <v>139.54700000043104</v>
      </c>
      <c r="AA72" s="342">
        <f t="shared" ref="AA72:AA80" si="51">Z72-Y72</f>
        <v>20.682000000832574</v>
      </c>
      <c r="AB72" s="10">
        <v>72.849314796255044</v>
      </c>
      <c r="AC72" s="342">
        <f t="shared" ref="AC72:AC82" si="52">SUM(AA72:AB72)</f>
        <v>93.531314797087617</v>
      </c>
      <c r="AD72" s="343">
        <f t="shared" ref="AD72:AD82" si="53">IF(Y72&gt;0,(1+(AB72/Y72))^(1/($C$6-$B$6))-1,0)</f>
        <v>3.2381079164315762E-2</v>
      </c>
    </row>
    <row r="73" spans="1:30" x14ac:dyDescent="0.2">
      <c r="A73" t="str">
        <f t="shared" si="44"/>
        <v>33 Protective service occupations</v>
      </c>
      <c r="B73" s="11">
        <v>0.67179107305953167</v>
      </c>
      <c r="C73" s="11">
        <v>1.6309943397109288</v>
      </c>
      <c r="D73" s="11">
        <f t="shared" si="45"/>
        <v>0.9592032666513971</v>
      </c>
      <c r="E73" s="11">
        <v>0.42944293533525391</v>
      </c>
      <c r="F73" s="11">
        <f t="shared" si="46"/>
        <v>1.388646201986651</v>
      </c>
      <c r="G73" s="200">
        <f t="shared" si="47"/>
        <v>3.3498123491650933E-2</v>
      </c>
      <c r="I73" s="86" t="str">
        <f>name!F9</f>
        <v>RQF3 A level &amp; equivalent</v>
      </c>
      <c r="J73" s="11"/>
      <c r="K73" s="11"/>
      <c r="L73" s="11"/>
      <c r="M73" s="11"/>
      <c r="N73" s="11"/>
      <c r="P73" s="11"/>
      <c r="Q73" s="11"/>
      <c r="R73" s="11"/>
      <c r="S73" s="11"/>
      <c r="T73" s="11"/>
      <c r="U73" s="11"/>
      <c r="X73" s="10" t="str">
        <f>name!A70</f>
        <v>Residential care</v>
      </c>
      <c r="Y73" s="10">
        <v>35.929999999939866</v>
      </c>
      <c r="Z73" s="10">
        <v>39.873000000052826</v>
      </c>
      <c r="AA73" s="342">
        <f t="shared" si="51"/>
        <v>3.9430000001129599</v>
      </c>
      <c r="AB73" s="10">
        <v>21.602027381615134</v>
      </c>
      <c r="AC73" s="342">
        <f t="shared" si="52"/>
        <v>25.545027381728094</v>
      </c>
      <c r="AD73" s="343">
        <f t="shared" si="53"/>
        <v>3.1882302548120078E-2</v>
      </c>
    </row>
    <row r="74" spans="1:30" x14ac:dyDescent="0.2">
      <c r="A74" t="str">
        <f t="shared" si="44"/>
        <v>34 Culture, media and sports occupations</v>
      </c>
      <c r="B74" s="11">
        <v>2.757163749098408</v>
      </c>
      <c r="C74" s="11">
        <v>3.2150919352921279</v>
      </c>
      <c r="D74" s="11">
        <f t="shared" ref="D74:D75" si="54">C74-B74</f>
        <v>0.45792818619371989</v>
      </c>
      <c r="E74" s="11">
        <v>1.7547043599158758</v>
      </c>
      <c r="F74" s="11">
        <f t="shared" ref="F74:F75" si="55">SUM(D74:E74)</f>
        <v>2.2126325461095959</v>
      </c>
      <c r="G74" s="200">
        <f t="shared" si="47"/>
        <v>3.3378898554375924E-2</v>
      </c>
      <c r="I74" s="11" t="str">
        <f>I63</f>
        <v>Managers, directors and senior officials</v>
      </c>
      <c r="J74" s="11">
        <f t="array" ref="J74:J82">MMULT(aggregation!$B$38:$AA$46,B181:B206)</f>
        <v>22.774721858315694</v>
      </c>
      <c r="K74" s="11">
        <f t="array" ref="K74:K82">MMULT(aggregation!$B$38:$AA$46,C181:C206)</f>
        <v>22.168056719095155</v>
      </c>
      <c r="L74" s="11">
        <f t="array" ref="L74:L82">MMULT(aggregation!$B$38:$AA$46,D181:D206)</f>
        <v>-0.60666513922053689</v>
      </c>
      <c r="M74" s="11">
        <f t="array" ref="M74:M82">MMULT(aggregation!$B$38:$AA$46,E181:E206)</f>
        <v>9.6471775422426695</v>
      </c>
      <c r="N74" s="11">
        <f t="array" ref="N74:N82">MMULT(aggregation!$B$38:$AA$46,F181:F206)</f>
        <v>9.0405124030221344</v>
      </c>
      <c r="P74" s="11"/>
      <c r="Q74" s="11"/>
      <c r="R74" s="11"/>
      <c r="S74" s="11"/>
      <c r="T74" s="11"/>
      <c r="U74" s="11"/>
      <c r="X74" s="10" t="str">
        <f>name!A71</f>
        <v>Social work</v>
      </c>
      <c r="Y74" s="10">
        <v>37.067999999884194</v>
      </c>
      <c r="Z74" s="10">
        <v>39.945000000062691</v>
      </c>
      <c r="AA74" s="342">
        <f t="shared" si="51"/>
        <v>2.8770000001784979</v>
      </c>
      <c r="AB74" s="10">
        <v>21.833561711107667</v>
      </c>
      <c r="AC74" s="342">
        <f t="shared" si="52"/>
        <v>24.710561711286164</v>
      </c>
      <c r="AD74" s="343">
        <f t="shared" si="53"/>
        <v>3.1355788383243599E-2</v>
      </c>
    </row>
    <row r="75" spans="1:30" x14ac:dyDescent="0.2">
      <c r="A75" t="str">
        <f t="shared" si="44"/>
        <v>35 Business and public service associate professionals</v>
      </c>
      <c r="B75" s="11">
        <v>6.1640320181866768</v>
      </c>
      <c r="C75" s="11">
        <v>8.0090764671848991</v>
      </c>
      <c r="D75" s="11">
        <f t="shared" si="54"/>
        <v>1.8450444489982223</v>
      </c>
      <c r="E75" s="11">
        <v>3.8897027634767953</v>
      </c>
      <c r="F75" s="11">
        <f t="shared" si="55"/>
        <v>5.7347472124750176</v>
      </c>
      <c r="G75" s="200">
        <f t="shared" si="47"/>
        <v>3.3151877427858301E-2</v>
      </c>
      <c r="I75" s="11" t="str">
        <f>I64</f>
        <v>Professional occupations</v>
      </c>
      <c r="J75" s="11">
        <v>34.658917274560892</v>
      </c>
      <c r="K75" s="11">
        <v>37.331243506739057</v>
      </c>
      <c r="L75" s="11">
        <v>2.6723262321781704</v>
      </c>
      <c r="M75" s="11">
        <v>15.370998969659301</v>
      </c>
      <c r="N75" s="11">
        <v>18.043325201837472</v>
      </c>
      <c r="P75" s="11"/>
      <c r="Q75" s="11"/>
      <c r="R75" s="11"/>
      <c r="S75" s="11"/>
      <c r="T75" s="11"/>
      <c r="U75" s="11"/>
      <c r="X75" s="10" t="str">
        <f>name!A72</f>
        <v>Arts and entertainment</v>
      </c>
      <c r="Y75" s="10">
        <v>4.2630000000465245</v>
      </c>
      <c r="Z75" s="10">
        <v>4.4020000001017294</v>
      </c>
      <c r="AA75" s="342">
        <f t="shared" si="51"/>
        <v>0.13900000005520496</v>
      </c>
      <c r="AB75" s="10">
        <v>2.0329326700956041</v>
      </c>
      <c r="AC75" s="342">
        <f t="shared" si="52"/>
        <v>2.171932670150809</v>
      </c>
      <c r="AD75" s="343">
        <f t="shared" si="53"/>
        <v>2.6336205365686594E-2</v>
      </c>
    </row>
    <row r="76" spans="1:30" x14ac:dyDescent="0.2">
      <c r="A76" t="str">
        <f t="shared" si="44"/>
        <v>41 Administrative occupations</v>
      </c>
      <c r="B76" s="11">
        <v>6.0803615916351186</v>
      </c>
      <c r="C76" s="11">
        <v>8.2580034624872791</v>
      </c>
      <c r="D76" s="11">
        <f t="shared" si="45"/>
        <v>2.1776418708521605</v>
      </c>
      <c r="E76" s="11">
        <v>4.2721718641186772</v>
      </c>
      <c r="F76" s="11">
        <f t="shared" si="46"/>
        <v>6.4498137349708378</v>
      </c>
      <c r="G76" s="200">
        <f t="shared" si="47"/>
        <v>3.6114653143730857E-2</v>
      </c>
      <c r="I76" s="11" t="str">
        <f>I65</f>
        <v>Associate professional occupations</v>
      </c>
      <c r="J76" s="11">
        <v>32.400386075452388</v>
      </c>
      <c r="K76" s="11">
        <v>29.954241563767944</v>
      </c>
      <c r="L76" s="11">
        <v>-2.4461445116844396</v>
      </c>
      <c r="M76" s="11">
        <v>12.604679513861901</v>
      </c>
      <c r="N76" s="11">
        <v>10.158535002177462</v>
      </c>
      <c r="P76" s="11"/>
      <c r="Q76" s="11"/>
      <c r="R76" s="11"/>
      <c r="S76" s="11"/>
      <c r="T76" s="11"/>
      <c r="U76" s="11"/>
      <c r="X76" s="10" t="str">
        <f>name!A73</f>
        <v>Libraries, etc</v>
      </c>
      <c r="Y76" s="10">
        <v>6.0100000000511136</v>
      </c>
      <c r="Z76" s="10">
        <v>6.2510000001112784</v>
      </c>
      <c r="AA76" s="342">
        <f t="shared" si="51"/>
        <v>0.24100000006016487</v>
      </c>
      <c r="AB76" s="10">
        <v>2.8896615942703718</v>
      </c>
      <c r="AC76" s="342">
        <f t="shared" si="52"/>
        <v>3.1306615943305367</v>
      </c>
      <c r="AD76" s="343">
        <f t="shared" si="53"/>
        <v>2.6518076290161785E-2</v>
      </c>
    </row>
    <row r="77" spans="1:30" x14ac:dyDescent="0.2">
      <c r="A77" t="str">
        <f t="shared" si="44"/>
        <v>42 Secretarial and related occupations</v>
      </c>
      <c r="B77" s="11">
        <v>0.84682316429075388</v>
      </c>
      <c r="C77" s="11">
        <v>1.4425837106936397</v>
      </c>
      <c r="D77" s="11">
        <f t="shared" si="45"/>
        <v>0.59576054640288578</v>
      </c>
      <c r="E77" s="11">
        <v>0.81732483064465677</v>
      </c>
      <c r="F77" s="11">
        <f t="shared" si="46"/>
        <v>1.4130853770475427</v>
      </c>
      <c r="G77" s="200">
        <f t="shared" si="47"/>
        <v>4.6068074365966716E-2</v>
      </c>
      <c r="I77" s="11" t="str">
        <f>I66</f>
        <v>Administrative and secretarial occupations</v>
      </c>
      <c r="J77" s="11">
        <v>31.719747725216401</v>
      </c>
      <c r="K77" s="11">
        <v>26.023572232909249</v>
      </c>
      <c r="L77" s="11">
        <v>-5.6961754923071544</v>
      </c>
      <c r="M77" s="11">
        <v>14.337291841616254</v>
      </c>
      <c r="N77" s="11">
        <v>8.641116349309101</v>
      </c>
      <c r="P77" s="11"/>
      <c r="Q77" s="11"/>
      <c r="R77" s="11"/>
      <c r="S77" s="11"/>
      <c r="T77" s="11"/>
      <c r="U77" s="11"/>
      <c r="X77" s="10" t="str">
        <f>name!A74</f>
        <v>Gambling and betting</v>
      </c>
      <c r="Y77" s="10">
        <v>4.554000000005793</v>
      </c>
      <c r="Z77" s="10">
        <v>5.3410000000014914</v>
      </c>
      <c r="AA77" s="342">
        <f t="shared" si="51"/>
        <v>0.78699999999569847</v>
      </c>
      <c r="AB77" s="10">
        <v>2.3191605779700906</v>
      </c>
      <c r="AC77" s="342">
        <f t="shared" si="52"/>
        <v>3.106160577965789</v>
      </c>
      <c r="AD77" s="343">
        <f t="shared" si="53"/>
        <v>2.7821183462506838E-2</v>
      </c>
    </row>
    <row r="78" spans="1:30" x14ac:dyDescent="0.2">
      <c r="A78" t="str">
        <f t="shared" si="44"/>
        <v>51 Skilled agricultural and related trades</v>
      </c>
      <c r="B78" s="11">
        <v>0.11553061827766976</v>
      </c>
      <c r="C78" s="11">
        <v>0.16964711058881132</v>
      </c>
      <c r="D78" s="11">
        <f t="shared" si="45"/>
        <v>5.4116492311141559E-2</v>
      </c>
      <c r="E78" s="11">
        <v>8.2500990097166438E-2</v>
      </c>
      <c r="F78" s="11">
        <f t="shared" si="46"/>
        <v>0.13661748240830801</v>
      </c>
      <c r="G78" s="200">
        <f t="shared" si="47"/>
        <v>3.6579210605607759E-2</v>
      </c>
      <c r="I78" s="11" t="str">
        <f t="shared" ref="I78:I82" si="56">I67</f>
        <v>Skilled trades occupations</v>
      </c>
      <c r="J78" s="11">
        <v>44.889833284951735</v>
      </c>
      <c r="K78" s="11">
        <v>37.020138036588321</v>
      </c>
      <c r="L78" s="11">
        <v>-7.8696952483634153</v>
      </c>
      <c r="M78" s="11">
        <v>15.179446620252875</v>
      </c>
      <c r="N78" s="11">
        <v>7.30975137188946</v>
      </c>
      <c r="O78" s="70"/>
      <c r="P78" s="11"/>
      <c r="Q78" s="11"/>
      <c r="R78" s="11"/>
      <c r="S78" s="11"/>
      <c r="T78" s="11"/>
      <c r="U78" s="11"/>
      <c r="X78" s="10" t="str">
        <f>name!A75</f>
        <v>Sport and recreation</v>
      </c>
      <c r="Y78" s="10">
        <v>17.856000000044919</v>
      </c>
      <c r="Z78" s="10">
        <v>20.919000000080704</v>
      </c>
      <c r="AA78" s="342">
        <f t="shared" si="51"/>
        <v>3.0630000000357853</v>
      </c>
      <c r="AB78" s="10">
        <v>9.4678626994922421</v>
      </c>
      <c r="AC78" s="342">
        <f t="shared" si="52"/>
        <v>12.530862699528027</v>
      </c>
      <c r="AD78" s="343">
        <f t="shared" si="53"/>
        <v>2.8767401838520001E-2</v>
      </c>
    </row>
    <row r="79" spans="1:30" x14ac:dyDescent="0.2">
      <c r="A79" t="str">
        <f t="shared" si="44"/>
        <v>52 Skilled metal, electrical and electronic trades</v>
      </c>
      <c r="B79" s="11">
        <v>0.54116383289368886</v>
      </c>
      <c r="C79" s="11">
        <v>1.1573138115785406</v>
      </c>
      <c r="D79" s="11">
        <f t="shared" si="45"/>
        <v>0.61614997868485177</v>
      </c>
      <c r="E79" s="11">
        <v>0.46085919250161905</v>
      </c>
      <c r="F79" s="11">
        <f t="shared" si="46"/>
        <v>1.0770091711864709</v>
      </c>
      <c r="G79" s="200">
        <f t="shared" si="47"/>
        <v>4.1925329093491337E-2</v>
      </c>
      <c r="I79" s="11" t="str">
        <f t="shared" si="56"/>
        <v>Caring, leisure and other service occupations</v>
      </c>
      <c r="J79" s="11">
        <v>40.909112244145895</v>
      </c>
      <c r="K79" s="11">
        <v>52.850388728660896</v>
      </c>
      <c r="L79" s="11">
        <v>11.941276484515003</v>
      </c>
      <c r="M79" s="11">
        <v>27.120356635293774</v>
      </c>
      <c r="N79" s="11">
        <v>39.061633119808775</v>
      </c>
      <c r="X79" s="10" t="str">
        <f>name!A76</f>
        <v>Membership organisations</v>
      </c>
      <c r="Y79" s="10">
        <v>14.975999999992514</v>
      </c>
      <c r="Z79" s="10">
        <v>12.043000000067458</v>
      </c>
      <c r="AA79" s="342">
        <f t="shared" si="51"/>
        <v>-2.9329999999250553</v>
      </c>
      <c r="AB79" s="10">
        <v>6.7491332734512</v>
      </c>
      <c r="AC79" s="342">
        <f t="shared" si="52"/>
        <v>3.8161332735261446</v>
      </c>
      <c r="AD79" s="343">
        <f t="shared" si="53"/>
        <v>2.5111505367050535E-2</v>
      </c>
    </row>
    <row r="80" spans="1:30" x14ac:dyDescent="0.2">
      <c r="A80" t="str">
        <f t="shared" si="44"/>
        <v>53 Skilled construction and building trades</v>
      </c>
      <c r="B80" s="11">
        <v>0.22999050178573263</v>
      </c>
      <c r="C80" s="11">
        <v>0.41565395987560527</v>
      </c>
      <c r="D80" s="11">
        <f t="shared" ref="D80" si="57">C80-B80</f>
        <v>0.18566345808987264</v>
      </c>
      <c r="E80" s="11">
        <v>0.18644672705639487</v>
      </c>
      <c r="F80" s="11">
        <f>SUM(D80:E80)</f>
        <v>0.37211018514626748</v>
      </c>
      <c r="G80" s="200">
        <f t="shared" si="47"/>
        <v>4.0373567851069936E-2</v>
      </c>
      <c r="I80" s="11" t="str">
        <f t="shared" si="56"/>
        <v>Sales and customer service occupations</v>
      </c>
      <c r="J80" s="11">
        <v>37.210836797866392</v>
      </c>
      <c r="K80" s="11">
        <v>44.56668890208244</v>
      </c>
      <c r="L80" s="11">
        <v>7.3558521042160461</v>
      </c>
      <c r="M80" s="11">
        <v>20.230757967017389</v>
      </c>
      <c r="N80" s="11">
        <v>27.586610071233434</v>
      </c>
      <c r="P80" s="84"/>
      <c r="Q80" s="73"/>
      <c r="R80" s="73"/>
      <c r="S80" s="71"/>
      <c r="T80" s="71"/>
      <c r="U80" s="71"/>
      <c r="X80" s="10" t="str">
        <f>name!A77</f>
        <v>Repair of goods</v>
      </c>
      <c r="Y80" s="10">
        <v>2.3879999999837973</v>
      </c>
      <c r="Z80" s="10">
        <v>1.9790000000411139</v>
      </c>
      <c r="AA80" s="342">
        <f t="shared" si="51"/>
        <v>-0.40899999994268343</v>
      </c>
      <c r="AB80" s="10">
        <v>0.99021046704475646</v>
      </c>
      <c r="AC80" s="342">
        <f t="shared" si="52"/>
        <v>0.58121046710207303</v>
      </c>
      <c r="AD80" s="343">
        <f t="shared" si="53"/>
        <v>2.3395474215017309E-2</v>
      </c>
    </row>
    <row r="81" spans="1:30" x14ac:dyDescent="0.2">
      <c r="A81" t="str">
        <f t="shared" si="44"/>
        <v>54 Textiles, printing and other skilled trades</v>
      </c>
      <c r="B81" s="11">
        <v>0.55251932647405111</v>
      </c>
      <c r="C81" s="11">
        <v>0.89794638271411242</v>
      </c>
      <c r="D81" s="11">
        <f t="shared" si="45"/>
        <v>0.34542705624006131</v>
      </c>
      <c r="E81" s="11">
        <v>0.45920046922724422</v>
      </c>
      <c r="F81" s="11">
        <f t="shared" si="46"/>
        <v>0.80462752546730554</v>
      </c>
      <c r="G81" s="200">
        <f t="shared" si="47"/>
        <v>4.1152113182193473E-2</v>
      </c>
      <c r="I81" s="11" t="str">
        <f t="shared" si="56"/>
        <v>Process, plant and machine operatives</v>
      </c>
      <c r="J81" s="11">
        <v>22.637916980784105</v>
      </c>
      <c r="K81" s="11">
        <v>24.948806939301427</v>
      </c>
      <c r="L81" s="11">
        <v>2.3108899585173237</v>
      </c>
      <c r="M81" s="11">
        <v>10.345869760269411</v>
      </c>
      <c r="N81" s="11">
        <v>12.656759718786734</v>
      </c>
      <c r="P81" s="11"/>
      <c r="Q81" s="11"/>
      <c r="R81" s="11"/>
      <c r="S81" s="11"/>
      <c r="T81" s="11"/>
      <c r="U81" s="11"/>
      <c r="X81" s="10" t="str">
        <f>name!A78</f>
        <v>Other personal service</v>
      </c>
      <c r="Y81" s="10">
        <v>16.373999999847193</v>
      </c>
      <c r="Z81" s="10">
        <v>13.349999999987672</v>
      </c>
      <c r="AA81" s="342">
        <f>Z81-Y81</f>
        <v>-3.0239999998595213</v>
      </c>
      <c r="AB81" s="10">
        <v>7.0463631316453501</v>
      </c>
      <c r="AC81" s="342">
        <f t="shared" si="52"/>
        <v>4.0223631317858288</v>
      </c>
      <c r="AD81" s="343">
        <f t="shared" si="53"/>
        <v>2.4147688723015426E-2</v>
      </c>
    </row>
    <row r="82" spans="1:30" x14ac:dyDescent="0.2">
      <c r="A82" t="str">
        <f t="shared" si="44"/>
        <v>61 Caring personal service occupations</v>
      </c>
      <c r="B82" s="11">
        <v>2.5542324352182555</v>
      </c>
      <c r="C82" s="11">
        <v>3.9001145946503644</v>
      </c>
      <c r="D82" s="11">
        <f t="shared" si="45"/>
        <v>1.3458821594321089</v>
      </c>
      <c r="E82" s="11">
        <v>2.1597081434729568</v>
      </c>
      <c r="F82" s="11">
        <f t="shared" si="46"/>
        <v>3.5055903029050657</v>
      </c>
      <c r="G82" s="200">
        <f t="shared" si="47"/>
        <v>4.1697397645623857E-2</v>
      </c>
      <c r="I82" s="11" t="str">
        <f t="shared" si="56"/>
        <v>Elementary occupations</v>
      </c>
      <c r="J82" s="11">
        <v>27.276177665433771</v>
      </c>
      <c r="K82" s="11">
        <v>25.669428837462565</v>
      </c>
      <c r="L82" s="11">
        <v>-1.6067488279712072</v>
      </c>
      <c r="M82" s="11">
        <v>12.419551491103581</v>
      </c>
      <c r="N82" s="11">
        <v>10.812802663132373</v>
      </c>
      <c r="P82" s="11"/>
      <c r="Q82" s="11"/>
      <c r="R82" s="11"/>
      <c r="S82" s="11"/>
      <c r="T82" s="11"/>
      <c r="U82" s="11"/>
      <c r="X82" s="231" t="str">
        <f>name!A3</f>
        <v>All industries</v>
      </c>
      <c r="Y82" s="353">
        <f>SUM(Y7:Y81)</f>
        <v>1189.3390000002901</v>
      </c>
      <c r="Z82" s="353">
        <f>SUM(Z7:Z81)</f>
        <v>1250.9970000002133</v>
      </c>
      <c r="AA82" s="354">
        <f>Z82-Y82</f>
        <v>61.657999999923277</v>
      </c>
      <c r="AB82" s="353">
        <f>SUM(AB7:AB81)</f>
        <v>597.06002730182138</v>
      </c>
      <c r="AC82" s="354">
        <f t="shared" si="52"/>
        <v>658.71802730174466</v>
      </c>
      <c r="AD82" s="346">
        <f t="shared" si="53"/>
        <v>2.7491381065133158E-2</v>
      </c>
    </row>
    <row r="83" spans="1:30" x14ac:dyDescent="0.2">
      <c r="A83" t="str">
        <f t="shared" si="44"/>
        <v>62 Leisure, travel and related personal service occupations</v>
      </c>
      <c r="B83" s="11">
        <v>0.49292734036959007</v>
      </c>
      <c r="C83" s="11">
        <v>0.73429912404928011</v>
      </c>
      <c r="D83" s="11">
        <f t="shared" ref="D83:D84" si="58">C83-B83</f>
        <v>0.24137178367969003</v>
      </c>
      <c r="E83" s="11">
        <v>0.39128801847799555</v>
      </c>
      <c r="F83" s="11">
        <f t="shared" ref="F83:F84" si="59">SUM(D83:E83)</f>
        <v>0.63265980215768558</v>
      </c>
      <c r="G83" s="200">
        <f t="shared" si="47"/>
        <v>3.972465649943957E-2</v>
      </c>
      <c r="I83" s="11"/>
      <c r="J83" s="11"/>
      <c r="K83" s="11"/>
      <c r="L83" s="11"/>
      <c r="M83" s="11"/>
      <c r="N83" s="11"/>
      <c r="P83" s="11"/>
      <c r="Q83" s="11"/>
      <c r="R83" s="11"/>
      <c r="S83" s="11"/>
      <c r="T83" s="11"/>
      <c r="U83" s="11"/>
      <c r="X83" s="10"/>
    </row>
    <row r="84" spans="1:30" x14ac:dyDescent="0.2">
      <c r="A84" t="str">
        <f t="shared" si="44"/>
        <v>63 Community and civil enforcement occupations</v>
      </c>
      <c r="B84" s="11">
        <v>4.4823491749154683E-2</v>
      </c>
      <c r="C84" s="11">
        <v>6.9230017407653582E-2</v>
      </c>
      <c r="D84" s="11">
        <f t="shared" si="58"/>
        <v>2.44065256584989E-2</v>
      </c>
      <c r="E84" s="11">
        <v>3.073105012962845E-2</v>
      </c>
      <c r="F84" s="11">
        <f t="shared" si="59"/>
        <v>5.5137575788127349E-2</v>
      </c>
      <c r="G84" s="200">
        <f t="shared" si="47"/>
        <v>3.5421056851283383E-2</v>
      </c>
      <c r="I84" s="86" t="str">
        <f>name!F10</f>
        <v>RQF2 GCSE(A-C) &amp; equivalent</v>
      </c>
      <c r="J84" s="11"/>
      <c r="K84" s="11"/>
      <c r="L84" s="11"/>
      <c r="M84" s="11"/>
      <c r="N84" s="11"/>
      <c r="P84" s="11"/>
      <c r="Q84" s="11"/>
      <c r="R84" s="11"/>
      <c r="S84" s="11"/>
      <c r="T84" s="11"/>
      <c r="U84" s="11"/>
    </row>
    <row r="85" spans="1:30" x14ac:dyDescent="0.2">
      <c r="A85" t="str">
        <f t="shared" si="44"/>
        <v>71 Sales occupations</v>
      </c>
      <c r="B85" s="11">
        <v>2.4685016298542037</v>
      </c>
      <c r="C85" s="11">
        <v>3.9647187956710153</v>
      </c>
      <c r="D85" s="11">
        <f t="shared" si="45"/>
        <v>1.4962171658168115</v>
      </c>
      <c r="E85" s="11">
        <v>1.8197301259424252</v>
      </c>
      <c r="F85" s="11">
        <f t="shared" si="46"/>
        <v>3.3159472917592367</v>
      </c>
      <c r="G85" s="200">
        <f t="shared" si="47"/>
        <v>3.7503702776110259E-2</v>
      </c>
      <c r="I85" s="11" t="str">
        <f>I74</f>
        <v>Managers, directors and senior officials</v>
      </c>
      <c r="J85" s="11">
        <f t="array" ref="J85:J93">MMULT(aggregation!$B$38:$AA$46,B210:B235)</f>
        <v>18.068410441003998</v>
      </c>
      <c r="K85" s="11">
        <f t="array" ref="K85:K93">MMULT(aggregation!$B$38:$AA$46,C210:C235)</f>
        <v>17.845543847746171</v>
      </c>
      <c r="L85" s="11">
        <f t="array" ref="L85:L93">MMULT(aggregation!$B$38:$AA$46,D210:D235)</f>
        <v>-0.22286659325782843</v>
      </c>
      <c r="M85" s="11">
        <f t="array" ref="M85:M93">MMULT(aggregation!$B$38:$AA$46,E210:E235)</f>
        <v>8.521804840613239</v>
      </c>
      <c r="N85" s="11">
        <f t="array" ref="N85:N93">MMULT(aggregation!$B$38:$AA$46,F210:F235)</f>
        <v>8.2989382473554105</v>
      </c>
      <c r="P85" s="11"/>
      <c r="Q85" s="11"/>
      <c r="R85" s="11"/>
      <c r="S85" s="11"/>
      <c r="T85" s="11"/>
      <c r="U85" s="11"/>
    </row>
    <row r="86" spans="1:30" x14ac:dyDescent="0.2">
      <c r="A86" t="str">
        <f t="shared" si="44"/>
        <v>72 Customer service occupations</v>
      </c>
      <c r="B86" s="11">
        <v>0.73434774355216914</v>
      </c>
      <c r="C86" s="11">
        <v>1.5996123362597778</v>
      </c>
      <c r="D86" s="11">
        <f t="shared" si="45"/>
        <v>0.86526459270760869</v>
      </c>
      <c r="E86" s="11">
        <v>0.69806560964740805</v>
      </c>
      <c r="F86" s="11">
        <f t="shared" si="46"/>
        <v>1.5633302023550169</v>
      </c>
      <c r="G86" s="200">
        <f t="shared" si="47"/>
        <v>4.5549117388610894E-2</v>
      </c>
      <c r="I86" s="11" t="str">
        <f>I75</f>
        <v>Professional occupations</v>
      </c>
      <c r="J86" s="11">
        <v>22.04306435022767</v>
      </c>
      <c r="K86" s="11">
        <v>20.189073965584669</v>
      </c>
      <c r="L86" s="11">
        <v>-1.8539903846430024</v>
      </c>
      <c r="M86" s="11">
        <v>8.2694606143854976</v>
      </c>
      <c r="N86" s="11">
        <v>6.4154702297424953</v>
      </c>
      <c r="P86" s="11"/>
      <c r="Q86" s="11"/>
      <c r="R86" s="11"/>
      <c r="S86" s="11"/>
      <c r="T86" s="11"/>
      <c r="U86" s="11"/>
    </row>
    <row r="87" spans="1:30" x14ac:dyDescent="0.2">
      <c r="A87" t="str">
        <f t="shared" si="44"/>
        <v>81 Process, plant and machine operatives</v>
      </c>
      <c r="B87" s="11">
        <v>0.36009024832332875</v>
      </c>
      <c r="C87" s="11">
        <v>0.87186413953300212</v>
      </c>
      <c r="D87" s="11">
        <f t="shared" ref="D87:D88" si="60">C87-B87</f>
        <v>0.51177389120967343</v>
      </c>
      <c r="E87" s="11">
        <v>0.3479023433315977</v>
      </c>
      <c r="F87" s="11">
        <f t="shared" ref="F87:F88" si="61">SUM(D87:E87)</f>
        <v>0.85967623454127118</v>
      </c>
      <c r="G87" s="200">
        <f t="shared" si="47"/>
        <v>4.610310270521345E-2</v>
      </c>
      <c r="I87" s="11" t="str">
        <f>I76</f>
        <v>Associate professional occupations</v>
      </c>
      <c r="J87" s="11">
        <v>22.873700104765227</v>
      </c>
      <c r="K87" s="11">
        <v>18.615121897652905</v>
      </c>
      <c r="L87" s="11">
        <v>-4.2585782071123202</v>
      </c>
      <c r="M87" s="11">
        <v>7.5175808387786898</v>
      </c>
      <c r="N87" s="11">
        <v>3.2590026316663701</v>
      </c>
      <c r="P87" s="11"/>
      <c r="Q87" s="11"/>
      <c r="R87" s="11"/>
      <c r="S87" s="11"/>
      <c r="T87" s="11"/>
      <c r="U87" s="11"/>
    </row>
    <row r="88" spans="1:30" x14ac:dyDescent="0.2">
      <c r="A88" t="str">
        <f t="shared" si="44"/>
        <v>82 Transport and mobile machine drivers and operatives</v>
      </c>
      <c r="B88" s="11">
        <v>0.43432984073134573</v>
      </c>
      <c r="C88" s="11">
        <v>0.95769136048898063</v>
      </c>
      <c r="D88" s="11">
        <f t="shared" si="60"/>
        <v>0.5233615197576349</v>
      </c>
      <c r="E88" s="11">
        <v>0.47149606724428939</v>
      </c>
      <c r="F88" s="11">
        <f t="shared" si="61"/>
        <v>0.99485758700192428</v>
      </c>
      <c r="G88" s="200">
        <f t="shared" si="47"/>
        <v>5.0223353387047087E-2</v>
      </c>
      <c r="I88" s="11" t="str">
        <f>I77</f>
        <v>Administrative and secretarial occupations</v>
      </c>
      <c r="J88" s="11">
        <v>32.827899886672022</v>
      </c>
      <c r="K88" s="11">
        <v>17.905802404441175</v>
      </c>
      <c r="L88" s="11">
        <v>-14.922097482230845</v>
      </c>
      <c r="M88" s="11">
        <v>10.006774561623551</v>
      </c>
      <c r="N88" s="11">
        <v>-4.9153229206072915</v>
      </c>
      <c r="P88" s="11"/>
      <c r="Q88" s="11"/>
      <c r="R88" s="11"/>
      <c r="S88" s="11"/>
      <c r="T88" s="11"/>
      <c r="U88" s="11"/>
    </row>
    <row r="89" spans="1:30" x14ac:dyDescent="0.2">
      <c r="A89" t="str">
        <f t="shared" si="44"/>
        <v>91 Elementary trades and related occupations</v>
      </c>
      <c r="B89" s="11">
        <v>0.10528127464294668</v>
      </c>
      <c r="C89" s="11">
        <v>0.19444954079821145</v>
      </c>
      <c r="D89" s="11">
        <f t="shared" si="45"/>
        <v>8.9168266155264769E-2</v>
      </c>
      <c r="E89" s="11">
        <v>7.40686625210982E-2</v>
      </c>
      <c r="F89" s="11">
        <f t="shared" si="46"/>
        <v>0.16323692867636297</v>
      </c>
      <c r="G89" s="200">
        <f t="shared" si="47"/>
        <v>3.6151689888079375E-2</v>
      </c>
      <c r="I89" s="11" t="str">
        <f t="shared" ref="I89:I93" si="62">I78</f>
        <v>Skilled trades occupations</v>
      </c>
      <c r="J89" s="11">
        <v>31.897798827250416</v>
      </c>
      <c r="K89" s="11">
        <v>31.30365788767142</v>
      </c>
      <c r="L89" s="11">
        <v>-0.59414093957899272</v>
      </c>
      <c r="M89" s="11">
        <v>13.089796840351616</v>
      </c>
      <c r="N89" s="11">
        <v>12.495655900772622</v>
      </c>
      <c r="P89" s="11"/>
      <c r="Q89" s="11"/>
      <c r="R89" s="11"/>
      <c r="S89" s="11"/>
      <c r="T89" s="11"/>
      <c r="U89" s="11"/>
    </row>
    <row r="90" spans="1:30" x14ac:dyDescent="0.2">
      <c r="A90" t="str">
        <f t="shared" si="44"/>
        <v>92 Elementary administration and service occupations</v>
      </c>
      <c r="B90" s="11">
        <v>2.164410175028177</v>
      </c>
      <c r="C90" s="11">
        <v>4.5643997905568652</v>
      </c>
      <c r="D90" s="11">
        <f t="shared" ref="D90" si="63">C90-B90</f>
        <v>2.3999896155286882</v>
      </c>
      <c r="E90" s="11">
        <v>2.0585091299502274</v>
      </c>
      <c r="F90" s="11">
        <f t="shared" ref="F90" si="64">SUM(D90:E90)</f>
        <v>4.4584987454789156</v>
      </c>
      <c r="G90" s="200">
        <f t="shared" ref="G90" si="65">IF(B90&gt;0,(1+(E90/B90))^(1/($C$6-$B$6))-1,0)</f>
        <v>4.5566229723936091E-2</v>
      </c>
      <c r="I90" s="11" t="str">
        <f t="shared" si="62"/>
        <v>Caring, leisure and other service occupations</v>
      </c>
      <c r="J90" s="11">
        <v>31.289022712687427</v>
      </c>
      <c r="K90" s="11">
        <v>21.381983043216511</v>
      </c>
      <c r="L90" s="11">
        <v>-9.9070396694709189</v>
      </c>
      <c r="M90" s="11">
        <v>12.596201963821418</v>
      </c>
      <c r="N90" s="11">
        <v>2.6891622943504991</v>
      </c>
      <c r="P90" s="11"/>
      <c r="Q90" s="11"/>
      <c r="R90" s="11"/>
      <c r="S90" s="11"/>
      <c r="T90" s="11"/>
      <c r="U90" s="11"/>
    </row>
    <row r="91" spans="1:30" x14ac:dyDescent="0.2">
      <c r="A91" t="str">
        <f t="shared" si="44"/>
        <v>All occupations</v>
      </c>
      <c r="B91" s="11">
        <f>SUM(B65:B90)</f>
        <v>102.55492005222297</v>
      </c>
      <c r="C91" s="11">
        <f t="shared" ref="C91:F91" si="66">SUM(C65:C90)</f>
        <v>150.57249059029533</v>
      </c>
      <c r="D91" s="11">
        <f t="shared" si="66"/>
        <v>48.017570538072377</v>
      </c>
      <c r="E91" s="11">
        <f t="shared" si="66"/>
        <v>71.099418021952431</v>
      </c>
      <c r="F91" s="11">
        <f t="shared" si="66"/>
        <v>119.11698856002482</v>
      </c>
      <c r="G91" s="200">
        <f t="shared" si="47"/>
        <v>3.5734896837122276E-2</v>
      </c>
      <c r="I91" s="11" t="str">
        <f t="shared" si="62"/>
        <v>Sales and customer service occupations</v>
      </c>
      <c r="J91" s="11">
        <v>35.394887085106468</v>
      </c>
      <c r="K91" s="11">
        <v>26.767110715185517</v>
      </c>
      <c r="L91" s="11">
        <v>-8.6277763699209533</v>
      </c>
      <c r="M91" s="11">
        <v>14.67136949814495</v>
      </c>
      <c r="N91" s="11">
        <v>6.0435931282239963</v>
      </c>
      <c r="P91" s="11"/>
      <c r="Q91" s="11"/>
      <c r="R91" s="11"/>
      <c r="S91" s="11"/>
      <c r="T91" s="11"/>
      <c r="U91" s="11"/>
    </row>
    <row r="92" spans="1:30" x14ac:dyDescent="0.2">
      <c r="B92" s="11"/>
      <c r="C92" s="11"/>
      <c r="D92" s="11"/>
      <c r="E92" s="11"/>
      <c r="F92" s="11"/>
      <c r="G92" s="11"/>
      <c r="I92" s="11" t="str">
        <f t="shared" si="62"/>
        <v>Process, plant and machine operatives</v>
      </c>
      <c r="J92" s="11">
        <v>26.440156902014728</v>
      </c>
      <c r="K92" s="11">
        <v>32.472250774668716</v>
      </c>
      <c r="L92" s="11">
        <v>6.0320938726539879</v>
      </c>
      <c r="M92" s="11">
        <v>14.025328257550754</v>
      </c>
      <c r="N92" s="11">
        <v>20.057422130204742</v>
      </c>
      <c r="P92" s="11"/>
      <c r="Q92" s="11"/>
      <c r="R92" s="11"/>
      <c r="S92" s="11"/>
      <c r="T92" s="11"/>
      <c r="U92" s="11"/>
    </row>
    <row r="93" spans="1:30" ht="38.25" x14ac:dyDescent="0.2">
      <c r="A93" s="201" t="str">
        <f>CONCATENATE(name!F6," (Constrained)")</f>
        <v>RQF6 First degree (Constrained)</v>
      </c>
      <c r="B93" s="74">
        <f t="shared" ref="B93:G93" si="67">B6</f>
        <v>2020</v>
      </c>
      <c r="C93" s="74">
        <f t="shared" si="67"/>
        <v>2035</v>
      </c>
      <c r="D93" s="87" t="str">
        <f t="shared" si="67"/>
        <v>Net Change</v>
      </c>
      <c r="E93" s="87" t="str">
        <f t="shared" si="67"/>
        <v>Replacement Demand level</v>
      </c>
      <c r="F93" s="87" t="str">
        <f t="shared" si="67"/>
        <v>Total Requirement</v>
      </c>
      <c r="G93" s="87" t="str">
        <f t="shared" si="67"/>
        <v>Replacement Demand rate</v>
      </c>
      <c r="I93" s="11" t="str">
        <f t="shared" si="62"/>
        <v>Elementary occupations</v>
      </c>
      <c r="J93" s="11">
        <v>45.350414513782077</v>
      </c>
      <c r="K93" s="11">
        <v>45.114049650050646</v>
      </c>
      <c r="L93" s="11">
        <v>-0.23636486373142951</v>
      </c>
      <c r="M93" s="11">
        <v>20.341629551731366</v>
      </c>
      <c r="N93" s="11">
        <v>20.105264687999938</v>
      </c>
      <c r="P93" s="11"/>
      <c r="Q93" s="11"/>
      <c r="R93" s="11"/>
      <c r="S93" s="11"/>
      <c r="T93" s="11"/>
      <c r="U93" s="11"/>
    </row>
    <row r="94" spans="1:30" x14ac:dyDescent="0.2">
      <c r="A94" t="str">
        <f t="shared" ref="A94:A120" si="68">A7</f>
        <v>11 Corporate managers and directors</v>
      </c>
      <c r="B94" s="11">
        <v>16.009103654096961</v>
      </c>
      <c r="C94" s="11">
        <v>19.801346543316615</v>
      </c>
      <c r="D94" s="11">
        <f>C94-B94</f>
        <v>3.7922428892196542</v>
      </c>
      <c r="E94" s="11">
        <v>10.257165401892028</v>
      </c>
      <c r="F94" s="11">
        <f>SUM(D94:E94)</f>
        <v>14.049408291111682</v>
      </c>
      <c r="G94" s="200">
        <f>IF(B94&gt;0,(1+(E94/B94))^(1/($C$6-$B$6))-1,0)</f>
        <v>3.3559361101680008E-2</v>
      </c>
      <c r="I94" s="84"/>
      <c r="J94" s="73"/>
      <c r="K94" s="73"/>
      <c r="L94" s="71"/>
      <c r="M94" s="71"/>
      <c r="N94" s="71"/>
      <c r="P94" s="11"/>
      <c r="Q94" s="11"/>
      <c r="R94" s="11"/>
      <c r="S94" s="11"/>
      <c r="T94" s="11"/>
      <c r="U94" s="11"/>
    </row>
    <row r="95" spans="1:30" x14ac:dyDescent="0.2">
      <c r="A95" t="str">
        <f t="shared" si="68"/>
        <v>12 Other managers and proprietors</v>
      </c>
      <c r="B95" s="11">
        <v>7.6713435800824596</v>
      </c>
      <c r="C95" s="11">
        <v>13.482615684453267</v>
      </c>
      <c r="D95" s="11">
        <f t="shared" ref="D95:D118" si="69">C95-B95</f>
        <v>5.8112721043708069</v>
      </c>
      <c r="E95" s="11">
        <v>7.4747594217597593</v>
      </c>
      <c r="F95" s="11">
        <f t="shared" ref="F95:F118" si="70">SUM(D95:E95)</f>
        <v>13.286031526130566</v>
      </c>
      <c r="G95" s="200">
        <f t="shared" ref="G95:G120" si="71">IF(B95&gt;0,(1+(E95/B95))^(1/($C$6-$B$6))-1,0)</f>
        <v>4.6394138223266879E-2</v>
      </c>
      <c r="I95" s="86" t="str">
        <f>name!F11</f>
        <v>RQF1 GCSE(below grade C) &amp; equivalent</v>
      </c>
      <c r="J95" s="11"/>
      <c r="K95" s="11"/>
      <c r="L95" s="11"/>
      <c r="M95" s="11"/>
      <c r="N95" s="11"/>
      <c r="P95" s="11"/>
      <c r="Q95" s="11"/>
      <c r="R95" s="11"/>
      <c r="S95" s="11"/>
      <c r="T95" s="11"/>
      <c r="U95" s="11"/>
    </row>
    <row r="96" spans="1:30" x14ac:dyDescent="0.2">
      <c r="A96" t="str">
        <f t="shared" si="68"/>
        <v>21 Science, research, engineering and technology professionals</v>
      </c>
      <c r="B96" s="11">
        <v>17.272215740240924</v>
      </c>
      <c r="C96" s="11">
        <v>20.102664224772543</v>
      </c>
      <c r="D96" s="11">
        <f t="shared" si="69"/>
        <v>2.8304484845316189</v>
      </c>
      <c r="E96" s="11">
        <v>7.4767459961818039</v>
      </c>
      <c r="F96" s="11">
        <f t="shared" si="70"/>
        <v>10.307194480713424</v>
      </c>
      <c r="G96" s="200">
        <f t="shared" si="71"/>
        <v>2.4268763922048242E-2</v>
      </c>
      <c r="I96" s="11" t="str">
        <f>I85</f>
        <v>Managers, directors and senior officials</v>
      </c>
      <c r="J96" s="11">
        <f t="array" ref="J96:J104">MMULT(aggregation!$B$38:$AA$46,B239:B264)</f>
        <v>9.1511390729161928</v>
      </c>
      <c r="K96" s="11">
        <f t="array" ref="K96:K104">MMULT(aggregation!$B$38:$AA$46,C239:C264)</f>
        <v>6.9772466888514248</v>
      </c>
      <c r="L96" s="11">
        <f t="array" ref="L96:L104">MMULT(aggregation!$B$38:$AA$46,D239:D264)</f>
        <v>-2.1738923840647679</v>
      </c>
      <c r="M96" s="11">
        <f t="array" ref="M96:M104">MMULT(aggregation!$B$38:$AA$46,E239:E264)</f>
        <v>3.8517019496026572</v>
      </c>
      <c r="N96" s="11">
        <f t="array" ref="N96:N104">MMULT(aggregation!$B$38:$AA$46,F239:F264)</f>
        <v>1.6778095655378893</v>
      </c>
      <c r="P96" s="11"/>
      <c r="Q96" s="11"/>
      <c r="R96" s="11"/>
      <c r="S96" s="11"/>
      <c r="T96" s="11"/>
      <c r="U96" s="11"/>
    </row>
    <row r="97" spans="1:21" x14ac:dyDescent="0.2">
      <c r="A97" t="str">
        <f t="shared" si="68"/>
        <v>22 Health professionals</v>
      </c>
      <c r="B97" s="11">
        <v>31.285816991127721</v>
      </c>
      <c r="C97" s="11">
        <v>48.263144267381215</v>
      </c>
      <c r="D97" s="11">
        <f t="shared" si="69"/>
        <v>16.977327276253494</v>
      </c>
      <c r="E97" s="11">
        <v>23.957281960622943</v>
      </c>
      <c r="F97" s="11">
        <f t="shared" si="70"/>
        <v>40.93460923687644</v>
      </c>
      <c r="G97" s="200">
        <f t="shared" si="71"/>
        <v>3.8632804820056155E-2</v>
      </c>
      <c r="I97" s="11" t="str">
        <f>I86</f>
        <v>Professional occupations</v>
      </c>
      <c r="J97" s="11">
        <v>10.089432221305888</v>
      </c>
      <c r="K97" s="11">
        <v>6.7576135440498213</v>
      </c>
      <c r="L97" s="11">
        <v>-3.3318186772560683</v>
      </c>
      <c r="M97" s="11">
        <v>3.1911224238952398</v>
      </c>
      <c r="N97" s="11">
        <v>-0.14069625336082819</v>
      </c>
      <c r="P97" s="11"/>
      <c r="Q97" s="11"/>
      <c r="R97" s="11"/>
      <c r="S97" s="11"/>
      <c r="T97" s="11"/>
      <c r="U97" s="11"/>
    </row>
    <row r="98" spans="1:21" x14ac:dyDescent="0.2">
      <c r="A98" t="str">
        <f t="shared" si="68"/>
        <v>23 Teaching and other educational professionals</v>
      </c>
      <c r="B98" s="11">
        <v>15.169663260346805</v>
      </c>
      <c r="C98" s="11">
        <v>15.516010865824976</v>
      </c>
      <c r="D98" s="11">
        <f t="shared" ref="D98" si="72">C98-B98</f>
        <v>0.34634760547817045</v>
      </c>
      <c r="E98" s="11">
        <v>7.3378783187838632</v>
      </c>
      <c r="F98" s="11">
        <f t="shared" ref="F98" si="73">SUM(D98:E98)</f>
        <v>7.6842259242620337</v>
      </c>
      <c r="G98" s="200">
        <f t="shared" si="71"/>
        <v>2.6652513425404756E-2</v>
      </c>
      <c r="I98" s="11" t="str">
        <f>I87</f>
        <v>Associate professional occupations</v>
      </c>
      <c r="J98" s="11">
        <v>10.135487690575385</v>
      </c>
      <c r="K98" s="11">
        <v>5.8219006489822878</v>
      </c>
      <c r="L98" s="11">
        <v>-4.3135870415930979</v>
      </c>
      <c r="M98" s="11">
        <v>2.8929539521785017</v>
      </c>
      <c r="N98" s="11">
        <v>-1.4206330894145967</v>
      </c>
      <c r="P98" s="11"/>
      <c r="Q98" s="11"/>
      <c r="R98" s="11"/>
      <c r="S98" s="11"/>
      <c r="T98" s="11"/>
      <c r="U98" s="11"/>
    </row>
    <row r="99" spans="1:21" x14ac:dyDescent="0.2">
      <c r="A99" t="str">
        <f t="shared" si="68"/>
        <v>24 Business, media and public service professionals</v>
      </c>
      <c r="B99" s="11">
        <v>22.552252189724449</v>
      </c>
      <c r="C99" s="11">
        <v>31.074269269250337</v>
      </c>
      <c r="D99" s="11">
        <f t="shared" si="69"/>
        <v>8.5220170795258881</v>
      </c>
      <c r="E99" s="11">
        <v>14.434543868388955</v>
      </c>
      <c r="F99" s="11">
        <f t="shared" si="70"/>
        <v>22.956560947914845</v>
      </c>
      <c r="G99" s="200">
        <f t="shared" si="71"/>
        <v>3.3531663288933755E-2</v>
      </c>
      <c r="I99" s="11" t="str">
        <f>I88</f>
        <v>Administrative and secretarial occupations</v>
      </c>
      <c r="J99" s="11">
        <v>14.384333656051094</v>
      </c>
      <c r="K99" s="11">
        <v>3.2547485273474939</v>
      </c>
      <c r="L99" s="11">
        <v>-11.129585128703599</v>
      </c>
      <c r="M99" s="11">
        <v>3.0061124417470935</v>
      </c>
      <c r="N99" s="11">
        <v>-8.1234726869565073</v>
      </c>
      <c r="P99" s="11"/>
      <c r="Q99" s="11"/>
      <c r="R99" s="11"/>
      <c r="S99" s="11"/>
      <c r="T99" s="11"/>
      <c r="U99" s="11"/>
    </row>
    <row r="100" spans="1:21" x14ac:dyDescent="0.2">
      <c r="A100" t="str">
        <f t="shared" si="68"/>
        <v>31 Science, engineering and technology associate professionals</v>
      </c>
      <c r="B100" s="11">
        <v>5.7468430654975462</v>
      </c>
      <c r="C100" s="11">
        <v>6.1198776692570629</v>
      </c>
      <c r="D100" s="11">
        <f t="shared" si="69"/>
        <v>0.37303460375951669</v>
      </c>
      <c r="E100" s="11">
        <v>2.5513604650554829</v>
      </c>
      <c r="F100" s="11">
        <f t="shared" si="70"/>
        <v>2.9243950688149996</v>
      </c>
      <c r="G100" s="200">
        <f t="shared" si="71"/>
        <v>2.4794965055133122E-2</v>
      </c>
      <c r="I100" s="11" t="str">
        <f t="shared" ref="I100:I104" si="74">I89</f>
        <v>Skilled trades occupations</v>
      </c>
      <c r="J100" s="11">
        <v>12.720101516806608</v>
      </c>
      <c r="K100" s="11">
        <v>8.9962631637777051</v>
      </c>
      <c r="L100" s="11">
        <v>-3.7238383530289032</v>
      </c>
      <c r="M100" s="11">
        <v>4.5835381871331986</v>
      </c>
      <c r="N100" s="11">
        <v>0.8596998341042954</v>
      </c>
      <c r="P100" s="11"/>
      <c r="Q100" s="11"/>
      <c r="R100" s="11"/>
      <c r="S100" s="11"/>
      <c r="T100" s="11"/>
      <c r="U100" s="11"/>
    </row>
    <row r="101" spans="1:21" x14ac:dyDescent="0.2">
      <c r="A101" t="str">
        <f t="shared" si="68"/>
        <v>32 Health and social care associate professionals</v>
      </c>
      <c r="B101" s="11">
        <v>9.0495232881924856</v>
      </c>
      <c r="C101" s="11">
        <v>13.960851067662917</v>
      </c>
      <c r="D101" s="11">
        <f t="shared" si="69"/>
        <v>4.9113277794704313</v>
      </c>
      <c r="E101" s="11">
        <v>7.414536703610116</v>
      </c>
      <c r="F101" s="11">
        <f t="shared" si="70"/>
        <v>12.325864483080547</v>
      </c>
      <c r="G101" s="200">
        <f t="shared" si="71"/>
        <v>4.0704460240943652E-2</v>
      </c>
      <c r="I101" s="11" t="str">
        <f t="shared" si="74"/>
        <v>Caring, leisure and other service occupations</v>
      </c>
      <c r="J101" s="11">
        <v>7.3860486923666553</v>
      </c>
      <c r="K101" s="11">
        <v>4.5764271971928947</v>
      </c>
      <c r="L101" s="11">
        <v>-2.8096214951737606</v>
      </c>
      <c r="M101" s="11">
        <v>2.2492804620786435</v>
      </c>
      <c r="N101" s="11">
        <v>-0.56034103309511762</v>
      </c>
      <c r="P101" s="11"/>
      <c r="Q101" s="11"/>
      <c r="R101" s="11"/>
      <c r="S101" s="11"/>
      <c r="T101" s="11"/>
      <c r="U101" s="11"/>
    </row>
    <row r="102" spans="1:21" x14ac:dyDescent="0.2">
      <c r="A102" t="str">
        <f t="shared" si="68"/>
        <v>33 Protective service occupations</v>
      </c>
      <c r="B102" s="11">
        <v>3.7402908988582424</v>
      </c>
      <c r="C102" s="11">
        <v>7.338579934481908</v>
      </c>
      <c r="D102" s="11">
        <f t="shared" si="69"/>
        <v>3.5982890356236656</v>
      </c>
      <c r="E102" s="11">
        <v>2.5734218228873029</v>
      </c>
      <c r="F102" s="11">
        <f t="shared" si="70"/>
        <v>6.1717108585109681</v>
      </c>
      <c r="G102" s="200">
        <f t="shared" si="71"/>
        <v>3.5520328710172411E-2</v>
      </c>
      <c r="I102" s="11" t="str">
        <f t="shared" si="74"/>
        <v>Sales and customer service occupations</v>
      </c>
      <c r="J102" s="11">
        <v>18.249103618796184</v>
      </c>
      <c r="K102" s="11">
        <v>8.6198914814440872</v>
      </c>
      <c r="L102" s="11">
        <v>-9.6292121373520949</v>
      </c>
      <c r="M102" s="11">
        <v>5.2759355428663097</v>
      </c>
      <c r="N102" s="11">
        <v>-4.3532765944857861</v>
      </c>
      <c r="P102" s="11"/>
      <c r="Q102" s="11"/>
      <c r="R102" s="11"/>
      <c r="S102" s="11"/>
      <c r="T102" s="11"/>
      <c r="U102" s="11"/>
    </row>
    <row r="103" spans="1:21" x14ac:dyDescent="0.2">
      <c r="A103" t="str">
        <f t="shared" si="68"/>
        <v>34 Culture, media and sports occupations</v>
      </c>
      <c r="B103" s="11">
        <v>5.4662294927624835</v>
      </c>
      <c r="C103" s="11">
        <v>6.0392117199660378</v>
      </c>
      <c r="D103" s="11">
        <f t="shared" ref="D103:D104" si="75">C103-B103</f>
        <v>0.5729822272035543</v>
      </c>
      <c r="E103" s="11">
        <v>2.8291950913917576</v>
      </c>
      <c r="F103" s="11">
        <f t="shared" ref="F103:F104" si="76">SUM(D103:E103)</f>
        <v>3.4021773185953119</v>
      </c>
      <c r="G103" s="200">
        <f t="shared" si="71"/>
        <v>2.8197911122479269E-2</v>
      </c>
      <c r="I103" s="11" t="str">
        <f t="shared" si="74"/>
        <v>Process, plant and machine operatives</v>
      </c>
      <c r="J103" s="11">
        <v>14.762150616618985</v>
      </c>
      <c r="K103" s="11">
        <v>8.6739566707300266</v>
      </c>
      <c r="L103" s="11">
        <v>-6.0881939458889587</v>
      </c>
      <c r="M103" s="11">
        <v>5.4113526814407269</v>
      </c>
      <c r="N103" s="11">
        <v>-0.67684126444823112</v>
      </c>
      <c r="P103" s="11"/>
      <c r="Q103" s="11"/>
      <c r="R103" s="11"/>
      <c r="S103" s="11"/>
      <c r="T103" s="11"/>
      <c r="U103" s="11"/>
    </row>
    <row r="104" spans="1:21" x14ac:dyDescent="0.2">
      <c r="A104" t="str">
        <f t="shared" si="68"/>
        <v>35 Business and public service associate professionals</v>
      </c>
      <c r="B104" s="11">
        <v>13.091097549910113</v>
      </c>
      <c r="C104" s="11">
        <v>15.177252091571816</v>
      </c>
      <c r="D104" s="11">
        <f t="shared" si="75"/>
        <v>2.0861545416617027</v>
      </c>
      <c r="E104" s="11">
        <v>7.257791335134935</v>
      </c>
      <c r="F104" s="11">
        <f t="shared" si="76"/>
        <v>9.3439458767966386</v>
      </c>
      <c r="G104" s="200">
        <f t="shared" si="71"/>
        <v>2.9842892602736093E-2</v>
      </c>
      <c r="I104" s="11" t="str">
        <f t="shared" si="74"/>
        <v>Elementary occupations</v>
      </c>
      <c r="J104" s="11">
        <v>30.752120888029737</v>
      </c>
      <c r="K104" s="11">
        <v>21.55498600166213</v>
      </c>
      <c r="L104" s="11">
        <v>-9.1971348863676106</v>
      </c>
      <c r="M104" s="11">
        <v>10.776896576735684</v>
      </c>
      <c r="N104" s="11">
        <v>1.579761690368074</v>
      </c>
      <c r="P104" s="11"/>
      <c r="Q104" s="11"/>
      <c r="R104" s="11"/>
      <c r="S104" s="11"/>
      <c r="T104" s="11"/>
      <c r="U104" s="11"/>
    </row>
    <row r="105" spans="1:21" x14ac:dyDescent="0.2">
      <c r="A105" t="str">
        <f t="shared" si="68"/>
        <v>41 Administrative occupations</v>
      </c>
      <c r="B105" s="11">
        <v>20.991214085674667</v>
      </c>
      <c r="C105" s="11">
        <v>25.935792012182862</v>
      </c>
      <c r="D105" s="11">
        <f t="shared" si="69"/>
        <v>4.9445779265081953</v>
      </c>
      <c r="E105" s="11">
        <v>13.494035334064581</v>
      </c>
      <c r="F105" s="11">
        <f t="shared" si="70"/>
        <v>18.438613260572776</v>
      </c>
      <c r="G105" s="200">
        <f t="shared" si="71"/>
        <v>3.3648917694235614E-2</v>
      </c>
      <c r="I105" s="11"/>
      <c r="J105" s="11"/>
      <c r="K105" s="11"/>
      <c r="L105" s="11"/>
      <c r="M105" s="11"/>
      <c r="N105" s="11"/>
      <c r="P105" s="11"/>
      <c r="Q105" s="11"/>
      <c r="R105" s="11"/>
      <c r="S105" s="11"/>
      <c r="T105" s="11"/>
      <c r="U105" s="11"/>
    </row>
    <row r="106" spans="1:21" x14ac:dyDescent="0.2">
      <c r="A106" t="str">
        <f t="shared" si="68"/>
        <v>42 Secretarial and related occupations</v>
      </c>
      <c r="B106" s="11">
        <v>3.1814107311938011</v>
      </c>
      <c r="C106" s="11">
        <v>7.632493178411548</v>
      </c>
      <c r="D106" s="11">
        <f t="shared" si="69"/>
        <v>4.4510824472177468</v>
      </c>
      <c r="E106" s="11">
        <v>3.2964548975477594</v>
      </c>
      <c r="F106" s="11">
        <f t="shared" si="70"/>
        <v>7.7475373447655063</v>
      </c>
      <c r="G106" s="200">
        <f t="shared" si="71"/>
        <v>4.8545980029257585E-2</v>
      </c>
      <c r="I106" s="86" t="str">
        <f>name!F12</f>
        <v>No Qualification</v>
      </c>
      <c r="J106" s="11"/>
      <c r="K106" s="11"/>
      <c r="L106" s="11"/>
      <c r="M106" s="11"/>
      <c r="N106" s="11"/>
      <c r="O106" s="70"/>
      <c r="P106" s="11"/>
      <c r="Q106" s="11"/>
      <c r="R106" s="11"/>
      <c r="S106" s="11"/>
      <c r="T106" s="11"/>
      <c r="U106" s="11"/>
    </row>
    <row r="107" spans="1:21" x14ac:dyDescent="0.2">
      <c r="A107" t="str">
        <f t="shared" si="68"/>
        <v>51 Skilled agricultural and related trades</v>
      </c>
      <c r="B107" s="11">
        <v>1.1069846826582888</v>
      </c>
      <c r="C107" s="11">
        <v>1.7442552966353992</v>
      </c>
      <c r="D107" s="11">
        <f t="shared" si="69"/>
        <v>0.63727061397711049</v>
      </c>
      <c r="E107" s="11">
        <v>1.0023403467653194</v>
      </c>
      <c r="F107" s="11">
        <f t="shared" si="70"/>
        <v>1.6396109607424298</v>
      </c>
      <c r="G107" s="200">
        <f t="shared" si="71"/>
        <v>4.3918978047259527E-2</v>
      </c>
      <c r="I107" s="11" t="str">
        <f>I96</f>
        <v>Managers, directors and senior officials</v>
      </c>
      <c r="J107" s="11">
        <f t="array" ref="J107:J115">MMULT(aggregation!$B$38:$AA$46,B268:B293)</f>
        <v>2.7085167044302834</v>
      </c>
      <c r="K107" s="11">
        <f t="array" ref="K107:K115">MMULT(aggregation!$B$38:$AA$46,C268:C293)</f>
        <v>2.8136798472174629</v>
      </c>
      <c r="L107" s="11">
        <f t="array" ref="L107:L115">MMULT(aggregation!$B$38:$AA$46,D268:D293)</f>
        <v>0.10516314278717998</v>
      </c>
      <c r="M107" s="11">
        <f t="array" ref="M107:M115">MMULT(aggregation!$B$38:$AA$46,E268:E293)</f>
        <v>1.0284549265234286</v>
      </c>
      <c r="N107" s="11">
        <f t="array" ref="N107:N115">MMULT(aggregation!$B$38:$AA$46,F268:F293)</f>
        <v>1.1336180693106086</v>
      </c>
      <c r="P107" s="11"/>
      <c r="Q107" s="11"/>
      <c r="R107" s="11"/>
      <c r="S107" s="11"/>
      <c r="T107" s="11"/>
      <c r="U107" s="11"/>
    </row>
    <row r="108" spans="1:21" x14ac:dyDescent="0.2">
      <c r="A108" t="str">
        <f t="shared" si="68"/>
        <v>52 Skilled metal, electrical and electronic trades</v>
      </c>
      <c r="B108" s="11">
        <v>1.6179198651529529</v>
      </c>
      <c r="C108" s="11">
        <v>2.3246367330219244</v>
      </c>
      <c r="D108" s="11">
        <f t="shared" si="69"/>
        <v>0.70671686786897148</v>
      </c>
      <c r="E108" s="11">
        <v>1.0190601475952394</v>
      </c>
      <c r="F108" s="11">
        <f t="shared" si="70"/>
        <v>1.7257770154642109</v>
      </c>
      <c r="G108" s="200">
        <f t="shared" si="71"/>
        <v>3.3102284833443241E-2</v>
      </c>
      <c r="I108" s="11" t="str">
        <f>I97</f>
        <v>Professional occupations</v>
      </c>
      <c r="J108" s="11">
        <v>2.3537178297415569</v>
      </c>
      <c r="K108" s="11">
        <v>2.8648037214425908</v>
      </c>
      <c r="L108" s="11">
        <v>0.51108589170103391</v>
      </c>
      <c r="M108" s="11">
        <v>1.0029660615128373</v>
      </c>
      <c r="N108" s="11">
        <v>1.5140519532138712</v>
      </c>
      <c r="P108" s="84"/>
      <c r="Q108" s="73"/>
      <c r="R108" s="73"/>
      <c r="S108" s="71"/>
      <c r="T108" s="71"/>
      <c r="U108" s="71"/>
    </row>
    <row r="109" spans="1:21" x14ac:dyDescent="0.2">
      <c r="A109" t="str">
        <f t="shared" si="68"/>
        <v>53 Skilled construction and building trades</v>
      </c>
      <c r="B109" s="11">
        <v>0.74491386600680587</v>
      </c>
      <c r="C109" s="11">
        <v>0.93759105996580683</v>
      </c>
      <c r="D109" s="11">
        <f t="shared" ref="D109" si="77">C109-B109</f>
        <v>0.19267719395900096</v>
      </c>
      <c r="E109" s="11">
        <v>0.47290275077905064</v>
      </c>
      <c r="F109" s="11">
        <f t="shared" ref="F109" si="78">SUM(D109:E109)</f>
        <v>0.6655799447380516</v>
      </c>
      <c r="G109" s="200">
        <f t="shared" si="71"/>
        <v>3.3312593719009298E-2</v>
      </c>
      <c r="I109" s="11" t="str">
        <f>I98</f>
        <v>Associate professional occupations</v>
      </c>
      <c r="J109" s="11">
        <v>2.3167790283355436</v>
      </c>
      <c r="K109" s="11">
        <v>2.6895662148086275</v>
      </c>
      <c r="L109" s="11">
        <v>0.37278718647308384</v>
      </c>
      <c r="M109" s="11">
        <v>0.86473382517520625</v>
      </c>
      <c r="N109" s="11">
        <v>1.23752101164829</v>
      </c>
      <c r="P109" s="11"/>
      <c r="Q109" s="11"/>
      <c r="R109" s="11"/>
      <c r="S109" s="11"/>
      <c r="T109" s="11"/>
      <c r="U109" s="11"/>
    </row>
    <row r="110" spans="1:21" x14ac:dyDescent="0.2">
      <c r="A110" t="str">
        <f t="shared" si="68"/>
        <v>54 Textiles, printing and other skilled trades</v>
      </c>
      <c r="B110" s="11">
        <v>1.6035220685378988</v>
      </c>
      <c r="C110" s="11">
        <v>2.4517437977763459</v>
      </c>
      <c r="D110" s="11">
        <f t="shared" si="69"/>
        <v>0.84822172923844708</v>
      </c>
      <c r="E110" s="11">
        <v>1.2882673222867835</v>
      </c>
      <c r="F110" s="11">
        <f t="shared" si="70"/>
        <v>2.1364890515252304</v>
      </c>
      <c r="G110" s="200">
        <f t="shared" si="71"/>
        <v>4.009445548120727E-2</v>
      </c>
      <c r="I110" s="11" t="str">
        <f>I99</f>
        <v>Administrative and secretarial occupations</v>
      </c>
      <c r="J110" s="11">
        <v>4.2935163009264068</v>
      </c>
      <c r="K110" s="11">
        <v>4.3019598381589423</v>
      </c>
      <c r="L110" s="11">
        <v>8.4435372325351032E-3</v>
      </c>
      <c r="M110" s="11">
        <v>1.7608396046424946</v>
      </c>
      <c r="N110" s="11">
        <v>1.7692831418750297</v>
      </c>
      <c r="P110" s="11"/>
      <c r="Q110" s="11"/>
      <c r="R110" s="11"/>
      <c r="S110" s="11"/>
      <c r="T110" s="11"/>
      <c r="U110" s="11"/>
    </row>
    <row r="111" spans="1:21" x14ac:dyDescent="0.2">
      <c r="A111" t="str">
        <f t="shared" si="68"/>
        <v>61 Caring personal service occupations</v>
      </c>
      <c r="B111" s="11">
        <v>9.4430764351144312</v>
      </c>
      <c r="C111" s="11">
        <v>14.298705487772583</v>
      </c>
      <c r="D111" s="11">
        <f>C111-B111</f>
        <v>4.855629052658152</v>
      </c>
      <c r="E111" s="11">
        <v>7.9761980833458388</v>
      </c>
      <c r="F111" s="11">
        <f>SUM(D111:E111)</f>
        <v>12.831827136003991</v>
      </c>
      <c r="G111" s="200">
        <f t="shared" si="71"/>
        <v>4.1664276785070564E-2</v>
      </c>
      <c r="I111" s="11" t="str">
        <f t="shared" ref="I111:I115" si="79">I100</f>
        <v>Skilled trades occupations</v>
      </c>
      <c r="J111" s="11">
        <v>6.5322871136977527</v>
      </c>
      <c r="K111" s="11">
        <v>2.8452962023533743</v>
      </c>
      <c r="L111" s="11">
        <v>-3.686990911344378</v>
      </c>
      <c r="M111" s="11">
        <v>1.6035040576737913</v>
      </c>
      <c r="N111" s="11">
        <v>-2.0834868536705868</v>
      </c>
      <c r="P111" s="11"/>
      <c r="Q111" s="11"/>
      <c r="R111" s="11"/>
      <c r="S111" s="11"/>
      <c r="T111" s="11"/>
      <c r="U111" s="11"/>
    </row>
    <row r="112" spans="1:21" x14ac:dyDescent="0.2">
      <c r="A112" t="str">
        <f t="shared" si="68"/>
        <v>62 Leisure, travel and related personal service occupations</v>
      </c>
      <c r="B112" s="11">
        <v>2.4534037666850987</v>
      </c>
      <c r="C112" s="11">
        <v>4.1214934523087372</v>
      </c>
      <c r="D112" s="11">
        <f t="shared" ref="D112:D113" si="80">C112-B112</f>
        <v>1.6680896856236385</v>
      </c>
      <c r="E112" s="11">
        <v>2.1159101149152795</v>
      </c>
      <c r="F112" s="11">
        <f t="shared" ref="F112:F113" si="81">SUM(D112:E112)</f>
        <v>3.7839998005389179</v>
      </c>
      <c r="G112" s="200">
        <f t="shared" si="71"/>
        <v>4.2330543934680387E-2</v>
      </c>
      <c r="I112" s="11" t="str">
        <f t="shared" si="79"/>
        <v>Caring, leisure and other service occupations</v>
      </c>
      <c r="J112" s="11">
        <v>2.4056086093460576</v>
      </c>
      <c r="K112" s="11">
        <v>1.866619245469193</v>
      </c>
      <c r="L112" s="11">
        <v>-0.53898936387686447</v>
      </c>
      <c r="M112" s="11">
        <v>0.68305389957033036</v>
      </c>
      <c r="N112" s="11">
        <v>0.14406453569346586</v>
      </c>
      <c r="P112" s="11"/>
      <c r="Q112" s="11"/>
      <c r="R112" s="11"/>
      <c r="S112" s="11"/>
      <c r="T112" s="11"/>
      <c r="U112" s="11"/>
    </row>
    <row r="113" spans="1:21" x14ac:dyDescent="0.2">
      <c r="A113" t="str">
        <f t="shared" si="68"/>
        <v>63 Community and civil enforcement occupations</v>
      </c>
      <c r="B113" s="11">
        <v>0.23268879668861445</v>
      </c>
      <c r="C113" s="11">
        <v>0.35374681166481126</v>
      </c>
      <c r="D113" s="11">
        <f t="shared" si="80"/>
        <v>0.12105801497619681</v>
      </c>
      <c r="E113" s="11">
        <v>0.20193110333375819</v>
      </c>
      <c r="F113" s="11">
        <f t="shared" si="81"/>
        <v>0.32298911830995503</v>
      </c>
      <c r="G113" s="200">
        <f t="shared" si="71"/>
        <v>4.2530914851788282E-2</v>
      </c>
      <c r="I113" s="11" t="str">
        <f t="shared" si="79"/>
        <v>Sales and customer service occupations</v>
      </c>
      <c r="J113" s="11">
        <v>6.8559563944382731</v>
      </c>
      <c r="K113" s="11">
        <v>3.9040115700817015</v>
      </c>
      <c r="L113" s="11">
        <v>-2.9519448243565716</v>
      </c>
      <c r="M113" s="11">
        <v>1.8191952763717036</v>
      </c>
      <c r="N113" s="11">
        <v>-1.1327495479848679</v>
      </c>
      <c r="P113" s="11"/>
      <c r="Q113" s="11"/>
      <c r="R113" s="11"/>
      <c r="S113" s="11"/>
      <c r="T113" s="11"/>
      <c r="U113" s="11"/>
    </row>
    <row r="114" spans="1:21" x14ac:dyDescent="0.2">
      <c r="A114" t="str">
        <f t="shared" si="68"/>
        <v>71 Sales occupations</v>
      </c>
      <c r="B114" s="11">
        <v>11.552693178281261</v>
      </c>
      <c r="C114" s="11">
        <v>17.485624918238262</v>
      </c>
      <c r="D114" s="11">
        <f t="shared" si="69"/>
        <v>5.9329317399570005</v>
      </c>
      <c r="E114" s="11">
        <v>8.626405907047781</v>
      </c>
      <c r="F114" s="11">
        <f t="shared" si="70"/>
        <v>14.559337647004782</v>
      </c>
      <c r="G114" s="200">
        <f t="shared" si="71"/>
        <v>3.7881814058840391E-2</v>
      </c>
      <c r="I114" s="11" t="str">
        <f t="shared" si="79"/>
        <v>Process, plant and machine operatives</v>
      </c>
      <c r="J114" s="11">
        <v>7.7487239067593787</v>
      </c>
      <c r="K114" s="11">
        <v>2.051260099005241</v>
      </c>
      <c r="L114" s="11">
        <v>-5.6974638077541382</v>
      </c>
      <c r="M114" s="11">
        <v>1.584292053499184</v>
      </c>
      <c r="N114" s="11">
        <v>-4.113171754254954</v>
      </c>
      <c r="P114" s="11"/>
      <c r="Q114" s="11"/>
      <c r="R114" s="11"/>
      <c r="S114" s="11"/>
      <c r="T114" s="11"/>
      <c r="U114" s="11"/>
    </row>
    <row r="115" spans="1:21" x14ac:dyDescent="0.2">
      <c r="A115" t="str">
        <f t="shared" si="68"/>
        <v>72 Customer service occupations</v>
      </c>
      <c r="B115" s="11">
        <v>3.4090135899040739</v>
      </c>
      <c r="C115" s="11">
        <v>6.6431463325131492</v>
      </c>
      <c r="D115" s="11">
        <f t="shared" si="69"/>
        <v>3.2341327426090754</v>
      </c>
      <c r="E115" s="11">
        <v>2.8137524235379709</v>
      </c>
      <c r="F115" s="11">
        <f t="shared" si="70"/>
        <v>6.0478851661470463</v>
      </c>
      <c r="G115" s="200">
        <f t="shared" si="71"/>
        <v>4.0935090848971623E-2</v>
      </c>
      <c r="I115" s="11" t="str">
        <f t="shared" si="79"/>
        <v>Elementary occupations</v>
      </c>
      <c r="J115" s="11">
        <v>11.668815296066757</v>
      </c>
      <c r="K115" s="11">
        <v>5.4283922548986094</v>
      </c>
      <c r="L115" s="11">
        <v>-6.2404230411681487</v>
      </c>
      <c r="M115" s="11">
        <v>2.341487191873747</v>
      </c>
      <c r="N115" s="11">
        <v>-3.8989358492944017</v>
      </c>
      <c r="P115" s="11"/>
      <c r="Q115" s="11"/>
      <c r="R115" s="11"/>
      <c r="S115" s="11"/>
      <c r="T115" s="11"/>
      <c r="U115" s="11"/>
    </row>
    <row r="116" spans="1:21" x14ac:dyDescent="0.2">
      <c r="A116" t="str">
        <f t="shared" si="68"/>
        <v>81 Process, plant and machine operatives</v>
      </c>
      <c r="B116" s="11">
        <v>1.0009554321170493</v>
      </c>
      <c r="C116" s="11">
        <v>2.3735701501830104</v>
      </c>
      <c r="D116" s="11">
        <f t="shared" ref="D116:D117" si="82">C116-B116</f>
        <v>1.3726147180659611</v>
      </c>
      <c r="E116" s="11">
        <v>0.91125216062423964</v>
      </c>
      <c r="F116" s="11">
        <f t="shared" ref="F116:F117" si="83">SUM(D116:E116)</f>
        <v>2.2838668786902008</v>
      </c>
      <c r="G116" s="200">
        <f t="shared" si="71"/>
        <v>4.4098214705639682E-2</v>
      </c>
      <c r="I116" s="11"/>
      <c r="J116" s="11"/>
      <c r="K116" s="11"/>
      <c r="L116" s="11"/>
      <c r="M116" s="11"/>
      <c r="N116" s="11"/>
      <c r="P116" s="11"/>
      <c r="Q116" s="11"/>
      <c r="R116" s="11"/>
      <c r="S116" s="11"/>
      <c r="T116" s="11"/>
      <c r="U116" s="11"/>
    </row>
    <row r="117" spans="1:21" x14ac:dyDescent="0.2">
      <c r="A117" t="str">
        <f t="shared" si="68"/>
        <v>82 Transport and mobile machine drivers and operatives</v>
      </c>
      <c r="B117" s="11">
        <v>1.6443570211485443</v>
      </c>
      <c r="C117" s="11">
        <v>2.595154064523423</v>
      </c>
      <c r="D117" s="11">
        <f t="shared" si="82"/>
        <v>0.95079704337487869</v>
      </c>
      <c r="E117" s="11">
        <v>1.4360211594057741</v>
      </c>
      <c r="F117" s="11">
        <f t="shared" si="83"/>
        <v>2.3868182027806526</v>
      </c>
      <c r="G117" s="200">
        <f t="shared" si="71"/>
        <v>4.2734784630629186E-2</v>
      </c>
      <c r="I117" s="11"/>
      <c r="J117" s="11"/>
      <c r="K117" s="11"/>
      <c r="L117" s="11"/>
      <c r="M117" s="11"/>
      <c r="N117" s="11"/>
      <c r="P117" s="11"/>
      <c r="Q117" s="11"/>
      <c r="R117" s="11"/>
      <c r="S117" s="11"/>
      <c r="T117" s="11"/>
      <c r="U117" s="11"/>
    </row>
    <row r="118" spans="1:21" x14ac:dyDescent="0.2">
      <c r="A118" t="str">
        <f t="shared" si="68"/>
        <v>91 Elementary trades and related occupations</v>
      </c>
      <c r="B118" s="11">
        <v>0.49159029463600057</v>
      </c>
      <c r="C118" s="11">
        <v>0.5247321565990325</v>
      </c>
      <c r="D118" s="11">
        <f t="shared" si="69"/>
        <v>3.3141861963031927E-2</v>
      </c>
      <c r="E118" s="11">
        <v>0.29005222318143187</v>
      </c>
      <c r="F118" s="11">
        <f t="shared" si="70"/>
        <v>0.32319408514446379</v>
      </c>
      <c r="G118" s="200">
        <f t="shared" si="71"/>
        <v>3.1399678414161247E-2</v>
      </c>
      <c r="I118" s="11"/>
      <c r="J118" s="11"/>
      <c r="K118" s="11"/>
      <c r="L118" s="11"/>
      <c r="M118" s="11"/>
      <c r="N118" s="11"/>
      <c r="P118" s="11"/>
      <c r="Q118" s="11"/>
      <c r="R118" s="11"/>
      <c r="S118" s="11"/>
      <c r="T118" s="11"/>
      <c r="U118" s="11"/>
    </row>
    <row r="119" spans="1:21" x14ac:dyDescent="0.2">
      <c r="A119" t="str">
        <f t="shared" si="68"/>
        <v>92 Elementary administration and service occupations</v>
      </c>
      <c r="B119" s="11">
        <v>7.8552428295030694</v>
      </c>
      <c r="C119" s="11">
        <v>13.69964361374754</v>
      </c>
      <c r="D119" s="11">
        <f t="shared" ref="D119" si="84">C119-B119</f>
        <v>5.8444007842444705</v>
      </c>
      <c r="E119" s="11">
        <v>7.1291800334425899</v>
      </c>
      <c r="F119" s="11">
        <f t="shared" ref="F119" si="85">SUM(D119:E119)</f>
        <v>12.973580817687061</v>
      </c>
      <c r="G119" s="200">
        <f t="shared" ref="G119" si="86">IF(B119&gt;0,(1+(E119/B119))^(1/($C$6-$B$6))-1,0)</f>
        <v>4.3995661045371559E-2</v>
      </c>
      <c r="I119" s="11"/>
      <c r="J119" s="11"/>
      <c r="K119" s="11"/>
      <c r="L119" s="11"/>
      <c r="M119" s="11"/>
      <c r="N119" s="11"/>
      <c r="P119" s="11"/>
      <c r="Q119" s="11"/>
      <c r="R119" s="11"/>
      <c r="S119" s="11"/>
      <c r="T119" s="11"/>
      <c r="U119" s="11"/>
    </row>
    <row r="120" spans="1:21" x14ac:dyDescent="0.2">
      <c r="A120" t="str">
        <f t="shared" si="68"/>
        <v>All occupations</v>
      </c>
      <c r="B120" s="11">
        <f>SUM(B94:B119)</f>
        <v>214.38336635414277</v>
      </c>
      <c r="C120" s="11">
        <f t="shared" ref="C120:F120" si="87">SUM(C94:C119)</f>
        <v>299.99815240348312</v>
      </c>
      <c r="D120" s="11">
        <f t="shared" si="87"/>
        <v>85.614786049340381</v>
      </c>
      <c r="E120" s="11">
        <f t="shared" si="87"/>
        <v>145.63844439358235</v>
      </c>
      <c r="F120" s="11">
        <f t="shared" si="87"/>
        <v>231.25323044292267</v>
      </c>
      <c r="G120" s="200">
        <f t="shared" si="71"/>
        <v>3.5164051556374254E-2</v>
      </c>
      <c r="I120" s="11"/>
      <c r="J120" s="11"/>
      <c r="K120" s="11"/>
      <c r="L120" s="11"/>
      <c r="M120" s="11"/>
      <c r="N120" s="11"/>
      <c r="P120" s="11"/>
      <c r="Q120" s="11"/>
      <c r="R120" s="11"/>
      <c r="S120" s="11"/>
      <c r="T120" s="11"/>
      <c r="U120" s="11"/>
    </row>
    <row r="121" spans="1:21" x14ac:dyDescent="0.2">
      <c r="I121" s="11"/>
      <c r="J121" s="11"/>
      <c r="K121" s="11"/>
      <c r="L121" s="11"/>
      <c r="M121" s="11"/>
      <c r="N121" s="11"/>
      <c r="P121" s="11"/>
      <c r="Q121" s="11"/>
      <c r="R121" s="11"/>
      <c r="S121" s="11"/>
      <c r="T121" s="11"/>
      <c r="U121" s="11"/>
    </row>
    <row r="122" spans="1:21" ht="38.25" x14ac:dyDescent="0.2">
      <c r="A122" s="201" t="str">
        <f>CONCATENATE(name!F7," (Constrained)")</f>
        <v>RQF5 Foundation degree;Nursing;Teaching (Constrained)</v>
      </c>
      <c r="B122" s="74">
        <f t="shared" ref="B122:G122" si="88">B35</f>
        <v>2020</v>
      </c>
      <c r="C122" s="74">
        <f t="shared" si="88"/>
        <v>2035</v>
      </c>
      <c r="D122" s="87" t="str">
        <f t="shared" si="88"/>
        <v>Net Change</v>
      </c>
      <c r="E122" s="87" t="str">
        <f t="shared" si="88"/>
        <v>Replacement Demand level</v>
      </c>
      <c r="F122" s="87" t="str">
        <f t="shared" si="88"/>
        <v>Total Requirement</v>
      </c>
      <c r="G122" s="87" t="str">
        <f t="shared" si="88"/>
        <v>Replacement Demand rate</v>
      </c>
      <c r="I122" s="84"/>
      <c r="J122" s="73"/>
      <c r="K122" s="73"/>
      <c r="L122" s="71"/>
      <c r="M122" s="71"/>
      <c r="N122" s="71"/>
      <c r="P122" s="11"/>
      <c r="Q122" s="11"/>
      <c r="R122" s="11"/>
      <c r="S122" s="11"/>
      <c r="T122" s="11"/>
      <c r="U122" s="11"/>
    </row>
    <row r="123" spans="1:21" x14ac:dyDescent="0.2">
      <c r="A123" t="str">
        <f t="shared" ref="A123:A149" si="89">A36</f>
        <v>11 Corporate managers and directors</v>
      </c>
      <c r="B123" s="11">
        <v>3.8898592043068567</v>
      </c>
      <c r="C123" s="11">
        <v>4.1981162540399843</v>
      </c>
      <c r="D123" s="11">
        <f>C123-B123</f>
        <v>0.30825704973312762</v>
      </c>
      <c r="E123" s="11">
        <v>2.1006049243971554</v>
      </c>
      <c r="F123" s="11">
        <f>SUM(D123:E123)</f>
        <v>2.408861974130283</v>
      </c>
      <c r="G123" s="200">
        <f>IF(B123&gt;0,(1+(E123/B123))^(1/($C$6-$B$6))-1,0)</f>
        <v>2.9204728084164522E-2</v>
      </c>
      <c r="I123" s="11"/>
      <c r="J123" s="11"/>
      <c r="K123" s="11"/>
      <c r="L123" s="11"/>
      <c r="M123" s="11"/>
      <c r="N123" s="11"/>
      <c r="P123" s="11"/>
      <c r="Q123" s="11"/>
      <c r="R123" s="11"/>
      <c r="S123" s="11"/>
      <c r="T123" s="11"/>
      <c r="U123" s="11"/>
    </row>
    <row r="124" spans="1:21" x14ac:dyDescent="0.2">
      <c r="A124" t="str">
        <f t="shared" si="89"/>
        <v>12 Other managers and proprietors</v>
      </c>
      <c r="B124" s="11">
        <v>2.7443348037455175</v>
      </c>
      <c r="C124" s="11">
        <v>4.4656394615147335</v>
      </c>
      <c r="D124" s="11">
        <f t="shared" ref="D124:D139" si="90">C124-B124</f>
        <v>1.7213046577692159</v>
      </c>
      <c r="E124" s="11">
        <v>2.4010329274746081</v>
      </c>
      <c r="F124" s="11">
        <f t="shared" ref="F124:F131" si="91">SUM(D124:E124)</f>
        <v>4.122337585243824</v>
      </c>
      <c r="G124" s="200">
        <f t="shared" ref="G124:G149" si="92">IF(B124&gt;0,(1+(E124/B124))^(1/($C$6-$B$6))-1,0)</f>
        <v>4.279423532288118E-2</v>
      </c>
      <c r="I124" s="11"/>
      <c r="J124" s="11"/>
      <c r="K124" s="11"/>
      <c r="L124" s="11"/>
      <c r="M124" s="11"/>
      <c r="N124" s="11"/>
      <c r="P124" s="11"/>
      <c r="Q124" s="11"/>
      <c r="R124" s="11"/>
      <c r="S124" s="11"/>
      <c r="T124" s="11"/>
      <c r="U124" s="11"/>
    </row>
    <row r="125" spans="1:21" x14ac:dyDescent="0.2">
      <c r="A125" t="str">
        <f t="shared" si="89"/>
        <v>21 Science, research, engineering and technology professionals</v>
      </c>
      <c r="B125" s="11">
        <v>1.8756998945936794</v>
      </c>
      <c r="C125" s="11">
        <v>2.3243705757800983</v>
      </c>
      <c r="D125" s="11">
        <f t="shared" si="90"/>
        <v>0.44867068118641895</v>
      </c>
      <c r="E125" s="11">
        <v>0.80957227973960144</v>
      </c>
      <c r="F125" s="11">
        <f t="shared" si="91"/>
        <v>1.2582429609260204</v>
      </c>
      <c r="G125" s="200">
        <f t="shared" si="92"/>
        <v>2.4208393265107597E-2</v>
      </c>
      <c r="I125" s="11"/>
      <c r="J125" s="11"/>
      <c r="K125" s="11"/>
      <c r="L125" s="11"/>
      <c r="M125" s="11"/>
      <c r="N125" s="11"/>
      <c r="P125" s="11"/>
      <c r="Q125" s="11"/>
      <c r="R125" s="11"/>
      <c r="S125" s="11"/>
      <c r="T125" s="11"/>
      <c r="U125" s="11"/>
    </row>
    <row r="126" spans="1:21" x14ac:dyDescent="0.2">
      <c r="A126" t="str">
        <f t="shared" si="89"/>
        <v>22 Health professionals</v>
      </c>
      <c r="B126" s="11">
        <v>10.362714428725651</v>
      </c>
      <c r="C126" s="11">
        <v>1.7238424635653782</v>
      </c>
      <c r="D126" s="11">
        <f t="shared" si="90"/>
        <v>-8.6388719651602734</v>
      </c>
      <c r="E126" s="11">
        <v>2.0173943266924121</v>
      </c>
      <c r="F126" s="11">
        <f t="shared" si="91"/>
        <v>-6.6214776384678613</v>
      </c>
      <c r="G126" s="200">
        <f t="shared" si="92"/>
        <v>1.1929046174864677E-2</v>
      </c>
      <c r="I126" s="11"/>
      <c r="J126" s="11"/>
      <c r="K126" s="11"/>
      <c r="L126" s="11"/>
      <c r="M126" s="11"/>
      <c r="N126" s="11"/>
      <c r="P126" s="11"/>
      <c r="Q126" s="11"/>
      <c r="R126" s="11"/>
      <c r="S126" s="11"/>
      <c r="T126" s="11"/>
      <c r="U126" s="11"/>
    </row>
    <row r="127" spans="1:21" x14ac:dyDescent="0.2">
      <c r="A127" t="str">
        <f t="shared" si="89"/>
        <v>23 Teaching and other educational professionals</v>
      </c>
      <c r="B127" s="11">
        <v>0.82849550116029125</v>
      </c>
      <c r="C127" s="11">
        <v>0.4722074482041258</v>
      </c>
      <c r="D127" s="11">
        <f t="shared" si="90"/>
        <v>-0.35628805295616545</v>
      </c>
      <c r="E127" s="11">
        <v>0.13124943617303395</v>
      </c>
      <c r="F127" s="11">
        <f t="shared" si="91"/>
        <v>-0.2250386167831315</v>
      </c>
      <c r="G127" s="200">
        <f>IF(B127&gt;0,(1+(E127/B127))^(1/($C$6-$B$6))-1,0)</f>
        <v>9.8519575993973874E-3</v>
      </c>
      <c r="I127" s="11"/>
      <c r="J127" s="11"/>
      <c r="K127" s="11"/>
      <c r="L127" s="11"/>
      <c r="M127" s="11"/>
      <c r="N127" s="11"/>
      <c r="P127" s="11"/>
      <c r="Q127" s="11"/>
      <c r="R127" s="11"/>
      <c r="S127" s="11"/>
      <c r="T127" s="11"/>
      <c r="U127" s="11"/>
    </row>
    <row r="128" spans="1:21" x14ac:dyDescent="0.2">
      <c r="A128" t="str">
        <f t="shared" si="89"/>
        <v>24 Business, media and public service professionals</v>
      </c>
      <c r="B128" s="11">
        <v>2.1479161395700883</v>
      </c>
      <c r="C128" s="11">
        <v>2.2301527867414386</v>
      </c>
      <c r="D128" s="11">
        <f t="shared" si="90"/>
        <v>8.2236647171350263E-2</v>
      </c>
      <c r="E128" s="11">
        <v>0.80380356150617172</v>
      </c>
      <c r="F128" s="11">
        <f t="shared" si="91"/>
        <v>0.88604020867752198</v>
      </c>
      <c r="G128" s="200">
        <f t="shared" si="92"/>
        <v>2.1418813464674225E-2</v>
      </c>
      <c r="I128" s="11"/>
      <c r="J128" s="11"/>
      <c r="K128" s="11"/>
      <c r="L128" s="11"/>
      <c r="M128" s="11"/>
      <c r="N128" s="11"/>
      <c r="P128" s="11"/>
      <c r="Q128" s="11"/>
      <c r="R128" s="11"/>
      <c r="S128" s="11"/>
      <c r="T128" s="11"/>
      <c r="U128" s="11"/>
    </row>
    <row r="129" spans="1:21" x14ac:dyDescent="0.2">
      <c r="A129" t="str">
        <f t="shared" si="89"/>
        <v>31 Science, engineering and technology associate professionals</v>
      </c>
      <c r="B129" s="11">
        <v>1.0957195335696335</v>
      </c>
      <c r="C129" s="11">
        <v>1.4765684597093596</v>
      </c>
      <c r="D129" s="11">
        <f t="shared" si="90"/>
        <v>0.3808489261397261</v>
      </c>
      <c r="E129" s="11">
        <v>0.58075941502783768</v>
      </c>
      <c r="F129" s="11">
        <f t="shared" si="91"/>
        <v>0.96160834116756377</v>
      </c>
      <c r="G129" s="200">
        <f t="shared" si="92"/>
        <v>2.8758050288393955E-2</v>
      </c>
      <c r="I129" s="11"/>
      <c r="J129" s="11"/>
      <c r="K129" s="11"/>
      <c r="L129" s="11"/>
      <c r="M129" s="11"/>
      <c r="N129" s="11"/>
      <c r="P129" s="11"/>
      <c r="Q129" s="11"/>
      <c r="R129" s="11"/>
      <c r="S129" s="11"/>
      <c r="T129" s="11"/>
      <c r="U129" s="11"/>
    </row>
    <row r="130" spans="1:21" x14ac:dyDescent="0.2">
      <c r="A130" t="str">
        <f t="shared" si="89"/>
        <v>32 Health and social care associate professionals</v>
      </c>
      <c r="B130" s="11">
        <v>4.6091971500291757</v>
      </c>
      <c r="C130" s="11">
        <v>1.8243448649116245</v>
      </c>
      <c r="D130" s="11">
        <f t="shared" si="90"/>
        <v>-2.7848522851175512</v>
      </c>
      <c r="E130" s="11">
        <v>1.3425785515905038</v>
      </c>
      <c r="F130" s="11">
        <f t="shared" si="91"/>
        <v>-1.4422737335270475</v>
      </c>
      <c r="G130" s="200">
        <f t="shared" si="92"/>
        <v>1.7188445077681358E-2</v>
      </c>
      <c r="I130" s="11"/>
      <c r="J130" s="11"/>
      <c r="K130" s="11"/>
      <c r="L130" s="11"/>
      <c r="M130" s="11"/>
      <c r="N130" s="11"/>
      <c r="P130" s="11"/>
      <c r="Q130" s="11"/>
      <c r="R130" s="11"/>
      <c r="S130" s="11"/>
      <c r="T130" s="11"/>
      <c r="U130" s="11"/>
    </row>
    <row r="131" spans="1:21" x14ac:dyDescent="0.2">
      <c r="A131" t="str">
        <f t="shared" si="89"/>
        <v>33 Protective service occupations</v>
      </c>
      <c r="B131" s="11">
        <v>0.96276136483236252</v>
      </c>
      <c r="C131" s="11">
        <v>1.7083444008260016</v>
      </c>
      <c r="D131" s="11">
        <f t="shared" si="90"/>
        <v>0.74558303599363906</v>
      </c>
      <c r="E131" s="11">
        <v>0.5500108708734639</v>
      </c>
      <c r="F131" s="11">
        <f t="shared" si="91"/>
        <v>1.295593906867103</v>
      </c>
      <c r="G131" s="200">
        <f t="shared" si="92"/>
        <v>3.0584625857537295E-2</v>
      </c>
      <c r="I131" s="11"/>
      <c r="J131" s="11"/>
      <c r="K131" s="11"/>
      <c r="L131" s="11"/>
      <c r="M131" s="11"/>
      <c r="N131" s="11"/>
      <c r="P131" s="11"/>
      <c r="Q131" s="11"/>
      <c r="R131" s="11"/>
      <c r="S131" s="11"/>
      <c r="T131" s="11"/>
      <c r="U131" s="11"/>
    </row>
    <row r="132" spans="1:21" x14ac:dyDescent="0.2">
      <c r="A132" t="str">
        <f t="shared" si="89"/>
        <v>34 Culture, media and sports occupations</v>
      </c>
      <c r="B132" s="11">
        <v>0.73223324759653052</v>
      </c>
      <c r="C132" s="11">
        <v>0.97582013399988965</v>
      </c>
      <c r="D132" s="11">
        <f t="shared" si="90"/>
        <v>0.24358688640335913</v>
      </c>
      <c r="E132" s="11">
        <v>0.40766083831513789</v>
      </c>
      <c r="F132" s="11">
        <f t="shared" ref="F132:F133" si="93">SUM(D132:E132)</f>
        <v>0.65124772471849701</v>
      </c>
      <c r="G132" s="200">
        <f t="shared" si="92"/>
        <v>2.9945719667545889E-2</v>
      </c>
      <c r="I132" s="11"/>
      <c r="J132" s="11"/>
      <c r="K132" s="11"/>
      <c r="L132" s="11"/>
      <c r="M132" s="11"/>
      <c r="N132" s="11"/>
      <c r="P132" s="11"/>
      <c r="Q132" s="11"/>
      <c r="R132" s="11"/>
      <c r="S132" s="11"/>
      <c r="T132" s="11"/>
      <c r="U132" s="11"/>
    </row>
    <row r="133" spans="1:21" x14ac:dyDescent="0.2">
      <c r="A133" t="str">
        <f t="shared" si="89"/>
        <v>35 Business and public service associate professionals</v>
      </c>
      <c r="B133" s="11">
        <v>3.9480537012854304</v>
      </c>
      <c r="C133" s="11">
        <v>4.5191356324250327</v>
      </c>
      <c r="D133" s="11">
        <f t="shared" si="90"/>
        <v>0.57108193113960226</v>
      </c>
      <c r="E133" s="11">
        <v>2.0445346502777557</v>
      </c>
      <c r="F133" s="11">
        <f t="shared" si="93"/>
        <v>2.615616581417358</v>
      </c>
      <c r="G133" s="200">
        <f t="shared" si="92"/>
        <v>2.8210638339415173E-2</v>
      </c>
      <c r="I133" s="11"/>
      <c r="J133" s="11"/>
      <c r="K133" s="11"/>
      <c r="L133" s="11"/>
      <c r="M133" s="11"/>
      <c r="N133" s="11"/>
      <c r="P133" s="11"/>
      <c r="Q133" s="11"/>
      <c r="R133" s="11"/>
      <c r="S133" s="11"/>
      <c r="T133" s="11"/>
      <c r="U133" s="11"/>
    </row>
    <row r="134" spans="1:21" x14ac:dyDescent="0.2">
      <c r="A134" t="str">
        <f t="shared" si="89"/>
        <v>41 Administrative occupations</v>
      </c>
      <c r="B134" s="11">
        <v>7.9492721421322967</v>
      </c>
      <c r="C134" s="11">
        <v>9.4029962791101056</v>
      </c>
      <c r="D134" s="11">
        <f t="shared" si="90"/>
        <v>1.4537241369778089</v>
      </c>
      <c r="E134" s="11">
        <v>5.1430183572787191</v>
      </c>
      <c r="F134" s="11">
        <f t="shared" ref="F134:F137" si="94">SUM(D134:E134)</f>
        <v>6.596742494256528</v>
      </c>
      <c r="G134" s="200">
        <f t="shared" si="92"/>
        <v>3.3822273030026606E-2</v>
      </c>
      <c r="I134" s="11"/>
      <c r="J134" s="11"/>
      <c r="K134" s="11"/>
      <c r="L134" s="11"/>
      <c r="M134" s="11"/>
      <c r="N134" s="11"/>
      <c r="P134" s="11"/>
      <c r="Q134" s="11"/>
      <c r="R134" s="11"/>
      <c r="S134" s="11"/>
      <c r="T134" s="11"/>
      <c r="U134" s="11"/>
    </row>
    <row r="135" spans="1:21" x14ac:dyDescent="0.2">
      <c r="A135" t="str">
        <f t="shared" si="89"/>
        <v>42 Secretarial and related occupations</v>
      </c>
      <c r="B135" s="11">
        <v>1.4245299357763315</v>
      </c>
      <c r="C135" s="11">
        <v>1.8402750123410005</v>
      </c>
      <c r="D135" s="11">
        <f t="shared" si="90"/>
        <v>0.41574507656466908</v>
      </c>
      <c r="E135" s="11">
        <v>1.1211810953935226</v>
      </c>
      <c r="F135" s="11">
        <f t="shared" si="94"/>
        <v>1.5369261719581917</v>
      </c>
      <c r="G135" s="200">
        <f t="shared" si="92"/>
        <v>3.9463318780630807E-2</v>
      </c>
      <c r="I135" s="11"/>
      <c r="J135" s="11"/>
      <c r="K135" s="11"/>
      <c r="L135" s="11"/>
      <c r="M135" s="11"/>
      <c r="N135" s="11"/>
    </row>
    <row r="136" spans="1:21" x14ac:dyDescent="0.2">
      <c r="A136" t="str">
        <f t="shared" si="89"/>
        <v>51 Skilled agricultural and related trades</v>
      </c>
      <c r="B136" s="11">
        <v>0.64228692629702844</v>
      </c>
      <c r="C136" s="11">
        <v>0.87792856185472579</v>
      </c>
      <c r="D136" s="11">
        <f t="shared" si="90"/>
        <v>0.23564163555769735</v>
      </c>
      <c r="E136" s="11">
        <v>0.54788932062712459</v>
      </c>
      <c r="F136" s="11">
        <f t="shared" si="94"/>
        <v>0.78353095618482194</v>
      </c>
      <c r="G136" s="200">
        <f t="shared" si="92"/>
        <v>4.1978632431185048E-2</v>
      </c>
      <c r="I136" s="11"/>
      <c r="J136" s="11"/>
      <c r="K136" s="11"/>
      <c r="L136" s="11"/>
      <c r="M136" s="11"/>
      <c r="N136" s="11"/>
      <c r="O136" s="70"/>
    </row>
    <row r="137" spans="1:21" x14ac:dyDescent="0.2">
      <c r="A137" t="str">
        <f t="shared" si="89"/>
        <v>52 Skilled metal, electrical and electronic trades</v>
      </c>
      <c r="B137" s="11">
        <v>0.61539632413258527</v>
      </c>
      <c r="C137" s="11">
        <v>0.86117447983275919</v>
      </c>
      <c r="D137" s="11">
        <f t="shared" si="90"/>
        <v>0.24577815570017392</v>
      </c>
      <c r="E137" s="11">
        <v>0.33993967932287161</v>
      </c>
      <c r="F137" s="11">
        <f t="shared" si="94"/>
        <v>0.58571783502304553</v>
      </c>
      <c r="G137" s="200">
        <f t="shared" si="92"/>
        <v>2.9753831359115024E-2</v>
      </c>
      <c r="I137" s="11"/>
      <c r="J137" s="11"/>
      <c r="K137" s="11"/>
      <c r="L137" s="11"/>
      <c r="M137" s="11"/>
      <c r="N137" s="11"/>
    </row>
    <row r="138" spans="1:21" x14ac:dyDescent="0.2">
      <c r="A138" t="str">
        <f t="shared" si="89"/>
        <v>53 Skilled construction and building trades</v>
      </c>
      <c r="B138" s="11">
        <v>0.56808737042480173</v>
      </c>
      <c r="C138" s="11">
        <v>0.72164406640392254</v>
      </c>
      <c r="D138" s="11">
        <f t="shared" si="90"/>
        <v>0.15355669597912081</v>
      </c>
      <c r="E138" s="11">
        <v>0.37218560546401036</v>
      </c>
      <c r="F138" s="11">
        <f t="shared" ref="F138" si="95">SUM(D138:E138)</f>
        <v>0.52574230144313117</v>
      </c>
      <c r="G138" s="200">
        <f t="shared" si="92"/>
        <v>3.416361681009783E-2</v>
      </c>
      <c r="I138" s="11"/>
      <c r="J138" s="11"/>
      <c r="K138" s="11"/>
      <c r="L138" s="11"/>
      <c r="M138" s="11"/>
      <c r="N138" s="11"/>
      <c r="P138" s="84"/>
      <c r="Q138" s="73"/>
      <c r="R138" s="73"/>
      <c r="S138" s="71"/>
      <c r="T138" s="71"/>
      <c r="U138" s="71"/>
    </row>
    <row r="139" spans="1:21" x14ac:dyDescent="0.2">
      <c r="A139" t="str">
        <f t="shared" si="89"/>
        <v>54 Textiles, printing and other skilled trades</v>
      </c>
      <c r="B139" s="11">
        <v>0.79349437513100995</v>
      </c>
      <c r="C139" s="11">
        <v>1.2601341449004482</v>
      </c>
      <c r="D139" s="11">
        <f t="shared" si="90"/>
        <v>0.46663976976943822</v>
      </c>
      <c r="E139" s="11">
        <v>0.63931761917218044</v>
      </c>
      <c r="F139" s="11">
        <f t="shared" ref="F139" si="96">SUM(D139:E139)</f>
        <v>1.1059573889416185</v>
      </c>
      <c r="G139" s="200">
        <f t="shared" si="92"/>
        <v>4.0182853160869669E-2</v>
      </c>
      <c r="I139" s="11"/>
      <c r="J139" s="11"/>
      <c r="K139" s="11"/>
      <c r="L139" s="11"/>
      <c r="M139" s="11"/>
      <c r="N139" s="11"/>
      <c r="P139" s="11"/>
      <c r="Q139" s="11"/>
      <c r="R139" s="11"/>
      <c r="S139" s="11"/>
      <c r="T139" s="11"/>
      <c r="U139" s="11"/>
    </row>
    <row r="140" spans="1:21" x14ac:dyDescent="0.2">
      <c r="A140" t="str">
        <f t="shared" si="89"/>
        <v>61 Caring personal service occupations</v>
      </c>
      <c r="B140" s="11">
        <v>7.8620290248956666</v>
      </c>
      <c r="C140" s="11">
        <v>8.8535047693325897</v>
      </c>
      <c r="D140" s="11">
        <f>C140-B140</f>
        <v>0.9914757444369231</v>
      </c>
      <c r="E140" s="11">
        <v>4.9417634619921262</v>
      </c>
      <c r="F140" s="11">
        <f>SUM(D140:E140)</f>
        <v>5.9332392064290493</v>
      </c>
      <c r="G140" s="200">
        <f t="shared" si="92"/>
        <v>3.3047439495123898E-2</v>
      </c>
      <c r="I140" s="11"/>
      <c r="J140" s="11"/>
      <c r="K140" s="11"/>
      <c r="L140" s="11"/>
      <c r="M140" s="11"/>
      <c r="N140" s="11"/>
      <c r="P140" s="11"/>
      <c r="Q140" s="11"/>
      <c r="R140" s="11"/>
      <c r="S140" s="11"/>
      <c r="T140" s="11"/>
      <c r="U140" s="11"/>
    </row>
    <row r="141" spans="1:21" x14ac:dyDescent="0.2">
      <c r="A141" t="str">
        <f t="shared" si="89"/>
        <v>62 Leisure, travel and related personal service occupations</v>
      </c>
      <c r="B141" s="11">
        <v>1.6660392157782009</v>
      </c>
      <c r="C141" s="11">
        <v>2.8121182801978382</v>
      </c>
      <c r="D141" s="11">
        <f t="shared" ref="D141:D147" si="97">C141-B141</f>
        <v>1.1460790644196373</v>
      </c>
      <c r="E141" s="11">
        <v>1.4199020949728278</v>
      </c>
      <c r="F141" s="11">
        <f t="shared" ref="F141:F142" si="98">SUM(D141:E141)</f>
        <v>2.5659811593924653</v>
      </c>
      <c r="G141" s="200">
        <f t="shared" si="92"/>
        <v>4.1949881251223564E-2</v>
      </c>
      <c r="I141" s="11"/>
      <c r="J141" s="11"/>
      <c r="K141" s="11"/>
      <c r="L141" s="11"/>
      <c r="M141" s="11"/>
      <c r="N141" s="11"/>
      <c r="P141" s="11"/>
      <c r="Q141" s="11"/>
      <c r="R141" s="11"/>
      <c r="S141" s="11"/>
      <c r="T141" s="11"/>
      <c r="U141" s="11"/>
    </row>
    <row r="142" spans="1:21" x14ac:dyDescent="0.2">
      <c r="A142" t="str">
        <f t="shared" si="89"/>
        <v>63 Community and civil enforcement occupations</v>
      </c>
      <c r="B142" s="11">
        <v>6.7416024814009767E-2</v>
      </c>
      <c r="C142" s="11">
        <v>8.2150009836262236E-2</v>
      </c>
      <c r="D142" s="11">
        <f t="shared" si="97"/>
        <v>1.4733985022252469E-2</v>
      </c>
      <c r="E142" s="11">
        <v>4.3691437583193521E-2</v>
      </c>
      <c r="F142" s="11">
        <f t="shared" si="98"/>
        <v>5.842542260544599E-2</v>
      </c>
      <c r="G142" s="200">
        <f t="shared" si="92"/>
        <v>3.3868585217678771E-2</v>
      </c>
      <c r="I142" s="11"/>
      <c r="J142" s="11"/>
      <c r="K142" s="11"/>
      <c r="L142" s="11"/>
      <c r="M142" s="11"/>
      <c r="N142" s="11"/>
      <c r="P142" s="11"/>
      <c r="Q142" s="11"/>
      <c r="R142" s="11"/>
      <c r="S142" s="11"/>
      <c r="T142" s="11"/>
      <c r="U142" s="11"/>
    </row>
    <row r="143" spans="1:21" x14ac:dyDescent="0.2">
      <c r="A143" t="str">
        <f t="shared" si="89"/>
        <v>71 Sales occupations</v>
      </c>
      <c r="B143" s="11">
        <v>4.3981715777872346</v>
      </c>
      <c r="C143" s="11">
        <v>6.4813031889784867</v>
      </c>
      <c r="D143" s="11">
        <f t="shared" si="97"/>
        <v>2.0831316111912521</v>
      </c>
      <c r="E143" s="11">
        <v>3.198082032979622</v>
      </c>
      <c r="F143" s="11">
        <f t="shared" ref="F143:F144" si="99">SUM(D143:E143)</f>
        <v>5.2812136441708741</v>
      </c>
      <c r="G143" s="200">
        <f t="shared" si="92"/>
        <v>3.7102829665057735E-2</v>
      </c>
      <c r="I143" s="11"/>
      <c r="J143" s="11"/>
      <c r="K143" s="11"/>
      <c r="L143" s="11"/>
      <c r="M143" s="11"/>
      <c r="N143" s="11"/>
      <c r="P143" s="11"/>
      <c r="Q143" s="11"/>
      <c r="R143" s="11"/>
      <c r="S143" s="11"/>
      <c r="T143" s="11"/>
      <c r="U143" s="11"/>
    </row>
    <row r="144" spans="1:21" x14ac:dyDescent="0.2">
      <c r="A144" t="str">
        <f t="shared" si="89"/>
        <v>72 Customer service occupations</v>
      </c>
      <c r="B144" s="11">
        <v>1.03743007859961</v>
      </c>
      <c r="C144" s="11">
        <v>2.03033934882798</v>
      </c>
      <c r="D144" s="11">
        <f t="shared" si="97"/>
        <v>0.99290927022836994</v>
      </c>
      <c r="E144" s="11">
        <v>0.88844645207668893</v>
      </c>
      <c r="F144" s="11">
        <f t="shared" si="99"/>
        <v>1.881355722305059</v>
      </c>
      <c r="G144" s="200">
        <f t="shared" si="92"/>
        <v>4.2104585787833715E-2</v>
      </c>
      <c r="I144" s="11"/>
      <c r="J144" s="11"/>
      <c r="K144" s="11"/>
      <c r="L144" s="11"/>
      <c r="M144" s="11"/>
      <c r="N144" s="11"/>
      <c r="P144" s="11"/>
      <c r="Q144" s="11"/>
      <c r="R144" s="11"/>
      <c r="S144" s="11"/>
      <c r="T144" s="11"/>
      <c r="U144" s="11"/>
    </row>
    <row r="145" spans="1:21" x14ac:dyDescent="0.2">
      <c r="A145" t="str">
        <f t="shared" si="89"/>
        <v>81 Process, plant and machine operatives</v>
      </c>
      <c r="B145" s="11">
        <v>0.58673771919795781</v>
      </c>
      <c r="C145" s="11">
        <v>1.1687886487218477</v>
      </c>
      <c r="D145" s="11">
        <f t="shared" si="97"/>
        <v>0.58205092952388993</v>
      </c>
      <c r="E145" s="11">
        <v>0.44988776332337072</v>
      </c>
      <c r="F145" s="11">
        <f t="shared" ref="F145:F146" si="100">SUM(D145:E145)</f>
        <v>1.0319386928472607</v>
      </c>
      <c r="G145" s="200">
        <f t="shared" si="92"/>
        <v>3.8672240432778171E-2</v>
      </c>
      <c r="I145" s="11"/>
      <c r="J145" s="11"/>
      <c r="K145" s="11"/>
      <c r="L145" s="11"/>
      <c r="M145" s="11"/>
      <c r="N145" s="11"/>
      <c r="P145" s="11"/>
      <c r="Q145" s="11"/>
      <c r="R145" s="11"/>
      <c r="S145" s="11"/>
      <c r="T145" s="11"/>
      <c r="U145" s="11"/>
    </row>
    <row r="146" spans="1:21" x14ac:dyDescent="0.2">
      <c r="A146" t="str">
        <f t="shared" si="89"/>
        <v>82 Transport and mobile machine drivers and operatives</v>
      </c>
      <c r="B146" s="11">
        <v>0.76197166240611824</v>
      </c>
      <c r="C146" s="11">
        <v>0.96565460443554263</v>
      </c>
      <c r="D146" s="11">
        <f t="shared" si="97"/>
        <v>0.20368294202942439</v>
      </c>
      <c r="E146" s="11">
        <v>0.5546121803420283</v>
      </c>
      <c r="F146" s="11">
        <f t="shared" si="100"/>
        <v>0.75829512237145269</v>
      </c>
      <c r="G146" s="200">
        <f t="shared" si="92"/>
        <v>3.7131870382657972E-2</v>
      </c>
      <c r="I146" s="11"/>
      <c r="J146" s="11"/>
      <c r="K146" s="11"/>
      <c r="L146" s="11"/>
      <c r="M146" s="11"/>
      <c r="N146" s="11"/>
      <c r="P146" s="11"/>
      <c r="Q146" s="11"/>
      <c r="R146" s="11"/>
      <c r="S146" s="11"/>
      <c r="T146" s="11"/>
      <c r="U146" s="11"/>
    </row>
    <row r="147" spans="1:21" x14ac:dyDescent="0.2">
      <c r="A147" t="str">
        <f t="shared" si="89"/>
        <v>91 Elementary trades and related occupations</v>
      </c>
      <c r="B147" s="11">
        <v>0.36455281352391394</v>
      </c>
      <c r="C147" s="11">
        <v>0.54394974941681506</v>
      </c>
      <c r="D147" s="11">
        <f t="shared" si="97"/>
        <v>0.17939693589290112</v>
      </c>
      <c r="E147" s="11">
        <v>0.26425748238169677</v>
      </c>
      <c r="F147" s="11">
        <f t="shared" ref="F147" si="101">SUM(D147:E147)</f>
        <v>0.44365441827459789</v>
      </c>
      <c r="G147" s="200">
        <f t="shared" si="92"/>
        <v>3.7012391680879331E-2</v>
      </c>
      <c r="I147" s="11"/>
      <c r="J147" s="11"/>
      <c r="K147" s="11"/>
      <c r="L147" s="11"/>
      <c r="M147" s="11"/>
      <c r="N147" s="11"/>
      <c r="P147" s="11"/>
      <c r="Q147" s="11"/>
      <c r="R147" s="11"/>
      <c r="S147" s="11"/>
      <c r="T147" s="11"/>
      <c r="U147" s="11"/>
    </row>
    <row r="148" spans="1:21" x14ac:dyDescent="0.2">
      <c r="A148" t="str">
        <f t="shared" si="89"/>
        <v>92 Elementary administration and service occupations</v>
      </c>
      <c r="B148" s="11">
        <v>3.9637601671296028</v>
      </c>
      <c r="C148" s="11">
        <v>6.7681534015784051</v>
      </c>
      <c r="D148" s="11">
        <f t="shared" ref="D148" si="102">C148-B148</f>
        <v>2.8043932344488023</v>
      </c>
      <c r="E148" s="11">
        <v>3.2500826628054287</v>
      </c>
      <c r="F148" s="11">
        <f t="shared" ref="F148" si="103">SUM(D148:E148)</f>
        <v>6.054475897254231</v>
      </c>
      <c r="G148" s="200">
        <f t="shared" ref="G148" si="104">IF(B148&gt;0,(1+(E148/B148))^(1/($C$6-$B$6))-1,0)</f>
        <v>4.0728115140820309E-2</v>
      </c>
      <c r="I148" s="11"/>
      <c r="J148" s="11"/>
      <c r="K148" s="11"/>
      <c r="L148" s="11"/>
      <c r="M148" s="11"/>
      <c r="N148" s="11"/>
      <c r="P148" s="11"/>
      <c r="Q148" s="11"/>
      <c r="R148" s="11"/>
      <c r="S148" s="11"/>
      <c r="T148" s="11"/>
      <c r="U148" s="11"/>
    </row>
    <row r="149" spans="1:21" x14ac:dyDescent="0.2">
      <c r="A149" t="str">
        <f t="shared" si="89"/>
        <v>All occupations</v>
      </c>
      <c r="B149" s="11">
        <f>SUM(B123:B148)</f>
        <v>65.898160327441573</v>
      </c>
      <c r="C149" s="11">
        <f t="shared" ref="C149:F149" si="105">SUM(C123:C148)</f>
        <v>70.588657027486391</v>
      </c>
      <c r="D149" s="11">
        <f t="shared" si="105"/>
        <v>4.6904967000448092</v>
      </c>
      <c r="E149" s="11">
        <f t="shared" si="105"/>
        <v>36.363459027783087</v>
      </c>
      <c r="F149" s="11">
        <f t="shared" si="105"/>
        <v>41.053955727827898</v>
      </c>
      <c r="G149" s="200">
        <f t="shared" si="92"/>
        <v>2.9728244027905415E-2</v>
      </c>
      <c r="P149" s="11"/>
      <c r="Q149" s="11"/>
      <c r="R149" s="11"/>
      <c r="S149" s="11"/>
      <c r="T149" s="11"/>
      <c r="U149" s="11"/>
    </row>
    <row r="150" spans="1:21" x14ac:dyDescent="0.2">
      <c r="B150" s="11"/>
      <c r="C150" s="11"/>
      <c r="D150" s="11"/>
      <c r="E150" s="11"/>
      <c r="F150" s="11"/>
      <c r="G150" s="11"/>
      <c r="P150" s="11"/>
      <c r="Q150" s="11"/>
      <c r="R150" s="11"/>
      <c r="S150" s="11"/>
      <c r="T150" s="11"/>
      <c r="U150" s="11"/>
    </row>
    <row r="151" spans="1:21" ht="38.25" x14ac:dyDescent="0.2">
      <c r="A151" s="201" t="str">
        <f>CONCATENATE(name!F8," (Constrained)")</f>
        <v>RQF4 HE below degree level (Constrained)</v>
      </c>
      <c r="B151" s="74">
        <f t="shared" ref="B151:G151" si="106">B64</f>
        <v>2020</v>
      </c>
      <c r="C151" s="74">
        <f t="shared" si="106"/>
        <v>2035</v>
      </c>
      <c r="D151" s="87" t="str">
        <f t="shared" si="106"/>
        <v>Net Change</v>
      </c>
      <c r="E151" s="87" t="str">
        <f t="shared" si="106"/>
        <v>Replacement Demand level</v>
      </c>
      <c r="F151" s="87" t="str">
        <f t="shared" si="106"/>
        <v>Total Requirement</v>
      </c>
      <c r="G151" s="87" t="str">
        <f t="shared" si="106"/>
        <v>Replacement Demand rate</v>
      </c>
      <c r="P151" s="11"/>
      <c r="Q151" s="11"/>
      <c r="R151" s="11"/>
      <c r="S151" s="11"/>
      <c r="T151" s="11"/>
      <c r="U151" s="11"/>
    </row>
    <row r="152" spans="1:21" x14ac:dyDescent="0.2">
      <c r="A152" t="str">
        <f t="shared" ref="A152:A178" si="107">A65</f>
        <v>11 Corporate managers and directors</v>
      </c>
      <c r="B152" s="11">
        <v>4.0459600715216153</v>
      </c>
      <c r="C152" s="11">
        <v>4.0919782154616451</v>
      </c>
      <c r="D152" s="11">
        <f>C152-B152</f>
        <v>4.6018143940029788E-2</v>
      </c>
      <c r="E152" s="11">
        <v>2.08987870846151</v>
      </c>
      <c r="F152" s="11">
        <f>SUM(D152:E152)</f>
        <v>2.1358968524015398</v>
      </c>
      <c r="G152" s="200">
        <f>IF(B152&gt;0,(1+(E152/B152))^(1/($C$6-$B$6))-1,0)</f>
        <v>2.8150812747670839E-2</v>
      </c>
      <c r="I152" s="84"/>
      <c r="J152" s="73"/>
      <c r="K152" s="73"/>
      <c r="L152" s="71"/>
      <c r="M152" s="71"/>
      <c r="N152" s="71"/>
      <c r="P152" s="11"/>
      <c r="Q152" s="11"/>
      <c r="R152" s="11"/>
      <c r="S152" s="11"/>
      <c r="T152" s="11"/>
      <c r="U152" s="11"/>
    </row>
    <row r="153" spans="1:21" x14ac:dyDescent="0.2">
      <c r="A153" t="str">
        <f t="shared" si="107"/>
        <v>12 Other managers and proprietors</v>
      </c>
      <c r="B153" s="11">
        <v>2.2651946128761997</v>
      </c>
      <c r="C153" s="11">
        <v>3.3569112296484453</v>
      </c>
      <c r="D153" s="11">
        <f t="shared" ref="D153:D168" si="108">C153-B153</f>
        <v>1.0917166167722456</v>
      </c>
      <c r="E153" s="11">
        <v>1.8062780460647962</v>
      </c>
      <c r="F153" s="11">
        <f t="shared" ref="F153:F160" si="109">SUM(D153:E153)</f>
        <v>2.8979946628370419</v>
      </c>
      <c r="G153" s="200">
        <f t="shared" ref="G153:G155" si="110">IF(B153&gt;0,(1+(E153/B153))^(1/($C$6-$B$6))-1,0)</f>
        <v>3.9863657472795744E-2</v>
      </c>
      <c r="I153" s="11"/>
      <c r="J153" s="11"/>
      <c r="K153" s="11"/>
      <c r="L153" s="11"/>
      <c r="M153" s="11"/>
      <c r="N153" s="11"/>
      <c r="P153" s="11"/>
      <c r="Q153" s="11"/>
      <c r="R153" s="11"/>
      <c r="S153" s="11"/>
      <c r="T153" s="11"/>
      <c r="U153" s="11"/>
    </row>
    <row r="154" spans="1:21" x14ac:dyDescent="0.2">
      <c r="A154" t="str">
        <f t="shared" si="107"/>
        <v>21 Science, research, engineering and technology professionals</v>
      </c>
      <c r="B154" s="11">
        <v>5.0828266615625282</v>
      </c>
      <c r="C154" s="11">
        <v>4.9868793510544602</v>
      </c>
      <c r="D154" s="11">
        <f t="shared" si="108"/>
        <v>-9.5947310508067929E-2</v>
      </c>
      <c r="E154" s="11">
        <v>1.7425271796232118</v>
      </c>
      <c r="F154" s="11">
        <f t="shared" si="109"/>
        <v>1.6465798691151439</v>
      </c>
      <c r="G154" s="200">
        <f t="shared" si="110"/>
        <v>1.9846143847730646E-2</v>
      </c>
      <c r="I154" s="11"/>
      <c r="J154" s="11"/>
      <c r="K154" s="11"/>
      <c r="L154" s="11"/>
      <c r="M154" s="11"/>
      <c r="N154" s="11"/>
      <c r="P154" s="11"/>
      <c r="Q154" s="11"/>
      <c r="R154" s="11"/>
      <c r="S154" s="11"/>
      <c r="T154" s="11"/>
      <c r="U154" s="11"/>
    </row>
    <row r="155" spans="1:21" x14ac:dyDescent="0.2">
      <c r="A155" t="str">
        <f t="shared" si="107"/>
        <v>22 Health professionals</v>
      </c>
      <c r="B155" s="11">
        <v>2.0694174367974485</v>
      </c>
      <c r="C155" s="11">
        <v>2.8240970691698242</v>
      </c>
      <c r="D155" s="11">
        <f t="shared" si="108"/>
        <v>0.75467963237237567</v>
      </c>
      <c r="E155" s="11">
        <v>1.2615369606378315</v>
      </c>
      <c r="F155" s="11">
        <f t="shared" si="109"/>
        <v>2.0162165930102072</v>
      </c>
      <c r="G155" s="200">
        <f t="shared" si="110"/>
        <v>3.2241635081441178E-2</v>
      </c>
      <c r="I155" s="11"/>
      <c r="J155" s="11"/>
      <c r="K155" s="11"/>
      <c r="L155" s="11"/>
      <c r="M155" s="11"/>
      <c r="N155" s="11"/>
      <c r="P155" s="11"/>
      <c r="Q155" s="11"/>
      <c r="R155" s="11"/>
      <c r="S155" s="11"/>
      <c r="T155" s="11"/>
      <c r="U155" s="11"/>
    </row>
    <row r="156" spans="1:21" x14ac:dyDescent="0.2">
      <c r="A156" t="str">
        <f t="shared" si="107"/>
        <v>23 Teaching and other educational professionals</v>
      </c>
      <c r="B156" s="11">
        <v>0.38145739640496434</v>
      </c>
      <c r="C156" s="11">
        <v>0.26780034309783851</v>
      </c>
      <c r="D156" s="11">
        <f t="shared" si="108"/>
        <v>-0.11365705330712583</v>
      </c>
      <c r="E156" s="11">
        <v>0.12358851225463109</v>
      </c>
      <c r="F156" s="11">
        <f t="shared" si="109"/>
        <v>9.9314589475052589E-3</v>
      </c>
      <c r="G156" s="200">
        <f>IF(B156&gt;0,(1+(E156/B156))^(1/($C$6-$B$6))-1,0)</f>
        <v>1.8886139849895178E-2</v>
      </c>
      <c r="I156" s="11"/>
      <c r="J156" s="11"/>
      <c r="K156" s="11"/>
      <c r="L156" s="11"/>
      <c r="M156" s="11"/>
      <c r="N156" s="11"/>
      <c r="P156" s="11"/>
      <c r="Q156" s="11"/>
      <c r="R156" s="11"/>
      <c r="S156" s="11"/>
      <c r="T156" s="11"/>
      <c r="U156" s="11"/>
    </row>
    <row r="157" spans="1:21" x14ac:dyDescent="0.2">
      <c r="A157" t="str">
        <f t="shared" si="107"/>
        <v>24 Business, media and public service professionals</v>
      </c>
      <c r="B157" s="11">
        <v>3.1559591828315572</v>
      </c>
      <c r="C157" s="11">
        <v>4.2035149701402847</v>
      </c>
      <c r="D157" s="11">
        <f t="shared" si="108"/>
        <v>1.0475557873087276</v>
      </c>
      <c r="E157" s="11">
        <v>1.7965556522829504</v>
      </c>
      <c r="F157" s="11">
        <f t="shared" si="109"/>
        <v>2.844111439591678</v>
      </c>
      <c r="G157" s="200">
        <f t="shared" ref="G157:G178" si="111">IF(B157&gt;0,(1+(E157/B157))^(1/($C$6-$B$6))-1,0)</f>
        <v>3.0495960800827504E-2</v>
      </c>
      <c r="I157" s="11"/>
      <c r="J157" s="11"/>
      <c r="K157" s="11"/>
      <c r="L157" s="11"/>
      <c r="M157" s="11"/>
      <c r="N157" s="11"/>
      <c r="P157" s="11"/>
      <c r="Q157" s="11"/>
      <c r="R157" s="11"/>
      <c r="S157" s="11"/>
      <c r="T157" s="11"/>
      <c r="U157" s="11"/>
    </row>
    <row r="158" spans="1:21" x14ac:dyDescent="0.2">
      <c r="A158" t="str">
        <f t="shared" si="107"/>
        <v>31 Science, engineering and technology associate professionals</v>
      </c>
      <c r="B158" s="11">
        <v>2.3399184935553246</v>
      </c>
      <c r="C158" s="11">
        <v>1.8978800788842165</v>
      </c>
      <c r="D158" s="11">
        <f t="shared" si="108"/>
        <v>-0.44203841467110805</v>
      </c>
      <c r="E158" s="11">
        <v>0.74914476986277745</v>
      </c>
      <c r="F158" s="11">
        <f t="shared" si="109"/>
        <v>0.3071063551916694</v>
      </c>
      <c r="G158" s="200">
        <f t="shared" si="111"/>
        <v>1.8689285220032659E-2</v>
      </c>
      <c r="I158" s="11"/>
      <c r="J158" s="11"/>
      <c r="K158" s="11"/>
      <c r="L158" s="11"/>
      <c r="M158" s="11"/>
      <c r="N158" s="11"/>
      <c r="P158" s="11"/>
      <c r="Q158" s="11"/>
      <c r="R158" s="11"/>
      <c r="S158" s="11"/>
      <c r="T158" s="11"/>
      <c r="U158" s="11"/>
    </row>
    <row r="159" spans="1:21" x14ac:dyDescent="0.2">
      <c r="A159" t="str">
        <f t="shared" si="107"/>
        <v>32 Health and social care associate professionals</v>
      </c>
      <c r="B159" s="11">
        <v>1.2081791028546611</v>
      </c>
      <c r="C159" s="11">
        <v>1.3815056772602263</v>
      </c>
      <c r="D159" s="11">
        <f t="shared" si="108"/>
        <v>0.1733265744055652</v>
      </c>
      <c r="E159" s="11">
        <v>0.72148692833299088</v>
      </c>
      <c r="F159" s="11">
        <f t="shared" si="109"/>
        <v>0.89481350273855609</v>
      </c>
      <c r="G159" s="200">
        <f t="shared" si="111"/>
        <v>3.1707819474456445E-2</v>
      </c>
      <c r="I159" s="11"/>
      <c r="J159" s="11"/>
      <c r="K159" s="11"/>
      <c r="L159" s="11"/>
      <c r="M159" s="11"/>
      <c r="N159" s="11"/>
      <c r="P159" s="11"/>
      <c r="Q159" s="11"/>
      <c r="R159" s="11"/>
      <c r="S159" s="11"/>
      <c r="T159" s="11"/>
      <c r="U159" s="11"/>
    </row>
    <row r="160" spans="1:21" x14ac:dyDescent="0.2">
      <c r="A160" t="str">
        <f t="shared" si="107"/>
        <v>33 Protective service occupations</v>
      </c>
      <c r="B160" s="11">
        <v>0.77247509732747588</v>
      </c>
      <c r="C160" s="11">
        <v>1.0600968093276106</v>
      </c>
      <c r="D160" s="11">
        <f t="shared" si="108"/>
        <v>0.28762171200013475</v>
      </c>
      <c r="E160" s="11">
        <v>0.40788154520250935</v>
      </c>
      <c r="F160" s="11">
        <f t="shared" si="109"/>
        <v>0.69550325720264405</v>
      </c>
      <c r="G160" s="200">
        <f t="shared" si="111"/>
        <v>2.8668049219657377E-2</v>
      </c>
      <c r="I160" s="11"/>
      <c r="J160" s="11"/>
      <c r="K160" s="11"/>
      <c r="L160" s="11"/>
      <c r="M160" s="11"/>
      <c r="N160" s="11"/>
      <c r="P160" s="11"/>
      <c r="Q160" s="11"/>
      <c r="R160" s="11"/>
      <c r="S160" s="11"/>
      <c r="T160" s="11"/>
      <c r="U160" s="11"/>
    </row>
    <row r="161" spans="1:21" x14ac:dyDescent="0.2">
      <c r="A161" t="str">
        <f t="shared" si="107"/>
        <v>34 Culture, media and sports occupations</v>
      </c>
      <c r="B161" s="11">
        <v>0.8433872574170852</v>
      </c>
      <c r="C161" s="11">
        <v>0.96791401828787971</v>
      </c>
      <c r="D161" s="11">
        <f t="shared" si="108"/>
        <v>0.12452676087079451</v>
      </c>
      <c r="E161" s="11">
        <v>0.42744162130979063</v>
      </c>
      <c r="F161" s="11">
        <f t="shared" ref="F161:F162" si="112">SUM(D161:E161)</f>
        <v>0.55196838218058519</v>
      </c>
      <c r="G161" s="200">
        <f t="shared" si="111"/>
        <v>2.7710205771690921E-2</v>
      </c>
      <c r="I161" s="11"/>
      <c r="J161" s="11"/>
      <c r="K161" s="11"/>
      <c r="L161" s="11"/>
      <c r="M161" s="11"/>
      <c r="N161" s="11"/>
      <c r="P161" s="11"/>
      <c r="Q161" s="11"/>
      <c r="R161" s="11"/>
      <c r="S161" s="11"/>
      <c r="T161" s="11"/>
      <c r="U161" s="11"/>
    </row>
    <row r="162" spans="1:21" x14ac:dyDescent="0.2">
      <c r="A162" t="str">
        <f t="shared" si="107"/>
        <v>35 Business and public service associate professionals</v>
      </c>
      <c r="B162" s="11">
        <v>3.1450197611428736</v>
      </c>
      <c r="C162" s="11">
        <v>3.6298710845174447</v>
      </c>
      <c r="D162" s="11">
        <f t="shared" si="108"/>
        <v>0.48485132337457104</v>
      </c>
      <c r="E162" s="11">
        <v>1.6233164267607711</v>
      </c>
      <c r="F162" s="11">
        <f t="shared" si="112"/>
        <v>2.1081677501353422</v>
      </c>
      <c r="G162" s="200">
        <f t="shared" si="111"/>
        <v>2.813363206588293E-2</v>
      </c>
      <c r="I162" s="11"/>
      <c r="J162" s="11"/>
      <c r="K162" s="11"/>
      <c r="L162" s="11"/>
      <c r="M162" s="11"/>
      <c r="N162" s="11"/>
      <c r="P162" s="11"/>
      <c r="Q162" s="11"/>
      <c r="R162" s="11"/>
      <c r="S162" s="11"/>
      <c r="T162" s="11"/>
      <c r="U162" s="11"/>
    </row>
    <row r="163" spans="1:21" x14ac:dyDescent="0.2">
      <c r="A163" t="str">
        <f t="shared" si="107"/>
        <v>41 Administrative occupations</v>
      </c>
      <c r="B163" s="11">
        <v>7.259437516434982</v>
      </c>
      <c r="C163" s="11">
        <v>8.5001342959983468</v>
      </c>
      <c r="D163" s="11">
        <f t="shared" si="108"/>
        <v>1.2406967795633648</v>
      </c>
      <c r="E163" s="11">
        <v>4.4294066467570827</v>
      </c>
      <c r="F163" s="11">
        <f t="shared" ref="F163:F166" si="113">SUM(D163:E163)</f>
        <v>5.6701034263204475</v>
      </c>
      <c r="G163" s="200">
        <f t="shared" si="111"/>
        <v>3.2265088928044694E-2</v>
      </c>
      <c r="I163" s="11"/>
      <c r="J163" s="11"/>
      <c r="K163" s="11"/>
      <c r="L163" s="11"/>
      <c r="M163" s="11"/>
      <c r="N163" s="11"/>
      <c r="P163" s="11"/>
      <c r="Q163" s="11"/>
      <c r="R163" s="11"/>
      <c r="S163" s="11"/>
      <c r="T163" s="11"/>
      <c r="U163" s="11"/>
    </row>
    <row r="164" spans="1:21" x14ac:dyDescent="0.2">
      <c r="A164" t="str">
        <f t="shared" si="107"/>
        <v>42 Secretarial and related occupations</v>
      </c>
      <c r="B164" s="11">
        <v>1.1699971986624742</v>
      </c>
      <c r="C164" s="11">
        <v>1.9254565898651239</v>
      </c>
      <c r="D164" s="11">
        <f t="shared" si="108"/>
        <v>0.75545939120264971</v>
      </c>
      <c r="E164" s="11">
        <v>0.89959886601800176</v>
      </c>
      <c r="F164" s="11">
        <f t="shared" si="113"/>
        <v>1.6550582572206514</v>
      </c>
      <c r="G164" s="200">
        <f t="shared" si="111"/>
        <v>3.8755615365123841E-2</v>
      </c>
      <c r="I164" s="11"/>
      <c r="J164" s="11"/>
      <c r="K164" s="11"/>
      <c r="L164" s="11"/>
      <c r="M164" s="11"/>
      <c r="N164" s="11"/>
      <c r="P164" s="11"/>
      <c r="Q164" s="11"/>
      <c r="R164" s="11"/>
      <c r="S164" s="11"/>
      <c r="T164" s="11"/>
      <c r="U164" s="11"/>
    </row>
    <row r="165" spans="1:21" x14ac:dyDescent="0.2">
      <c r="A165" t="str">
        <f t="shared" si="107"/>
        <v>51 Skilled agricultural and related trades</v>
      </c>
      <c r="B165" s="11">
        <v>0.84237433660273675</v>
      </c>
      <c r="C165" s="11">
        <v>1.2420078367926344</v>
      </c>
      <c r="D165" s="11">
        <f t="shared" si="108"/>
        <v>0.39963350018989763</v>
      </c>
      <c r="E165" s="11">
        <v>0.67290650168210631</v>
      </c>
      <c r="F165" s="11">
        <f t="shared" si="113"/>
        <v>1.0725400018720039</v>
      </c>
      <c r="G165" s="200">
        <f t="shared" si="111"/>
        <v>3.9918250860949245E-2</v>
      </c>
      <c r="I165" s="11"/>
      <c r="J165" s="11"/>
      <c r="K165" s="11"/>
      <c r="L165" s="11"/>
      <c r="M165" s="11"/>
      <c r="N165" s="11"/>
      <c r="P165" s="11"/>
      <c r="Q165" s="11"/>
      <c r="R165" s="11"/>
      <c r="S165" s="11"/>
      <c r="T165" s="11"/>
      <c r="U165" s="11"/>
    </row>
    <row r="166" spans="1:21" x14ac:dyDescent="0.2">
      <c r="A166" t="str">
        <f t="shared" si="107"/>
        <v>52 Skilled metal, electrical and electronic trades</v>
      </c>
      <c r="B166" s="11">
        <v>2.4427358012767417</v>
      </c>
      <c r="C166" s="11">
        <v>2.7160751173590358</v>
      </c>
      <c r="D166" s="11">
        <f t="shared" si="108"/>
        <v>0.27333931608229411</v>
      </c>
      <c r="E166" s="11">
        <v>1.1751026972973959</v>
      </c>
      <c r="F166" s="11">
        <f t="shared" si="113"/>
        <v>1.44844201337969</v>
      </c>
      <c r="G166" s="200">
        <f t="shared" si="111"/>
        <v>2.6529682996107029E-2</v>
      </c>
      <c r="I166" s="11"/>
      <c r="J166" s="11"/>
      <c r="K166" s="11"/>
      <c r="L166" s="11"/>
      <c r="M166" s="11"/>
      <c r="N166" s="11"/>
      <c r="P166" s="11"/>
      <c r="Q166" s="11"/>
      <c r="R166" s="11"/>
      <c r="S166" s="11"/>
      <c r="T166" s="11"/>
      <c r="U166" s="11"/>
    </row>
    <row r="167" spans="1:21" x14ac:dyDescent="0.2">
      <c r="A167" t="str">
        <f t="shared" si="107"/>
        <v>53 Skilled construction and building trades</v>
      </c>
      <c r="B167" s="11">
        <v>0.8125485989585931</v>
      </c>
      <c r="C167" s="11">
        <v>1.1022863497356625</v>
      </c>
      <c r="D167" s="11">
        <f t="shared" si="108"/>
        <v>0.28973775077706942</v>
      </c>
      <c r="E167" s="11">
        <v>0.56779663798118651</v>
      </c>
      <c r="F167" s="11">
        <f t="shared" ref="F167" si="114">SUM(D167:E167)</f>
        <v>0.85753438875825594</v>
      </c>
      <c r="G167" s="200">
        <f t="shared" si="111"/>
        <v>3.5958977593735675E-2</v>
      </c>
      <c r="I167" s="11"/>
      <c r="J167" s="11"/>
      <c r="K167" s="11"/>
      <c r="L167" s="11"/>
      <c r="M167" s="11"/>
      <c r="N167" s="11"/>
      <c r="P167" s="11"/>
      <c r="Q167" s="11"/>
      <c r="R167" s="11"/>
      <c r="S167" s="11"/>
      <c r="T167" s="11"/>
      <c r="U167" s="11"/>
    </row>
    <row r="168" spans="1:21" x14ac:dyDescent="0.2">
      <c r="A168" t="str">
        <f t="shared" si="107"/>
        <v>54 Textiles, printing and other skilled trades</v>
      </c>
      <c r="B168" s="11">
        <v>0.65893525901041539</v>
      </c>
      <c r="C168" s="11">
        <v>0.80177282403003347</v>
      </c>
      <c r="D168" s="11">
        <f t="shared" si="108"/>
        <v>0.14283756501961808</v>
      </c>
      <c r="E168" s="11">
        <v>0.44106156428971333</v>
      </c>
      <c r="F168" s="11">
        <f t="shared" ref="F168" si="115">SUM(D168:E168)</f>
        <v>0.58389912930933141</v>
      </c>
      <c r="G168" s="200">
        <f t="shared" si="111"/>
        <v>3.4752725380227112E-2</v>
      </c>
      <c r="I168" s="11"/>
      <c r="J168" s="11"/>
      <c r="K168" s="11"/>
      <c r="L168" s="11"/>
      <c r="M168" s="11"/>
      <c r="N168" s="11"/>
      <c r="P168" s="11"/>
      <c r="Q168" s="11"/>
      <c r="R168" s="11"/>
      <c r="S168" s="11"/>
      <c r="T168" s="11"/>
      <c r="U168" s="11"/>
    </row>
    <row r="169" spans="1:21" x14ac:dyDescent="0.2">
      <c r="A169" t="str">
        <f t="shared" si="107"/>
        <v>61 Caring personal service occupations</v>
      </c>
      <c r="B169" s="11">
        <v>4.3612505613393644</v>
      </c>
      <c r="C169" s="11">
        <v>5.0978433012891031</v>
      </c>
      <c r="D169" s="11">
        <f>C169-B169</f>
        <v>0.73659273994973873</v>
      </c>
      <c r="E169" s="11">
        <v>2.9070281780392091</v>
      </c>
      <c r="F169" s="11">
        <f>SUM(D169:E169)</f>
        <v>3.6436209179889478</v>
      </c>
      <c r="G169" s="200">
        <f t="shared" si="111"/>
        <v>3.4637072475731001E-2</v>
      </c>
      <c r="I169" s="11"/>
      <c r="J169" s="11"/>
      <c r="K169" s="11"/>
      <c r="L169" s="11"/>
      <c r="M169" s="11"/>
      <c r="N169" s="11"/>
      <c r="P169" s="11"/>
      <c r="Q169" s="11"/>
      <c r="R169" s="11"/>
      <c r="S169" s="11"/>
      <c r="T169" s="11"/>
      <c r="U169" s="11"/>
    </row>
    <row r="170" spans="1:21" x14ac:dyDescent="0.2">
      <c r="A170" t="str">
        <f t="shared" si="107"/>
        <v>62 Leisure, travel and related personal service occupations</v>
      </c>
      <c r="B170" s="11">
        <v>2.1333460165973266</v>
      </c>
      <c r="C170" s="11">
        <v>3.5874168696282873</v>
      </c>
      <c r="D170" s="11">
        <f t="shared" ref="D170:D176" si="116">C170-B170</f>
        <v>1.4540708530309607</v>
      </c>
      <c r="E170" s="11">
        <v>1.7707593064091425</v>
      </c>
      <c r="F170" s="11">
        <f t="shared" ref="F170:F171" si="117">SUM(D170:E170)</f>
        <v>3.2248301594401032</v>
      </c>
      <c r="G170" s="200">
        <f t="shared" si="111"/>
        <v>4.1111750752243825E-2</v>
      </c>
      <c r="I170" s="11"/>
      <c r="J170" s="11"/>
      <c r="K170" s="11"/>
      <c r="L170" s="11"/>
      <c r="M170" s="11"/>
      <c r="N170" s="11"/>
      <c r="P170" s="11"/>
      <c r="Q170" s="11"/>
      <c r="R170" s="11"/>
      <c r="S170" s="11"/>
      <c r="T170" s="11"/>
      <c r="U170" s="11"/>
    </row>
    <row r="171" spans="1:21" x14ac:dyDescent="0.2">
      <c r="A171" t="str">
        <f t="shared" si="107"/>
        <v>63 Community and civil enforcement occupations</v>
      </c>
      <c r="B171" s="11">
        <v>5.8401846643210797E-2</v>
      </c>
      <c r="C171" s="11">
        <v>5.8333959285087791E-2</v>
      </c>
      <c r="D171" s="11">
        <f t="shared" si="116"/>
        <v>-6.7887358123006059E-5</v>
      </c>
      <c r="E171" s="11">
        <v>3.5524210323924416E-2</v>
      </c>
      <c r="F171" s="11">
        <f t="shared" si="117"/>
        <v>3.545632296580141E-2</v>
      </c>
      <c r="G171" s="200">
        <f t="shared" si="111"/>
        <v>3.2184423103529536E-2</v>
      </c>
      <c r="I171" s="11"/>
      <c r="J171" s="11"/>
      <c r="K171" s="11"/>
      <c r="L171" s="11"/>
      <c r="M171" s="11"/>
      <c r="N171" s="11"/>
      <c r="P171" s="11"/>
      <c r="Q171" s="11"/>
      <c r="R171" s="11"/>
      <c r="S171" s="11"/>
      <c r="T171" s="11"/>
      <c r="U171" s="11"/>
    </row>
    <row r="172" spans="1:21" x14ac:dyDescent="0.2">
      <c r="A172" t="str">
        <f t="shared" si="107"/>
        <v>71 Sales occupations</v>
      </c>
      <c r="B172" s="11">
        <v>3.1070368316498214</v>
      </c>
      <c r="C172" s="11">
        <v>4.0281170812042921</v>
      </c>
      <c r="D172" s="11">
        <f t="shared" si="116"/>
        <v>0.92108024955447076</v>
      </c>
      <c r="E172" s="11">
        <v>1.817545681655236</v>
      </c>
      <c r="F172" s="11">
        <f t="shared" ref="F172:F173" si="118">SUM(D172:E172)</f>
        <v>2.7386259312097065</v>
      </c>
      <c r="G172" s="200">
        <f t="shared" si="111"/>
        <v>3.1180918010728975E-2</v>
      </c>
      <c r="I172" s="11"/>
      <c r="J172" s="11"/>
      <c r="K172" s="11"/>
      <c r="L172" s="11"/>
      <c r="M172" s="11"/>
      <c r="N172" s="11"/>
      <c r="P172" s="11"/>
      <c r="Q172" s="11"/>
      <c r="R172" s="11"/>
      <c r="S172" s="11"/>
      <c r="T172" s="11"/>
      <c r="U172" s="11"/>
    </row>
    <row r="173" spans="1:21" x14ac:dyDescent="0.2">
      <c r="A173" t="str">
        <f t="shared" si="107"/>
        <v>72 Customer service occupations</v>
      </c>
      <c r="B173" s="11">
        <v>1.3189030889607081</v>
      </c>
      <c r="C173" s="11">
        <v>2.2265310018634055</v>
      </c>
      <c r="D173" s="11">
        <f t="shared" si="116"/>
        <v>0.9076279129026974</v>
      </c>
      <c r="E173" s="11">
        <v>0.93611171507301361</v>
      </c>
      <c r="F173" s="11">
        <f t="shared" si="118"/>
        <v>1.843739627975711</v>
      </c>
      <c r="G173" s="200">
        <f t="shared" si="111"/>
        <v>3.6404048490807472E-2</v>
      </c>
      <c r="I173" s="11"/>
      <c r="J173" s="11"/>
      <c r="K173" s="11"/>
      <c r="L173" s="11"/>
      <c r="M173" s="11"/>
      <c r="N173" s="11"/>
      <c r="P173" s="11"/>
      <c r="Q173" s="11"/>
      <c r="R173" s="11"/>
      <c r="S173" s="11"/>
      <c r="T173" s="11"/>
      <c r="U173" s="11"/>
    </row>
    <row r="174" spans="1:21" x14ac:dyDescent="0.2">
      <c r="A174" t="str">
        <f t="shared" si="107"/>
        <v>81 Process, plant and machine operatives</v>
      </c>
      <c r="B174" s="11">
        <v>0.90725185490609195</v>
      </c>
      <c r="C174" s="11">
        <v>1.4910230721404398</v>
      </c>
      <c r="D174" s="11">
        <f t="shared" si="116"/>
        <v>0.58377121723434788</v>
      </c>
      <c r="E174" s="11">
        <v>0.58803372581390212</v>
      </c>
      <c r="F174" s="11">
        <f t="shared" ref="F174:F175" si="119">SUM(D174:E174)</f>
        <v>1.17180494304825</v>
      </c>
      <c r="G174" s="200">
        <f t="shared" si="111"/>
        <v>3.387115505345939E-2</v>
      </c>
      <c r="I174" s="11"/>
      <c r="J174" s="11"/>
      <c r="K174" s="11"/>
      <c r="L174" s="11"/>
      <c r="M174" s="11"/>
      <c r="N174" s="11"/>
      <c r="P174" s="11"/>
      <c r="Q174" s="11"/>
      <c r="R174" s="11"/>
      <c r="S174" s="11"/>
      <c r="T174" s="11"/>
      <c r="U174" s="11"/>
    </row>
    <row r="175" spans="1:21" x14ac:dyDescent="0.2">
      <c r="A175" t="str">
        <f t="shared" si="107"/>
        <v>82 Transport and mobile machine drivers and operatives</v>
      </c>
      <c r="B175" s="11">
        <v>1.2144396357328515</v>
      </c>
      <c r="C175" s="11">
        <v>1.5758455464152163</v>
      </c>
      <c r="D175" s="11">
        <f t="shared" si="116"/>
        <v>0.36140591068236483</v>
      </c>
      <c r="E175" s="11">
        <v>0.98402512567085343</v>
      </c>
      <c r="F175" s="11">
        <f t="shared" si="119"/>
        <v>1.3454310363532183</v>
      </c>
      <c r="G175" s="200">
        <f t="shared" si="111"/>
        <v>4.0358225096114531E-2</v>
      </c>
      <c r="I175" s="11"/>
      <c r="J175" s="11"/>
      <c r="K175" s="11"/>
      <c r="L175" s="11"/>
      <c r="M175" s="11"/>
      <c r="N175" s="11"/>
      <c r="P175" s="11"/>
      <c r="Q175" s="11"/>
      <c r="R175" s="11"/>
      <c r="S175" s="11"/>
      <c r="T175" s="11"/>
      <c r="U175" s="11"/>
    </row>
    <row r="176" spans="1:21" x14ac:dyDescent="0.2">
      <c r="A176" t="str">
        <f t="shared" si="107"/>
        <v>91 Elementary trades and related occupations</v>
      </c>
      <c r="B176" s="11">
        <v>0.38552349277321724</v>
      </c>
      <c r="C176" s="11">
        <v>0.39601606812272133</v>
      </c>
      <c r="D176" s="11">
        <f t="shared" si="116"/>
        <v>1.0492575349504096E-2</v>
      </c>
      <c r="E176" s="11">
        <v>0.19299606988039467</v>
      </c>
      <c r="F176" s="11">
        <f t="shared" ref="F176" si="120">SUM(D176:E176)</f>
        <v>0.20348864522989876</v>
      </c>
      <c r="G176" s="200">
        <f t="shared" si="111"/>
        <v>2.7427407580618901E-2</v>
      </c>
      <c r="I176" s="11"/>
      <c r="J176" s="11"/>
      <c r="K176" s="11"/>
      <c r="L176" s="11"/>
      <c r="M176" s="11"/>
      <c r="N176" s="11"/>
      <c r="P176" s="11"/>
      <c r="Q176" s="11"/>
      <c r="R176" s="11"/>
      <c r="S176" s="11"/>
      <c r="T176" s="11"/>
      <c r="U176" s="11"/>
    </row>
    <row r="177" spans="1:21" x14ac:dyDescent="0.2">
      <c r="A177" t="str">
        <f t="shared" si="107"/>
        <v>92 Elementary administration and service occupations</v>
      </c>
      <c r="B177" s="11">
        <v>3.3575475350816597</v>
      </c>
      <c r="C177" s="11">
        <v>5.4435382851932888</v>
      </c>
      <c r="D177" s="11">
        <f t="shared" ref="D177" si="121">C177-B177</f>
        <v>2.085990750111629</v>
      </c>
      <c r="E177" s="11">
        <v>2.7357436509380797</v>
      </c>
      <c r="F177" s="11">
        <f t="shared" ref="F177" si="122">SUM(D177:E177)</f>
        <v>4.8217344010497083</v>
      </c>
      <c r="G177" s="200">
        <f t="shared" ref="G177" si="123">IF(B177&gt;0,(1+(E177/B177))^(1/($C$6-$B$6))-1,0)</f>
        <v>4.0531704546499014E-2</v>
      </c>
      <c r="I177" s="11"/>
      <c r="J177" s="11"/>
      <c r="K177" s="11"/>
      <c r="L177" s="11"/>
      <c r="M177" s="11"/>
      <c r="N177" s="11"/>
      <c r="P177" s="11"/>
      <c r="Q177" s="11"/>
      <c r="R177" s="11"/>
      <c r="S177" s="11"/>
      <c r="T177" s="11"/>
      <c r="U177" s="11"/>
    </row>
    <row r="178" spans="1:21" x14ac:dyDescent="0.2">
      <c r="A178" t="str">
        <f t="shared" si="107"/>
        <v>All occupations</v>
      </c>
      <c r="B178" s="11">
        <f>SUM(B152:B177)</f>
        <v>55.33952464892193</v>
      </c>
      <c r="C178" s="11">
        <f t="shared" ref="C178:F178" si="124">SUM(C152:C177)</f>
        <v>68.860847045772545</v>
      </c>
      <c r="D178" s="11">
        <f t="shared" si="124"/>
        <v>13.521322396850627</v>
      </c>
      <c r="E178" s="11">
        <f t="shared" si="124"/>
        <v>32.903276928623015</v>
      </c>
      <c r="F178" s="11">
        <f t="shared" si="124"/>
        <v>46.424599325473636</v>
      </c>
      <c r="G178" s="200">
        <f t="shared" si="111"/>
        <v>3.1595860810251564E-2</v>
      </c>
      <c r="I178" s="11"/>
      <c r="J178" s="11"/>
      <c r="K178" s="11"/>
      <c r="L178" s="11"/>
      <c r="M178" s="11"/>
      <c r="N178" s="11"/>
      <c r="P178" s="11"/>
      <c r="Q178" s="11"/>
      <c r="R178" s="11"/>
      <c r="S178" s="11"/>
      <c r="T178" s="11"/>
      <c r="U178" s="11"/>
    </row>
    <row r="179" spans="1:21" x14ac:dyDescent="0.2">
      <c r="I179" s="11"/>
      <c r="J179" s="11"/>
      <c r="K179" s="11"/>
      <c r="L179" s="11"/>
      <c r="M179" s="11"/>
      <c r="N179" s="11"/>
      <c r="P179" s="11"/>
      <c r="Q179" s="11"/>
      <c r="R179" s="11"/>
      <c r="S179" s="11"/>
      <c r="T179" s="11"/>
      <c r="U179" s="11"/>
    </row>
    <row r="180" spans="1:21" ht="38.25" x14ac:dyDescent="0.2">
      <c r="A180" s="201" t="str">
        <f>CONCATENATE(name!F9," (Constrained)")</f>
        <v>RQF3 A level &amp; equivalent (Constrained)</v>
      </c>
      <c r="B180" s="74">
        <f t="shared" ref="B180:G180" si="125">B93</f>
        <v>2020</v>
      </c>
      <c r="C180" s="74">
        <f t="shared" si="125"/>
        <v>2035</v>
      </c>
      <c r="D180" s="87" t="str">
        <f t="shared" si="125"/>
        <v>Net Change</v>
      </c>
      <c r="E180" s="87" t="str">
        <f t="shared" si="125"/>
        <v>Replacement Demand level</v>
      </c>
      <c r="F180" s="87" t="str">
        <f t="shared" si="125"/>
        <v>Total Requirement</v>
      </c>
      <c r="G180" s="87" t="str">
        <f t="shared" si="125"/>
        <v>Replacement Demand rate</v>
      </c>
      <c r="I180" s="11"/>
      <c r="J180" s="11"/>
      <c r="K180" s="11"/>
      <c r="L180" s="11"/>
      <c r="M180" s="11"/>
      <c r="N180" s="11"/>
      <c r="P180" s="11"/>
      <c r="Q180" s="11"/>
      <c r="R180" s="11"/>
      <c r="S180" s="11"/>
      <c r="T180" s="11"/>
      <c r="U180" s="11"/>
    </row>
    <row r="181" spans="1:21" x14ac:dyDescent="0.2">
      <c r="A181" t="str">
        <f t="shared" ref="A181:A207" si="126">A94</f>
        <v>11 Corporate managers and directors</v>
      </c>
      <c r="B181" s="11">
        <v>14.721220762154775</v>
      </c>
      <c r="C181" s="11">
        <v>12.706550544184488</v>
      </c>
      <c r="D181" s="11">
        <f>C181-B181</f>
        <v>-2.0146702179702878</v>
      </c>
      <c r="E181" s="11">
        <v>5.4637442904958355</v>
      </c>
      <c r="F181" s="11">
        <f>SUM(D181:E181)</f>
        <v>3.4490740725255478</v>
      </c>
      <c r="G181" s="200">
        <f>IF(B181&gt;0,(1+(E181/B181))^(1/($C$6-$B$6))-1,0)</f>
        <v>2.1266168081138126E-2</v>
      </c>
      <c r="I181" s="11"/>
      <c r="J181" s="11"/>
      <c r="K181" s="11"/>
      <c r="L181" s="11"/>
      <c r="M181" s="11"/>
      <c r="N181" s="11"/>
      <c r="P181" s="81"/>
      <c r="Q181" s="72"/>
    </row>
    <row r="182" spans="1:21" x14ac:dyDescent="0.2">
      <c r="A182" t="str">
        <f t="shared" si="126"/>
        <v>12 Other managers and proprietors</v>
      </c>
      <c r="B182" s="11">
        <v>8.0535010961609164</v>
      </c>
      <c r="C182" s="11">
        <v>9.4615061749106673</v>
      </c>
      <c r="D182" s="11">
        <f t="shared" ref="D182:D197" si="127">C182-B182</f>
        <v>1.4080050787497509</v>
      </c>
      <c r="E182" s="11">
        <v>4.1834332517468349</v>
      </c>
      <c r="F182" s="11">
        <f t="shared" ref="F182:F189" si="128">SUM(D182:E182)</f>
        <v>5.5914383304965858</v>
      </c>
      <c r="G182" s="200">
        <f t="shared" ref="G182:G184" si="129">IF(B182&gt;0,(1+(E182/B182))^(1/($C$6-$B$6))-1,0)</f>
        <v>2.8282695192546559E-2</v>
      </c>
      <c r="I182" s="11"/>
      <c r="J182" s="11"/>
      <c r="K182" s="11"/>
      <c r="L182" s="11"/>
      <c r="M182" s="11"/>
      <c r="N182" s="11"/>
    </row>
    <row r="183" spans="1:21" x14ac:dyDescent="0.2">
      <c r="A183" t="str">
        <f t="shared" si="126"/>
        <v>21 Science, research, engineering and technology professionals</v>
      </c>
      <c r="B183" s="11">
        <v>10.952044512273948</v>
      </c>
      <c r="C183" s="11">
        <v>8.2314327692522014</v>
      </c>
      <c r="D183" s="11">
        <f t="shared" si="127"/>
        <v>-2.7206117430217471</v>
      </c>
      <c r="E183" s="11">
        <v>2.5450187904845833</v>
      </c>
      <c r="F183" s="11">
        <f t="shared" si="128"/>
        <v>-0.17559295253716378</v>
      </c>
      <c r="G183" s="200">
        <f t="shared" si="129"/>
        <v>1.4027202526008642E-2</v>
      </c>
      <c r="I183" s="11"/>
      <c r="J183" s="11"/>
      <c r="K183" s="11"/>
      <c r="L183" s="11"/>
      <c r="M183" s="11"/>
      <c r="N183" s="11"/>
    </row>
    <row r="184" spans="1:21" x14ac:dyDescent="0.2">
      <c r="A184" t="str">
        <f t="shared" si="126"/>
        <v>22 Health professionals</v>
      </c>
      <c r="B184" s="11">
        <v>9.6793938939425317</v>
      </c>
      <c r="C184" s="11">
        <v>13.543403331327282</v>
      </c>
      <c r="D184" s="11">
        <f t="shared" si="127"/>
        <v>3.86400943738475</v>
      </c>
      <c r="E184" s="11">
        <v>6.7372966979003595</v>
      </c>
      <c r="F184" s="11">
        <f t="shared" si="128"/>
        <v>10.60130613528511</v>
      </c>
      <c r="G184" s="200">
        <f t="shared" si="129"/>
        <v>3.5847518493618669E-2</v>
      </c>
      <c r="I184" s="11"/>
      <c r="J184" s="11"/>
      <c r="K184" s="11"/>
      <c r="L184" s="11"/>
      <c r="M184" s="11"/>
      <c r="N184" s="11"/>
    </row>
    <row r="185" spans="1:21" x14ac:dyDescent="0.2">
      <c r="A185" t="str">
        <f t="shared" si="126"/>
        <v>23 Teaching and other educational professionals</v>
      </c>
      <c r="B185" s="11">
        <v>2.8265777786891908</v>
      </c>
      <c r="C185" s="11">
        <v>3.2643670602953931</v>
      </c>
      <c r="D185" s="11">
        <f t="shared" si="127"/>
        <v>0.43778928160620234</v>
      </c>
      <c r="E185" s="11">
        <v>1.1952070095732361</v>
      </c>
      <c r="F185" s="11">
        <f t="shared" si="128"/>
        <v>1.6329962911794385</v>
      </c>
      <c r="G185" s="200">
        <f>IF(B185&gt;0,(1+(E185/B185))^(1/($C$6-$B$6))-1,0)</f>
        <v>2.3789157417442697E-2</v>
      </c>
      <c r="I185" s="11"/>
      <c r="J185" s="11"/>
      <c r="K185" s="11"/>
      <c r="L185" s="11"/>
      <c r="M185" s="11"/>
      <c r="N185" s="11"/>
    </row>
    <row r="186" spans="1:21" x14ac:dyDescent="0.2">
      <c r="A186" t="str">
        <f t="shared" si="126"/>
        <v>24 Business, media and public service professionals</v>
      </c>
      <c r="B186" s="11">
        <v>11.200901089655217</v>
      </c>
      <c r="C186" s="11">
        <v>12.292040345864182</v>
      </c>
      <c r="D186" s="11">
        <f t="shared" si="127"/>
        <v>1.0911392562089652</v>
      </c>
      <c r="E186" s="11">
        <v>4.8934764717011223</v>
      </c>
      <c r="F186" s="11">
        <f t="shared" si="128"/>
        <v>5.9846157279100876</v>
      </c>
      <c r="G186" s="200">
        <f t="shared" ref="G186:G207" si="130">IF(B186&gt;0,(1+(E186/B186))^(1/($C$6-$B$6))-1,0)</f>
        <v>2.4459391759666493E-2</v>
      </c>
      <c r="I186" s="11"/>
      <c r="J186" s="11"/>
      <c r="K186" s="11"/>
      <c r="L186" s="11"/>
      <c r="M186" s="11"/>
      <c r="N186" s="11"/>
    </row>
    <row r="187" spans="1:21" x14ac:dyDescent="0.2">
      <c r="A187" t="str">
        <f t="shared" si="126"/>
        <v>31 Science, engineering and technology associate professionals</v>
      </c>
      <c r="B187" s="11">
        <v>6.5120225597102799</v>
      </c>
      <c r="C187" s="11">
        <v>3.9270699119800354</v>
      </c>
      <c r="D187" s="11">
        <f t="shared" si="127"/>
        <v>-2.5849526477302445</v>
      </c>
      <c r="E187" s="11">
        <v>1.517824208436982</v>
      </c>
      <c r="F187" s="11">
        <f t="shared" si="128"/>
        <v>-1.0671284392932625</v>
      </c>
      <c r="G187" s="200">
        <f t="shared" si="130"/>
        <v>1.4065694104182791E-2</v>
      </c>
      <c r="I187" s="11"/>
      <c r="J187" s="11"/>
      <c r="K187" s="11"/>
      <c r="L187" s="11"/>
      <c r="M187" s="11"/>
      <c r="N187" s="11"/>
    </row>
    <row r="188" spans="1:21" x14ac:dyDescent="0.2">
      <c r="A188" t="str">
        <f t="shared" si="126"/>
        <v>32 Health and social care associate professionals</v>
      </c>
      <c r="B188" s="11">
        <v>5.715908550190397</v>
      </c>
      <c r="C188" s="11">
        <v>7.2589989969128386</v>
      </c>
      <c r="D188" s="11">
        <f t="shared" si="127"/>
        <v>1.5430904467224416</v>
      </c>
      <c r="E188" s="11">
        <v>3.8449548439152692</v>
      </c>
      <c r="F188" s="11">
        <f t="shared" si="128"/>
        <v>5.3880452906377112</v>
      </c>
      <c r="G188" s="200">
        <f t="shared" si="130"/>
        <v>3.4889838696145814E-2</v>
      </c>
      <c r="I188" s="11"/>
      <c r="J188" s="11"/>
      <c r="K188" s="11"/>
      <c r="L188" s="11"/>
      <c r="M188" s="11"/>
      <c r="N188" s="11"/>
    </row>
    <row r="189" spans="1:21" x14ac:dyDescent="0.2">
      <c r="A189" t="str">
        <f t="shared" si="126"/>
        <v>33 Protective service occupations</v>
      </c>
      <c r="B189" s="11">
        <v>4.1012736738759816</v>
      </c>
      <c r="C189" s="11">
        <v>3.8576921625185681</v>
      </c>
      <c r="D189" s="11">
        <f t="shared" si="127"/>
        <v>-0.24358151135741357</v>
      </c>
      <c r="E189" s="11">
        <v>0.98932461709688313</v>
      </c>
      <c r="F189" s="11">
        <f t="shared" si="128"/>
        <v>0.74574310573946956</v>
      </c>
      <c r="G189" s="200">
        <f t="shared" si="130"/>
        <v>1.4510793268601496E-2</v>
      </c>
      <c r="I189" s="11"/>
      <c r="J189" s="11"/>
      <c r="K189" s="11"/>
      <c r="L189" s="11"/>
      <c r="M189" s="11"/>
      <c r="N189" s="11"/>
    </row>
    <row r="190" spans="1:21" x14ac:dyDescent="0.2">
      <c r="A190" t="str">
        <f t="shared" si="126"/>
        <v>34 Culture, media and sports occupations</v>
      </c>
      <c r="B190" s="11">
        <v>2.671061524030677</v>
      </c>
      <c r="C190" s="11">
        <v>2.8578549326139182</v>
      </c>
      <c r="D190" s="11">
        <f t="shared" si="127"/>
        <v>0.18679340858324123</v>
      </c>
      <c r="E190" s="11">
        <v>1.0557702173746775</v>
      </c>
      <c r="F190" s="11">
        <f t="shared" ref="F190:F191" si="131">SUM(D190:E190)</f>
        <v>1.2425636259579187</v>
      </c>
      <c r="G190" s="200">
        <f t="shared" si="130"/>
        <v>2.245387754168271E-2</v>
      </c>
      <c r="I190" s="11"/>
      <c r="J190" s="11"/>
      <c r="K190" s="11"/>
      <c r="L190" s="11"/>
      <c r="M190" s="11"/>
      <c r="N190" s="11"/>
    </row>
    <row r="191" spans="1:21" x14ac:dyDescent="0.2">
      <c r="A191" t="str">
        <f t="shared" si="126"/>
        <v>35 Business and public service associate professionals</v>
      </c>
      <c r="B191" s="11">
        <v>13.40011976764505</v>
      </c>
      <c r="C191" s="11">
        <v>12.052625559742586</v>
      </c>
      <c r="D191" s="11">
        <f t="shared" si="127"/>
        <v>-1.3474942079024643</v>
      </c>
      <c r="E191" s="11">
        <v>5.1968056270380902</v>
      </c>
      <c r="F191" s="11">
        <f t="shared" si="131"/>
        <v>3.8493114191356259</v>
      </c>
      <c r="G191" s="200">
        <f t="shared" si="130"/>
        <v>2.2089275201849778E-2</v>
      </c>
      <c r="I191" s="11"/>
      <c r="J191" s="11"/>
      <c r="K191" s="11"/>
      <c r="L191" s="11"/>
      <c r="M191" s="11"/>
      <c r="N191" s="11"/>
    </row>
    <row r="192" spans="1:21" x14ac:dyDescent="0.2">
      <c r="A192" t="str">
        <f t="shared" si="126"/>
        <v>41 Administrative occupations</v>
      </c>
      <c r="B192" s="11">
        <v>26.870811114328259</v>
      </c>
      <c r="C192" s="11">
        <v>21.769784817752658</v>
      </c>
      <c r="D192" s="11">
        <f t="shared" si="127"/>
        <v>-5.1010262965756006</v>
      </c>
      <c r="E192" s="11">
        <v>11.339495489102548</v>
      </c>
      <c r="F192" s="11">
        <f t="shared" ref="F192:F195" si="132">SUM(D192:E192)</f>
        <v>6.2384691925269475</v>
      </c>
      <c r="G192" s="200">
        <f t="shared" si="130"/>
        <v>2.3748589548558074E-2</v>
      </c>
      <c r="I192" s="11"/>
      <c r="J192" s="11"/>
      <c r="K192" s="11"/>
      <c r="L192" s="11"/>
      <c r="M192" s="11"/>
      <c r="N192" s="11"/>
    </row>
    <row r="193" spans="1:14" x14ac:dyDescent="0.2">
      <c r="A193" t="str">
        <f t="shared" si="126"/>
        <v>42 Secretarial and related occupations</v>
      </c>
      <c r="B193" s="11">
        <v>4.8489366108881438</v>
      </c>
      <c r="C193" s="11">
        <v>4.25378741515659</v>
      </c>
      <c r="D193" s="11">
        <f t="shared" si="127"/>
        <v>-0.59514919573155378</v>
      </c>
      <c r="E193" s="11">
        <v>2.9977963525137064</v>
      </c>
      <c r="F193" s="11">
        <f t="shared" si="132"/>
        <v>2.4026471567821526</v>
      </c>
      <c r="G193" s="200">
        <f t="shared" si="130"/>
        <v>3.2609598735309664E-2</v>
      </c>
      <c r="I193" s="11"/>
      <c r="J193" s="11"/>
      <c r="K193" s="11"/>
      <c r="L193" s="11"/>
      <c r="M193" s="11"/>
      <c r="N193" s="11"/>
    </row>
    <row r="194" spans="1:14" x14ac:dyDescent="0.2">
      <c r="A194" t="str">
        <f t="shared" si="126"/>
        <v>51 Skilled agricultural and related trades</v>
      </c>
      <c r="B194" s="11">
        <v>1.8637193948387611</v>
      </c>
      <c r="C194" s="11">
        <v>1.836897504086477</v>
      </c>
      <c r="D194" s="11">
        <f t="shared" si="127"/>
        <v>-2.6821890752284139E-2</v>
      </c>
      <c r="E194" s="11">
        <v>0.94119868649298155</v>
      </c>
      <c r="F194" s="11">
        <f t="shared" si="132"/>
        <v>0.91437679574069741</v>
      </c>
      <c r="G194" s="200">
        <f t="shared" si="130"/>
        <v>2.7628113776827945E-2</v>
      </c>
      <c r="I194" s="11"/>
      <c r="J194" s="11"/>
      <c r="K194" s="11"/>
      <c r="L194" s="11"/>
      <c r="M194" s="11"/>
      <c r="N194" s="11"/>
    </row>
    <row r="195" spans="1:14" x14ac:dyDescent="0.2">
      <c r="A195" t="str">
        <f t="shared" si="126"/>
        <v>52 Skilled metal, electrical and electronic trades</v>
      </c>
      <c r="B195" s="11">
        <v>21.948244707444299</v>
      </c>
      <c r="C195" s="11">
        <v>17.488641602550036</v>
      </c>
      <c r="D195" s="11">
        <f t="shared" si="127"/>
        <v>-4.4596031048942635</v>
      </c>
      <c r="E195" s="11">
        <v>6.6162614068801444</v>
      </c>
      <c r="F195" s="11">
        <f t="shared" si="132"/>
        <v>2.1566583019858809</v>
      </c>
      <c r="G195" s="200">
        <f t="shared" si="130"/>
        <v>1.7720357280344379E-2</v>
      </c>
      <c r="I195" s="81"/>
      <c r="J195" s="72"/>
    </row>
    <row r="196" spans="1:14" x14ac:dyDescent="0.2">
      <c r="A196" t="str">
        <f t="shared" si="126"/>
        <v>53 Skilled construction and building trades</v>
      </c>
      <c r="B196" s="11">
        <v>15.238836806809019</v>
      </c>
      <c r="C196" s="11">
        <v>11.199327357022915</v>
      </c>
      <c r="D196" s="11">
        <f t="shared" si="127"/>
        <v>-4.0395094497861042</v>
      </c>
      <c r="E196" s="11">
        <v>4.8960766829313442</v>
      </c>
      <c r="F196" s="11">
        <f t="shared" ref="F196" si="133">SUM(D196:E196)</f>
        <v>0.85656723314524008</v>
      </c>
      <c r="G196" s="200">
        <f t="shared" si="130"/>
        <v>1.8747438991742582E-2</v>
      </c>
    </row>
    <row r="197" spans="1:14" x14ac:dyDescent="0.2">
      <c r="A197" t="str">
        <f t="shared" si="126"/>
        <v>54 Textiles, printing and other skilled trades</v>
      </c>
      <c r="B197" s="11">
        <v>5.8390323758596567</v>
      </c>
      <c r="C197" s="11">
        <v>6.4952715729288935</v>
      </c>
      <c r="D197" s="11">
        <f t="shared" si="127"/>
        <v>0.65623919706923672</v>
      </c>
      <c r="E197" s="11">
        <v>2.7259098439484051</v>
      </c>
      <c r="F197" s="11">
        <f t="shared" ref="F197" si="134">SUM(D197:E197)</f>
        <v>3.3821490410176418</v>
      </c>
      <c r="G197" s="200">
        <f t="shared" si="130"/>
        <v>2.586978084742042E-2</v>
      </c>
    </row>
    <row r="198" spans="1:14" x14ac:dyDescent="0.2">
      <c r="A198" t="str">
        <f t="shared" si="126"/>
        <v>61 Caring personal service occupations</v>
      </c>
      <c r="B198" s="11">
        <v>33.408529395312783</v>
      </c>
      <c r="C198" s="11">
        <v>44.994284180842833</v>
      </c>
      <c r="D198" s="11">
        <f>C198-B198</f>
        <v>11.58575478553005</v>
      </c>
      <c r="E198" s="11">
        <v>23.587991945015954</v>
      </c>
      <c r="F198" s="11">
        <f>SUM(D198:E198)</f>
        <v>35.173746730546</v>
      </c>
      <c r="G198" s="200">
        <f t="shared" si="130"/>
        <v>3.625363284647154E-2</v>
      </c>
    </row>
    <row r="199" spans="1:14" x14ac:dyDescent="0.2">
      <c r="A199" t="str">
        <f t="shared" si="126"/>
        <v>62 Leisure, travel and related personal service occupations</v>
      </c>
      <c r="B199" s="11">
        <v>7.1710502961785467</v>
      </c>
      <c r="C199" s="11">
        <v>7.6633451575638043</v>
      </c>
      <c r="D199" s="11">
        <f t="shared" ref="D199:D205" si="135">C199-B199</f>
        <v>0.49229486138525758</v>
      </c>
      <c r="E199" s="11">
        <v>3.4568239550025428</v>
      </c>
      <c r="F199" s="11">
        <f t="shared" ref="F199:F200" si="136">SUM(D199:E199)</f>
        <v>3.9491188163878004</v>
      </c>
      <c r="G199" s="200">
        <f t="shared" si="130"/>
        <v>2.6575532999644658E-2</v>
      </c>
    </row>
    <row r="200" spans="1:14" x14ac:dyDescent="0.2">
      <c r="A200" t="str">
        <f t="shared" si="126"/>
        <v>63 Community and civil enforcement occupations</v>
      </c>
      <c r="B200" s="11">
        <v>0.32953255265456582</v>
      </c>
      <c r="C200" s="11">
        <v>0.19275939025426092</v>
      </c>
      <c r="D200" s="11">
        <f t="shared" si="135"/>
        <v>-0.1367731624003049</v>
      </c>
      <c r="E200" s="11">
        <v>7.5540735275275467E-2</v>
      </c>
      <c r="F200" s="11">
        <f t="shared" si="136"/>
        <v>-6.1232427125029437E-2</v>
      </c>
      <c r="G200" s="200">
        <f t="shared" si="130"/>
        <v>1.3854622284049212E-2</v>
      </c>
    </row>
    <row r="201" spans="1:14" x14ac:dyDescent="0.2">
      <c r="A201" t="str">
        <f t="shared" si="126"/>
        <v>71 Sales occupations</v>
      </c>
      <c r="B201" s="11">
        <v>31.004301470749109</v>
      </c>
      <c r="C201" s="11">
        <v>35.469221319077349</v>
      </c>
      <c r="D201" s="11">
        <f t="shared" si="135"/>
        <v>4.4649198483282397</v>
      </c>
      <c r="E201" s="11">
        <v>16.677117870497046</v>
      </c>
      <c r="F201" s="11">
        <f t="shared" ref="F201:F202" si="137">SUM(D201:E201)</f>
        <v>21.142037718825286</v>
      </c>
      <c r="G201" s="200">
        <f t="shared" si="130"/>
        <v>2.9110039296684542E-2</v>
      </c>
    </row>
    <row r="202" spans="1:14" x14ac:dyDescent="0.2">
      <c r="A202" t="str">
        <f t="shared" si="126"/>
        <v>72 Customer service occupations</v>
      </c>
      <c r="B202" s="11">
        <v>6.2065353271172832</v>
      </c>
      <c r="C202" s="11">
        <v>9.0974675830050895</v>
      </c>
      <c r="D202" s="11">
        <f t="shared" si="135"/>
        <v>2.8909322558878063</v>
      </c>
      <c r="E202" s="11">
        <v>3.5536400965203416</v>
      </c>
      <c r="F202" s="11">
        <f t="shared" si="137"/>
        <v>6.444572352408148</v>
      </c>
      <c r="G202" s="200">
        <f t="shared" si="130"/>
        <v>3.0640551362825175E-2</v>
      </c>
    </row>
    <row r="203" spans="1:14" x14ac:dyDescent="0.2">
      <c r="A203" t="str">
        <f t="shared" si="126"/>
        <v>81 Process, plant and machine operatives</v>
      </c>
      <c r="B203" s="11">
        <v>11.1580243574405</v>
      </c>
      <c r="C203" s="11">
        <v>14.110566166467164</v>
      </c>
      <c r="D203" s="11">
        <f t="shared" si="135"/>
        <v>2.9525418090266644</v>
      </c>
      <c r="E203" s="11">
        <v>4.8814399630978755</v>
      </c>
      <c r="F203" s="11">
        <f t="shared" ref="F203:F204" si="138">SUM(D203:E203)</f>
        <v>7.8339817721245399</v>
      </c>
      <c r="G203" s="200">
        <f t="shared" si="130"/>
        <v>2.4487908415210979E-2</v>
      </c>
    </row>
    <row r="204" spans="1:14" x14ac:dyDescent="0.2">
      <c r="A204" t="str">
        <f t="shared" si="126"/>
        <v>82 Transport and mobile machine drivers and operatives</v>
      </c>
      <c r="B204" s="11">
        <v>11.479892623343604</v>
      </c>
      <c r="C204" s="11">
        <v>10.838240772834263</v>
      </c>
      <c r="D204" s="11">
        <f t="shared" si="135"/>
        <v>-0.6416518505093407</v>
      </c>
      <c r="E204" s="11">
        <v>5.464429797171535</v>
      </c>
      <c r="F204" s="11">
        <f t="shared" si="138"/>
        <v>4.8227779466621943</v>
      </c>
      <c r="G204" s="200">
        <f t="shared" si="130"/>
        <v>2.6295501719834302E-2</v>
      </c>
    </row>
    <row r="205" spans="1:14" x14ac:dyDescent="0.2">
      <c r="A205" t="str">
        <f t="shared" si="126"/>
        <v>91 Elementary trades and related occupations</v>
      </c>
      <c r="B205" s="11">
        <v>2.9109763264099593</v>
      </c>
      <c r="C205" s="11">
        <v>2.2473634862974907</v>
      </c>
      <c r="D205" s="11">
        <f t="shared" si="135"/>
        <v>-0.66361284011246857</v>
      </c>
      <c r="E205" s="11">
        <v>0.84579486767740641</v>
      </c>
      <c r="F205" s="11">
        <f t="shared" ref="F205" si="139">SUM(D205:E205)</f>
        <v>0.18218202756493784</v>
      </c>
      <c r="G205" s="200">
        <f t="shared" si="130"/>
        <v>1.7150159285797884E-2</v>
      </c>
    </row>
    <row r="206" spans="1:14" x14ac:dyDescent="0.2">
      <c r="A206" t="str">
        <f t="shared" si="126"/>
        <v>92 Elementary administration and service occupations</v>
      </c>
      <c r="B206" s="11">
        <v>24.365201339023812</v>
      </c>
      <c r="C206" s="11">
        <v>23.422065351165074</v>
      </c>
      <c r="D206" s="11">
        <f t="shared" ref="D206" si="140">C206-B206</f>
        <v>-0.94313598785873864</v>
      </c>
      <c r="E206" s="11">
        <v>11.573756623426174</v>
      </c>
      <c r="F206" s="11">
        <f t="shared" ref="F206" si="141">SUM(D206:E206)</f>
        <v>10.630620635567436</v>
      </c>
      <c r="G206" s="200">
        <f t="shared" ref="G206" si="142">IF(B206&gt;0,(1+(E206/B206))^(1/($C$6-$B$6))-1,0)</f>
        <v>2.6249673012382457E-2</v>
      </c>
    </row>
    <row r="207" spans="1:14" x14ac:dyDescent="0.2">
      <c r="A207" t="str">
        <f t="shared" si="126"/>
        <v>All occupations</v>
      </c>
      <c r="B207" s="11">
        <f>SUM(B181:B206)</f>
        <v>294.47764990672732</v>
      </c>
      <c r="C207" s="11">
        <f t="shared" ref="C207:F207" si="143">SUM(C181:C206)</f>
        <v>300.53256546660708</v>
      </c>
      <c r="D207" s="11">
        <f t="shared" si="143"/>
        <v>6.0549155598797899</v>
      </c>
      <c r="E207" s="11">
        <f t="shared" si="143"/>
        <v>137.25613034131712</v>
      </c>
      <c r="F207" s="11">
        <f t="shared" si="143"/>
        <v>143.31104590119693</v>
      </c>
      <c r="G207" s="200">
        <f t="shared" si="130"/>
        <v>2.5835158236335642E-2</v>
      </c>
    </row>
    <row r="209" spans="1:7" ht="38.25" x14ac:dyDescent="0.2">
      <c r="A209" s="201" t="str">
        <f>CONCATENATE(name!F10," (Constrained)")</f>
        <v>RQF2 GCSE(A-C) &amp; equivalent (Constrained)</v>
      </c>
      <c r="B209" s="74">
        <f t="shared" ref="B209:G209" si="144">B122</f>
        <v>2020</v>
      </c>
      <c r="C209" s="74">
        <f t="shared" si="144"/>
        <v>2035</v>
      </c>
      <c r="D209" s="87" t="str">
        <f t="shared" si="144"/>
        <v>Net Change</v>
      </c>
      <c r="E209" s="87" t="str">
        <f t="shared" si="144"/>
        <v>Replacement Demand level</v>
      </c>
      <c r="F209" s="87" t="str">
        <f t="shared" si="144"/>
        <v>Total Requirement</v>
      </c>
      <c r="G209" s="87" t="str">
        <f t="shared" si="144"/>
        <v>Replacement Demand rate</v>
      </c>
    </row>
    <row r="210" spans="1:7" x14ac:dyDescent="0.2">
      <c r="A210" t="str">
        <f t="shared" ref="A210:A236" si="145">A123</f>
        <v>11 Corporate managers and directors</v>
      </c>
      <c r="B210" s="11">
        <v>9.9121623140486932</v>
      </c>
      <c r="C210" s="11">
        <v>7.7967380659128125</v>
      </c>
      <c r="D210" s="11">
        <f>C210-B210</f>
        <v>-2.1154242481358807</v>
      </c>
      <c r="E210" s="11">
        <v>3.6571151018752008</v>
      </c>
      <c r="F210" s="11">
        <f>SUM(D210:E210)</f>
        <v>1.5416908537393201</v>
      </c>
      <c r="G210" s="200">
        <f>IF(B210&gt;0,(1+(E210/B210))^(1/($C$6-$B$6))-1,0)</f>
        <v>2.1157083835327661E-2</v>
      </c>
    </row>
    <row r="211" spans="1:7" x14ac:dyDescent="0.2">
      <c r="A211" t="str">
        <f t="shared" si="145"/>
        <v>12 Other managers and proprietors</v>
      </c>
      <c r="B211" s="11">
        <v>8.1562481269553047</v>
      </c>
      <c r="C211" s="11">
        <v>10.048805781833357</v>
      </c>
      <c r="D211" s="11">
        <f t="shared" ref="D211:D226" si="146">C211-B211</f>
        <v>1.8925576548780523</v>
      </c>
      <c r="E211" s="11">
        <v>4.8646897387380381</v>
      </c>
      <c r="F211" s="11">
        <f t="shared" ref="F211:F218" si="147">SUM(D211:E211)</f>
        <v>6.7572473936160904</v>
      </c>
      <c r="G211" s="200">
        <f t="shared" ref="G211:G213" si="148">IF(B211&gt;0,(1+(E211/B211))^(1/($C$6-$B$6))-1,0)</f>
        <v>3.1676304540115163E-2</v>
      </c>
    </row>
    <row r="212" spans="1:7" x14ac:dyDescent="0.2">
      <c r="A212" t="str">
        <f t="shared" si="145"/>
        <v>21 Science, research, engineering and technology professionals</v>
      </c>
      <c r="B212" s="11">
        <v>6.5460546858901987</v>
      </c>
      <c r="C212" s="11">
        <v>6.0359345988902655</v>
      </c>
      <c r="D212" s="11">
        <f t="shared" si="146"/>
        <v>-0.51012008699993316</v>
      </c>
      <c r="E212" s="11">
        <v>1.9332251722859386</v>
      </c>
      <c r="F212" s="11">
        <f t="shared" si="147"/>
        <v>1.4231050852860054</v>
      </c>
      <c r="G212" s="200">
        <f t="shared" si="148"/>
        <v>1.7400521762071186E-2</v>
      </c>
    </row>
    <row r="213" spans="1:7" x14ac:dyDescent="0.2">
      <c r="A213" t="str">
        <f t="shared" si="145"/>
        <v>22 Health professionals</v>
      </c>
      <c r="B213" s="11">
        <v>6.7429588744627775</v>
      </c>
      <c r="C213" s="11">
        <v>6.0316555082736656</v>
      </c>
      <c r="D213" s="11">
        <f t="shared" si="146"/>
        <v>-0.71130336618911194</v>
      </c>
      <c r="E213" s="11">
        <v>2.8790988890799114</v>
      </c>
      <c r="F213" s="11">
        <f t="shared" si="147"/>
        <v>2.1677955228907995</v>
      </c>
      <c r="G213" s="200">
        <f t="shared" si="148"/>
        <v>2.3987126116786106E-2</v>
      </c>
    </row>
    <row r="214" spans="1:7" x14ac:dyDescent="0.2">
      <c r="A214" t="str">
        <f t="shared" si="145"/>
        <v>23 Teaching and other educational professionals</v>
      </c>
      <c r="B214" s="11">
        <v>2.0789444658441996</v>
      </c>
      <c r="C214" s="11">
        <v>1.6994363793872846</v>
      </c>
      <c r="D214" s="11">
        <f t="shared" si="146"/>
        <v>-0.37950808645691492</v>
      </c>
      <c r="E214" s="11">
        <v>0.83216226771839863</v>
      </c>
      <c r="F214" s="11">
        <f t="shared" si="147"/>
        <v>0.45265418126148371</v>
      </c>
      <c r="G214" s="200">
        <f>IF(B214&gt;0,(1+(E214/B214))^(1/($C$6-$B$6))-1,0)</f>
        <v>2.2698650083305072E-2</v>
      </c>
    </row>
    <row r="215" spans="1:7" x14ac:dyDescent="0.2">
      <c r="A215" t="str">
        <f t="shared" si="145"/>
        <v>24 Business, media and public service professionals</v>
      </c>
      <c r="B215" s="11">
        <v>6.6751063240304944</v>
      </c>
      <c r="C215" s="11">
        <v>6.4220474790334521</v>
      </c>
      <c r="D215" s="11">
        <f t="shared" si="146"/>
        <v>-0.25305884499704234</v>
      </c>
      <c r="E215" s="11">
        <v>2.6249742853012492</v>
      </c>
      <c r="F215" s="11">
        <f t="shared" si="147"/>
        <v>2.3719154403042069</v>
      </c>
      <c r="G215" s="200">
        <f t="shared" ref="G215:G236" si="149">IF(B215&gt;0,(1+(E215/B215))^(1/($C$6-$B$6))-1,0)</f>
        <v>2.2355415152474967E-2</v>
      </c>
    </row>
    <row r="216" spans="1:7" x14ac:dyDescent="0.2">
      <c r="A216" t="str">
        <f t="shared" si="145"/>
        <v>31 Science, engineering and technology associate professionals</v>
      </c>
      <c r="B216" s="11">
        <v>4.4092006372928259</v>
      </c>
      <c r="C216" s="11">
        <v>3.4836355616605847</v>
      </c>
      <c r="D216" s="11">
        <f t="shared" si="146"/>
        <v>-0.92556507563224111</v>
      </c>
      <c r="E216" s="11">
        <v>1.2480478783448956</v>
      </c>
      <c r="F216" s="11">
        <f t="shared" si="147"/>
        <v>0.3224828027126545</v>
      </c>
      <c r="G216" s="200">
        <f t="shared" si="149"/>
        <v>1.6755100526651967E-2</v>
      </c>
    </row>
    <row r="217" spans="1:7" x14ac:dyDescent="0.2">
      <c r="A217" t="str">
        <f t="shared" si="145"/>
        <v>32 Health and social care associate professionals</v>
      </c>
      <c r="B217" s="11">
        <v>4.0851424822972877</v>
      </c>
      <c r="C217" s="11">
        <v>3.0089765732691678</v>
      </c>
      <c r="D217" s="11">
        <f t="shared" si="146"/>
        <v>-1.0761659090281199</v>
      </c>
      <c r="E217" s="11">
        <v>1.7212698947829184</v>
      </c>
      <c r="F217" s="11">
        <f t="shared" si="147"/>
        <v>0.64510398575479844</v>
      </c>
      <c r="G217" s="200">
        <f t="shared" si="149"/>
        <v>2.3717304624787161E-2</v>
      </c>
    </row>
    <row r="218" spans="1:7" x14ac:dyDescent="0.2">
      <c r="A218" t="str">
        <f t="shared" si="145"/>
        <v>33 Protective service occupations</v>
      </c>
      <c r="B218" s="11">
        <v>4.1807565716696287</v>
      </c>
      <c r="C218" s="11">
        <v>4.4661571822958148</v>
      </c>
      <c r="D218" s="11">
        <f t="shared" si="146"/>
        <v>0.28540061062618616</v>
      </c>
      <c r="E218" s="11">
        <v>1.2949652277817478</v>
      </c>
      <c r="F218" s="11">
        <f t="shared" si="147"/>
        <v>1.580365838407934</v>
      </c>
      <c r="G218" s="200">
        <f t="shared" si="149"/>
        <v>1.8151564500528794E-2</v>
      </c>
    </row>
    <row r="219" spans="1:7" x14ac:dyDescent="0.2">
      <c r="A219" t="str">
        <f t="shared" si="145"/>
        <v>34 Culture, media and sports occupations</v>
      </c>
      <c r="B219" s="11">
        <v>1.0677048219306575</v>
      </c>
      <c r="C219" s="11">
        <v>0.55028159775424212</v>
      </c>
      <c r="D219" s="11">
        <f t="shared" si="146"/>
        <v>-0.5174232241764154</v>
      </c>
      <c r="E219" s="11">
        <v>0.28694094598887615</v>
      </c>
      <c r="F219" s="11">
        <f t="shared" ref="F219:F220" si="150">SUM(D219:E219)</f>
        <v>-0.23048227818753925</v>
      </c>
      <c r="G219" s="200">
        <f t="shared" si="149"/>
        <v>1.5995152915548427E-2</v>
      </c>
    </row>
    <row r="220" spans="1:7" x14ac:dyDescent="0.2">
      <c r="A220" t="str">
        <f t="shared" si="145"/>
        <v>35 Business and public service associate professionals</v>
      </c>
      <c r="B220" s="11">
        <v>9.1308955915748271</v>
      </c>
      <c r="C220" s="11">
        <v>7.1060709826730974</v>
      </c>
      <c r="D220" s="11">
        <f t="shared" si="146"/>
        <v>-2.0248246089017297</v>
      </c>
      <c r="E220" s="11">
        <v>2.9663568918802521</v>
      </c>
      <c r="F220" s="11">
        <f t="shared" si="150"/>
        <v>0.94153228297852243</v>
      </c>
      <c r="G220" s="200">
        <f t="shared" si="149"/>
        <v>1.8931271627822488E-2</v>
      </c>
    </row>
    <row r="221" spans="1:7" x14ac:dyDescent="0.2">
      <c r="A221" t="str">
        <f t="shared" si="145"/>
        <v>41 Administrative occupations</v>
      </c>
      <c r="B221" s="11">
        <v>27.928497366207829</v>
      </c>
      <c r="C221" s="11">
        <v>16.935236750547535</v>
      </c>
      <c r="D221" s="11">
        <f t="shared" si="146"/>
        <v>-10.993260615660294</v>
      </c>
      <c r="E221" s="11">
        <v>8.7560534286587721</v>
      </c>
      <c r="F221" s="11">
        <f t="shared" ref="F221:F224" si="151">SUM(D221:E221)</f>
        <v>-2.2372071870015215</v>
      </c>
      <c r="G221" s="200">
        <f t="shared" si="149"/>
        <v>1.8346814072749629E-2</v>
      </c>
    </row>
    <row r="222" spans="1:7" x14ac:dyDescent="0.2">
      <c r="A222" t="str">
        <f t="shared" si="145"/>
        <v>42 Secretarial and related occupations</v>
      </c>
      <c r="B222" s="11">
        <v>4.899402520464192</v>
      </c>
      <c r="C222" s="11">
        <v>0.97056565389364169</v>
      </c>
      <c r="D222" s="11">
        <f t="shared" si="146"/>
        <v>-3.9288368665705504</v>
      </c>
      <c r="E222" s="11">
        <v>1.25072113296478</v>
      </c>
      <c r="F222" s="11">
        <f t="shared" si="151"/>
        <v>-2.6781157336057704</v>
      </c>
      <c r="G222" s="200">
        <f t="shared" si="149"/>
        <v>1.5272715526523539E-2</v>
      </c>
    </row>
    <row r="223" spans="1:7" x14ac:dyDescent="0.2">
      <c r="A223" t="str">
        <f t="shared" si="145"/>
        <v>51 Skilled agricultural and related trades</v>
      </c>
      <c r="B223" s="11">
        <v>2.8571835045597793</v>
      </c>
      <c r="C223" s="11">
        <v>3.2767526271553726</v>
      </c>
      <c r="D223" s="11">
        <f t="shared" si="146"/>
        <v>0.41956912259559331</v>
      </c>
      <c r="E223" s="11">
        <v>1.6083668260892134</v>
      </c>
      <c r="F223" s="11">
        <f t="shared" si="151"/>
        <v>2.0279359486848065</v>
      </c>
      <c r="G223" s="200">
        <f t="shared" si="149"/>
        <v>3.0217976311984085E-2</v>
      </c>
    </row>
    <row r="224" spans="1:7" x14ac:dyDescent="0.2">
      <c r="A224" t="str">
        <f t="shared" si="145"/>
        <v>52 Skilled metal, electrical and electronic trades</v>
      </c>
      <c r="B224" s="11">
        <v>10.421197953181135</v>
      </c>
      <c r="C224" s="11">
        <v>9.1591721127340726</v>
      </c>
      <c r="D224" s="11">
        <f t="shared" si="146"/>
        <v>-1.2620258404470626</v>
      </c>
      <c r="E224" s="11">
        <v>3.5127231126751792</v>
      </c>
      <c r="F224" s="11">
        <f t="shared" si="151"/>
        <v>2.2506972722281167</v>
      </c>
      <c r="G224" s="200">
        <f t="shared" si="149"/>
        <v>1.9554345543468354E-2</v>
      </c>
    </row>
    <row r="225" spans="1:7" x14ac:dyDescent="0.2">
      <c r="A225" t="str">
        <f t="shared" si="145"/>
        <v>53 Skilled construction and building trades</v>
      </c>
      <c r="B225" s="11">
        <v>12.438789199107134</v>
      </c>
      <c r="C225" s="11">
        <v>14.296877226520273</v>
      </c>
      <c r="D225" s="11">
        <f t="shared" si="146"/>
        <v>1.8580880274131388</v>
      </c>
      <c r="E225" s="11">
        <v>5.963358024530037</v>
      </c>
      <c r="F225" s="11">
        <f t="shared" ref="F225" si="152">SUM(D225:E225)</f>
        <v>7.8214460519431759</v>
      </c>
      <c r="G225" s="200">
        <f t="shared" si="149"/>
        <v>2.6453688189520319E-2</v>
      </c>
    </row>
    <row r="226" spans="1:7" x14ac:dyDescent="0.2">
      <c r="A226" t="str">
        <f t="shared" si="145"/>
        <v>54 Textiles, printing and other skilled trades</v>
      </c>
      <c r="B226" s="11">
        <v>6.1806281704023673</v>
      </c>
      <c r="C226" s="11">
        <v>4.570855921261705</v>
      </c>
      <c r="D226" s="11">
        <f t="shared" si="146"/>
        <v>-1.6097722491406623</v>
      </c>
      <c r="E226" s="11">
        <v>2.0053488770571852</v>
      </c>
      <c r="F226" s="11">
        <f t="shared" ref="F226" si="153">SUM(D226:E226)</f>
        <v>0.39557662791652293</v>
      </c>
      <c r="G226" s="200">
        <f t="shared" si="149"/>
        <v>1.8910083914168485E-2</v>
      </c>
    </row>
    <row r="227" spans="1:7" x14ac:dyDescent="0.2">
      <c r="A227" t="str">
        <f t="shared" si="145"/>
        <v>61 Caring personal service occupations</v>
      </c>
      <c r="B227" s="11">
        <v>23.622583714023992</v>
      </c>
      <c r="C227" s="11">
        <v>16.015125970973038</v>
      </c>
      <c r="D227" s="11">
        <f>C227-B227</f>
        <v>-7.6074577430509542</v>
      </c>
      <c r="E227" s="11">
        <v>9.726434461270717</v>
      </c>
      <c r="F227" s="11">
        <f>SUM(D227:E227)</f>
        <v>2.1189767182197627</v>
      </c>
      <c r="G227" s="200">
        <f t="shared" si="149"/>
        <v>2.3254611085777643E-2</v>
      </c>
    </row>
    <row r="228" spans="1:7" x14ac:dyDescent="0.2">
      <c r="A228" t="str">
        <f t="shared" si="145"/>
        <v>62 Leisure, travel and related personal service occupations</v>
      </c>
      <c r="B228" s="11">
        <v>7.210731438562453</v>
      </c>
      <c r="C228" s="11">
        <v>4.9881237778383873</v>
      </c>
      <c r="D228" s="11">
        <f t="shared" ref="D228:D234" si="154">C228-B228</f>
        <v>-2.2226076607240657</v>
      </c>
      <c r="E228" s="11">
        <v>2.7172134581428629</v>
      </c>
      <c r="F228" s="11">
        <f t="shared" ref="F228:F229" si="155">SUM(D228:E228)</f>
        <v>0.49460579741879718</v>
      </c>
      <c r="G228" s="200">
        <f t="shared" si="149"/>
        <v>2.1547744290637993E-2</v>
      </c>
    </row>
    <row r="229" spans="1:7" x14ac:dyDescent="0.2">
      <c r="A229" t="str">
        <f t="shared" si="145"/>
        <v>63 Community and civil enforcement occupations</v>
      </c>
      <c r="B229" s="11">
        <v>0.45570756010098118</v>
      </c>
      <c r="C229" s="11">
        <v>0.37873329440508308</v>
      </c>
      <c r="D229" s="11">
        <f t="shared" si="154"/>
        <v>-7.6974265695898103E-2</v>
      </c>
      <c r="E229" s="11">
        <v>0.1525540444078371</v>
      </c>
      <c r="F229" s="11">
        <f t="shared" si="155"/>
        <v>7.5579778711938994E-2</v>
      </c>
      <c r="G229" s="200">
        <f t="shared" si="149"/>
        <v>1.943673222132003E-2</v>
      </c>
    </row>
    <row r="230" spans="1:7" x14ac:dyDescent="0.2">
      <c r="A230" t="str">
        <f t="shared" si="145"/>
        <v>71 Sales occupations</v>
      </c>
      <c r="B230" s="11">
        <v>28.997148687495898</v>
      </c>
      <c r="C230" s="11">
        <v>19.022980365218661</v>
      </c>
      <c r="D230" s="11">
        <f t="shared" si="154"/>
        <v>-9.9741683222772366</v>
      </c>
      <c r="E230" s="11">
        <v>11.283917374201895</v>
      </c>
      <c r="F230" s="11">
        <f t="shared" ref="F230:F231" si="156">SUM(D230:E230)</f>
        <v>1.3097490519246584</v>
      </c>
      <c r="G230" s="200">
        <f t="shared" si="149"/>
        <v>2.2154105576863925E-2</v>
      </c>
    </row>
    <row r="231" spans="1:7" x14ac:dyDescent="0.2">
      <c r="A231" t="str">
        <f t="shared" si="145"/>
        <v>72 Customer service occupations</v>
      </c>
      <c r="B231" s="11">
        <v>6.3977383976105724</v>
      </c>
      <c r="C231" s="11">
        <v>7.7441303499668557</v>
      </c>
      <c r="D231" s="11">
        <f t="shared" si="154"/>
        <v>1.3463919523562833</v>
      </c>
      <c r="E231" s="11">
        <v>3.3874521239430546</v>
      </c>
      <c r="F231" s="11">
        <f t="shared" si="156"/>
        <v>4.7338440762993379</v>
      </c>
      <c r="G231" s="200">
        <f t="shared" si="149"/>
        <v>2.8733432029479422E-2</v>
      </c>
    </row>
    <row r="232" spans="1:7" x14ac:dyDescent="0.2">
      <c r="A232" t="str">
        <f t="shared" si="145"/>
        <v>81 Process, plant and machine operatives</v>
      </c>
      <c r="B232" s="11">
        <v>11.430917226311445</v>
      </c>
      <c r="C232" s="11">
        <v>15.001394660402719</v>
      </c>
      <c r="D232" s="11">
        <f t="shared" si="154"/>
        <v>3.5704774340912735</v>
      </c>
      <c r="E232" s="11">
        <v>5.4311309209911931</v>
      </c>
      <c r="F232" s="11">
        <f t="shared" ref="F232:F233" si="157">SUM(D232:E232)</f>
        <v>9.0016083550824675</v>
      </c>
      <c r="G232" s="200">
        <f t="shared" si="149"/>
        <v>2.6254992803482091E-2</v>
      </c>
    </row>
    <row r="233" spans="1:7" x14ac:dyDescent="0.2">
      <c r="A233" t="str">
        <f t="shared" si="145"/>
        <v>82 Transport and mobile machine drivers and operatives</v>
      </c>
      <c r="B233" s="11">
        <v>15.009239675703284</v>
      </c>
      <c r="C233" s="11">
        <v>17.470856114265999</v>
      </c>
      <c r="D233" s="11">
        <f t="shared" si="154"/>
        <v>2.4616164385627144</v>
      </c>
      <c r="E233" s="11">
        <v>8.5941973365595601</v>
      </c>
      <c r="F233" s="11">
        <f t="shared" si="157"/>
        <v>11.055813775122274</v>
      </c>
      <c r="G233" s="200">
        <f t="shared" si="149"/>
        <v>3.0641842798190044E-2</v>
      </c>
    </row>
    <row r="234" spans="1:7" x14ac:dyDescent="0.2">
      <c r="A234" t="str">
        <f t="shared" si="145"/>
        <v>91 Elementary trades and related occupations</v>
      </c>
      <c r="B234" s="11">
        <v>5.0673856004371052</v>
      </c>
      <c r="C234" s="11">
        <v>4.4523747468953667</v>
      </c>
      <c r="D234" s="11">
        <f t="shared" si="154"/>
        <v>-0.61501085354173846</v>
      </c>
      <c r="E234" s="11">
        <v>1.5865228244947118</v>
      </c>
      <c r="F234" s="11">
        <f t="shared" ref="F234" si="158">SUM(D234:E234)</f>
        <v>0.97151197095297337</v>
      </c>
      <c r="G234" s="200">
        <f t="shared" si="149"/>
        <v>1.8324496398562484E-2</v>
      </c>
    </row>
    <row r="235" spans="1:7" x14ac:dyDescent="0.2">
      <c r="A235" t="str">
        <f t="shared" si="145"/>
        <v>92 Elementary administration and service occupations</v>
      </c>
      <c r="B235" s="11">
        <v>40.283028913344971</v>
      </c>
      <c r="C235" s="11">
        <v>40.66167490315528</v>
      </c>
      <c r="D235" s="11">
        <f t="shared" ref="D235" si="159">C235-B235</f>
        <v>0.37864598981030895</v>
      </c>
      <c r="E235" s="11">
        <v>18.755106727236655</v>
      </c>
      <c r="F235" s="11">
        <f t="shared" ref="F235" si="160">SUM(D235:E235)</f>
        <v>19.133752717046963</v>
      </c>
      <c r="G235" s="200">
        <f t="shared" ref="G235" si="161">IF(B235&gt;0,(1+(E235/B235))^(1/($C$6-$B$6))-1,0)</f>
        <v>2.5811037722986097E-2</v>
      </c>
    </row>
    <row r="236" spans="1:7" x14ac:dyDescent="0.2">
      <c r="A236" t="str">
        <f t="shared" si="145"/>
        <v>All occupations</v>
      </c>
      <c r="B236" s="11">
        <f>SUM(B210:B235)</f>
        <v>266.18535482351007</v>
      </c>
      <c r="C236" s="11">
        <f t="shared" ref="C236:F236" si="162">SUM(C210:C235)</f>
        <v>231.59459418621773</v>
      </c>
      <c r="D236" s="11">
        <f t="shared" si="162"/>
        <v>-34.590760637292298</v>
      </c>
      <c r="E236" s="11">
        <f t="shared" si="162"/>
        <v>109.03994696700107</v>
      </c>
      <c r="F236" s="11">
        <f t="shared" si="162"/>
        <v>74.44918632970878</v>
      </c>
      <c r="G236" s="200">
        <f t="shared" si="149"/>
        <v>2.3152878791777409E-2</v>
      </c>
    </row>
    <row r="238" spans="1:7" ht="38.25" x14ac:dyDescent="0.2">
      <c r="A238" s="201" t="str">
        <f>CONCATENATE(name!F11," (Constrained)")</f>
        <v>RQF1 GCSE(below grade C) &amp; equivalent (Constrained)</v>
      </c>
      <c r="B238" s="74">
        <f t="shared" ref="B238:G238" si="163">B151</f>
        <v>2020</v>
      </c>
      <c r="C238" s="74">
        <f t="shared" si="163"/>
        <v>2035</v>
      </c>
      <c r="D238" s="87" t="str">
        <f t="shared" si="163"/>
        <v>Net Change</v>
      </c>
      <c r="E238" s="87" t="str">
        <f t="shared" si="163"/>
        <v>Replacement Demand level</v>
      </c>
      <c r="F238" s="87" t="str">
        <f t="shared" si="163"/>
        <v>Total Requirement</v>
      </c>
      <c r="G238" s="87" t="str">
        <f t="shared" si="163"/>
        <v>Replacement Demand rate</v>
      </c>
    </row>
    <row r="239" spans="1:7" x14ac:dyDescent="0.2">
      <c r="A239" t="str">
        <f t="shared" ref="A239:A265" si="164">A152</f>
        <v>11 Corporate managers and directors</v>
      </c>
      <c r="B239" s="11">
        <v>4.8169446146861983</v>
      </c>
      <c r="C239" s="11">
        <v>3.181126460675288</v>
      </c>
      <c r="D239" s="11">
        <f>C239-B239</f>
        <v>-1.6358181540109102</v>
      </c>
      <c r="E239" s="11">
        <v>1.7415168398132748</v>
      </c>
      <c r="F239" s="11">
        <f>SUM(D239:E239)</f>
        <v>0.10569868580236452</v>
      </c>
      <c r="G239" s="200">
        <f>IF(B239&gt;0,(1+(E239/B239))^(1/($C$6-$B$6))-1,0)</f>
        <v>2.0787526393664546E-2</v>
      </c>
    </row>
    <row r="240" spans="1:7" x14ac:dyDescent="0.2">
      <c r="A240" t="str">
        <f t="shared" si="164"/>
        <v>12 Other managers and proprietors</v>
      </c>
      <c r="B240" s="11">
        <v>4.3341944582299945</v>
      </c>
      <c r="C240" s="11">
        <v>3.7961202281761368</v>
      </c>
      <c r="D240" s="11">
        <f t="shared" ref="D240:D255" si="165">C240-B240</f>
        <v>-0.53807423005385768</v>
      </c>
      <c r="E240" s="11">
        <v>2.1101851097893825</v>
      </c>
      <c r="F240" s="11">
        <f t="shared" ref="F240:F247" si="166">SUM(D240:E240)</f>
        <v>1.5721108797355248</v>
      </c>
      <c r="G240" s="200">
        <f t="shared" ref="G240:G242" si="167">IF(B240&gt;0,(1+(E240/B240))^(1/($C$6-$B$6))-1,0)</f>
        <v>2.6797607266104029E-2</v>
      </c>
    </row>
    <row r="241" spans="1:7" x14ac:dyDescent="0.2">
      <c r="A241" t="str">
        <f t="shared" si="164"/>
        <v>21 Science, research, engineering and technology professionals</v>
      </c>
      <c r="B241" s="11">
        <v>3.0702730144017965</v>
      </c>
      <c r="C241" s="11">
        <v>2.7669657629460134</v>
      </c>
      <c r="D241" s="11">
        <f t="shared" si="165"/>
        <v>-0.30330725145578308</v>
      </c>
      <c r="E241" s="11">
        <v>0.91912961053390929</v>
      </c>
      <c r="F241" s="11">
        <f t="shared" si="166"/>
        <v>0.61582235907812621</v>
      </c>
      <c r="G241" s="200">
        <f t="shared" si="167"/>
        <v>1.7611621747496864E-2</v>
      </c>
    </row>
    <row r="242" spans="1:7" x14ac:dyDescent="0.2">
      <c r="A242" t="str">
        <f t="shared" si="164"/>
        <v>22 Health professionals</v>
      </c>
      <c r="B242" s="11">
        <v>2.6984409000285625</v>
      </c>
      <c r="C242" s="11">
        <v>1.1869490253959207</v>
      </c>
      <c r="D242" s="11">
        <f t="shared" si="165"/>
        <v>-1.5114918746326418</v>
      </c>
      <c r="E242" s="11">
        <v>0.80254939279150472</v>
      </c>
      <c r="F242" s="11">
        <f t="shared" si="166"/>
        <v>-0.70894248184113706</v>
      </c>
      <c r="G242" s="200">
        <f t="shared" si="167"/>
        <v>1.7509641364929607E-2</v>
      </c>
    </row>
    <row r="243" spans="1:7" x14ac:dyDescent="0.2">
      <c r="A243" t="str">
        <f t="shared" si="164"/>
        <v>23 Teaching and other educational professionals</v>
      </c>
      <c r="B243" s="11">
        <v>1.2695718398508142</v>
      </c>
      <c r="C243" s="11">
        <v>0.84699616848033421</v>
      </c>
      <c r="D243" s="11">
        <f t="shared" si="165"/>
        <v>-0.42257567137048002</v>
      </c>
      <c r="E243" s="11">
        <v>0.44394455954542628</v>
      </c>
      <c r="F243" s="11">
        <f t="shared" si="166"/>
        <v>2.1368888174946254E-2</v>
      </c>
      <c r="G243" s="200">
        <f>IF(B243&gt;0,(1+(E243/B243))^(1/($C$6-$B$6))-1,0)</f>
        <v>2.0192357080292656E-2</v>
      </c>
    </row>
    <row r="244" spans="1:7" x14ac:dyDescent="0.2">
      <c r="A244" t="str">
        <f t="shared" si="164"/>
        <v>24 Business, media and public service professionals</v>
      </c>
      <c r="B244" s="11">
        <v>3.0511464670247159</v>
      </c>
      <c r="C244" s="11">
        <v>1.9567025872275527</v>
      </c>
      <c r="D244" s="11">
        <f t="shared" si="165"/>
        <v>-1.0944438797971632</v>
      </c>
      <c r="E244" s="11">
        <v>1.0254988610243996</v>
      </c>
      <c r="F244" s="11">
        <f t="shared" si="166"/>
        <v>-6.89450187727636E-2</v>
      </c>
      <c r="G244" s="200">
        <f t="shared" ref="G244:G265" si="168">IF(B244&gt;0,(1+(E244/B244))^(1/($C$6-$B$6))-1,0)</f>
        <v>1.9504917426299118E-2</v>
      </c>
    </row>
    <row r="245" spans="1:7" x14ac:dyDescent="0.2">
      <c r="A245" t="str">
        <f t="shared" si="164"/>
        <v>31 Science, engineering and technology associate professionals</v>
      </c>
      <c r="B245" s="11">
        <v>2.464156167869691</v>
      </c>
      <c r="C245" s="11">
        <v>1.8423649738112258</v>
      </c>
      <c r="D245" s="11">
        <f t="shared" si="165"/>
        <v>-0.62179119405846528</v>
      </c>
      <c r="E245" s="11">
        <v>0.73343140269577134</v>
      </c>
      <c r="F245" s="11">
        <f t="shared" si="166"/>
        <v>0.11164020863730606</v>
      </c>
      <c r="G245" s="200">
        <f>IF(B245&gt;0,(1+(E245/B245))^(1/($C$6-$B$6))-1,0)</f>
        <v>1.752154699770081E-2</v>
      </c>
    </row>
    <row r="246" spans="1:7" x14ac:dyDescent="0.2">
      <c r="A246" t="str">
        <f t="shared" si="164"/>
        <v>32 Health and social care associate professionals</v>
      </c>
      <c r="B246" s="11">
        <v>1.0631712047819257</v>
      </c>
      <c r="C246" s="11">
        <v>0.40818098378411422</v>
      </c>
      <c r="D246" s="11">
        <f t="shared" si="165"/>
        <v>-0.65499022099781157</v>
      </c>
      <c r="E246" s="11">
        <v>0.29383830432748509</v>
      </c>
      <c r="F246" s="11">
        <f t="shared" si="166"/>
        <v>-0.36115191667032648</v>
      </c>
      <c r="G246" s="200">
        <f t="shared" si="168"/>
        <v>1.6401535226485464E-2</v>
      </c>
    </row>
    <row r="247" spans="1:7" x14ac:dyDescent="0.2">
      <c r="A247" t="str">
        <f t="shared" si="164"/>
        <v>33 Protective service occupations</v>
      </c>
      <c r="B247" s="11">
        <v>1.7641445189443559</v>
      </c>
      <c r="C247" s="11">
        <v>1.2049296705468793</v>
      </c>
      <c r="D247" s="11">
        <f t="shared" si="165"/>
        <v>-0.55921484839747659</v>
      </c>
      <c r="E247" s="11">
        <v>0.6212957495241751</v>
      </c>
      <c r="F247" s="11">
        <f t="shared" si="166"/>
        <v>6.2080901126698507E-2</v>
      </c>
      <c r="G247" s="200">
        <f t="shared" si="168"/>
        <v>2.0318181886763043E-2</v>
      </c>
    </row>
    <row r="248" spans="1:7" x14ac:dyDescent="0.2">
      <c r="A248" t="str">
        <f t="shared" si="164"/>
        <v>34 Culture, media and sports occupations</v>
      </c>
      <c r="B248" s="11">
        <v>0.77426894584454353</v>
      </c>
      <c r="C248" s="11">
        <v>0.3199639385612259</v>
      </c>
      <c r="D248" s="11">
        <f t="shared" si="165"/>
        <v>-0.45430500728331763</v>
      </c>
      <c r="E248" s="11">
        <v>0.18092553568336137</v>
      </c>
      <c r="F248" s="11">
        <f t="shared" ref="F248:F249" si="169">SUM(D248:E248)</f>
        <v>-0.27337947159995624</v>
      </c>
      <c r="G248" s="200">
        <f t="shared" si="168"/>
        <v>1.4098166664623379E-2</v>
      </c>
    </row>
    <row r="249" spans="1:7" x14ac:dyDescent="0.2">
      <c r="A249" t="str">
        <f t="shared" si="164"/>
        <v>35 Business and public service associate professionals</v>
      </c>
      <c r="B249" s="11">
        <v>4.0697468531348688</v>
      </c>
      <c r="C249" s="11">
        <v>2.0464610822788418</v>
      </c>
      <c r="D249" s="11">
        <f t="shared" si="165"/>
        <v>-2.023285770856027</v>
      </c>
      <c r="E249" s="11">
        <v>1.0634629599477086</v>
      </c>
      <c r="F249" s="11">
        <f t="shared" si="169"/>
        <v>-0.95982281090831845</v>
      </c>
      <c r="G249" s="200">
        <f t="shared" si="168"/>
        <v>1.5597074810566491E-2</v>
      </c>
    </row>
    <row r="250" spans="1:7" x14ac:dyDescent="0.2">
      <c r="A250" t="str">
        <f t="shared" si="164"/>
        <v>41 Administrative occupations</v>
      </c>
      <c r="B250" s="11">
        <v>10.201560441429603</v>
      </c>
      <c r="C250" s="11">
        <v>2.6700624499609189</v>
      </c>
      <c r="D250" s="11">
        <f t="shared" si="165"/>
        <v>-7.5314979914686839</v>
      </c>
      <c r="E250" s="11">
        <v>2.0925352867552474</v>
      </c>
      <c r="F250" s="11">
        <f t="shared" ref="F250:F253" si="170">SUM(D250:E250)</f>
        <v>-5.4389627047134361</v>
      </c>
      <c r="G250" s="200">
        <f t="shared" si="168"/>
        <v>1.251624279099639E-2</v>
      </c>
    </row>
    <row r="251" spans="1:7" x14ac:dyDescent="0.2">
      <c r="A251" t="str">
        <f t="shared" si="164"/>
        <v>42 Secretarial and related occupations</v>
      </c>
      <c r="B251" s="11">
        <v>4.1827732146214913</v>
      </c>
      <c r="C251" s="11">
        <v>0.58468607738657496</v>
      </c>
      <c r="D251" s="11">
        <f t="shared" si="165"/>
        <v>-3.5980871372349164</v>
      </c>
      <c r="E251" s="11">
        <v>0.913577154991846</v>
      </c>
      <c r="F251" s="11">
        <f t="shared" si="170"/>
        <v>-2.6845099822430702</v>
      </c>
      <c r="G251" s="200">
        <f t="shared" si="168"/>
        <v>1.3257119581211674E-2</v>
      </c>
    </row>
    <row r="252" spans="1:7" x14ac:dyDescent="0.2">
      <c r="A252" t="str">
        <f t="shared" si="164"/>
        <v>51 Skilled agricultural and related trades</v>
      </c>
      <c r="B252" s="11">
        <v>1.6209427749794105</v>
      </c>
      <c r="C252" s="11">
        <v>1.892098720629672</v>
      </c>
      <c r="D252" s="11">
        <f t="shared" si="165"/>
        <v>0.27115594565026147</v>
      </c>
      <c r="E252" s="11">
        <v>0.82652605913956034</v>
      </c>
      <c r="F252" s="11">
        <f t="shared" si="170"/>
        <v>1.0976820047898217</v>
      </c>
      <c r="G252" s="200">
        <f t="shared" si="168"/>
        <v>2.7850533927217702E-2</v>
      </c>
    </row>
    <row r="253" spans="1:7" x14ac:dyDescent="0.2">
      <c r="A253" t="str">
        <f t="shared" si="164"/>
        <v>52 Skilled metal, electrical and electronic trades</v>
      </c>
      <c r="B253" s="11">
        <v>3.5561283631414318</v>
      </c>
      <c r="C253" s="11">
        <v>1.8389182159062538</v>
      </c>
      <c r="D253" s="11">
        <f t="shared" si="165"/>
        <v>-1.717210147235178</v>
      </c>
      <c r="E253" s="11">
        <v>1.0922114247657806</v>
      </c>
      <c r="F253" s="11">
        <f t="shared" si="170"/>
        <v>-0.62499872246939736</v>
      </c>
      <c r="G253" s="200">
        <f t="shared" si="168"/>
        <v>1.8016215813283054E-2</v>
      </c>
    </row>
    <row r="254" spans="1:7" x14ac:dyDescent="0.2">
      <c r="A254" t="str">
        <f t="shared" si="164"/>
        <v>53 Skilled construction and building trades</v>
      </c>
      <c r="B254" s="11">
        <v>3.9224484828155646</v>
      </c>
      <c r="C254" s="11">
        <v>2.9957347088111748</v>
      </c>
      <c r="D254" s="11">
        <f t="shared" si="165"/>
        <v>-0.92671377400438981</v>
      </c>
      <c r="E254" s="11">
        <v>1.5174708134813888</v>
      </c>
      <c r="F254" s="11">
        <f t="shared" ref="F254" si="171">SUM(D254:E254)</f>
        <v>0.59075703947699898</v>
      </c>
      <c r="G254" s="200">
        <f t="shared" si="168"/>
        <v>2.2042637163637524E-2</v>
      </c>
    </row>
    <row r="255" spans="1:7" x14ac:dyDescent="0.2">
      <c r="A255" t="str">
        <f t="shared" si="164"/>
        <v>54 Textiles, printing and other skilled trades</v>
      </c>
      <c r="B255" s="11">
        <v>3.6205818958702016</v>
      </c>
      <c r="C255" s="11">
        <v>2.2695115184306047</v>
      </c>
      <c r="D255" s="11">
        <f t="shared" si="165"/>
        <v>-1.3510703774395969</v>
      </c>
      <c r="E255" s="11">
        <v>1.147329889746469</v>
      </c>
      <c r="F255" s="11">
        <f t="shared" ref="F255" si="172">SUM(D255:E255)</f>
        <v>-0.20374048769312791</v>
      </c>
      <c r="G255" s="200">
        <f t="shared" si="168"/>
        <v>1.8521003068123321E-2</v>
      </c>
    </row>
    <row r="256" spans="1:7" x14ac:dyDescent="0.2">
      <c r="A256" t="str">
        <f t="shared" si="164"/>
        <v>61 Caring personal service occupations</v>
      </c>
      <c r="B256" s="11">
        <v>3.0454727328640985</v>
      </c>
      <c r="C256" s="11">
        <v>1.8797815958205033</v>
      </c>
      <c r="D256" s="11">
        <f>C256-B256</f>
        <v>-1.1656911370435952</v>
      </c>
      <c r="E256" s="11">
        <v>0.74224996916503838</v>
      </c>
      <c r="F256" s="11">
        <f>SUM(D256:E256)</f>
        <v>-0.42344116787855679</v>
      </c>
      <c r="G256" s="200">
        <f t="shared" si="168"/>
        <v>1.4646817298887616E-2</v>
      </c>
    </row>
    <row r="257" spans="1:7" x14ac:dyDescent="0.2">
      <c r="A257" t="str">
        <f t="shared" si="164"/>
        <v>62 Leisure, travel and related personal service occupations</v>
      </c>
      <c r="B257" s="11">
        <v>4.0578096956496088</v>
      </c>
      <c r="C257" s="11">
        <v>2.5034374792574594</v>
      </c>
      <c r="D257" s="11">
        <f t="shared" ref="D257:D263" si="173">C257-B257</f>
        <v>-1.5543722163921494</v>
      </c>
      <c r="E257" s="11">
        <v>1.4130670816097417</v>
      </c>
      <c r="F257" s="11">
        <f t="shared" ref="F257:F258" si="174">SUM(D257:E257)</f>
        <v>-0.14130513478240769</v>
      </c>
      <c r="G257" s="200">
        <f t="shared" si="168"/>
        <v>2.0119424394026142E-2</v>
      </c>
    </row>
    <row r="258" spans="1:7" x14ac:dyDescent="0.2">
      <c r="A258" t="str">
        <f t="shared" si="164"/>
        <v>63 Community and civil enforcement occupations</v>
      </c>
      <c r="B258" s="11">
        <v>0.28276626385294845</v>
      </c>
      <c r="C258" s="11">
        <v>0.19320812211493202</v>
      </c>
      <c r="D258" s="11">
        <f t="shared" si="173"/>
        <v>-8.9558141738016434E-2</v>
      </c>
      <c r="E258" s="11">
        <v>9.3963411303863306E-2</v>
      </c>
      <c r="F258" s="11">
        <f t="shared" si="174"/>
        <v>4.4052695658468727E-3</v>
      </c>
      <c r="G258" s="200">
        <f t="shared" si="168"/>
        <v>1.9311246117355241E-2</v>
      </c>
    </row>
    <row r="259" spans="1:7" x14ac:dyDescent="0.2">
      <c r="A259" t="str">
        <f t="shared" si="164"/>
        <v>71 Sales occupations</v>
      </c>
      <c r="B259" s="11">
        <v>15.948831024911621</v>
      </c>
      <c r="C259" s="11">
        <v>6.078350626627655</v>
      </c>
      <c r="D259" s="11">
        <f t="shared" si="173"/>
        <v>-9.8704803982839664</v>
      </c>
      <c r="E259" s="11">
        <v>4.4095354378045153</v>
      </c>
      <c r="F259" s="11">
        <f t="shared" ref="F259:F260" si="175">SUM(D259:E259)</f>
        <v>-5.4609449604794511</v>
      </c>
      <c r="G259" s="200">
        <f t="shared" si="168"/>
        <v>1.6406900177263761E-2</v>
      </c>
    </row>
    <row r="260" spans="1:7" x14ac:dyDescent="0.2">
      <c r="A260" t="str">
        <f t="shared" si="164"/>
        <v>72 Customer service occupations</v>
      </c>
      <c r="B260" s="11">
        <v>2.3002725938845612</v>
      </c>
      <c r="C260" s="11">
        <v>2.5415408548164322</v>
      </c>
      <c r="D260" s="11">
        <f t="shared" si="173"/>
        <v>0.24126826093187104</v>
      </c>
      <c r="E260" s="11">
        <v>0.86640010506179443</v>
      </c>
      <c r="F260" s="11">
        <f t="shared" si="175"/>
        <v>1.1076683659936655</v>
      </c>
      <c r="G260" s="200">
        <f t="shared" si="168"/>
        <v>2.1538936967558486E-2</v>
      </c>
    </row>
    <row r="261" spans="1:7" x14ac:dyDescent="0.2">
      <c r="A261" t="str">
        <f t="shared" si="164"/>
        <v>81 Process, plant and machine operatives</v>
      </c>
      <c r="B261" s="11">
        <v>6.1699581719401113</v>
      </c>
      <c r="C261" s="11">
        <v>2.9126939943359456</v>
      </c>
      <c r="D261" s="11">
        <f t="shared" si="173"/>
        <v>-3.2572641776041658</v>
      </c>
      <c r="E261" s="11">
        <v>1.8435642820684521</v>
      </c>
      <c r="F261" s="11">
        <f t="shared" ref="F261:F262" si="176">SUM(D261:E261)</f>
        <v>-1.4136998955357136</v>
      </c>
      <c r="G261" s="200">
        <f t="shared" si="168"/>
        <v>1.7581999411134586E-2</v>
      </c>
    </row>
    <row r="262" spans="1:7" x14ac:dyDescent="0.2">
      <c r="A262" t="str">
        <f t="shared" si="164"/>
        <v>82 Transport and mobile machine drivers and operatives</v>
      </c>
      <c r="B262" s="11">
        <v>8.592192444678874</v>
      </c>
      <c r="C262" s="11">
        <v>5.7612626763940815</v>
      </c>
      <c r="D262" s="11">
        <f t="shared" si="173"/>
        <v>-2.8309297682847925</v>
      </c>
      <c r="E262" s="11">
        <v>3.567788399372275</v>
      </c>
      <c r="F262" s="11">
        <f t="shared" si="176"/>
        <v>0.73685863108748251</v>
      </c>
      <c r="G262" s="200">
        <f t="shared" si="168"/>
        <v>2.3423204475781167E-2</v>
      </c>
    </row>
    <row r="263" spans="1:7" x14ac:dyDescent="0.2">
      <c r="A263" t="str">
        <f t="shared" si="164"/>
        <v>91 Elementary trades and related occupations</v>
      </c>
      <c r="B263" s="11">
        <v>4.1542132663259235</v>
      </c>
      <c r="C263" s="11">
        <v>2.4311022934779016</v>
      </c>
      <c r="D263" s="11">
        <f t="shared" si="173"/>
        <v>-1.7231109728480218</v>
      </c>
      <c r="E263" s="11">
        <v>1.1435760817642888</v>
      </c>
      <c r="F263" s="11">
        <f t="shared" ref="F263" si="177">SUM(D263:E263)</f>
        <v>-0.57953489108373302</v>
      </c>
      <c r="G263" s="200">
        <f t="shared" si="168"/>
        <v>1.6343217237563046E-2</v>
      </c>
    </row>
    <row r="264" spans="1:7" x14ac:dyDescent="0.2">
      <c r="A264" t="str">
        <f t="shared" si="164"/>
        <v>92 Elementary administration and service occupations</v>
      </c>
      <c r="B264" s="11">
        <v>26.597907621703815</v>
      </c>
      <c r="C264" s="11">
        <v>19.123883708184227</v>
      </c>
      <c r="D264" s="11">
        <f t="shared" ref="D264" si="178">C264-B264</f>
        <v>-7.4740239135195878</v>
      </c>
      <c r="E264" s="11">
        <v>9.6333204949713949</v>
      </c>
      <c r="F264" s="11">
        <f t="shared" ref="F264" si="179">SUM(D264:E264)</f>
        <v>2.159296581451807</v>
      </c>
      <c r="G264" s="200">
        <f t="shared" ref="G264" si="180">IF(B264&gt;0,(1+(E264/B264))^(1/($C$6-$B$6))-1,0)</f>
        <v>2.0819691158826537E-2</v>
      </c>
    </row>
    <row r="265" spans="1:7" x14ac:dyDescent="0.2">
      <c r="A265" t="str">
        <f t="shared" si="164"/>
        <v>All occupations</v>
      </c>
      <c r="B265" s="11">
        <f>SUM(B239:B264)</f>
        <v>127.62991797346673</v>
      </c>
      <c r="C265" s="11">
        <f t="shared" ref="C265:F265" si="181">SUM(C239:C264)</f>
        <v>75.233033924037855</v>
      </c>
      <c r="D265" s="11">
        <f t="shared" si="181"/>
        <v>-52.396884049428863</v>
      </c>
      <c r="E265" s="11">
        <f t="shared" si="181"/>
        <v>41.238894217678052</v>
      </c>
      <c r="F265" s="11">
        <f t="shared" si="181"/>
        <v>-11.157989831750806</v>
      </c>
      <c r="G265" s="200">
        <f t="shared" si="168"/>
        <v>1.8841118382111999E-2</v>
      </c>
    </row>
    <row r="267" spans="1:7" ht="38.25" x14ac:dyDescent="0.2">
      <c r="A267" s="201" t="str">
        <f>CONCATENATE(name!F12," (Constrained)")</f>
        <v>No Qualification (Constrained)</v>
      </c>
      <c r="B267" s="74">
        <f t="shared" ref="B267:G267" si="182">B180</f>
        <v>2020</v>
      </c>
      <c r="C267" s="74">
        <f t="shared" si="182"/>
        <v>2035</v>
      </c>
      <c r="D267" s="87" t="str">
        <f t="shared" si="182"/>
        <v>Net Change</v>
      </c>
      <c r="E267" s="87" t="str">
        <f t="shared" si="182"/>
        <v>Replacement Demand level</v>
      </c>
      <c r="F267" s="87" t="str">
        <f t="shared" si="182"/>
        <v>Total Requirement</v>
      </c>
      <c r="G267" s="87" t="str">
        <f t="shared" si="182"/>
        <v>Replacement Demand rate</v>
      </c>
    </row>
    <row r="268" spans="1:7" x14ac:dyDescent="0.2">
      <c r="A268" t="str">
        <f t="shared" ref="A268:A294" si="183">A181</f>
        <v>11 Corporate managers and directors</v>
      </c>
      <c r="B268" s="11">
        <v>1.308192452852043</v>
      </c>
      <c r="C268" s="11">
        <v>1.2716037485448413</v>
      </c>
      <c r="D268" s="11">
        <f>C268-B268</f>
        <v>-3.6588704307201736E-2</v>
      </c>
      <c r="E268" s="11">
        <v>0.45899572812357997</v>
      </c>
      <c r="F268" s="11">
        <f>SUM(D268:E268)</f>
        <v>0.42240702381637824</v>
      </c>
      <c r="G268" s="200">
        <f>IF(B268&gt;0,(1+(E268/B268))^(1/($C$6-$B$6))-1,0)</f>
        <v>2.0251896179257045E-2</v>
      </c>
    </row>
    <row r="269" spans="1:7" x14ac:dyDescent="0.2">
      <c r="A269" t="str">
        <f t="shared" si="183"/>
        <v>12 Other managers and proprietors</v>
      </c>
      <c r="B269" s="11">
        <v>1.4003242515782401</v>
      </c>
      <c r="C269" s="11">
        <v>1.5420760986726219</v>
      </c>
      <c r="D269" s="11">
        <f t="shared" ref="D269:D284" si="184">C269-B269</f>
        <v>0.14175184709438171</v>
      </c>
      <c r="E269" s="11">
        <v>0.56945919839984871</v>
      </c>
      <c r="F269" s="11">
        <f t="shared" ref="F269:F276" si="185">SUM(D269:E269)</f>
        <v>0.71121104549423042</v>
      </c>
      <c r="G269" s="200">
        <f t="shared" ref="G269:G271" si="186">IF(B269&gt;0,(1+(E269/B269))^(1/($C$6-$B$6))-1,0)</f>
        <v>2.300869487010182E-2</v>
      </c>
    </row>
    <row r="270" spans="1:7" x14ac:dyDescent="0.2">
      <c r="A270" t="str">
        <f t="shared" si="183"/>
        <v>21 Science, research, engineering and technology professionals</v>
      </c>
      <c r="B270" s="11">
        <v>0.71541597617226449</v>
      </c>
      <c r="C270" s="11">
        <v>0.78724418915001371</v>
      </c>
      <c r="D270" s="11">
        <f t="shared" si="184"/>
        <v>7.1828212977749217E-2</v>
      </c>
      <c r="E270" s="11">
        <v>0.26152918166813982</v>
      </c>
      <c r="F270" s="11">
        <f t="shared" si="185"/>
        <v>0.33335739464588904</v>
      </c>
      <c r="G270" s="200">
        <f t="shared" si="186"/>
        <v>2.098831105491894E-2</v>
      </c>
    </row>
    <row r="271" spans="1:7" x14ac:dyDescent="0.2">
      <c r="A271" t="str">
        <f t="shared" si="183"/>
        <v>22 Health professionals</v>
      </c>
      <c r="B271" s="11">
        <v>0.38048312314000582</v>
      </c>
      <c r="C271" s="11">
        <v>0.49791386728908016</v>
      </c>
      <c r="D271" s="11">
        <f t="shared" si="184"/>
        <v>0.11743074414907434</v>
      </c>
      <c r="E271" s="11">
        <v>0.17499810937548393</v>
      </c>
      <c r="F271" s="11">
        <f t="shared" si="185"/>
        <v>0.29242885352455827</v>
      </c>
      <c r="G271" s="200">
        <f t="shared" si="186"/>
        <v>2.5547073158455724E-2</v>
      </c>
    </row>
    <row r="272" spans="1:7" x14ac:dyDescent="0.2">
      <c r="A272" t="str">
        <f t="shared" si="183"/>
        <v>23 Teaching and other educational professionals</v>
      </c>
      <c r="B272" s="11">
        <v>0.31306759862107636</v>
      </c>
      <c r="C272" s="11">
        <v>0.38613555020459955</v>
      </c>
      <c r="D272" s="11">
        <f t="shared" si="184"/>
        <v>7.3067951583523194E-2</v>
      </c>
      <c r="E272" s="11">
        <v>0.14323634734991339</v>
      </c>
      <c r="F272" s="11">
        <f t="shared" si="185"/>
        <v>0.21630429893343658</v>
      </c>
      <c r="G272" s="200">
        <f>IF(B272&gt;0,(1+(E272/B272))^(1/($C$6-$B$6))-1,0)</f>
        <v>2.5434063867236567E-2</v>
      </c>
    </row>
    <row r="273" spans="1:7" x14ac:dyDescent="0.2">
      <c r="A273" t="str">
        <f t="shared" si="183"/>
        <v>24 Business, media and public service professionals</v>
      </c>
      <c r="B273" s="11">
        <v>0.94475113180821013</v>
      </c>
      <c r="C273" s="11">
        <v>1.1935101147988973</v>
      </c>
      <c r="D273" s="11">
        <f t="shared" si="184"/>
        <v>0.24875898299068722</v>
      </c>
      <c r="E273" s="11">
        <v>0.42320242311930006</v>
      </c>
      <c r="F273" s="11">
        <f t="shared" si="185"/>
        <v>0.67196140610998722</v>
      </c>
      <c r="G273" s="200">
        <f t="shared" ref="G273" si="187">IF(B273&gt;0,(1+(E273/B273))^(1/($C$6-$B$6))-1,0)</f>
        <v>2.4983628656338519E-2</v>
      </c>
    </row>
    <row r="274" spans="1:7" x14ac:dyDescent="0.2">
      <c r="A274" t="str">
        <f t="shared" si="183"/>
        <v>31 Science, engineering and technology associate professionals</v>
      </c>
      <c r="B274" s="11">
        <v>0.4909560310043562</v>
      </c>
      <c r="C274" s="11">
        <v>0.58492562412697979</v>
      </c>
      <c r="D274" s="11">
        <f t="shared" si="184"/>
        <v>9.3969593122623596E-2</v>
      </c>
      <c r="E274" s="11">
        <v>0.20276707951354997</v>
      </c>
      <c r="F274" s="11">
        <f t="shared" si="185"/>
        <v>0.29673667263617354</v>
      </c>
      <c r="G274" s="200">
        <f>IF(B274&gt;0,(1+(E274/B274))^(1/($C$6-$B$6))-1,0)</f>
        <v>2.3315543645394454E-2</v>
      </c>
    </row>
    <row r="275" spans="1:7" x14ac:dyDescent="0.2">
      <c r="A275" t="str">
        <f t="shared" si="183"/>
        <v>32 Health and social care associate professionals</v>
      </c>
      <c r="B275" s="11">
        <v>0.18156431282328375</v>
      </c>
      <c r="C275" s="11">
        <v>0.20200675397051968</v>
      </c>
      <c r="D275" s="11">
        <f t="shared" si="184"/>
        <v>2.0442441147235924E-2</v>
      </c>
      <c r="E275" s="11">
        <v>7.6905723271611673E-2</v>
      </c>
      <c r="F275" s="11">
        <f t="shared" si="185"/>
        <v>9.7348164418847596E-2</v>
      </c>
      <c r="G275" s="200">
        <f t="shared" ref="G275:G292" si="188">IF(B275&gt;0,(1+(E275/B275))^(1/($C$6-$B$6))-1,0)</f>
        <v>2.3824019688912568E-2</v>
      </c>
    </row>
    <row r="276" spans="1:7" x14ac:dyDescent="0.2">
      <c r="A276" t="str">
        <f t="shared" si="183"/>
        <v>33 Protective service occupations</v>
      </c>
      <c r="B276" s="11">
        <v>0.26050508521706672</v>
      </c>
      <c r="C276" s="11">
        <v>0.20653047016515325</v>
      </c>
      <c r="D276" s="11">
        <f t="shared" si="184"/>
        <v>-5.3974615051913477E-2</v>
      </c>
      <c r="E276" s="11">
        <v>5.4297261556500692E-2</v>
      </c>
      <c r="F276" s="11">
        <f t="shared" si="185"/>
        <v>3.2264650458721511E-4</v>
      </c>
      <c r="G276" s="200">
        <f t="shared" si="188"/>
        <v>1.2701493327997415E-2</v>
      </c>
    </row>
    <row r="277" spans="1:7" x14ac:dyDescent="0.2">
      <c r="A277" t="str">
        <f t="shared" si="183"/>
        <v>34 Culture, media and sports occupations</v>
      </c>
      <c r="B277" s="11">
        <v>0.32543899944216043</v>
      </c>
      <c r="C277" s="11">
        <v>0.53383596003568312</v>
      </c>
      <c r="D277" s="11">
        <f t="shared" si="184"/>
        <v>0.2083969605935227</v>
      </c>
      <c r="E277" s="11">
        <v>0.14183958792377196</v>
      </c>
      <c r="F277" s="11">
        <f t="shared" ref="F277:F278" si="189">SUM(D277:E277)</f>
        <v>0.35023654851729469</v>
      </c>
      <c r="G277" s="200">
        <f t="shared" si="188"/>
        <v>2.4409865572740719E-2</v>
      </c>
    </row>
    <row r="278" spans="1:7" x14ac:dyDescent="0.2">
      <c r="A278" t="str">
        <f t="shared" si="183"/>
        <v>35 Business and public service associate professionals</v>
      </c>
      <c r="B278" s="11">
        <v>1.0583145998486765</v>
      </c>
      <c r="C278" s="11">
        <v>1.1622674065102916</v>
      </c>
      <c r="D278" s="11">
        <f t="shared" si="184"/>
        <v>0.1039528066616151</v>
      </c>
      <c r="E278" s="11">
        <v>0.38892417290977199</v>
      </c>
      <c r="F278" s="11">
        <f t="shared" si="189"/>
        <v>0.4928769795713871</v>
      </c>
      <c r="G278" s="200">
        <f t="shared" si="188"/>
        <v>2.1084522966209107E-2</v>
      </c>
    </row>
    <row r="279" spans="1:7" x14ac:dyDescent="0.2">
      <c r="A279" t="str">
        <f t="shared" si="183"/>
        <v>41 Administrative occupations</v>
      </c>
      <c r="B279" s="11">
        <v>3.1077301842355229</v>
      </c>
      <c r="C279" s="11">
        <v>2.860166338688376</v>
      </c>
      <c r="D279" s="11">
        <f t="shared" si="184"/>
        <v>-0.24756384554714694</v>
      </c>
      <c r="E279" s="11">
        <v>1.0477635476480238</v>
      </c>
      <c r="F279" s="11">
        <f t="shared" ref="F279:F282" si="190">SUM(D279:E279)</f>
        <v>0.80019970210087688</v>
      </c>
      <c r="G279" s="200">
        <f t="shared" si="188"/>
        <v>1.955804305859421E-2</v>
      </c>
    </row>
    <row r="280" spans="1:7" x14ac:dyDescent="0.2">
      <c r="A280" t="str">
        <f t="shared" si="183"/>
        <v>42 Secretarial and related occupations</v>
      </c>
      <c r="B280" s="11">
        <v>1.1857861166908841</v>
      </c>
      <c r="C280" s="11">
        <v>1.4417934994705661</v>
      </c>
      <c r="D280" s="11">
        <f t="shared" si="184"/>
        <v>0.25600738277968205</v>
      </c>
      <c r="E280" s="11">
        <v>0.71307605699447085</v>
      </c>
      <c r="F280" s="11">
        <f t="shared" si="190"/>
        <v>0.9690834397741529</v>
      </c>
      <c r="G280" s="200">
        <f t="shared" si="188"/>
        <v>3.1887786468414392E-2</v>
      </c>
    </row>
    <row r="281" spans="1:7" x14ac:dyDescent="0.2">
      <c r="A281" t="str">
        <f t="shared" si="183"/>
        <v>51 Skilled agricultural and related trades</v>
      </c>
      <c r="B281" s="11">
        <v>1.2321319808509452</v>
      </c>
      <c r="C281" s="11">
        <v>0.51966498896355606</v>
      </c>
      <c r="D281" s="11">
        <f t="shared" si="184"/>
        <v>-0.71246699188738916</v>
      </c>
      <c r="E281" s="11">
        <v>0.3586842602014288</v>
      </c>
      <c r="F281" s="11">
        <f t="shared" si="190"/>
        <v>-0.35378273168596036</v>
      </c>
      <c r="G281" s="200">
        <f t="shared" si="188"/>
        <v>1.7179312972207983E-2</v>
      </c>
    </row>
    <row r="282" spans="1:7" x14ac:dyDescent="0.2">
      <c r="A282" t="str">
        <f t="shared" si="183"/>
        <v>52 Skilled metal, electrical and electronic trades</v>
      </c>
      <c r="B282" s="11">
        <v>1.4314715778577956</v>
      </c>
      <c r="C282" s="11">
        <v>0.86934628851503493</v>
      </c>
      <c r="D282" s="11">
        <f t="shared" si="184"/>
        <v>-0.56212528934276063</v>
      </c>
      <c r="E282" s="11">
        <v>0.41745273535389082</v>
      </c>
      <c r="F282" s="11">
        <f t="shared" si="190"/>
        <v>-0.1446725539888698</v>
      </c>
      <c r="G282" s="200">
        <f t="shared" si="188"/>
        <v>1.7206422527096032E-2</v>
      </c>
    </row>
    <row r="283" spans="1:7" x14ac:dyDescent="0.2">
      <c r="A283" t="str">
        <f t="shared" si="183"/>
        <v>53 Skilled construction and building trades</v>
      </c>
      <c r="B283" s="11">
        <v>2.0768065127125173</v>
      </c>
      <c r="C283" s="11">
        <v>0.27864728431028052</v>
      </c>
      <c r="D283" s="11">
        <f t="shared" si="184"/>
        <v>-1.7981592284022367</v>
      </c>
      <c r="E283" s="11">
        <v>0.32885773119593664</v>
      </c>
      <c r="F283" s="11">
        <f t="shared" ref="F283" si="191">SUM(D283:E283)</f>
        <v>-1.4693014972063001</v>
      </c>
      <c r="G283" s="200">
        <f t="shared" si="188"/>
        <v>9.8478187447950116E-3</v>
      </c>
    </row>
    <row r="284" spans="1:7" x14ac:dyDescent="0.2">
      <c r="A284" t="str">
        <f t="shared" si="183"/>
        <v>54 Textiles, printing and other skilled trades</v>
      </c>
      <c r="B284" s="11">
        <v>1.7918770422764945</v>
      </c>
      <c r="C284" s="11">
        <v>1.1776376405645028</v>
      </c>
      <c r="D284" s="11">
        <f t="shared" si="184"/>
        <v>-0.61423940171199165</v>
      </c>
      <c r="E284" s="11">
        <v>0.49850933092253508</v>
      </c>
      <c r="F284" s="11">
        <f t="shared" ref="F284" si="192">SUM(D284:E284)</f>
        <v>-0.11573007078945657</v>
      </c>
      <c r="G284" s="200">
        <f t="shared" si="188"/>
        <v>1.6498408607041881E-2</v>
      </c>
    </row>
    <row r="285" spans="1:7" x14ac:dyDescent="0.2">
      <c r="A285" t="str">
        <f t="shared" si="183"/>
        <v>61 Caring personal service occupations</v>
      </c>
      <c r="B285" s="11">
        <v>0.92657072032669718</v>
      </c>
      <c r="C285" s="11">
        <v>0.95759014820722776</v>
      </c>
      <c r="D285" s="11">
        <f>C285-B285</f>
        <v>3.1019427880530581E-2</v>
      </c>
      <c r="E285" s="11">
        <v>0.30468663424716202</v>
      </c>
      <c r="F285" s="11">
        <f>SUM(D285:E285)</f>
        <v>0.33570606212769261</v>
      </c>
      <c r="G285" s="200">
        <f t="shared" si="188"/>
        <v>1.9134141746623312E-2</v>
      </c>
    </row>
    <row r="286" spans="1:7" x14ac:dyDescent="0.2">
      <c r="A286" t="str">
        <f t="shared" si="183"/>
        <v>62 Leisure, travel and related personal service occupations</v>
      </c>
      <c r="B286" s="11">
        <v>1.3959053835322632</v>
      </c>
      <c r="C286" s="11">
        <v>0.88112702374737484</v>
      </c>
      <c r="D286" s="11">
        <f t="shared" ref="D286:D292" si="193">C286-B286</f>
        <v>-0.5147783597848884</v>
      </c>
      <c r="E286" s="11">
        <v>0.36688047980792893</v>
      </c>
      <c r="F286" s="11">
        <f t="shared" ref="F286:F287" si="194">SUM(D286:E286)</f>
        <v>-0.14789787997695947</v>
      </c>
      <c r="G286" s="200">
        <f t="shared" si="188"/>
        <v>1.5678451128250614E-2</v>
      </c>
    </row>
    <row r="287" spans="1:7" x14ac:dyDescent="0.2">
      <c r="A287" t="str">
        <f t="shared" si="183"/>
        <v>63 Community and civil enforcement occupations</v>
      </c>
      <c r="B287" s="11">
        <v>8.3132505487097066E-2</v>
      </c>
      <c r="C287" s="11">
        <v>2.7902073514590398E-2</v>
      </c>
      <c r="D287" s="11">
        <f t="shared" si="193"/>
        <v>-5.5230431972506669E-2</v>
      </c>
      <c r="E287" s="11">
        <v>1.1486785515239384E-2</v>
      </c>
      <c r="F287" s="11">
        <f t="shared" si="194"/>
        <v>-4.3743646457267284E-2</v>
      </c>
      <c r="G287" s="200">
        <f t="shared" si="188"/>
        <v>8.6657044074847089E-3</v>
      </c>
    </row>
    <row r="288" spans="1:7" x14ac:dyDescent="0.2">
      <c r="A288" t="str">
        <f t="shared" si="183"/>
        <v>71 Sales occupations</v>
      </c>
      <c r="B288" s="11">
        <v>5.9929031945817757</v>
      </c>
      <c r="C288" s="11">
        <v>2.4173126189084995</v>
      </c>
      <c r="D288" s="11">
        <f t="shared" si="193"/>
        <v>-3.5755905756732762</v>
      </c>
      <c r="E288" s="11">
        <v>1.3001361728695502</v>
      </c>
      <c r="F288" s="11">
        <f t="shared" ref="F288:F289" si="195">SUM(D288:E288)</f>
        <v>-2.2754544028037262</v>
      </c>
      <c r="G288" s="200">
        <f t="shared" si="188"/>
        <v>1.3175671774120046E-2</v>
      </c>
    </row>
    <row r="289" spans="1:7" x14ac:dyDescent="0.2">
      <c r="A289" t="str">
        <f t="shared" si="183"/>
        <v>72 Customer service occupations</v>
      </c>
      <c r="B289" s="11">
        <v>0.8630531998564972</v>
      </c>
      <c r="C289" s="11">
        <v>1.4866989511732021</v>
      </c>
      <c r="D289" s="11">
        <f t="shared" si="193"/>
        <v>0.62364575131670485</v>
      </c>
      <c r="E289" s="11">
        <v>0.51905910350215345</v>
      </c>
      <c r="F289" s="11">
        <f t="shared" si="195"/>
        <v>1.1427048548188583</v>
      </c>
      <c r="G289" s="200">
        <f t="shared" si="188"/>
        <v>3.1890746028897077E-2</v>
      </c>
    </row>
    <row r="290" spans="1:7" x14ac:dyDescent="0.2">
      <c r="A290" t="str">
        <f t="shared" si="183"/>
        <v>81 Process, plant and machine operatives</v>
      </c>
      <c r="B290" s="11">
        <v>3.2043293662985737</v>
      </c>
      <c r="C290" s="11">
        <v>0.77206625968525266</v>
      </c>
      <c r="D290" s="11">
        <f t="shared" si="193"/>
        <v>-2.4322631066133211</v>
      </c>
      <c r="E290" s="11">
        <v>0.4733088069828873</v>
      </c>
      <c r="F290" s="11">
        <f t="shared" ref="F290:F291" si="196">SUM(D290:E290)</f>
        <v>-1.9589542996304339</v>
      </c>
      <c r="G290" s="200">
        <f t="shared" si="188"/>
        <v>9.2268354043008038E-3</v>
      </c>
    </row>
    <row r="291" spans="1:7" x14ac:dyDescent="0.2">
      <c r="A291" t="str">
        <f t="shared" si="183"/>
        <v>82 Transport and mobile machine drivers and operatives</v>
      </c>
      <c r="B291" s="11">
        <v>4.5443945404608055</v>
      </c>
      <c r="C291" s="11">
        <v>1.2791938393199884</v>
      </c>
      <c r="D291" s="11">
        <f t="shared" si="193"/>
        <v>-3.2652007011408171</v>
      </c>
      <c r="E291" s="11">
        <v>1.1109832465162968</v>
      </c>
      <c r="F291" s="11">
        <f t="shared" si="196"/>
        <v>-2.1542174546245203</v>
      </c>
      <c r="G291" s="200">
        <f t="shared" si="188"/>
        <v>1.4687646054616366E-2</v>
      </c>
    </row>
    <row r="292" spans="1:7" x14ac:dyDescent="0.2">
      <c r="A292" t="str">
        <f t="shared" si="183"/>
        <v>91 Elementary trades and related occupations</v>
      </c>
      <c r="B292" s="11">
        <v>2.1577536274250257</v>
      </c>
      <c r="C292" s="11">
        <v>0.93775922682538626</v>
      </c>
      <c r="D292" s="11">
        <f t="shared" si="193"/>
        <v>-1.2199944005996395</v>
      </c>
      <c r="E292" s="11">
        <v>0.41029439637375975</v>
      </c>
      <c r="F292" s="11">
        <f t="shared" ref="F292" si="197">SUM(D292:E292)</f>
        <v>-0.80970000422587973</v>
      </c>
      <c r="G292" s="200">
        <f t="shared" si="188"/>
        <v>1.1672828115005807E-2</v>
      </c>
    </row>
    <row r="293" spans="1:7" x14ac:dyDescent="0.2">
      <c r="A293" t="str">
        <f t="shared" si="183"/>
        <v>92 Elementary administration and service occupations</v>
      </c>
      <c r="B293" s="11">
        <v>9.511061668641732</v>
      </c>
      <c r="C293" s="11">
        <v>4.4906330280732227</v>
      </c>
      <c r="D293" s="11">
        <f t="shared" ref="D293" si="198">C293-B293</f>
        <v>-5.0204286405685092</v>
      </c>
      <c r="E293" s="11">
        <v>1.9311927954999875</v>
      </c>
      <c r="F293" s="11">
        <f t="shared" ref="F293" si="199">SUM(D293:E293)</f>
        <v>-3.0892358450685218</v>
      </c>
      <c r="G293" s="200">
        <f>IF(B293&gt;0,(1+(E293/B293))^(1/($C$6-$B$6))-1,0)</f>
        <v>1.2400086549410272E-2</v>
      </c>
    </row>
    <row r="294" spans="1:7" x14ac:dyDescent="0.2">
      <c r="A294" s="23" t="str">
        <f t="shared" si="183"/>
        <v>All occupations</v>
      </c>
      <c r="B294" s="33">
        <f>SUM(B268:B293)</f>
        <v>46.883921183742004</v>
      </c>
      <c r="C294" s="33">
        <f>SUM(C268:C293)</f>
        <v>28.765588993435742</v>
      </c>
      <c r="D294" s="33">
        <f>SUM(D268:D293)</f>
        <v>-18.118332190306269</v>
      </c>
      <c r="E294" s="33">
        <f>SUM(E268:E293)</f>
        <v>12.688526896842721</v>
      </c>
      <c r="F294" s="33">
        <f>SUM(F268:F293)</f>
        <v>-5.429805293463545</v>
      </c>
      <c r="G294" s="234">
        <f>IF(B294&gt;0,(1+(E294/B294))^(1/($C$6-$B$6))-1,0)</f>
        <v>1.6096061552912877E-2</v>
      </c>
    </row>
  </sheetData>
  <mergeCells count="4">
    <mergeCell ref="A1:G2"/>
    <mergeCell ref="I1:N2"/>
    <mergeCell ref="P1:V2"/>
    <mergeCell ref="X1:AD2"/>
  </mergeCells>
  <phoneticPr fontId="4" type="noConversion"/>
  <pageMargins left="0.39370078740157483" right="0.39370078740157483" top="0.39370078740157483" bottom="0.39370078740157483" header="0.51181102362204722" footer="0.51181102362204722"/>
  <pageSetup paperSize="9" scale="78" orientation="portrait" r:id="rId1"/>
  <headerFooter alignWithMargins="0"/>
  <rowBreaks count="6" manualBreakCount="6">
    <brk id="44" min="23" max="29" man="1"/>
    <brk id="61" min="8" max="13" man="1"/>
    <brk id="62" max="6" man="1"/>
    <brk id="120" max="6" man="1"/>
    <brk id="178" max="6" man="1"/>
    <brk id="236" max="6" man="1"/>
  </rowBreaks>
  <colBreaks count="1" manualBreakCount="1">
    <brk id="8" max="1048575" man="1"/>
  </colBreaks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20"/>
  <dimension ref="A1:Q65"/>
  <sheetViews>
    <sheetView zoomScale="85" zoomScaleNormal="85" workbookViewId="0"/>
  </sheetViews>
  <sheetFormatPr defaultRowHeight="12.75" x14ac:dyDescent="0.2"/>
  <cols>
    <col min="1" max="14" width="9.140625" style="80"/>
    <col min="15" max="15" width="44.140625" customWidth="1"/>
    <col min="16" max="17" width="16.85546875" customWidth="1"/>
  </cols>
  <sheetData>
    <row r="1" spans="1:17" ht="15.75" x14ac:dyDescent="0.25">
      <c r="A1" s="79" t="str">
        <f>CONCATENATE("Replacement Demand Figure 1  Replacement Demand by Occupation Group (SOC 2020), ",P4,", ",Info!B5)</f>
        <v>Replacement Demand Figure 1  Replacement Demand by Occupation Group (SOC 2020), 2020-2035, North East</v>
      </c>
    </row>
    <row r="2" spans="1:17" x14ac:dyDescent="0.2">
      <c r="A2" s="362" t="s">
        <v>538</v>
      </c>
    </row>
    <row r="3" spans="1:17" x14ac:dyDescent="0.2">
      <c r="O3" s="45" t="s">
        <v>426</v>
      </c>
    </row>
    <row r="4" spans="1:17" x14ac:dyDescent="0.2">
      <c r="P4" s="15" t="str">
        <f>'Occ T1'!H4</f>
        <v>2020-2035</v>
      </c>
    </row>
    <row r="5" spans="1:17" x14ac:dyDescent="0.2">
      <c r="P5" s="15" t="str">
        <f>CONCATENATE('Occ T1'!H5," ",'Occ T1'!H6)</f>
        <v>Net Change</v>
      </c>
      <c r="Q5" s="15" t="str">
        <f>CONCATENATE('Occ T1'!J5," ",'Occ T1'!J6)</f>
        <v>Total Requirement</v>
      </c>
    </row>
    <row r="6" spans="1:17" x14ac:dyDescent="0.2">
      <c r="P6" s="11"/>
      <c r="Q6" s="11"/>
    </row>
    <row r="7" spans="1:17" x14ac:dyDescent="0.2">
      <c r="O7" t="str">
        <f>name!E12</f>
        <v>Elementary occupations</v>
      </c>
      <c r="P7" s="11">
        <f>'Occ T1'!H16</f>
        <v>-3.7649749929656195</v>
      </c>
      <c r="Q7" s="11">
        <f>'Occ T1'!J16</f>
        <v>58.181914771557743</v>
      </c>
    </row>
    <row r="8" spans="1:17" x14ac:dyDescent="0.2">
      <c r="O8" t="str">
        <f>name!E11</f>
        <v>Process, plant and machine operatives</v>
      </c>
      <c r="P8" s="11">
        <f>'Occ T1'!H15</f>
        <v>1.8353889567515864</v>
      </c>
      <c r="Q8" s="11">
        <f>'Occ T1'!J15</f>
        <v>39.085283017094419</v>
      </c>
    </row>
    <row r="9" spans="1:17" x14ac:dyDescent="0.2">
      <c r="O9" t="str">
        <f>name!E10</f>
        <v>Sales and customer service occupations</v>
      </c>
      <c r="P9" s="11">
        <f>'Occ T1'!H14</f>
        <v>2.7282790269742065</v>
      </c>
      <c r="Q9" s="11">
        <f>'Occ T1'!J14</f>
        <v>65.684885324210725</v>
      </c>
    </row>
    <row r="10" spans="1:17" x14ac:dyDescent="0.2">
      <c r="O10" t="str">
        <f>name!E9</f>
        <v>Caring, leisure and other service occupations</v>
      </c>
      <c r="P10" s="11">
        <f>'Occ T1'!H13</f>
        <v>11.341121402287996</v>
      </c>
      <c r="Q10" s="11">
        <f>'Occ T1'!J13</f>
        <v>78.048755173902904</v>
      </c>
    </row>
    <row r="11" spans="1:17" x14ac:dyDescent="0.2">
      <c r="O11" t="str">
        <f>name!E8</f>
        <v>Skilled trades occupations</v>
      </c>
      <c r="P11" s="11">
        <f>'Occ T1'!H12</f>
        <v>-10.014960129530678</v>
      </c>
      <c r="Q11" s="11">
        <f>'Occ T1'!J12</f>
        <v>34.255622152576549</v>
      </c>
    </row>
    <row r="12" spans="1:17" x14ac:dyDescent="0.2">
      <c r="O12" t="str">
        <f>name!E7</f>
        <v>Administrative and secretarial occupations</v>
      </c>
      <c r="P12" s="11">
        <f>'Occ T1'!H11</f>
        <v>-15.46789335778216</v>
      </c>
      <c r="Q12" s="11">
        <f>'Occ T1'!J11</f>
        <v>47.505921888140847</v>
      </c>
    </row>
    <row r="13" spans="1:17" x14ac:dyDescent="0.2">
      <c r="O13" t="str">
        <f>name!E6</f>
        <v>Associate professional occupations</v>
      </c>
      <c r="P13" s="11">
        <f>'Occ T1'!H10</f>
        <v>6.5860373418807399</v>
      </c>
      <c r="Q13" s="11">
        <f>'Occ T1'!J10</f>
        <v>72.207945345060324</v>
      </c>
    </row>
    <row r="14" spans="1:17" x14ac:dyDescent="0.2">
      <c r="O14" t="str">
        <f>name!E5</f>
        <v>Professional occupations</v>
      </c>
      <c r="P14" s="11">
        <f>'Occ T1'!H9</f>
        <v>52.032865811624333</v>
      </c>
      <c r="Q14" s="11">
        <f>'Occ T1'!J9</f>
        <v>189.78949695897424</v>
      </c>
    </row>
    <row r="15" spans="1:17" x14ac:dyDescent="0.2">
      <c r="O15" t="str">
        <f>name!E4</f>
        <v>Managers, directors and senior officials</v>
      </c>
      <c r="P15" s="11">
        <f>'Occ T1'!H8</f>
        <v>16.38213594068155</v>
      </c>
      <c r="Q15" s="11">
        <f>'Occ T1'!J8</f>
        <v>73.958202670225603</v>
      </c>
    </row>
    <row r="34" spans="1:17" ht="15.75" x14ac:dyDescent="0.25">
      <c r="A34" s="79" t="str">
        <f>CONCATENATE("Replacement Demand Figure 1.1  Replacement Demand by Occupation (SOC 2020), ",P35,", ",Info!B5)</f>
        <v>Replacement Demand Figure 1.1  Replacement Demand by Occupation (SOC 2020), 2020-2035, North East</v>
      </c>
      <c r="O34" s="45" t="s">
        <v>426</v>
      </c>
    </row>
    <row r="35" spans="1:17" x14ac:dyDescent="0.2">
      <c r="P35" s="15" t="str">
        <f>'Occ T1'!H4</f>
        <v>2020-2035</v>
      </c>
    </row>
    <row r="36" spans="1:17" x14ac:dyDescent="0.2">
      <c r="P36" s="15" t="str">
        <f>CONCATENATE('Occ T1'!H5," ",'Occ T1'!H6)</f>
        <v>Net Change</v>
      </c>
      <c r="Q36" s="15" t="str">
        <f>CONCATENATE('Occ T1'!J5," ",'Occ T1'!J6)</f>
        <v>Total Requirement</v>
      </c>
    </row>
    <row r="37" spans="1:17" x14ac:dyDescent="0.2">
      <c r="O37" s="10" t="str">
        <f>name!D4</f>
        <v>11 Corporate managers and directors</v>
      </c>
      <c r="P37" s="11">
        <f>'Occ T2'!H8</f>
        <v>0.77610679577185948</v>
      </c>
      <c r="Q37" s="11">
        <f>'Occ T2'!J8</f>
        <v>31.319589946925305</v>
      </c>
    </row>
    <row r="38" spans="1:17" x14ac:dyDescent="0.2">
      <c r="O38" s="10" t="str">
        <f>name!D5</f>
        <v>12 Other managers and proprietors</v>
      </c>
      <c r="P38" s="11">
        <f>'Occ T2'!H9</f>
        <v>15.606029144909691</v>
      </c>
      <c r="Q38" s="11">
        <f>'Occ T2'!J9</f>
        <v>42.638612723300305</v>
      </c>
    </row>
    <row r="39" spans="1:17" x14ac:dyDescent="0.2">
      <c r="O39" s="10" t="str">
        <f>name!D6</f>
        <v>21 Science, research, engineering and technology professionals</v>
      </c>
      <c r="P39" s="11">
        <f>'Occ T2'!H10</f>
        <v>8.638896180659728</v>
      </c>
      <c r="Q39" s="11">
        <f>'Occ T2'!J10</f>
        <v>31.450861612267897</v>
      </c>
    </row>
    <row r="40" spans="1:17" x14ac:dyDescent="0.2">
      <c r="O40" s="10" t="str">
        <f>name!D7</f>
        <v>22 Health professionals</v>
      </c>
      <c r="P40" s="11">
        <f>'Occ T2'!H11</f>
        <v>18.287486319040184</v>
      </c>
      <c r="Q40" s="11">
        <f>'Occ T2'!J11</f>
        <v>68.369821717889778</v>
      </c>
    </row>
    <row r="41" spans="1:17" x14ac:dyDescent="0.2">
      <c r="O41" s="10" t="str">
        <f>name!D8</f>
        <v>23 Teaching and other educational professionals</v>
      </c>
      <c r="P41" s="11">
        <f>'Occ T2'!H12</f>
        <v>9.4287549104549555</v>
      </c>
      <c r="Q41" s="11">
        <f>'Occ T2'!J12</f>
        <v>39.222292166008913</v>
      </c>
    </row>
    <row r="42" spans="1:17" x14ac:dyDescent="0.2">
      <c r="O42" s="10" t="str">
        <f>name!D9</f>
        <v>24 Business, media and public service professionals</v>
      </c>
      <c r="P42" s="11">
        <f>'Occ T2'!H13</f>
        <v>15.677728401469473</v>
      </c>
      <c r="Q42" s="11">
        <f>'Occ T2'!J13</f>
        <v>50.746521462807664</v>
      </c>
    </row>
    <row r="43" spans="1:17" x14ac:dyDescent="0.2">
      <c r="O43" s="10" t="str">
        <f>name!D10</f>
        <v>31 Science, engineering and technology associate professionals</v>
      </c>
      <c r="P43" s="11">
        <f>'Occ T2'!H14</f>
        <v>-2.5114465297474915</v>
      </c>
      <c r="Q43" s="11">
        <f>'Occ T2'!J14</f>
        <v>6.5551616199156992</v>
      </c>
    </row>
    <row r="44" spans="1:17" x14ac:dyDescent="0.2">
      <c r="O44" s="10" t="str">
        <f>name!D11</f>
        <v>32 Health and social care associate professionals</v>
      </c>
      <c r="P44" s="11">
        <f>'Occ T2'!H15</f>
        <v>3.1866232822275613</v>
      </c>
      <c r="Q44" s="11">
        <f>'Occ T2'!J15</f>
        <v>20.77901316184132</v>
      </c>
    </row>
    <row r="45" spans="1:17" x14ac:dyDescent="0.2">
      <c r="O45" s="10" t="str">
        <f>name!D12</f>
        <v>33 Protective service occupations</v>
      </c>
      <c r="P45" s="11">
        <f>'Occ T2'!H16</f>
        <v>5.0713979996577372</v>
      </c>
      <c r="Q45" s="11">
        <f>'Occ T2'!J16</f>
        <v>12.018319957971666</v>
      </c>
    </row>
    <row r="46" spans="1:17" x14ac:dyDescent="0.2">
      <c r="O46" s="10" t="str">
        <f>name!D13</f>
        <v>34 Culture, media and sports occupations</v>
      </c>
      <c r="P46" s="11">
        <f>'Occ T2'!H17</f>
        <v>0.87258947368746753</v>
      </c>
      <c r="Q46" s="11">
        <f>'Occ T2'!J17</f>
        <v>8.1088779436502367</v>
      </c>
    </row>
    <row r="47" spans="1:17" x14ac:dyDescent="0.2">
      <c r="O47" s="10" t="str">
        <f>name!D14</f>
        <v>35 Business and public service associate professionals</v>
      </c>
      <c r="P47" s="11">
        <f>'Occ T2'!H18</f>
        <v>-3.3126883944539998E-2</v>
      </c>
      <c r="Q47" s="11">
        <f>'Occ T2'!J18</f>
        <v>24.746572661681391</v>
      </c>
    </row>
    <row r="48" spans="1:17" x14ac:dyDescent="0.2">
      <c r="O48" s="10" t="str">
        <f>name!D15</f>
        <v>41 Administrative occupations</v>
      </c>
      <c r="P48" s="11">
        <f>'Occ T2'!H19</f>
        <v>-13.863301660679539</v>
      </c>
      <c r="Q48" s="11">
        <f>'Occ T2'!J19</f>
        <v>37.061954413903607</v>
      </c>
    </row>
    <row r="49" spans="15:17" x14ac:dyDescent="0.2">
      <c r="O49" s="10" t="str">
        <f>name!D16</f>
        <v>42 Secretarial and related occupations</v>
      </c>
      <c r="P49" s="11">
        <f>'Occ T2'!H20</f>
        <v>-1.6045916971026131</v>
      </c>
      <c r="Q49" s="11">
        <f>'Occ T2'!J20</f>
        <v>10.443967474237244</v>
      </c>
    </row>
    <row r="50" spans="15:17" x14ac:dyDescent="0.2">
      <c r="O50" s="10" t="str">
        <f>name!D17</f>
        <v>51 Skilled agricultural and related trades</v>
      </c>
      <c r="P50" s="11">
        <f>'Occ T2'!H21</f>
        <v>1.2842365777998257</v>
      </c>
      <c r="Q50" s="11">
        <f>'Occ T2'!J21</f>
        <v>7.3409423459011061</v>
      </c>
    </row>
    <row r="51" spans="15:17" x14ac:dyDescent="0.2">
      <c r="O51" s="10" t="str">
        <f>name!D18</f>
        <v>52 Skilled metal, electrical and electronic trades</v>
      </c>
      <c r="P51" s="11">
        <f>'Occ T2'!H22</f>
        <v>-6.1347030728799652</v>
      </c>
      <c r="Q51" s="11">
        <f>'Occ T2'!J22</f>
        <v>8.5218303765120318</v>
      </c>
    </row>
    <row r="52" spans="15:17" x14ac:dyDescent="0.2">
      <c r="O52" s="10" t="str">
        <f>name!D19</f>
        <v>53 Skilled construction and building trades</v>
      </c>
      <c r="P52" s="11">
        <f>'Occ T2'!H23</f>
        <v>-4.0783457470649047</v>
      </c>
      <c r="Q52" s="11">
        <f>'Occ T2'!J23</f>
        <v>10.23236094566081</v>
      </c>
    </row>
    <row r="53" spans="15:17" x14ac:dyDescent="0.2">
      <c r="O53" s="10" t="str">
        <f>name!D20</f>
        <v>54 Textiles, printing and other skilled trades</v>
      </c>
      <c r="P53" s="11">
        <f>'Occ T2'!H24</f>
        <v>-1.0861478873856356</v>
      </c>
      <c r="Q53" s="11">
        <f>'Occ T2'!J24</f>
        <v>8.1604884845025971</v>
      </c>
    </row>
    <row r="54" spans="15:17" x14ac:dyDescent="0.2">
      <c r="O54" s="10" t="str">
        <f>name!D21</f>
        <v>61 Caring personal service occupations</v>
      </c>
      <c r="P54" s="11">
        <f>'Occ T2'!H25</f>
        <v>10.801137027273271</v>
      </c>
      <c r="Q54" s="11">
        <f>'Occ T2'!J25</f>
        <v>63.185237305567291</v>
      </c>
    </row>
    <row r="55" spans="15:17" x14ac:dyDescent="0.2">
      <c r="O55" s="10" t="str">
        <f>name!D22</f>
        <v>62 Leisure, travel and related personal service occupations</v>
      </c>
      <c r="P55" s="11">
        <f>'Occ T2'!H26</f>
        <v>0.73652465759708008</v>
      </c>
      <c r="Q55" s="11">
        <f>'Occ T2'!J26</f>
        <v>14.412671820859751</v>
      </c>
    </row>
    <row r="56" spans="15:17" x14ac:dyDescent="0.2">
      <c r="O56" s="10" t="str">
        <f>name!D23</f>
        <v>63 Community and civil enforcement occupations</v>
      </c>
      <c r="P56" s="11">
        <f>'Occ T2'!H27</f>
        <v>-0.19654028258234013</v>
      </c>
      <c r="Q56" s="11">
        <f>'Occ T2'!J27</f>
        <v>0.45084604747587342</v>
      </c>
    </row>
    <row r="57" spans="15:17" x14ac:dyDescent="0.2">
      <c r="O57" s="10" t="str">
        <f>name!D24</f>
        <v>71 Sales occupations</v>
      </c>
      <c r="P57" s="11">
        <f>'Occ T2'!H28</f>
        <v>-8.4552739812367435</v>
      </c>
      <c r="Q57" s="11">
        <f>'Occ T2'!J28</f>
        <v>40.781797224064917</v>
      </c>
    </row>
    <row r="58" spans="15:17" x14ac:dyDescent="0.2">
      <c r="O58" s="10" t="str">
        <f>name!D25</f>
        <v>72 Customer service occupations</v>
      </c>
      <c r="P58" s="11">
        <f>'Occ T2'!H29</f>
        <v>11.183553008210936</v>
      </c>
      <c r="Q58" s="11">
        <f>'Occ T2'!J29</f>
        <v>24.903088100145794</v>
      </c>
    </row>
    <row r="59" spans="15:17" x14ac:dyDescent="0.2">
      <c r="O59" s="10" t="str">
        <f>name!D26</f>
        <v>81 Process, plant and machine operatives</v>
      </c>
      <c r="P59" s="11">
        <f>'Occ T2'!H30</f>
        <v>3.966775603682315</v>
      </c>
      <c r="Q59" s="11">
        <f>'Occ T2'!J30</f>
        <v>18.941692427619209</v>
      </c>
    </row>
    <row r="60" spans="15:17" x14ac:dyDescent="0.2">
      <c r="O60" s="10" t="str">
        <f>name!D27</f>
        <v>82 Transport and mobile machine drivers and operatives</v>
      </c>
      <c r="P60" s="11">
        <f>'Occ T2'!H31</f>
        <v>-2.1313866469307214</v>
      </c>
      <c r="Q60" s="11">
        <f>'Occ T2'!J31</f>
        <v>20.14359058947522</v>
      </c>
    </row>
    <row r="61" spans="15:17" x14ac:dyDescent="0.2">
      <c r="O61" s="10" t="str">
        <f>name!D28</f>
        <v>91 Elementary trades and related occupations</v>
      </c>
      <c r="P61" s="11">
        <f>'Occ T2'!H32</f>
        <v>-3.9094004965948397</v>
      </c>
      <c r="Q61" s="11">
        <f>'Occ T2'!J32</f>
        <v>0.89860930052977839</v>
      </c>
    </row>
    <row r="62" spans="15:17" x14ac:dyDescent="0.2">
      <c r="O62" s="10" t="str">
        <f>name!D29</f>
        <v>92 Elementary administration and service occupations</v>
      </c>
      <c r="P62" s="11">
        <f>'Occ T2'!H33</f>
        <v>0.1444255036292077</v>
      </c>
      <c r="Q62" s="11">
        <f>'Occ T2'!J33</f>
        <v>57.283305471027951</v>
      </c>
    </row>
    <row r="63" spans="15:17" x14ac:dyDescent="0.2">
      <c r="O63" s="10"/>
      <c r="P63" s="11"/>
      <c r="Q63" s="11"/>
    </row>
    <row r="64" spans="15:17" x14ac:dyDescent="0.2">
      <c r="O64" s="10" t="str">
        <f>name!D3</f>
        <v>All occupations</v>
      </c>
      <c r="P64" s="11">
        <f>'Occ T2'!H35</f>
        <v>61.657999999921913</v>
      </c>
      <c r="Q64" s="11">
        <f>'Occ T2'!J35</f>
        <v>658.71802730174318</v>
      </c>
    </row>
    <row r="65" spans="15:15" x14ac:dyDescent="0.2">
      <c r="O65" s="10" t="str">
        <f>name!D31</f>
        <v xml:space="preserve"> </v>
      </c>
    </row>
  </sheetData>
  <phoneticPr fontId="4" type="noConversion"/>
  <pageMargins left="0.75" right="0.75" top="1" bottom="1" header="0.5" footer="0.5"/>
  <pageSetup paperSize="9" scale="80" orientation="landscape" r:id="rId1"/>
  <headerFooter alignWithMargins="0"/>
  <rowBreaks count="1" manualBreakCount="1">
    <brk id="33" max="13" man="1"/>
  </rowBreaks>
  <colBreaks count="1" manualBreakCount="1">
    <brk id="14" max="1048575" man="1"/>
  </colBreaks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25"/>
  <dimension ref="A1:AN101"/>
  <sheetViews>
    <sheetView showGridLines="0" zoomScale="85" zoomScaleNormal="85" workbookViewId="0"/>
  </sheetViews>
  <sheetFormatPr defaultColWidth="9.140625" defaultRowHeight="12.75" x14ac:dyDescent="0.2"/>
  <cols>
    <col min="1" max="1" width="37.5703125" style="13" customWidth="1"/>
    <col min="2" max="4" width="7.140625" style="13" bestFit="1" customWidth="1"/>
    <col min="5" max="5" width="5.7109375" style="13" customWidth="1"/>
    <col min="6" max="8" width="4.7109375" style="13" bestFit="1" customWidth="1"/>
    <col min="9" max="9" width="5.7109375" style="13" customWidth="1"/>
    <col min="10" max="12" width="5.7109375" style="13" bestFit="1" customWidth="1"/>
    <col min="13" max="13" width="5.7109375" style="13" customWidth="1"/>
    <col min="14" max="16" width="5.7109375" style="13" bestFit="1" customWidth="1"/>
    <col min="17" max="17" width="5.85546875" style="13" customWidth="1"/>
    <col min="18" max="20" width="4.7109375" style="13" bestFit="1" customWidth="1"/>
    <col min="21" max="21" width="5.7109375" style="13" customWidth="1"/>
    <col min="22" max="24" width="4.7109375" style="13" bestFit="1" customWidth="1"/>
    <col min="25" max="25" width="5.7109375" style="13" customWidth="1"/>
    <col min="26" max="28" width="5.7109375" style="13" bestFit="1" customWidth="1"/>
    <col min="29" max="29" width="5.7109375" style="13" customWidth="1"/>
    <col min="30" max="32" width="5.7109375" style="13" bestFit="1" customWidth="1"/>
    <col min="33" max="33" width="5.7109375" style="13" customWidth="1"/>
    <col min="34" max="35" width="5.7109375" style="13" bestFit="1" customWidth="1"/>
    <col min="36" max="36" width="4.7109375" style="13" bestFit="1" customWidth="1"/>
    <col min="37" max="37" width="5.7109375" style="13" customWidth="1"/>
    <col min="38" max="40" width="4.7109375" style="13" bestFit="1" customWidth="1"/>
    <col min="41" max="16384" width="9.140625" style="13"/>
  </cols>
  <sheetData>
    <row r="1" spans="1:40" ht="15.75" x14ac:dyDescent="0.25">
      <c r="A1" s="18" t="str">
        <f>CONCATENATE("Basic Table 1  Employment by Industry Sector, Occupation Group and Qualification, ",B$5,"-",D$5,", ",Info!B5)</f>
        <v>Basic Table 1  Employment by Industry Sector, Occupation Group and Qualification, 2020-2035, North East</v>
      </c>
    </row>
    <row r="2" spans="1:40" ht="12.75" customHeight="1" x14ac:dyDescent="0.2">
      <c r="A2" s="181" t="s">
        <v>542</v>
      </c>
    </row>
    <row r="3" spans="1:40" ht="12.75" customHeight="1" x14ac:dyDescent="0.25">
      <c r="A3" s="18"/>
      <c r="AN3" s="37" t="s">
        <v>35</v>
      </c>
    </row>
    <row r="4" spans="1:40" ht="24.75" customHeight="1" x14ac:dyDescent="0.2">
      <c r="A4" s="77"/>
      <c r="B4" s="379" t="str">
        <f>name!F3</f>
        <v>All qualifications</v>
      </c>
      <c r="C4" s="379"/>
      <c r="D4" s="379"/>
      <c r="E4" s="77"/>
      <c r="F4" s="380" t="str">
        <f>name!F4</f>
        <v>RQF8 Doctorate</v>
      </c>
      <c r="G4" s="380"/>
      <c r="H4" s="380"/>
      <c r="I4" s="77"/>
      <c r="J4" s="380" t="str">
        <f>name!F5</f>
        <v>RQF7 Other higher degree</v>
      </c>
      <c r="K4" s="380"/>
      <c r="L4" s="380"/>
      <c r="M4" s="77"/>
      <c r="N4" s="380" t="str">
        <f>name!F6</f>
        <v>RQF6 First degree</v>
      </c>
      <c r="O4" s="380"/>
      <c r="P4" s="380"/>
      <c r="Q4" s="77"/>
      <c r="R4" s="380" t="str">
        <f>name!F7</f>
        <v>RQF5 Foundation degree;Nursing;Teaching</v>
      </c>
      <c r="S4" s="380"/>
      <c r="T4" s="380"/>
      <c r="U4" s="77"/>
      <c r="V4" s="380" t="str">
        <f>name!F8</f>
        <v>RQF4 HE below degree level</v>
      </c>
      <c r="W4" s="380"/>
      <c r="X4" s="380"/>
      <c r="Y4" s="77"/>
      <c r="Z4" s="380" t="str">
        <f>name!F9</f>
        <v>RQF3 A level &amp; equivalent</v>
      </c>
      <c r="AA4" s="380"/>
      <c r="AB4" s="380"/>
      <c r="AC4" s="77"/>
      <c r="AD4" s="380" t="str">
        <f>name!F10</f>
        <v>RQF2 GCSE(A-C) &amp; equivalent</v>
      </c>
      <c r="AE4" s="380"/>
      <c r="AF4" s="380"/>
      <c r="AG4" s="77"/>
      <c r="AH4" s="380" t="str">
        <f>name!F11</f>
        <v>RQF1 GCSE(below grade C) &amp; equivalent</v>
      </c>
      <c r="AI4" s="380"/>
      <c r="AJ4" s="380"/>
      <c r="AK4" s="77"/>
      <c r="AL4" s="380" t="str">
        <f>name!F12</f>
        <v>No Qualification</v>
      </c>
      <c r="AM4" s="380"/>
      <c r="AN4" s="380"/>
    </row>
    <row r="5" spans="1:40" x14ac:dyDescent="0.2">
      <c r="A5" s="38"/>
      <c r="B5" s="41">
        <v>2020</v>
      </c>
      <c r="C5" s="41">
        <v>2025</v>
      </c>
      <c r="D5" s="41">
        <v>2035</v>
      </c>
      <c r="E5" s="38"/>
      <c r="F5" s="34">
        <f>B5</f>
        <v>2020</v>
      </c>
      <c r="G5" s="34">
        <f>C5</f>
        <v>2025</v>
      </c>
      <c r="H5" s="34">
        <f>D5</f>
        <v>2035</v>
      </c>
      <c r="I5" s="38"/>
      <c r="J5" s="34">
        <f>B5</f>
        <v>2020</v>
      </c>
      <c r="K5" s="34">
        <f>C5</f>
        <v>2025</v>
      </c>
      <c r="L5" s="34">
        <f>D5</f>
        <v>2035</v>
      </c>
      <c r="M5" s="38"/>
      <c r="N5" s="34">
        <f>B5</f>
        <v>2020</v>
      </c>
      <c r="O5" s="34">
        <f>C5</f>
        <v>2025</v>
      </c>
      <c r="P5" s="34">
        <f>D5</f>
        <v>2035</v>
      </c>
      <c r="Q5" s="38"/>
      <c r="R5" s="34">
        <f>F5</f>
        <v>2020</v>
      </c>
      <c r="S5" s="34">
        <f>G5</f>
        <v>2025</v>
      </c>
      <c r="T5" s="34">
        <f>H5</f>
        <v>2035</v>
      </c>
      <c r="U5" s="38"/>
      <c r="V5" s="34">
        <f>J5</f>
        <v>2020</v>
      </c>
      <c r="W5" s="34">
        <f>K5</f>
        <v>2025</v>
      </c>
      <c r="X5" s="34">
        <f>L5</f>
        <v>2035</v>
      </c>
      <c r="Y5" s="38"/>
      <c r="Z5" s="34">
        <f>N5</f>
        <v>2020</v>
      </c>
      <c r="AA5" s="34">
        <f>O5</f>
        <v>2025</v>
      </c>
      <c r="AB5" s="34">
        <f>P5</f>
        <v>2035</v>
      </c>
      <c r="AC5" s="38"/>
      <c r="AD5" s="34">
        <f>R5</f>
        <v>2020</v>
      </c>
      <c r="AE5" s="34">
        <f>S5</f>
        <v>2025</v>
      </c>
      <c r="AF5" s="34">
        <f>T5</f>
        <v>2035</v>
      </c>
      <c r="AG5" s="38"/>
      <c r="AH5" s="34">
        <f>V5</f>
        <v>2020</v>
      </c>
      <c r="AI5" s="34">
        <f>W5</f>
        <v>2025</v>
      </c>
      <c r="AJ5" s="34">
        <f>X5</f>
        <v>2035</v>
      </c>
      <c r="AK5" s="38"/>
      <c r="AL5" s="34">
        <f>Z5</f>
        <v>2020</v>
      </c>
      <c r="AM5" s="34">
        <f>AA5</f>
        <v>2025</v>
      </c>
      <c r="AN5" s="34">
        <f>AB5</f>
        <v>2035</v>
      </c>
    </row>
    <row r="7" spans="1:40" x14ac:dyDescent="0.2">
      <c r="A7" s="1" t="str">
        <f>name!C3</f>
        <v>All industries</v>
      </c>
      <c r="E7" s="76"/>
      <c r="F7" s="76"/>
      <c r="G7" s="76"/>
      <c r="H7" s="76"/>
      <c r="I7" s="76"/>
      <c r="J7" s="76"/>
      <c r="K7" s="76"/>
      <c r="L7" s="76"/>
      <c r="M7" s="76"/>
      <c r="N7" s="76"/>
      <c r="O7" s="76"/>
      <c r="P7" s="76"/>
      <c r="R7" s="76"/>
      <c r="S7" s="76"/>
      <c r="T7" s="76"/>
      <c r="V7" s="76"/>
      <c r="W7" s="76"/>
      <c r="X7" s="76"/>
      <c r="Z7" s="76"/>
      <c r="AA7" s="76"/>
      <c r="AB7" s="76"/>
      <c r="AD7" s="76"/>
      <c r="AE7" s="76"/>
      <c r="AF7" s="76"/>
      <c r="AH7" s="76"/>
      <c r="AI7" s="76"/>
      <c r="AJ7" s="76"/>
      <c r="AL7" s="76"/>
      <c r="AM7" s="76"/>
      <c r="AN7" s="76"/>
    </row>
    <row r="8" spans="1:40" x14ac:dyDescent="0.2">
      <c r="A8" s="13" t="str">
        <f>name!E3</f>
        <v>All occupations</v>
      </c>
      <c r="B8" s="305">
        <f>SUM(B9:B17)</f>
        <v>1189.3390000002901</v>
      </c>
      <c r="C8" s="305">
        <f>SUM(C9:C17)</f>
        <v>1208.7760000004323</v>
      </c>
      <c r="D8" s="305">
        <f>SUM(D9:D17)</f>
        <v>1250.9970000002131</v>
      </c>
      <c r="E8" s="304"/>
      <c r="F8" s="305">
        <f>SUM(F9:F17)</f>
        <v>15.986184730114925</v>
      </c>
      <c r="G8" s="305">
        <f>SUM(G9:G17)</f>
        <v>19.779309646202059</v>
      </c>
      <c r="H8" s="305">
        <f>SUM(H9:H17)</f>
        <v>24.851070362877429</v>
      </c>
      <c r="I8" s="304"/>
      <c r="J8" s="305">
        <f>SUM(J9:J17)</f>
        <v>102.55492005222295</v>
      </c>
      <c r="K8" s="305">
        <f>SUM(K9:K17)</f>
        <v>122.95921358435332</v>
      </c>
      <c r="L8" s="305">
        <f>SUM(L9:L17)</f>
        <v>150.57249059029525</v>
      </c>
      <c r="M8" s="304"/>
      <c r="N8" s="305">
        <f>SUM(N9:N17)</f>
        <v>214.38336635414274</v>
      </c>
      <c r="O8" s="305">
        <f>SUM(O9:O17)</f>
        <v>241.18300428264558</v>
      </c>
      <c r="P8" s="305">
        <f>SUM(P9:P17)</f>
        <v>299.99815240348312</v>
      </c>
      <c r="Q8" s="306"/>
      <c r="R8" s="305">
        <f>SUM(R9:R17)</f>
        <v>65.898160327441602</v>
      </c>
      <c r="S8" s="305">
        <f>SUM(S9:S17)</f>
        <v>64.189140787253677</v>
      </c>
      <c r="T8" s="305">
        <f>SUM(T9:T17)</f>
        <v>70.588657027486406</v>
      </c>
      <c r="U8" s="306"/>
      <c r="V8" s="305">
        <f>SUM(V9:V17)</f>
        <v>55.339524648921923</v>
      </c>
      <c r="W8" s="305">
        <f>SUM(W9:W17)</f>
        <v>59.005279782501468</v>
      </c>
      <c r="X8" s="305">
        <f>SUM(X9:X17)</f>
        <v>68.860847045772545</v>
      </c>
      <c r="Y8" s="306"/>
      <c r="Z8" s="305">
        <f>SUM(Z9:Z17)</f>
        <v>294.47764990672727</v>
      </c>
      <c r="AA8" s="305">
        <f>SUM(AA9:AA17)</f>
        <v>285.59868526465618</v>
      </c>
      <c r="AB8" s="305">
        <f>SUM(AB9:AB17)</f>
        <v>300.53256546660708</v>
      </c>
      <c r="AC8" s="306"/>
      <c r="AD8" s="305">
        <f>SUM(AD9:AD17)</f>
        <v>266.18535482351007</v>
      </c>
      <c r="AE8" s="305">
        <f>SUM(AE9:AE17)</f>
        <v>256.26093408743219</v>
      </c>
      <c r="AF8" s="305">
        <f>SUM(AF9:AF17)</f>
        <v>231.59459418621782</v>
      </c>
      <c r="AG8" s="306"/>
      <c r="AH8" s="305">
        <f>SUM(AH9:AH17)</f>
        <v>127.62991797346675</v>
      </c>
      <c r="AI8" s="305">
        <f>SUM(AI9:AI17)</f>
        <v>120.1088977292202</v>
      </c>
      <c r="AJ8" s="305">
        <f>SUM(AJ9:AJ17)</f>
        <v>75.233033924037869</v>
      </c>
      <c r="AK8" s="306"/>
      <c r="AL8" s="305">
        <f>SUM(AL9:AL17)</f>
        <v>46.883921183742025</v>
      </c>
      <c r="AM8" s="305">
        <f>SUM(AM9:AM17)</f>
        <v>39.691534836167705</v>
      </c>
      <c r="AN8" s="305">
        <f>SUM(AN9:AN17)</f>
        <v>28.765588993435745</v>
      </c>
    </row>
    <row r="9" spans="1:40" x14ac:dyDescent="0.2">
      <c r="A9" s="13" t="str">
        <f>name!E4</f>
        <v>Managers, directors and senior officials</v>
      </c>
      <c r="B9" s="304">
        <f>SUM(B21,B33,B51,B63,B75,B93)</f>
        <v>99.727748084257229</v>
      </c>
      <c r="C9" s="304">
        <f t="shared" ref="B9:D17" si="0">SUM(C21,C33,C51,C63,C75,C93)</f>
        <v>102.19943541724975</v>
      </c>
      <c r="D9" s="304">
        <f t="shared" si="0"/>
        <v>116.10988402493868</v>
      </c>
      <c r="E9" s="304"/>
      <c r="F9" s="304">
        <f t="shared" ref="F9:H17" si="1">SUM(F21,F33,F51,F63,F75,F93)</f>
        <v>0.99254865391564029</v>
      </c>
      <c r="G9" s="304">
        <f t="shared" si="1"/>
        <v>1.2415384244808183</v>
      </c>
      <c r="H9" s="304">
        <f t="shared" si="1"/>
        <v>1.7612670307299325</v>
      </c>
      <c r="I9" s="304"/>
      <c r="J9" s="304">
        <f t="shared" ref="J9:L17" si="2">SUM(J21,J33,J51,J63,J75,J93)</f>
        <v>9.4066154270458142</v>
      </c>
      <c r="K9" s="304">
        <f t="shared" si="2"/>
        <v>11.229781540594665</v>
      </c>
      <c r="L9" s="304">
        <f t="shared" si="2"/>
        <v>15.147482502863795</v>
      </c>
      <c r="M9" s="304"/>
      <c r="N9" s="304">
        <f t="shared" ref="N9:P17" si="3">SUM(N21,N33,N51,N63,N75,N93)</f>
        <v>23.680447234179415</v>
      </c>
      <c r="O9" s="304">
        <f t="shared" si="3"/>
        <v>26.474140731454391</v>
      </c>
      <c r="P9" s="304">
        <f t="shared" si="3"/>
        <v>33.283962227769926</v>
      </c>
      <c r="Q9" s="306"/>
      <c r="R9" s="304">
        <f t="shared" ref="R9:T9" si="4">SUM(R21,R33,R51,R63,R75,R93)</f>
        <v>6.6341940080523703</v>
      </c>
      <c r="S9" s="304">
        <f t="shared" si="4"/>
        <v>7.0196233169742897</v>
      </c>
      <c r="T9" s="304">
        <f t="shared" si="4"/>
        <v>8.6637557155547142</v>
      </c>
      <c r="U9" s="306"/>
      <c r="V9" s="304">
        <f t="shared" ref="V9:X9" si="5">SUM(V21,V33,V51,V63,V75,V93)</f>
        <v>6.311154684397815</v>
      </c>
      <c r="W9" s="304">
        <f t="shared" si="5"/>
        <v>6.559274551062745</v>
      </c>
      <c r="X9" s="304">
        <f t="shared" si="5"/>
        <v>7.4488894451100878</v>
      </c>
      <c r="Y9" s="306"/>
      <c r="Z9" s="304">
        <f t="shared" ref="Z9:AB9" si="6">SUM(Z21,Z33,Z51,Z63,Z75,Z93)</f>
        <v>22.774721858315708</v>
      </c>
      <c r="AA9" s="304">
        <f t="shared" si="6"/>
        <v>19.855379444558224</v>
      </c>
      <c r="AB9" s="304">
        <f t="shared" si="6"/>
        <v>22.168056719095162</v>
      </c>
      <c r="AC9" s="306"/>
      <c r="AD9" s="304">
        <f>SUM(AD21,AD33,AD51,AD63,AD75,AD93)</f>
        <v>18.068410441004016</v>
      </c>
      <c r="AE9" s="304">
        <f t="shared" ref="AE9:AF9" si="7">SUM(AE21,AE33,AE51,AE63,AE75,AE93)</f>
        <v>17.702151515639009</v>
      </c>
      <c r="AF9" s="304">
        <f t="shared" si="7"/>
        <v>17.845543847746171</v>
      </c>
      <c r="AG9" s="306"/>
      <c r="AH9" s="304">
        <f t="shared" ref="AH9:AJ9" si="8">SUM(AH21,AH33,AH51,AH63,AH75,AH93)</f>
        <v>9.1511390729161946</v>
      </c>
      <c r="AI9" s="304">
        <f t="shared" si="8"/>
        <v>9.3685753880699991</v>
      </c>
      <c r="AJ9" s="304">
        <f t="shared" si="8"/>
        <v>6.9772466888514257</v>
      </c>
      <c r="AK9" s="306"/>
      <c r="AL9" s="304">
        <f t="shared" ref="AL9:AN9" si="9">SUM(AL21,AL33,AL51,AL63,AL75,AL93)</f>
        <v>2.7085167044302838</v>
      </c>
      <c r="AM9" s="304">
        <f t="shared" si="9"/>
        <v>2.7489705044156163</v>
      </c>
      <c r="AN9" s="304">
        <f t="shared" si="9"/>
        <v>2.8136798472174642</v>
      </c>
    </row>
    <row r="10" spans="1:40" x14ac:dyDescent="0.2">
      <c r="A10" s="13" t="str">
        <f>name!E5</f>
        <v>Professional occupations</v>
      </c>
      <c r="B10" s="304">
        <f t="shared" si="0"/>
        <v>254.75423708172923</v>
      </c>
      <c r="C10" s="304">
        <f t="shared" si="0"/>
        <v>276.33858685808286</v>
      </c>
      <c r="D10" s="304">
        <f t="shared" si="0"/>
        <v>306.78710289335379</v>
      </c>
      <c r="E10" s="304"/>
      <c r="F10" s="304">
        <f t="shared" si="1"/>
        <v>12.548088374098196</v>
      </c>
      <c r="G10" s="304">
        <f t="shared" si="1"/>
        <v>15.620699187307732</v>
      </c>
      <c r="H10" s="304">
        <f t="shared" si="1"/>
        <v>19.227063214053786</v>
      </c>
      <c r="I10" s="304"/>
      <c r="J10" s="304">
        <f t="shared" si="2"/>
        <v>60.876582208708889</v>
      </c>
      <c r="K10" s="304">
        <f t="shared" si="2"/>
        <v>73.535024980435594</v>
      </c>
      <c r="L10" s="304">
        <f t="shared" si="2"/>
        <v>86.428351306501355</v>
      </c>
      <c r="M10" s="304"/>
      <c r="N10" s="304">
        <f t="shared" si="3"/>
        <v>86.279948181439906</v>
      </c>
      <c r="O10" s="304">
        <f t="shared" si="3"/>
        <v>96.736420417227436</v>
      </c>
      <c r="P10" s="304">
        <f t="shared" si="3"/>
        <v>114.95608862722908</v>
      </c>
      <c r="Q10" s="306"/>
      <c r="R10" s="304">
        <f t="shared" ref="R10:T10" si="10">SUM(R22,R34,R52,R64,R76,R94)</f>
        <v>15.214825964049719</v>
      </c>
      <c r="S10" s="304">
        <f t="shared" si="10"/>
        <v>10.693030450880636</v>
      </c>
      <c r="T10" s="304">
        <f t="shared" si="10"/>
        <v>6.7505732742910389</v>
      </c>
      <c r="U10" s="306"/>
      <c r="V10" s="304">
        <f t="shared" ref="V10:X10" si="11">SUM(V22,V34,V52,V64,V76,V94)</f>
        <v>10.689660677596493</v>
      </c>
      <c r="W10" s="304">
        <f t="shared" si="11"/>
        <v>11.259719596416884</v>
      </c>
      <c r="X10" s="304">
        <f t="shared" si="11"/>
        <v>12.282291733462397</v>
      </c>
      <c r="Y10" s="306"/>
      <c r="Z10" s="304">
        <f t="shared" ref="Z10:AB10" si="12">SUM(Z22,Z34,Z52,Z64,Z76,Z94)</f>
        <v>34.658917274560892</v>
      </c>
      <c r="AA10" s="304">
        <f t="shared" si="12"/>
        <v>34.074947448838827</v>
      </c>
      <c r="AB10" s="304">
        <f t="shared" si="12"/>
        <v>37.331243506739057</v>
      </c>
      <c r="AC10" s="306"/>
      <c r="AD10" s="304">
        <f t="shared" ref="AD10:AF10" si="13">SUM(AD22,AD34,AD52,AD64,AD76,AD94)</f>
        <v>22.04306435022766</v>
      </c>
      <c r="AE10" s="304">
        <f t="shared" si="13"/>
        <v>21.605738760123327</v>
      </c>
      <c r="AF10" s="304">
        <f t="shared" si="13"/>
        <v>20.189073965584672</v>
      </c>
      <c r="AG10" s="306"/>
      <c r="AH10" s="304">
        <f t="shared" ref="AH10:AJ10" si="14">SUM(AH22,AH34,AH52,AH64,AH76,AH94)</f>
        <v>10.089432221305884</v>
      </c>
      <c r="AI10" s="304">
        <f t="shared" si="14"/>
        <v>10.120962434518134</v>
      </c>
      <c r="AJ10" s="304">
        <f t="shared" si="14"/>
        <v>6.7576135440498195</v>
      </c>
      <c r="AK10" s="306"/>
      <c r="AL10" s="304">
        <f t="shared" ref="AL10:AN10" si="15">SUM(AL22,AL34,AL52,AL64,AL76,AL94)</f>
        <v>2.3537178297415564</v>
      </c>
      <c r="AM10" s="304">
        <f t="shared" si="15"/>
        <v>2.6920435823342959</v>
      </c>
      <c r="AN10" s="304">
        <f t="shared" si="15"/>
        <v>2.8648037214425912</v>
      </c>
    </row>
    <row r="11" spans="1:40" x14ac:dyDescent="0.2">
      <c r="A11" s="13" t="str">
        <f>name!E6</f>
        <v>Associate professional occupations</v>
      </c>
      <c r="B11" s="304">
        <f>SUM(B23,B35,B53,B65,B77,B95)</f>
        <v>140.27215233660232</v>
      </c>
      <c r="C11" s="304">
        <f t="shared" si="0"/>
        <v>135.96055204687531</v>
      </c>
      <c r="D11" s="304">
        <f>SUM(D23,D35,D53,D65,D77,D95)</f>
        <v>146.8581896784832</v>
      </c>
      <c r="E11" s="304"/>
      <c r="F11" s="304">
        <f t="shared" si="1"/>
        <v>1.2484812310002757</v>
      </c>
      <c r="G11" s="304">
        <f t="shared" si="1"/>
        <v>1.4292082588462032</v>
      </c>
      <c r="H11" s="304">
        <f t="shared" si="1"/>
        <v>1.9009770666054275</v>
      </c>
      <c r="I11" s="304"/>
      <c r="J11" s="304">
        <f t="shared" si="2"/>
        <v>14.546389201642057</v>
      </c>
      <c r="K11" s="304">
        <f t="shared" si="2"/>
        <v>16.082881384092396</v>
      </c>
      <c r="L11" s="304">
        <f t="shared" si="2"/>
        <v>19.799128643576957</v>
      </c>
      <c r="M11" s="304"/>
      <c r="N11" s="304">
        <f t="shared" si="3"/>
        <v>37.093984295220878</v>
      </c>
      <c r="O11" s="304">
        <f t="shared" si="3"/>
        <v>39.435293290062702</v>
      </c>
      <c r="P11" s="304">
        <f t="shared" si="3"/>
        <v>48.635772482939757</v>
      </c>
      <c r="Q11" s="306"/>
      <c r="R11" s="304">
        <f t="shared" ref="R11:T11" si="16">SUM(R23,R35,R53,R65,R77,R95)</f>
        <v>11.347964997313133</v>
      </c>
      <c r="S11" s="304">
        <f t="shared" si="16"/>
        <v>10.467956830913359</v>
      </c>
      <c r="T11" s="304">
        <f t="shared" si="16"/>
        <v>10.50421349187191</v>
      </c>
      <c r="U11" s="306"/>
      <c r="V11" s="304">
        <f t="shared" ref="V11:X11" si="17">SUM(V23,V35,V53,V65,V77,V95)</f>
        <v>8.3089797122974183</v>
      </c>
      <c r="W11" s="304">
        <f t="shared" si="17"/>
        <v>7.9628699574049993</v>
      </c>
      <c r="X11" s="304">
        <f t="shared" si="17"/>
        <v>8.9372676682773768</v>
      </c>
      <c r="Y11" s="306"/>
      <c r="Z11" s="304">
        <f t="shared" ref="Z11:AB11" si="18">SUM(Z23,Z35,Z53,Z65,Z77,Z95)</f>
        <v>32.400386075452388</v>
      </c>
      <c r="AA11" s="304">
        <f t="shared" si="18"/>
        <v>28.565424663682386</v>
      </c>
      <c r="AB11" s="304">
        <f t="shared" si="18"/>
        <v>29.954241563767948</v>
      </c>
      <c r="AC11" s="306"/>
      <c r="AD11" s="304">
        <f t="shared" ref="AD11:AF11" si="19">SUM(AD23,AD35,AD53,AD65,AD77,AD95)</f>
        <v>22.873700104765241</v>
      </c>
      <c r="AE11" s="304">
        <f t="shared" si="19"/>
        <v>20.60653407185147</v>
      </c>
      <c r="AF11" s="304">
        <f t="shared" si="19"/>
        <v>18.615121897652905</v>
      </c>
      <c r="AG11" s="306"/>
      <c r="AH11" s="304">
        <f t="shared" ref="AH11:AJ11" si="20">SUM(AH23,AH35,AH53,AH65,AH77,AH95)</f>
        <v>10.135487690575385</v>
      </c>
      <c r="AI11" s="304">
        <f t="shared" si="20"/>
        <v>9.1490670358008686</v>
      </c>
      <c r="AJ11" s="304">
        <f t="shared" si="20"/>
        <v>5.8219006489822887</v>
      </c>
      <c r="AK11" s="306"/>
      <c r="AL11" s="304">
        <f t="shared" ref="AL11:AN11" si="21">SUM(AL23,AL35,AL53,AL65,AL77,AL95)</f>
        <v>2.3167790283355423</v>
      </c>
      <c r="AM11" s="304">
        <f t="shared" si="21"/>
        <v>2.261316554220929</v>
      </c>
      <c r="AN11" s="304">
        <f t="shared" si="21"/>
        <v>2.6895662148086279</v>
      </c>
    </row>
    <row r="12" spans="1:40" x14ac:dyDescent="0.2">
      <c r="A12" s="13" t="str">
        <f>name!E7</f>
        <v>Administrative and secretarial occupations</v>
      </c>
      <c r="B12" s="304">
        <f t="shared" si="0"/>
        <v>132.69109413528548</v>
      </c>
      <c r="C12" s="304">
        <f t="shared" si="0"/>
        <v>125.40307184476958</v>
      </c>
      <c r="D12" s="304">
        <f t="shared" si="0"/>
        <v>117.22320077750369</v>
      </c>
      <c r="E12" s="304"/>
      <c r="F12" s="304">
        <f t="shared" si="1"/>
        <v>0.56255020061913763</v>
      </c>
      <c r="G12" s="304">
        <f t="shared" si="1"/>
        <v>0.64355907350492836</v>
      </c>
      <c r="H12" s="304">
        <f t="shared" si="1"/>
        <v>0.79938323355695595</v>
      </c>
      <c r="I12" s="304"/>
      <c r="J12" s="304">
        <f t="shared" si="2"/>
        <v>6.9271847559258717</v>
      </c>
      <c r="K12" s="304">
        <f t="shared" si="2"/>
        <v>8.080649872820258</v>
      </c>
      <c r="L12" s="304">
        <f t="shared" si="2"/>
        <v>9.7005871731809208</v>
      </c>
      <c r="M12" s="304"/>
      <c r="N12" s="304">
        <f t="shared" si="3"/>
        <v>24.172624816868456</v>
      </c>
      <c r="O12" s="304">
        <f t="shared" si="3"/>
        <v>26.583250545904001</v>
      </c>
      <c r="P12" s="304">
        <f t="shared" si="3"/>
        <v>33.568285190594395</v>
      </c>
      <c r="Q12" s="306"/>
      <c r="R12" s="304">
        <f t="shared" ref="R12:T12" si="22">SUM(R24,R36,R54,R66,R78,R96)</f>
        <v>9.3738020779086249</v>
      </c>
      <c r="S12" s="304">
        <f t="shared" si="22"/>
        <v>9.8568192739180329</v>
      </c>
      <c r="T12" s="304">
        <f t="shared" si="22"/>
        <v>11.243271291451105</v>
      </c>
      <c r="U12" s="306"/>
      <c r="V12" s="304">
        <f t="shared" ref="V12:X12" si="23">SUM(V24,V36,V54,V66,V78,V96)</f>
        <v>8.4294347150974609</v>
      </c>
      <c r="W12" s="304">
        <f t="shared" si="23"/>
        <v>8.7556529234825291</v>
      </c>
      <c r="X12" s="304">
        <f t="shared" si="23"/>
        <v>10.425590885863466</v>
      </c>
      <c r="Y12" s="306"/>
      <c r="Z12" s="304">
        <f t="shared" ref="Z12:AA12" si="24">SUM(Z24,Z36,Z54,Z66,Z78,Z96)</f>
        <v>31.719747725216394</v>
      </c>
      <c r="AA12" s="304">
        <f t="shared" si="24"/>
        <v>30.103816213761682</v>
      </c>
      <c r="AB12" s="304">
        <f>SUM(AB24,AB36,AB54,AB66,AB78,AB96)</f>
        <v>26.023572232909224</v>
      </c>
      <c r="AC12" s="306"/>
      <c r="AD12" s="304">
        <f t="shared" ref="AD12:AE12" si="25">SUM(AD24,AD36,AD54,AD66,AD78,AD96)</f>
        <v>32.827899886672043</v>
      </c>
      <c r="AE12" s="304">
        <f t="shared" si="25"/>
        <v>26.625881931957537</v>
      </c>
      <c r="AF12" s="304">
        <f>SUM(AF24,AF36,AF54,AF66,AF78,AF96)</f>
        <v>17.905802404441186</v>
      </c>
      <c r="AG12" s="306"/>
      <c r="AH12" s="304">
        <f t="shared" ref="AH12:AI12" si="26">SUM(AH24,AH36,AH54,AH66,AH78,AH96)</f>
        <v>14.384333656051083</v>
      </c>
      <c r="AI12" s="304">
        <f t="shared" si="26"/>
        <v>10.076166177512683</v>
      </c>
      <c r="AJ12" s="304">
        <f>SUM(AJ24,AJ36,AJ54,AJ66,AJ78,AJ96)</f>
        <v>3.2547485273474939</v>
      </c>
      <c r="AK12" s="306"/>
      <c r="AL12" s="304">
        <f t="shared" ref="AL12:AM12" si="27">SUM(AL24,AL36,AL54,AL66,AL78,AL96)</f>
        <v>4.2935163009264077</v>
      </c>
      <c r="AM12" s="304">
        <f t="shared" si="27"/>
        <v>4.6772758319079326</v>
      </c>
      <c r="AN12" s="304">
        <f>SUM(AN24,AN36,AN54,AN66,AN78,AN96)</f>
        <v>4.3019598381589406</v>
      </c>
    </row>
    <row r="13" spans="1:40" x14ac:dyDescent="0.2">
      <c r="A13" s="13" t="str">
        <f>name!E8</f>
        <v>Skilled trades occupations</v>
      </c>
      <c r="B13" s="304">
        <f t="shared" si="0"/>
        <v>110.04232433003205</v>
      </c>
      <c r="C13" s="304">
        <f t="shared" si="0"/>
        <v>107.00085229603124</v>
      </c>
      <c r="D13" s="304">
        <f t="shared" si="0"/>
        <v>100.02736420050141</v>
      </c>
      <c r="E13" s="304"/>
      <c r="F13" s="304">
        <f t="shared" si="1"/>
        <v>0.11389983370453693</v>
      </c>
      <c r="G13" s="304">
        <f t="shared" si="1"/>
        <v>0.14117635200327108</v>
      </c>
      <c r="H13" s="304">
        <f t="shared" si="1"/>
        <v>0.18019737704483382</v>
      </c>
      <c r="I13" s="304"/>
      <c r="J13" s="304">
        <f t="shared" si="2"/>
        <v>1.4392042794311428</v>
      </c>
      <c r="K13" s="304">
        <f t="shared" si="2"/>
        <v>1.93416955302029</v>
      </c>
      <c r="L13" s="304">
        <f t="shared" si="2"/>
        <v>2.6405612647570695</v>
      </c>
      <c r="M13" s="304"/>
      <c r="N13" s="304">
        <f t="shared" si="3"/>
        <v>5.0733404823559445</v>
      </c>
      <c r="O13" s="304">
        <f t="shared" si="3"/>
        <v>6.2161564922600778</v>
      </c>
      <c r="P13" s="304">
        <f t="shared" si="3"/>
        <v>7.4582268873994746</v>
      </c>
      <c r="Q13" s="306"/>
      <c r="R13" s="304">
        <f t="shared" ref="R13:T13" si="28">SUM(R25,R37,R55,R67,R79,R97)</f>
        <v>2.6192649959854259</v>
      </c>
      <c r="S13" s="304">
        <f t="shared" si="28"/>
        <v>3.0074719006859625</v>
      </c>
      <c r="T13" s="304">
        <f t="shared" si="28"/>
        <v>3.7208812529918562</v>
      </c>
      <c r="U13" s="306"/>
      <c r="V13" s="304">
        <f t="shared" ref="V13:X13" si="29">SUM(V25,V37,V55,V67,V79,V97)</f>
        <v>4.7565939958484869</v>
      </c>
      <c r="W13" s="304">
        <f t="shared" si="29"/>
        <v>5.3852857955268432</v>
      </c>
      <c r="X13" s="304">
        <f t="shared" si="29"/>
        <v>5.8621421279173678</v>
      </c>
      <c r="Y13" s="306"/>
      <c r="Z13" s="304">
        <f t="shared" ref="Z13:AB13" si="30">SUM(Z25,Z37,Z55,Z67,Z79,Z97)</f>
        <v>44.889833284951706</v>
      </c>
      <c r="AA13" s="304">
        <f t="shared" si="30"/>
        <v>39.720782819525198</v>
      </c>
      <c r="AB13" s="304">
        <f t="shared" si="30"/>
        <v>37.020138036588307</v>
      </c>
      <c r="AC13" s="306"/>
      <c r="AD13" s="304">
        <f t="shared" ref="AD13:AF13" si="31">SUM(AD25,AD37,AD55,AD67,AD79,AD97)</f>
        <v>31.897798827250426</v>
      </c>
      <c r="AE13" s="304">
        <f t="shared" si="31"/>
        <v>32.366725847870704</v>
      </c>
      <c r="AF13" s="304">
        <f t="shared" si="31"/>
        <v>31.303657887671434</v>
      </c>
      <c r="AG13" s="306"/>
      <c r="AH13" s="304">
        <f t="shared" ref="AH13:AJ13" si="32">SUM(AH25,AH37,AH55,AH67,AH79,AH97)</f>
        <v>12.720101516806618</v>
      </c>
      <c r="AI13" s="304">
        <f t="shared" si="32"/>
        <v>13.098922921915396</v>
      </c>
      <c r="AJ13" s="304">
        <f t="shared" si="32"/>
        <v>8.9962631637777069</v>
      </c>
      <c r="AK13" s="306"/>
      <c r="AL13" s="304">
        <f t="shared" ref="AL13:AN13" si="33">SUM(AL25,AL37,AL55,AL67,AL79,AL97)</f>
        <v>6.5322871136977527</v>
      </c>
      <c r="AM13" s="304">
        <f t="shared" si="33"/>
        <v>5.1301606132234969</v>
      </c>
      <c r="AN13" s="304">
        <f t="shared" si="33"/>
        <v>2.8452962023533734</v>
      </c>
    </row>
    <row r="14" spans="1:40" x14ac:dyDescent="0.2">
      <c r="A14" s="13" t="str">
        <f>name!E9</f>
        <v>Caring, leisure and other service occupations</v>
      </c>
      <c r="B14" s="304">
        <f t="shared" si="0"/>
        <v>113.43549604886637</v>
      </c>
      <c r="C14" s="304">
        <f t="shared" si="0"/>
        <v>119.33219216526753</v>
      </c>
      <c r="D14" s="304">
        <f t="shared" si="0"/>
        <v>124.77661745115464</v>
      </c>
      <c r="E14" s="304"/>
      <c r="F14" s="304">
        <f t="shared" si="1"/>
        <v>7.6068834427441293E-2</v>
      </c>
      <c r="G14" s="304">
        <f t="shared" si="1"/>
        <v>9.7854685742236047E-2</v>
      </c>
      <c r="H14" s="304">
        <f t="shared" si="1"/>
        <v>0.13224255919253997</v>
      </c>
      <c r="I14" s="304"/>
      <c r="J14" s="304">
        <f t="shared" si="2"/>
        <v>3.0919832673370022</v>
      </c>
      <c r="K14" s="304">
        <f t="shared" si="2"/>
        <v>3.80633794999709</v>
      </c>
      <c r="L14" s="304">
        <f t="shared" si="2"/>
        <v>4.7036437361072974</v>
      </c>
      <c r="M14" s="304"/>
      <c r="N14" s="304">
        <f t="shared" si="3"/>
        <v>12.129168998488153</v>
      </c>
      <c r="O14" s="304">
        <f t="shared" si="3"/>
        <v>14.479291019377989</v>
      </c>
      <c r="P14" s="304">
        <f t="shared" si="3"/>
        <v>18.773945751746133</v>
      </c>
      <c r="Q14" s="306"/>
      <c r="R14" s="304">
        <f>SUM(R26,R38,R56,R68,R80,R98)</f>
        <v>9.5954842654878778</v>
      </c>
      <c r="S14" s="304">
        <f t="shared" ref="S14:T14" si="34">SUM(S26,S38,S56,S68,S80,S98)</f>
        <v>10.138306697144866</v>
      </c>
      <c r="T14" s="304">
        <f t="shared" si="34"/>
        <v>11.747773059366684</v>
      </c>
      <c r="U14" s="306"/>
      <c r="V14" s="304">
        <f t="shared" ref="V14:X14" si="35">SUM(V26,V38,V56,V68,V80,V98)</f>
        <v>6.5529984245798989</v>
      </c>
      <c r="W14" s="304">
        <f t="shared" si="35"/>
        <v>7.1402341221783008</v>
      </c>
      <c r="X14" s="304">
        <f t="shared" si="35"/>
        <v>8.7435941302024798</v>
      </c>
      <c r="Y14" s="306"/>
      <c r="Z14" s="304">
        <f t="shared" ref="Z14:AB14" si="36">SUM(Z26,Z38,Z56,Z68,Z80,Z98)</f>
        <v>40.909112244145874</v>
      </c>
      <c r="AA14" s="304">
        <f t="shared" si="36"/>
        <v>46.612450175953768</v>
      </c>
      <c r="AB14" s="304">
        <f t="shared" si="36"/>
        <v>52.850388728660917</v>
      </c>
      <c r="AC14" s="306"/>
      <c r="AD14" s="304">
        <f t="shared" ref="AD14:AF14" si="37">SUM(AD26,AD38,AD56,AD68,AD80,AD98)</f>
        <v>31.289022712687427</v>
      </c>
      <c r="AE14" s="304">
        <f t="shared" si="37"/>
        <v>28.392183721923956</v>
      </c>
      <c r="AF14" s="304">
        <f t="shared" si="37"/>
        <v>21.381983043216501</v>
      </c>
      <c r="AG14" s="306"/>
      <c r="AH14" s="304">
        <f t="shared" ref="AH14:AJ14" si="38">SUM(AH26,AH38,AH56,AH68,AH80,AH98)</f>
        <v>7.3860486923666588</v>
      </c>
      <c r="AI14" s="304">
        <f t="shared" si="38"/>
        <v>6.4423327743701808</v>
      </c>
      <c r="AJ14" s="304">
        <f t="shared" si="38"/>
        <v>4.576427197192892</v>
      </c>
      <c r="AK14" s="306"/>
      <c r="AL14" s="304">
        <f t="shared" ref="AL14:AN14" si="39">SUM(AL26,AL38,AL56,AL68,AL80,AL98)</f>
        <v>2.4056086093460576</v>
      </c>
      <c r="AM14" s="304">
        <f t="shared" si="39"/>
        <v>2.2232010185791418</v>
      </c>
      <c r="AN14" s="304">
        <f t="shared" si="39"/>
        <v>1.8666192454691934</v>
      </c>
    </row>
    <row r="15" spans="1:40" x14ac:dyDescent="0.2">
      <c r="A15" s="13" t="str">
        <f>name!E10</f>
        <v>Sales and customer service occupations</v>
      </c>
      <c r="B15" s="304">
        <f t="shared" si="0"/>
        <v>125.96272368364619</v>
      </c>
      <c r="C15" s="304">
        <f t="shared" si="0"/>
        <v>126.52753004348513</v>
      </c>
      <c r="D15" s="304">
        <f t="shared" si="0"/>
        <v>128.69100271062038</v>
      </c>
      <c r="E15" s="304"/>
      <c r="F15" s="304">
        <f t="shared" si="1"/>
        <v>0.22584206884979255</v>
      </c>
      <c r="G15" s="304">
        <f t="shared" si="1"/>
        <v>0.28714781300345088</v>
      </c>
      <c r="H15" s="304">
        <f t="shared" si="1"/>
        <v>0.37390703827027677</v>
      </c>
      <c r="I15" s="304"/>
      <c r="J15" s="304">
        <f t="shared" si="2"/>
        <v>3.2028493734063748</v>
      </c>
      <c r="K15" s="304">
        <f t="shared" si="2"/>
        <v>4.0549961380654622</v>
      </c>
      <c r="L15" s="304">
        <f t="shared" si="2"/>
        <v>5.5643311319307953</v>
      </c>
      <c r="M15" s="304"/>
      <c r="N15" s="304">
        <f t="shared" si="3"/>
        <v>14.961706768185335</v>
      </c>
      <c r="O15" s="304">
        <f t="shared" si="3"/>
        <v>17.63274031258997</v>
      </c>
      <c r="P15" s="304">
        <f t="shared" si="3"/>
        <v>24.128771250751424</v>
      </c>
      <c r="Q15" s="306"/>
      <c r="R15" s="304">
        <f t="shared" ref="R15:T15" si="40">SUM(R27,R39,R57,R69,R81,R99)</f>
        <v>5.4356016563868472</v>
      </c>
      <c r="S15" s="304">
        <f t="shared" si="40"/>
        <v>6.1438300838545548</v>
      </c>
      <c r="T15" s="304">
        <f t="shared" si="40"/>
        <v>8.511642537806468</v>
      </c>
      <c r="U15" s="306"/>
      <c r="V15" s="304">
        <f t="shared" ref="V15:X15" si="41">SUM(V27,V39,V57,V69,V81,V99)</f>
        <v>4.4259399206105314</v>
      </c>
      <c r="W15" s="304">
        <f t="shared" si="41"/>
        <v>4.9461747215689353</v>
      </c>
      <c r="X15" s="304">
        <f t="shared" si="41"/>
        <v>6.2546480830676998</v>
      </c>
      <c r="Y15" s="306"/>
      <c r="Z15" s="304">
        <f t="shared" ref="Z15:AB15" si="42">SUM(Z27,Z39,Z57,Z69,Z81,Z99)</f>
        <v>37.210836797866385</v>
      </c>
      <c r="AA15" s="304">
        <f t="shared" si="42"/>
        <v>38.430496754479087</v>
      </c>
      <c r="AB15" s="304">
        <f t="shared" si="42"/>
        <v>44.566688902082419</v>
      </c>
      <c r="AC15" s="306"/>
      <c r="AD15" s="304">
        <f t="shared" ref="AD15:AF15" si="43">SUM(AD27,AD39,AD57,AD69,AD81,AD99)</f>
        <v>35.394887085106454</v>
      </c>
      <c r="AE15" s="304">
        <f t="shared" si="43"/>
        <v>32.788468924584194</v>
      </c>
      <c r="AF15" s="304">
        <f t="shared" si="43"/>
        <v>26.767110715185513</v>
      </c>
      <c r="AG15" s="306"/>
      <c r="AH15" s="304">
        <f t="shared" ref="AH15:AJ15" si="44">SUM(AH27,AH39,AH57,AH69,AH81,AH99)</f>
        <v>18.24910361879618</v>
      </c>
      <c r="AI15" s="304">
        <f t="shared" si="44"/>
        <v>16.279803181903166</v>
      </c>
      <c r="AJ15" s="304">
        <f t="shared" si="44"/>
        <v>8.6198914814440908</v>
      </c>
      <c r="AK15" s="306"/>
      <c r="AL15" s="304">
        <f t="shared" ref="AL15:AN15" si="45">SUM(AL27,AL39,AL57,AL69,AL81,AL99)</f>
        <v>6.8559563944382811</v>
      </c>
      <c r="AM15" s="304">
        <f t="shared" si="45"/>
        <v>5.9638721134363051</v>
      </c>
      <c r="AN15" s="304">
        <f t="shared" si="45"/>
        <v>3.9040115700817015</v>
      </c>
    </row>
    <row r="16" spans="1:40" x14ac:dyDescent="0.2">
      <c r="A16" s="13" t="str">
        <f>name!E11</f>
        <v>Process, plant and machine operatives</v>
      </c>
      <c r="B16" s="304">
        <f t="shared" si="0"/>
        <v>78.6345378039953</v>
      </c>
      <c r="C16" s="304">
        <f t="shared" si="0"/>
        <v>84.783959612973902</v>
      </c>
      <c r="D16" s="304">
        <f t="shared" si="0"/>
        <v>80.469926760747057</v>
      </c>
      <c r="E16" s="304"/>
      <c r="F16" s="304">
        <f t="shared" si="1"/>
        <v>0.13545598325479091</v>
      </c>
      <c r="G16" s="304">
        <f t="shared" si="1"/>
        <v>0.20794972373178416</v>
      </c>
      <c r="H16" s="304">
        <f t="shared" si="1"/>
        <v>0.3240606906001724</v>
      </c>
      <c r="I16" s="304"/>
      <c r="J16" s="304">
        <f t="shared" si="2"/>
        <v>0.79442008905467432</v>
      </c>
      <c r="K16" s="304">
        <f t="shared" si="2"/>
        <v>1.170945886980612</v>
      </c>
      <c r="L16" s="304">
        <f t="shared" si="2"/>
        <v>1.8295555000219825</v>
      </c>
      <c r="M16" s="304"/>
      <c r="N16" s="304">
        <f t="shared" si="3"/>
        <v>2.6453124532655909</v>
      </c>
      <c r="O16" s="304">
        <f t="shared" si="3"/>
        <v>3.5159579898430215</v>
      </c>
      <c r="P16" s="304">
        <f t="shared" si="3"/>
        <v>4.9687242147064365</v>
      </c>
      <c r="Q16" s="306"/>
      <c r="R16" s="304">
        <f t="shared" ref="R16:T16" si="46">SUM(R28,R40,R58,R70,R82,R100)</f>
        <v>1.3487093816040778</v>
      </c>
      <c r="S16" s="304">
        <f t="shared" si="46"/>
        <v>1.7545042653009999</v>
      </c>
      <c r="T16" s="304">
        <f t="shared" si="46"/>
        <v>2.1344432531573916</v>
      </c>
      <c r="U16" s="306"/>
      <c r="V16" s="304">
        <f t="shared" ref="V16:X16" si="47">SUM(V28,V40,V58,V70,V82,V100)</f>
        <v>2.121691490638943</v>
      </c>
      <c r="W16" s="304">
        <f t="shared" si="47"/>
        <v>2.7363777598850358</v>
      </c>
      <c r="X16" s="304">
        <f t="shared" si="47"/>
        <v>3.0668686185556577</v>
      </c>
      <c r="Y16" s="306"/>
      <c r="Z16" s="304">
        <f t="shared" ref="Z16:AB16" si="48">SUM(Z28,Z40,Z58,Z70,Z82,Z100)</f>
        <v>22.637916980784102</v>
      </c>
      <c r="AA16" s="304">
        <f t="shared" si="48"/>
        <v>23.444470951106414</v>
      </c>
      <c r="AB16" s="304">
        <f t="shared" si="48"/>
        <v>24.94880693930142</v>
      </c>
      <c r="AC16" s="306"/>
      <c r="AD16" s="304">
        <f t="shared" ref="AD16:AF16" si="49">SUM(AD28,AD40,AD58,AD70,AD82,AD100)</f>
        <v>26.440156902014728</v>
      </c>
      <c r="AE16" s="304">
        <f t="shared" si="49"/>
        <v>31.117116273861296</v>
      </c>
      <c r="AF16" s="304">
        <f t="shared" si="49"/>
        <v>32.472250774668744</v>
      </c>
      <c r="AG16" s="306"/>
      <c r="AH16" s="304">
        <f t="shared" ref="AH16:AJ16" si="50">SUM(AH28,AH40,AH58,AH70,AH82,AH100)</f>
        <v>14.762150616619001</v>
      </c>
      <c r="AI16" s="304">
        <f t="shared" si="50"/>
        <v>15.570459240505022</v>
      </c>
      <c r="AJ16" s="304">
        <f t="shared" si="50"/>
        <v>8.6739566707300213</v>
      </c>
      <c r="AK16" s="306"/>
      <c r="AL16" s="304">
        <f t="shared" ref="AL16:AN16" si="51">SUM(AL28,AL40,AL58,AL70,AL82,AL100)</f>
        <v>7.7487239067593841</v>
      </c>
      <c r="AM16" s="304">
        <f t="shared" si="51"/>
        <v>5.2661775217597224</v>
      </c>
      <c r="AN16" s="304">
        <f t="shared" si="51"/>
        <v>2.0512600990052396</v>
      </c>
    </row>
    <row r="17" spans="1:40" x14ac:dyDescent="0.2">
      <c r="A17" s="13" t="str">
        <f>name!E12</f>
        <v>Elementary occupations</v>
      </c>
      <c r="B17" s="304">
        <f t="shared" si="0"/>
        <v>133.81868649587602</v>
      </c>
      <c r="C17" s="304">
        <f t="shared" si="0"/>
        <v>131.22981971569703</v>
      </c>
      <c r="D17" s="304">
        <f t="shared" si="0"/>
        <v>130.0537115029104</v>
      </c>
      <c r="E17" s="304"/>
      <c r="F17" s="304">
        <f t="shared" si="1"/>
        <v>8.3249550245111659E-2</v>
      </c>
      <c r="G17" s="304">
        <f t="shared" si="1"/>
        <v>0.11017612758163851</v>
      </c>
      <c r="H17" s="304">
        <f t="shared" si="1"/>
        <v>0.15197215282349946</v>
      </c>
      <c r="I17" s="304"/>
      <c r="J17" s="304">
        <f t="shared" si="2"/>
        <v>2.2696914496711234</v>
      </c>
      <c r="K17" s="304">
        <f t="shared" si="2"/>
        <v>3.0644262783469363</v>
      </c>
      <c r="L17" s="304">
        <f t="shared" si="2"/>
        <v>4.7588493313550755</v>
      </c>
      <c r="M17" s="304"/>
      <c r="N17" s="304">
        <f t="shared" si="3"/>
        <v>8.346833124139069</v>
      </c>
      <c r="O17" s="304">
        <f t="shared" si="3"/>
        <v>10.109753483926003</v>
      </c>
      <c r="P17" s="304">
        <f t="shared" si="3"/>
        <v>14.22437577034658</v>
      </c>
      <c r="Q17" s="306"/>
      <c r="R17" s="304">
        <f t="shared" ref="R17:T17" si="52">SUM(R29,R41,R59,R71,R83,R101)</f>
        <v>4.328312980653517</v>
      </c>
      <c r="S17" s="304">
        <f t="shared" si="52"/>
        <v>5.1075979675809737</v>
      </c>
      <c r="T17" s="304">
        <f t="shared" si="52"/>
        <v>7.3121031509952239</v>
      </c>
      <c r="U17" s="306"/>
      <c r="V17" s="304">
        <f t="shared" ref="V17:X17" si="53">SUM(V29,V41,V59,V71,V83,V101)</f>
        <v>3.7430710278548776</v>
      </c>
      <c r="W17" s="304">
        <f t="shared" si="53"/>
        <v>4.2596903549751977</v>
      </c>
      <c r="X17" s="304">
        <f t="shared" si="53"/>
        <v>5.8395543533160117</v>
      </c>
      <c r="Y17" s="306"/>
      <c r="Z17" s="304">
        <f t="shared" ref="Z17:AB17" si="54">SUM(Z29,Z41,Z59,Z71,Z83,Z101)</f>
        <v>27.27617766543376</v>
      </c>
      <c r="AA17" s="304">
        <f t="shared" si="54"/>
        <v>24.790916792750586</v>
      </c>
      <c r="AB17" s="304">
        <f t="shared" si="54"/>
        <v>25.669428837462583</v>
      </c>
      <c r="AC17" s="306"/>
      <c r="AD17" s="304">
        <f t="shared" ref="AD17:AF17" si="55">SUM(AD29,AD41,AD59,AD71,AD83,AD101)</f>
        <v>45.350414513782042</v>
      </c>
      <c r="AE17" s="304">
        <f t="shared" si="55"/>
        <v>45.056133039620683</v>
      </c>
      <c r="AF17" s="304">
        <f t="shared" si="55"/>
        <v>45.114049650050688</v>
      </c>
      <c r="AG17" s="306"/>
      <c r="AH17" s="304">
        <f t="shared" ref="AH17:AJ17" si="56">SUM(AH29,AH41,AH59,AH71,AH83,AH101)</f>
        <v>30.752120888029744</v>
      </c>
      <c r="AI17" s="304">
        <f t="shared" si="56"/>
        <v>30.002608574624759</v>
      </c>
      <c r="AJ17" s="304">
        <f t="shared" si="56"/>
        <v>21.554986001662122</v>
      </c>
      <c r="AK17" s="306"/>
      <c r="AL17" s="304">
        <f t="shared" ref="AL17:AN17" si="57">SUM(AL29,AL41,AL59,AL71,AL83,AL101)</f>
        <v>11.668815296066759</v>
      </c>
      <c r="AM17" s="304">
        <f t="shared" si="57"/>
        <v>8.7285170962902612</v>
      </c>
      <c r="AN17" s="304">
        <f t="shared" si="57"/>
        <v>5.4283922548986139</v>
      </c>
    </row>
    <row r="18" spans="1:40" x14ac:dyDescent="0.2">
      <c r="B18" s="304"/>
      <c r="C18" s="304"/>
      <c r="D18" s="304"/>
      <c r="E18" s="304"/>
      <c r="F18" s="304"/>
      <c r="G18" s="304"/>
      <c r="H18" s="304"/>
      <c r="I18" s="304"/>
      <c r="J18" s="304"/>
      <c r="K18" s="304"/>
      <c r="L18" s="304"/>
      <c r="M18" s="304"/>
      <c r="N18" s="304"/>
      <c r="O18" s="304"/>
      <c r="P18" s="304"/>
      <c r="Q18" s="306"/>
      <c r="R18" s="304"/>
      <c r="S18" s="304"/>
      <c r="T18" s="304"/>
      <c r="U18" s="306"/>
      <c r="V18" s="304"/>
      <c r="W18" s="304"/>
      <c r="X18" s="304"/>
      <c r="Y18" s="306"/>
      <c r="Z18" s="304"/>
      <c r="AA18" s="304"/>
      <c r="AB18" s="304"/>
      <c r="AC18" s="306"/>
      <c r="AD18" s="304"/>
      <c r="AE18" s="304"/>
      <c r="AF18" s="304"/>
      <c r="AG18" s="306"/>
      <c r="AH18" s="304"/>
      <c r="AI18" s="304"/>
      <c r="AJ18" s="304"/>
      <c r="AK18" s="306"/>
      <c r="AL18" s="304"/>
      <c r="AM18" s="304"/>
      <c r="AN18" s="304"/>
    </row>
    <row r="19" spans="1:40" x14ac:dyDescent="0.2">
      <c r="A19" s="1" t="str">
        <f>name!C4</f>
        <v>Primary sector and utilities</v>
      </c>
      <c r="B19" s="306"/>
      <c r="C19" s="306"/>
      <c r="D19" s="306"/>
      <c r="E19" s="304"/>
      <c r="F19" s="304"/>
      <c r="G19" s="304"/>
      <c r="H19" s="304"/>
      <c r="I19" s="304"/>
      <c r="J19" s="304"/>
      <c r="K19" s="304"/>
      <c r="L19" s="304"/>
      <c r="M19" s="304"/>
      <c r="N19" s="304"/>
      <c r="O19" s="304"/>
      <c r="P19" s="304"/>
      <c r="Q19" s="306"/>
      <c r="R19" s="304"/>
      <c r="S19" s="304"/>
      <c r="T19" s="304"/>
      <c r="U19" s="306"/>
      <c r="V19" s="304"/>
      <c r="W19" s="304"/>
      <c r="X19" s="304"/>
      <c r="Y19" s="306"/>
      <c r="Z19" s="304"/>
      <c r="AA19" s="304"/>
      <c r="AB19" s="304"/>
      <c r="AC19" s="306"/>
      <c r="AD19" s="304"/>
      <c r="AE19" s="304"/>
      <c r="AF19" s="304"/>
      <c r="AG19" s="306"/>
      <c r="AH19" s="304"/>
      <c r="AI19" s="304"/>
      <c r="AJ19" s="304"/>
      <c r="AK19" s="306"/>
      <c r="AL19" s="304"/>
      <c r="AM19" s="304"/>
      <c r="AN19" s="304"/>
    </row>
    <row r="20" spans="1:40" x14ac:dyDescent="0.2">
      <c r="A20" s="13" t="str">
        <f t="shared" ref="A20:A29" si="58">A8</f>
        <v>All occupations</v>
      </c>
      <c r="B20" s="305">
        <f>SUM(B21:B29)</f>
        <v>25.080999999810295</v>
      </c>
      <c r="C20" s="305">
        <f>SUM(C21:C29)</f>
        <v>25.067000000062375</v>
      </c>
      <c r="D20" s="305">
        <f>SUM(D21:D29)</f>
        <v>25.419999999964585</v>
      </c>
      <c r="E20" s="304"/>
      <c r="F20" s="305">
        <f>SUM(F21:F29)</f>
        <v>0.29981313998413989</v>
      </c>
      <c r="G20" s="305">
        <f>SUM(G21:G29)</f>
        <v>0.37929367542309977</v>
      </c>
      <c r="H20" s="305">
        <f>SUM(H21:H29)</f>
        <v>0.51459594819842347</v>
      </c>
      <c r="I20" s="304"/>
      <c r="J20" s="305">
        <f>SUM(J21:J29)</f>
        <v>1.7000024157304832</v>
      </c>
      <c r="K20" s="305">
        <f>SUM(K21:K29)</f>
        <v>2.088273849497313</v>
      </c>
      <c r="L20" s="305">
        <f>SUM(L21:L29)</f>
        <v>2.8306875605639226</v>
      </c>
      <c r="M20" s="304"/>
      <c r="N20" s="305">
        <f>SUM(N21:N29)</f>
        <v>4.3449017909202636</v>
      </c>
      <c r="O20" s="305">
        <f>SUM(O21:O29)</f>
        <v>4.6295157602530344</v>
      </c>
      <c r="P20" s="305">
        <f>SUM(P21:P29)</f>
        <v>5.2100715770842809</v>
      </c>
      <c r="Q20" s="306"/>
      <c r="R20" s="305">
        <f>SUM(R21:R29)</f>
        <v>0.74849225239781225</v>
      </c>
      <c r="S20" s="305">
        <f>SUM(S21:S29)</f>
        <v>0.80916116945898031</v>
      </c>
      <c r="T20" s="305">
        <f>SUM(T21:T29)</f>
        <v>0.91607377067291973</v>
      </c>
      <c r="U20" s="306"/>
      <c r="V20" s="305">
        <f>SUM(V21:V29)</f>
        <v>1.9737880349859114</v>
      </c>
      <c r="W20" s="305">
        <f>SUM(W21:W29)</f>
        <v>2.0136830643894328</v>
      </c>
      <c r="X20" s="305">
        <f>SUM(X21:X29)</f>
        <v>2.1926419646123674</v>
      </c>
      <c r="Y20" s="306"/>
      <c r="Z20" s="305">
        <f>SUM(Z21:Z29)</f>
        <v>6.391899644690783</v>
      </c>
      <c r="AA20" s="305">
        <f>SUM(AA21:AA29)</f>
        <v>5.7526228321214798</v>
      </c>
      <c r="AB20" s="305">
        <f>SUM(AB21:AB29)</f>
        <v>5.8323459093432319</v>
      </c>
      <c r="AC20" s="306"/>
      <c r="AD20" s="305">
        <f>SUM(AD21:AD29)</f>
        <v>4.9229418692581994</v>
      </c>
      <c r="AE20" s="305">
        <f>SUM(AE21:AE29)</f>
        <v>4.6938850098799101</v>
      </c>
      <c r="AF20" s="305">
        <f>SUM(AF21:AF29)</f>
        <v>4.3163499247945047</v>
      </c>
      <c r="AG20" s="306"/>
      <c r="AH20" s="305">
        <f>SUM(AH21:AH29)</f>
        <v>2.6324364551355237</v>
      </c>
      <c r="AI20" s="305">
        <f>SUM(AI21:AI29)</f>
        <v>2.5718204188785996</v>
      </c>
      <c r="AJ20" s="305">
        <f>SUM(AJ21:AJ29)</f>
        <v>1.8783297564779542</v>
      </c>
      <c r="AK20" s="306"/>
      <c r="AL20" s="305">
        <f>SUM(AL21:AL29)</f>
        <v>2.0667243967071802</v>
      </c>
      <c r="AM20" s="305">
        <f>SUM(AM21:AM29)</f>
        <v>2.1287442201605242</v>
      </c>
      <c r="AN20" s="305">
        <f>SUM(AN21:AN29)</f>
        <v>1.7289035882169816</v>
      </c>
    </row>
    <row r="21" spans="1:40" x14ac:dyDescent="0.2">
      <c r="A21" s="13" t="str">
        <f t="shared" si="58"/>
        <v>Managers, directors and senior officials</v>
      </c>
      <c r="B21" s="304">
        <f>SUM(F21,J21,N21,R21,V21,Z21,AD21,AH21,AL21)</f>
        <v>2.907191641596147</v>
      </c>
      <c r="C21" s="304">
        <f t="shared" ref="C21:D21" si="59">SUM(G21,K21,O21,S21,W21,AA21,AE21,AI21,AM21)</f>
        <v>2.9905667486973475</v>
      </c>
      <c r="D21" s="304">
        <f t="shared" si="59"/>
        <v>3.2682032711024993</v>
      </c>
      <c r="E21" s="304"/>
      <c r="F21" s="304">
        <v>5.3637083002459687E-2</v>
      </c>
      <c r="G21" s="304">
        <v>6.3772193387758733E-2</v>
      </c>
      <c r="H21" s="304">
        <v>7.8435543084349774E-2</v>
      </c>
      <c r="I21" s="304"/>
      <c r="J21" s="304">
        <v>0.45004607372086286</v>
      </c>
      <c r="K21" s="304">
        <v>0.52165624818334178</v>
      </c>
      <c r="L21" s="304">
        <v>0.69624302563691731</v>
      </c>
      <c r="M21" s="304"/>
      <c r="N21" s="304">
        <v>0.7782580249317691</v>
      </c>
      <c r="O21" s="304">
        <v>0.78843821277820569</v>
      </c>
      <c r="P21" s="304">
        <v>0.86779444214094514</v>
      </c>
      <c r="Q21" s="306"/>
      <c r="R21" s="304">
        <v>0.12990707213052835</v>
      </c>
      <c r="S21" s="304">
        <v>0.14112386687596729</v>
      </c>
      <c r="T21" s="304">
        <v>0.15833287690433204</v>
      </c>
      <c r="U21" s="306"/>
      <c r="V21" s="304">
        <v>0.26619265962258043</v>
      </c>
      <c r="W21" s="304">
        <v>0.24223539278337047</v>
      </c>
      <c r="X21" s="304">
        <v>0.23302690121287395</v>
      </c>
      <c r="Y21" s="306"/>
      <c r="Z21" s="304">
        <v>0.42370562721185689</v>
      </c>
      <c r="AA21" s="304">
        <v>0.4226445226436652</v>
      </c>
      <c r="AB21" s="304">
        <v>0.54297804887977108</v>
      </c>
      <c r="AC21" s="306"/>
      <c r="AD21" s="304">
        <v>0.3657132148020541</v>
      </c>
      <c r="AE21" s="304">
        <v>0.36412198550279107</v>
      </c>
      <c r="AF21" s="304">
        <v>0.32813711017797814</v>
      </c>
      <c r="AG21" s="306"/>
      <c r="AH21" s="304">
        <v>0.26522157650312567</v>
      </c>
      <c r="AI21" s="304">
        <v>0.26601215515920684</v>
      </c>
      <c r="AJ21" s="304">
        <v>0.183145175113134</v>
      </c>
      <c r="AK21" s="306"/>
      <c r="AL21" s="304">
        <v>0.17451030967090975</v>
      </c>
      <c r="AM21" s="304">
        <v>0.18056217138304018</v>
      </c>
      <c r="AN21" s="304">
        <v>0.18011014795219807</v>
      </c>
    </row>
    <row r="22" spans="1:40" x14ac:dyDescent="0.2">
      <c r="A22" s="13" t="str">
        <f t="shared" si="58"/>
        <v>Professional occupations</v>
      </c>
      <c r="B22" s="304">
        <f t="shared" ref="B22:B29" si="60">SUM(F22,J22,N22,R22,V22,Z22,AD22,AH22,AL22)</f>
        <v>4.4562806659610885</v>
      </c>
      <c r="C22" s="304">
        <f t="shared" ref="C22:C29" si="61">SUM(G22,K22,O22,S22,W22,AA22,AE22,AI22,AM22)</f>
        <v>4.6405762400880022</v>
      </c>
      <c r="D22" s="304">
        <f t="shared" ref="D22:D29" si="62">SUM(H22,L22,P22,T22,X22,AB22,AF22,AJ22,AN22)</f>
        <v>5.078776204793682</v>
      </c>
      <c r="E22" s="304"/>
      <c r="F22" s="304">
        <v>0.16063141164599923</v>
      </c>
      <c r="G22" s="304">
        <v>0.21742707583421284</v>
      </c>
      <c r="H22" s="304">
        <v>0.31843358166108321</v>
      </c>
      <c r="I22" s="304"/>
      <c r="J22" s="304">
        <v>0.68471205510405864</v>
      </c>
      <c r="K22" s="304">
        <v>0.88745949495869814</v>
      </c>
      <c r="L22" s="304">
        <v>1.2464061768502457</v>
      </c>
      <c r="M22" s="304"/>
      <c r="N22" s="304">
        <v>1.3232963567676048</v>
      </c>
      <c r="O22" s="304">
        <v>1.4423977972330464</v>
      </c>
      <c r="P22" s="304">
        <v>1.5551474516125305</v>
      </c>
      <c r="Q22" s="306"/>
      <c r="R22" s="304">
        <v>0.147787321062403</v>
      </c>
      <c r="S22" s="304">
        <v>0.16363984451833377</v>
      </c>
      <c r="T22" s="304">
        <v>0.17113627067480605</v>
      </c>
      <c r="U22" s="306"/>
      <c r="V22" s="304">
        <v>0.55161619944433626</v>
      </c>
      <c r="W22" s="304">
        <v>0.52250611596227825</v>
      </c>
      <c r="X22" s="304">
        <v>0.49597208233482487</v>
      </c>
      <c r="Y22" s="306"/>
      <c r="Z22" s="304">
        <v>0.89916748801774904</v>
      </c>
      <c r="AA22" s="304">
        <v>0.80018294909627463</v>
      </c>
      <c r="AB22" s="304">
        <v>0.78000892531213495</v>
      </c>
      <c r="AC22" s="306"/>
      <c r="AD22" s="304">
        <v>0.35244624109442407</v>
      </c>
      <c r="AE22" s="304">
        <v>0.25002849273298283</v>
      </c>
      <c r="AF22" s="304">
        <v>0.21652124938162962</v>
      </c>
      <c r="AG22" s="306"/>
      <c r="AH22" s="304">
        <v>0.2025301101643219</v>
      </c>
      <c r="AI22" s="304">
        <v>0.21776784949246381</v>
      </c>
      <c r="AJ22" s="304">
        <v>0.16217148149599606</v>
      </c>
      <c r="AK22" s="306"/>
      <c r="AL22" s="304">
        <v>0.13409348266019186</v>
      </c>
      <c r="AM22" s="304">
        <v>0.13916662025971094</v>
      </c>
      <c r="AN22" s="304">
        <v>0.1329789854704308</v>
      </c>
    </row>
    <row r="23" spans="1:40" x14ac:dyDescent="0.2">
      <c r="A23" s="13" t="str">
        <f t="shared" si="58"/>
        <v>Associate professional occupations</v>
      </c>
      <c r="B23" s="304">
        <f t="shared" si="60"/>
        <v>3.5399633210171619</v>
      </c>
      <c r="C23" s="304">
        <f t="shared" si="61"/>
        <v>3.295492542151595</v>
      </c>
      <c r="D23" s="304">
        <f t="shared" si="62"/>
        <v>3.4620073888137508</v>
      </c>
      <c r="E23" s="304"/>
      <c r="F23" s="304">
        <v>4.8074967484835918E-2</v>
      </c>
      <c r="G23" s="304">
        <v>5.6404413499905069E-2</v>
      </c>
      <c r="H23" s="304">
        <v>7.0687263006369225E-2</v>
      </c>
      <c r="I23" s="304"/>
      <c r="J23" s="304">
        <v>0.21157324644665548</v>
      </c>
      <c r="K23" s="304">
        <v>0.25737315297695285</v>
      </c>
      <c r="L23" s="304">
        <v>0.33513889905470368</v>
      </c>
      <c r="M23" s="304"/>
      <c r="N23" s="304">
        <v>0.75095224088898427</v>
      </c>
      <c r="O23" s="304">
        <v>0.75242661119250509</v>
      </c>
      <c r="P23" s="304">
        <v>0.83010757621016074</v>
      </c>
      <c r="Q23" s="306"/>
      <c r="R23" s="304">
        <v>7.5808397056970178E-2</v>
      </c>
      <c r="S23" s="304">
        <v>7.6859410658255606E-2</v>
      </c>
      <c r="T23" s="304">
        <v>9.1394678143998265E-2</v>
      </c>
      <c r="U23" s="306"/>
      <c r="V23" s="304">
        <v>0.39350819338225351</v>
      </c>
      <c r="W23" s="304">
        <v>0.41853857502888492</v>
      </c>
      <c r="X23" s="304">
        <v>0.51586113901565567</v>
      </c>
      <c r="Y23" s="306"/>
      <c r="Z23" s="304">
        <v>1.2664294095284381</v>
      </c>
      <c r="AA23" s="304">
        <v>1.0361239812161183</v>
      </c>
      <c r="AB23" s="304">
        <v>1.0382308129270315</v>
      </c>
      <c r="AC23" s="306"/>
      <c r="AD23" s="304">
        <v>0.39407770041896684</v>
      </c>
      <c r="AE23" s="304">
        <v>0.28921313776075241</v>
      </c>
      <c r="AF23" s="304">
        <v>0.20622635824837093</v>
      </c>
      <c r="AG23" s="306"/>
      <c r="AH23" s="304">
        <v>0.26931138142141803</v>
      </c>
      <c r="AI23" s="304">
        <v>0.26062472435837708</v>
      </c>
      <c r="AJ23" s="304">
        <v>0.17660161052826812</v>
      </c>
      <c r="AK23" s="306"/>
      <c r="AL23" s="304">
        <v>0.13022778438863936</v>
      </c>
      <c r="AM23" s="304">
        <v>0.1479285354598435</v>
      </c>
      <c r="AN23" s="304">
        <v>0.1977590516791925</v>
      </c>
    </row>
    <row r="24" spans="1:40" x14ac:dyDescent="0.2">
      <c r="A24" s="13" t="str">
        <f t="shared" si="58"/>
        <v>Administrative and secretarial occupations</v>
      </c>
      <c r="B24" s="304">
        <f t="shared" si="60"/>
        <v>1.2491772957889329</v>
      </c>
      <c r="C24" s="304">
        <f t="shared" si="61"/>
        <v>1.1474418777715467</v>
      </c>
      <c r="D24" s="304">
        <f t="shared" si="62"/>
        <v>1.0465501519259426</v>
      </c>
      <c r="E24" s="304"/>
      <c r="F24" s="304">
        <v>4.201638343166233E-3</v>
      </c>
      <c r="G24" s="304">
        <v>3.9985869002939481E-3</v>
      </c>
      <c r="H24" s="304">
        <v>3.9188723783826519E-3</v>
      </c>
      <c r="I24" s="304"/>
      <c r="J24" s="304">
        <v>7.2299779340292872E-2</v>
      </c>
      <c r="K24" s="304">
        <v>7.899305835956881E-2</v>
      </c>
      <c r="L24" s="304">
        <v>9.4630176198535657E-2</v>
      </c>
      <c r="M24" s="304"/>
      <c r="N24" s="304">
        <v>0.21186161041699994</v>
      </c>
      <c r="O24" s="304">
        <v>0.20650966155316092</v>
      </c>
      <c r="P24" s="304">
        <v>0.21851681813906107</v>
      </c>
      <c r="Q24" s="306"/>
      <c r="R24" s="304">
        <v>4.0186315266279096E-2</v>
      </c>
      <c r="S24" s="304">
        <v>3.7968025895725122E-2</v>
      </c>
      <c r="T24" s="304">
        <v>3.9529692948362588E-2</v>
      </c>
      <c r="U24" s="306"/>
      <c r="V24" s="304">
        <v>9.5569520699762114E-2</v>
      </c>
      <c r="W24" s="304">
        <v>9.5701964943995368E-2</v>
      </c>
      <c r="X24" s="304">
        <v>9.7713402117342224E-2</v>
      </c>
      <c r="Y24" s="306"/>
      <c r="Z24" s="304">
        <v>0.29048065381074473</v>
      </c>
      <c r="AA24" s="304">
        <v>0.25990108771210252</v>
      </c>
      <c r="AB24" s="304">
        <v>0.22395254755108845</v>
      </c>
      <c r="AC24" s="306"/>
      <c r="AD24" s="304">
        <v>0.24155238351594766</v>
      </c>
      <c r="AE24" s="304">
        <v>0.16855989811826419</v>
      </c>
      <c r="AF24" s="304">
        <v>0.10346474238897518</v>
      </c>
      <c r="AG24" s="306"/>
      <c r="AH24" s="304">
        <v>0.18295288019987835</v>
      </c>
      <c r="AI24" s="304">
        <v>0.15699468636042582</v>
      </c>
      <c r="AJ24" s="304">
        <v>9.1799901406220991E-2</v>
      </c>
      <c r="AK24" s="306"/>
      <c r="AL24" s="304">
        <v>0.11007251419586189</v>
      </c>
      <c r="AM24" s="304">
        <v>0.13881490792801002</v>
      </c>
      <c r="AN24" s="304">
        <v>0.17302399879797389</v>
      </c>
    </row>
    <row r="25" spans="1:40" x14ac:dyDescent="0.2">
      <c r="A25" s="13" t="str">
        <f t="shared" si="58"/>
        <v>Skilled trades occupations</v>
      </c>
      <c r="B25" s="304">
        <f t="shared" si="60"/>
        <v>6.2325423237622726</v>
      </c>
      <c r="C25" s="304">
        <f t="shared" si="61"/>
        <v>6.0903619426011559</v>
      </c>
      <c r="D25" s="304">
        <f t="shared" si="62"/>
        <v>5.7422490887630646</v>
      </c>
      <c r="E25" s="304"/>
      <c r="F25" s="304">
        <v>2.1145451896039023E-2</v>
      </c>
      <c r="G25" s="304">
        <v>2.4273920292656449E-2</v>
      </c>
      <c r="H25" s="304">
        <v>2.8005164459693904E-2</v>
      </c>
      <c r="I25" s="304"/>
      <c r="J25" s="304">
        <v>0.11410135151105853</v>
      </c>
      <c r="K25" s="304">
        <v>0.14411948982949979</v>
      </c>
      <c r="L25" s="304">
        <v>0.20690749811662229</v>
      </c>
      <c r="M25" s="304"/>
      <c r="N25" s="304">
        <v>0.80543049676132072</v>
      </c>
      <c r="O25" s="304">
        <v>0.94773467739474071</v>
      </c>
      <c r="P25" s="304">
        <v>1.206423483026047</v>
      </c>
      <c r="Q25" s="306"/>
      <c r="R25" s="304">
        <v>0.23181944599200652</v>
      </c>
      <c r="S25" s="304">
        <v>0.25223799514472306</v>
      </c>
      <c r="T25" s="304">
        <v>0.28859641585392243</v>
      </c>
      <c r="U25" s="306"/>
      <c r="V25" s="304">
        <v>0.47422677766409432</v>
      </c>
      <c r="W25" s="304">
        <v>0.52643517562869968</v>
      </c>
      <c r="X25" s="304">
        <v>0.63822249179807455</v>
      </c>
      <c r="Y25" s="306"/>
      <c r="Z25" s="304">
        <v>1.7553361654114463</v>
      </c>
      <c r="AA25" s="304">
        <v>1.4699205183304427</v>
      </c>
      <c r="AB25" s="304">
        <v>1.2979577626475367</v>
      </c>
      <c r="AC25" s="306"/>
      <c r="AD25" s="304">
        <v>1.5131969218461947</v>
      </c>
      <c r="AE25" s="304">
        <v>1.4944983101036633</v>
      </c>
      <c r="AF25" s="304">
        <v>1.3749250617759996</v>
      </c>
      <c r="AG25" s="306"/>
      <c r="AH25" s="304">
        <v>0.70273894330045505</v>
      </c>
      <c r="AI25" s="304">
        <v>0.70102129848695283</v>
      </c>
      <c r="AJ25" s="304">
        <v>0.51044889164045815</v>
      </c>
      <c r="AK25" s="306"/>
      <c r="AL25" s="304">
        <v>0.61454676937965802</v>
      </c>
      <c r="AM25" s="304">
        <v>0.53012055738977759</v>
      </c>
      <c r="AN25" s="304">
        <v>0.19076231944470939</v>
      </c>
    </row>
    <row r="26" spans="1:40" x14ac:dyDescent="0.2">
      <c r="A26" s="13" t="str">
        <f t="shared" si="58"/>
        <v>Caring, leisure and other service occupations</v>
      </c>
      <c r="B26" s="304">
        <f t="shared" si="60"/>
        <v>1.1018537851737777</v>
      </c>
      <c r="C26" s="304">
        <f t="shared" si="61"/>
        <v>1.1339106452635888</v>
      </c>
      <c r="D26" s="304">
        <f t="shared" si="62"/>
        <v>1.182207689100474</v>
      </c>
      <c r="E26" s="304"/>
      <c r="F26" s="304">
        <v>4.4849759518755614E-3</v>
      </c>
      <c r="G26" s="304">
        <v>5.0664925707436066E-3</v>
      </c>
      <c r="H26" s="304">
        <v>5.4393434734461218E-3</v>
      </c>
      <c r="I26" s="304"/>
      <c r="J26" s="304">
        <v>6.9184892951055163E-2</v>
      </c>
      <c r="K26" s="304">
        <v>7.6360991553521482E-2</v>
      </c>
      <c r="L26" s="304">
        <v>8.6756610574698675E-2</v>
      </c>
      <c r="M26" s="304"/>
      <c r="N26" s="304">
        <v>0.23716410199056687</v>
      </c>
      <c r="O26" s="304">
        <v>0.22732519678551741</v>
      </c>
      <c r="P26" s="304">
        <v>0.23161087280730197</v>
      </c>
      <c r="Q26" s="306"/>
      <c r="R26" s="304">
        <v>2.8790289989107484E-2</v>
      </c>
      <c r="S26" s="304">
        <v>3.1508685412182984E-2</v>
      </c>
      <c r="T26" s="304">
        <v>3.7109032830786343E-2</v>
      </c>
      <c r="U26" s="306"/>
      <c r="V26" s="304">
        <v>6.4026098650415197E-2</v>
      </c>
      <c r="W26" s="304">
        <v>6.1368618701187594E-2</v>
      </c>
      <c r="X26" s="304">
        <v>6.0971297992670904E-2</v>
      </c>
      <c r="Y26" s="306"/>
      <c r="Z26" s="304">
        <v>0.2526725219450508</v>
      </c>
      <c r="AA26" s="304">
        <v>0.24805710244188611</v>
      </c>
      <c r="AB26" s="304">
        <v>0.24692064524661786</v>
      </c>
      <c r="AC26" s="306"/>
      <c r="AD26" s="304">
        <v>0.19312512979768556</v>
      </c>
      <c r="AE26" s="304">
        <v>0.17179860939066791</v>
      </c>
      <c r="AF26" s="304">
        <v>0.12491421946632038</v>
      </c>
      <c r="AG26" s="306"/>
      <c r="AH26" s="304">
        <v>7.5681443463750483E-2</v>
      </c>
      <c r="AI26" s="304">
        <v>7.2136630821402328E-2</v>
      </c>
      <c r="AJ26" s="304">
        <v>5.6340366218411556E-2</v>
      </c>
      <c r="AK26" s="306"/>
      <c r="AL26" s="304">
        <v>0.17672433043427049</v>
      </c>
      <c r="AM26" s="304">
        <v>0.24028831758647934</v>
      </c>
      <c r="AN26" s="304">
        <v>0.33214530049022012</v>
      </c>
    </row>
    <row r="27" spans="1:40" x14ac:dyDescent="0.2">
      <c r="A27" s="13" t="str">
        <f t="shared" si="58"/>
        <v>Sales and customer service occupations</v>
      </c>
      <c r="B27" s="304">
        <f t="shared" si="60"/>
        <v>0.92970458382019816</v>
      </c>
      <c r="C27" s="304">
        <f t="shared" si="61"/>
        <v>0.93330845464331413</v>
      </c>
      <c r="D27" s="304">
        <f t="shared" si="62"/>
        <v>0.92323724576780652</v>
      </c>
      <c r="E27" s="304"/>
      <c r="F27" s="304">
        <v>7.4792047617481053E-3</v>
      </c>
      <c r="G27" s="304">
        <v>8.1214618117754975E-3</v>
      </c>
      <c r="H27" s="304">
        <v>9.3555777978781042E-3</v>
      </c>
      <c r="I27" s="304"/>
      <c r="J27" s="304">
        <v>3.8351100333354884E-2</v>
      </c>
      <c r="K27" s="304">
        <v>3.9066360017784303E-2</v>
      </c>
      <c r="L27" s="304">
        <v>4.2822698716825036E-2</v>
      </c>
      <c r="M27" s="304"/>
      <c r="N27" s="304">
        <v>0.13904773704725357</v>
      </c>
      <c r="O27" s="304">
        <v>0.13730687285398002</v>
      </c>
      <c r="P27" s="304">
        <v>0.15027122938252216</v>
      </c>
      <c r="Q27" s="306"/>
      <c r="R27" s="304">
        <v>5.6081565413416551E-2</v>
      </c>
      <c r="S27" s="304">
        <v>6.0403058902159704E-2</v>
      </c>
      <c r="T27" s="304">
        <v>7.7325711467571556E-2</v>
      </c>
      <c r="U27" s="306"/>
      <c r="V27" s="304">
        <v>4.4914719362532815E-2</v>
      </c>
      <c r="W27" s="304">
        <v>4.5643402656883297E-2</v>
      </c>
      <c r="X27" s="304">
        <v>4.6968130837011408E-2</v>
      </c>
      <c r="Y27" s="306"/>
      <c r="Z27" s="304">
        <v>0.24808701568337088</v>
      </c>
      <c r="AA27" s="304">
        <v>0.29296732932849934</v>
      </c>
      <c r="AB27" s="304">
        <v>0.3585066559560986</v>
      </c>
      <c r="AC27" s="306"/>
      <c r="AD27" s="304">
        <v>0.14827494540290434</v>
      </c>
      <c r="AE27" s="304">
        <v>0.13331148839055329</v>
      </c>
      <c r="AF27" s="304">
        <v>0.1067214039009796</v>
      </c>
      <c r="AG27" s="306"/>
      <c r="AH27" s="304">
        <v>0.17549786435723658</v>
      </c>
      <c r="AI27" s="304">
        <v>0.14422717290724876</v>
      </c>
      <c r="AJ27" s="304">
        <v>7.097894048265968E-2</v>
      </c>
      <c r="AK27" s="306"/>
      <c r="AL27" s="304">
        <v>7.1970431458380418E-2</v>
      </c>
      <c r="AM27" s="304">
        <v>7.2261307774430003E-2</v>
      </c>
      <c r="AN27" s="304">
        <v>6.0286897226260322E-2</v>
      </c>
    </row>
    <row r="28" spans="1:40" x14ac:dyDescent="0.2">
      <c r="A28" s="13" t="str">
        <f t="shared" si="58"/>
        <v>Process, plant and machine operatives</v>
      </c>
      <c r="B28" s="304">
        <f t="shared" si="60"/>
        <v>2.5875879652834755</v>
      </c>
      <c r="C28" s="304">
        <f t="shared" si="61"/>
        <v>2.7538202806274512</v>
      </c>
      <c r="D28" s="304">
        <f t="shared" si="62"/>
        <v>2.6985138195916125</v>
      </c>
      <c r="E28" s="304"/>
      <c r="F28" s="304">
        <v>1.1031399045590569E-4</v>
      </c>
      <c r="G28" s="304">
        <v>1.7542926133102684E-4</v>
      </c>
      <c r="H28" s="304">
        <v>2.5951357990465257E-4</v>
      </c>
      <c r="I28" s="304"/>
      <c r="J28" s="304">
        <v>2.2917307266090085E-2</v>
      </c>
      <c r="K28" s="304">
        <v>3.4201646736838016E-2</v>
      </c>
      <c r="L28" s="304">
        <v>5.0671535564394729E-2</v>
      </c>
      <c r="M28" s="304"/>
      <c r="N28" s="304">
        <v>5.9057040153504159E-2</v>
      </c>
      <c r="O28" s="304">
        <v>7.703591321856719E-2</v>
      </c>
      <c r="P28" s="304">
        <v>9.0752177176952969E-2</v>
      </c>
      <c r="Q28" s="306"/>
      <c r="R28" s="304">
        <v>1.9046247431549222E-2</v>
      </c>
      <c r="S28" s="304">
        <v>2.3002075646448784E-2</v>
      </c>
      <c r="T28" s="304">
        <v>2.564361024555618E-2</v>
      </c>
      <c r="U28" s="306"/>
      <c r="V28" s="304">
        <v>4.7487615312295305E-2</v>
      </c>
      <c r="W28" s="304">
        <v>5.9651936717819591E-2</v>
      </c>
      <c r="X28" s="304">
        <v>5.8158602983664313E-2</v>
      </c>
      <c r="Y28" s="306"/>
      <c r="Z28" s="304">
        <v>0.83877294217307019</v>
      </c>
      <c r="AA28" s="304">
        <v>0.87207268680054506</v>
      </c>
      <c r="AB28" s="304">
        <v>1.0135468022544463</v>
      </c>
      <c r="AC28" s="306"/>
      <c r="AD28" s="304">
        <v>0.84813969194492911</v>
      </c>
      <c r="AE28" s="304">
        <v>0.93605311131578672</v>
      </c>
      <c r="AF28" s="304">
        <v>0.94576712519463713</v>
      </c>
      <c r="AG28" s="306"/>
      <c r="AH28" s="304">
        <v>0.28492009879578889</v>
      </c>
      <c r="AI28" s="304">
        <v>0.2691070550955299</v>
      </c>
      <c r="AJ28" s="304">
        <v>0.22108068056106484</v>
      </c>
      <c r="AK28" s="306"/>
      <c r="AL28" s="304">
        <v>0.46713670821579251</v>
      </c>
      <c r="AM28" s="304">
        <v>0.4825204258345851</v>
      </c>
      <c r="AN28" s="304">
        <v>0.29263377203099156</v>
      </c>
    </row>
    <row r="29" spans="1:40" x14ac:dyDescent="0.2">
      <c r="A29" s="13" t="str">
        <f t="shared" si="58"/>
        <v>Elementary occupations</v>
      </c>
      <c r="B29" s="304">
        <f t="shared" si="60"/>
        <v>2.0766984174072438</v>
      </c>
      <c r="C29" s="304">
        <f t="shared" si="61"/>
        <v>2.0815212682183732</v>
      </c>
      <c r="D29" s="304">
        <f t="shared" si="62"/>
        <v>2.0182551401057554</v>
      </c>
      <c r="E29" s="304"/>
      <c r="F29" s="304">
        <v>4.8092907560220585E-5</v>
      </c>
      <c r="G29" s="304">
        <v>5.4101864422687411E-5</v>
      </c>
      <c r="H29" s="304">
        <v>6.1088757315797877E-5</v>
      </c>
      <c r="I29" s="304"/>
      <c r="J29" s="304">
        <v>3.6816609057054431E-2</v>
      </c>
      <c r="K29" s="304">
        <v>4.9043406881107796E-2</v>
      </c>
      <c r="L29" s="304">
        <v>7.1110939850979799E-2</v>
      </c>
      <c r="M29" s="304"/>
      <c r="N29" s="304">
        <v>3.9834181962261545E-2</v>
      </c>
      <c r="O29" s="304">
        <v>5.0340817243311811E-2</v>
      </c>
      <c r="P29" s="304">
        <v>5.9447526588760076E-2</v>
      </c>
      <c r="Q29" s="306"/>
      <c r="R29" s="304">
        <v>1.9065598055551823E-2</v>
      </c>
      <c r="S29" s="304">
        <v>2.2418206405184143E-2</v>
      </c>
      <c r="T29" s="304">
        <v>2.7005481603584215E-2</v>
      </c>
      <c r="U29" s="306"/>
      <c r="V29" s="304">
        <v>3.6246250847641458E-2</v>
      </c>
      <c r="W29" s="304">
        <v>4.1601881966313814E-2</v>
      </c>
      <c r="X29" s="304">
        <v>4.5747916320249021E-2</v>
      </c>
      <c r="Y29" s="306"/>
      <c r="Z29" s="304">
        <v>0.41724782090905604</v>
      </c>
      <c r="AA29" s="304">
        <v>0.35075265455194482</v>
      </c>
      <c r="AB29" s="304">
        <v>0.33024370856850682</v>
      </c>
      <c r="AC29" s="306"/>
      <c r="AD29" s="304">
        <v>0.86641564043509378</v>
      </c>
      <c r="AE29" s="304">
        <v>0.88629997656444881</v>
      </c>
      <c r="AF29" s="304">
        <v>0.90967265425961408</v>
      </c>
      <c r="AG29" s="306"/>
      <c r="AH29" s="304">
        <v>0.47358215692954891</v>
      </c>
      <c r="AI29" s="304">
        <v>0.48392884619699189</v>
      </c>
      <c r="AJ29" s="304">
        <v>0.40576270903174089</v>
      </c>
      <c r="AK29" s="306"/>
      <c r="AL29" s="304">
        <v>0.18744206630347587</v>
      </c>
      <c r="AM29" s="304">
        <v>0.19708137654464741</v>
      </c>
      <c r="AN29" s="304">
        <v>0.16920311512500508</v>
      </c>
    </row>
    <row r="30" spans="1:40" x14ac:dyDescent="0.2">
      <c r="B30" s="305"/>
      <c r="C30" s="305"/>
      <c r="D30" s="305"/>
      <c r="E30" s="304"/>
      <c r="F30" s="304"/>
      <c r="G30" s="304"/>
      <c r="H30" s="304"/>
      <c r="I30" s="304"/>
      <c r="J30" s="304"/>
      <c r="K30" s="304"/>
      <c r="L30" s="304"/>
      <c r="M30" s="304"/>
      <c r="N30" s="304"/>
      <c r="O30" s="304"/>
      <c r="P30" s="304"/>
      <c r="Q30" s="306"/>
      <c r="R30" s="304"/>
      <c r="S30" s="304"/>
      <c r="T30" s="304"/>
      <c r="U30" s="306"/>
      <c r="V30" s="304"/>
      <c r="W30" s="304"/>
      <c r="X30" s="304"/>
      <c r="Y30" s="306"/>
      <c r="Z30" s="304"/>
      <c r="AA30" s="304"/>
      <c r="AB30" s="304"/>
      <c r="AC30" s="306"/>
      <c r="AD30" s="304"/>
      <c r="AE30" s="304"/>
      <c r="AF30" s="304"/>
      <c r="AG30" s="306"/>
      <c r="AH30" s="304"/>
      <c r="AI30" s="304"/>
      <c r="AJ30" s="304"/>
      <c r="AK30" s="306"/>
      <c r="AL30" s="304"/>
      <c r="AM30" s="304"/>
      <c r="AN30" s="304"/>
    </row>
    <row r="31" spans="1:40" x14ac:dyDescent="0.2">
      <c r="A31" s="1" t="str">
        <f>name!C5</f>
        <v>Manufacturing</v>
      </c>
      <c r="B31" s="306"/>
      <c r="C31" s="306"/>
      <c r="D31" s="306"/>
      <c r="E31" s="304"/>
      <c r="F31" s="304"/>
      <c r="G31" s="304"/>
      <c r="H31" s="304"/>
      <c r="I31" s="304"/>
      <c r="J31" s="304"/>
      <c r="K31" s="304"/>
      <c r="L31" s="304"/>
      <c r="M31" s="304"/>
      <c r="N31" s="304"/>
      <c r="O31" s="304"/>
      <c r="P31" s="304"/>
      <c r="Q31" s="306"/>
      <c r="R31" s="304"/>
      <c r="S31" s="304"/>
      <c r="T31" s="304"/>
      <c r="U31" s="306"/>
      <c r="V31" s="304"/>
      <c r="W31" s="304"/>
      <c r="X31" s="304"/>
      <c r="Y31" s="306"/>
      <c r="Z31" s="304"/>
      <c r="AA31" s="304"/>
      <c r="AB31" s="304"/>
      <c r="AC31" s="306"/>
      <c r="AD31" s="304"/>
      <c r="AE31" s="304"/>
      <c r="AF31" s="304"/>
      <c r="AG31" s="306"/>
      <c r="AH31" s="304"/>
      <c r="AI31" s="304"/>
      <c r="AJ31" s="304"/>
      <c r="AK31" s="306"/>
      <c r="AL31" s="304"/>
      <c r="AM31" s="304"/>
      <c r="AN31" s="304"/>
    </row>
    <row r="32" spans="1:40" x14ac:dyDescent="0.2">
      <c r="A32" s="13" t="str">
        <f t="shared" ref="A32:A41" si="63">A8</f>
        <v>All occupations</v>
      </c>
      <c r="B32" s="305">
        <f>SUM(B33:B41)</f>
        <v>102.97199999972995</v>
      </c>
      <c r="C32" s="305">
        <f>SUM(C33:C41)</f>
        <v>100.48600000047472</v>
      </c>
      <c r="D32" s="305">
        <f>SUM(D33:D41)</f>
        <v>91.615999999540549</v>
      </c>
      <c r="E32" s="304"/>
      <c r="F32" s="305">
        <f>SUM(F33:F41)</f>
        <v>0.89949429030783778</v>
      </c>
      <c r="G32" s="305">
        <f>SUM(G33:G41)</f>
        <v>1.1174645898569944</v>
      </c>
      <c r="H32" s="305">
        <f>SUM(H33:H41)</f>
        <v>1.3922068182014831</v>
      </c>
      <c r="I32" s="304"/>
      <c r="J32" s="305">
        <f>SUM(J33:J41)</f>
        <v>4.5568865113763497</v>
      </c>
      <c r="K32" s="305">
        <f>SUM(K33:K41)</f>
        <v>5.6126657155631046</v>
      </c>
      <c r="L32" s="305">
        <f>SUM(L33:L41)</f>
        <v>6.9330212210730719</v>
      </c>
      <c r="M32" s="304"/>
      <c r="N32" s="305">
        <f>SUM(N33:N41)</f>
        <v>11.757427648396472</v>
      </c>
      <c r="O32" s="305">
        <f>SUM(O33:O41)</f>
        <v>12.815140790675752</v>
      </c>
      <c r="P32" s="305">
        <f>SUM(P33:P41)</f>
        <v>13.510991222026504</v>
      </c>
      <c r="Q32" s="306"/>
      <c r="R32" s="305">
        <f>SUM(R33:R41)</f>
        <v>2.9306336382380125</v>
      </c>
      <c r="S32" s="305">
        <f>SUM(S33:S41)</f>
        <v>3.2156309281612625</v>
      </c>
      <c r="T32" s="305">
        <f>SUM(T33:T41)</f>
        <v>3.5580556168886415</v>
      </c>
      <c r="U32" s="306"/>
      <c r="V32" s="305">
        <f>SUM(V33:V41)</f>
        <v>6.8367298546994721</v>
      </c>
      <c r="W32" s="305">
        <f>SUM(W33:W41)</f>
        <v>7.1995395119474033</v>
      </c>
      <c r="X32" s="305">
        <f>SUM(X33:X41)</f>
        <v>6.8405826368076417</v>
      </c>
      <c r="Y32" s="306"/>
      <c r="Z32" s="305">
        <f>SUM(Z33:Z41)</f>
        <v>33.680239749451971</v>
      </c>
      <c r="AA32" s="305">
        <f>SUM(AA33:AA41)</f>
        <v>30.647906607025615</v>
      </c>
      <c r="AB32" s="305">
        <f>SUM(AB33:AB41)</f>
        <v>28.956528024182845</v>
      </c>
      <c r="AC32" s="306"/>
      <c r="AD32" s="305">
        <f>SUM(AD33:AD41)</f>
        <v>24.850928483091757</v>
      </c>
      <c r="AE32" s="305">
        <f>SUM(AE33:AE41)</f>
        <v>24.836325645976551</v>
      </c>
      <c r="AF32" s="305">
        <f>SUM(AF33:AF41)</f>
        <v>21.745414383588383</v>
      </c>
      <c r="AG32" s="306"/>
      <c r="AH32" s="305">
        <f>SUM(AH33:AH41)</f>
        <v>12.694128440319544</v>
      </c>
      <c r="AI32" s="305">
        <f>SUM(AI33:AI41)</f>
        <v>12.014246197611415</v>
      </c>
      <c r="AJ32" s="305">
        <f>SUM(AJ33:AJ41)</f>
        <v>6.6363436861450253</v>
      </c>
      <c r="AK32" s="306"/>
      <c r="AL32" s="305">
        <f>SUM(AL33:AL41)</f>
        <v>4.76553138384853</v>
      </c>
      <c r="AM32" s="305">
        <f>SUM(AM33:AM41)</f>
        <v>3.0270800136566338</v>
      </c>
      <c r="AN32" s="305">
        <f>SUM(AN33:AN41)</f>
        <v>2.0428563906269597</v>
      </c>
    </row>
    <row r="33" spans="1:40" x14ac:dyDescent="0.2">
      <c r="A33" s="13" t="str">
        <f t="shared" si="63"/>
        <v>Managers, directors and senior officials</v>
      </c>
      <c r="B33" s="304">
        <f>SUM(F33,J33,N33,R33,V33,Z33,AD33,AH33,AL33)</f>
        <v>8.7704669225999652</v>
      </c>
      <c r="C33" s="304">
        <f t="shared" ref="C33:C41" si="64">SUM(G33,K33,O33,S33,W33,AA33,AE33,AI33,AM33)</f>
        <v>8.326165245499908</v>
      </c>
      <c r="D33" s="304">
        <f t="shared" ref="D33:D40" si="65">SUM(H33,L33,P33,T33,X33,AB33,AF33,AJ33,AN33)</f>
        <v>8.0816121195489412</v>
      </c>
      <c r="E33" s="304"/>
      <c r="F33" s="304">
        <v>8.0708733338660882E-2</v>
      </c>
      <c r="G33" s="304">
        <v>8.197688694508766E-2</v>
      </c>
      <c r="H33" s="304">
        <v>7.2370603397463609E-2</v>
      </c>
      <c r="I33" s="304"/>
      <c r="J33" s="304">
        <v>0.73404201312012662</v>
      </c>
      <c r="K33" s="304">
        <v>0.86196556907638411</v>
      </c>
      <c r="L33" s="304">
        <v>1.0302285637284176</v>
      </c>
      <c r="M33" s="304"/>
      <c r="N33" s="304">
        <v>1.9820418708083627</v>
      </c>
      <c r="O33" s="304">
        <v>2.0668399285484385</v>
      </c>
      <c r="P33" s="304">
        <v>2.0886833186928806</v>
      </c>
      <c r="Q33" s="306"/>
      <c r="R33" s="304">
        <v>0.4353832678578457</v>
      </c>
      <c r="S33" s="304">
        <v>0.45083239246669932</v>
      </c>
      <c r="T33" s="304">
        <v>0.49599573520409673</v>
      </c>
      <c r="U33" s="306"/>
      <c r="V33" s="304">
        <v>0.97839602580122853</v>
      </c>
      <c r="W33" s="304">
        <v>0.9785668826802103</v>
      </c>
      <c r="X33" s="304">
        <v>0.93559308915134265</v>
      </c>
      <c r="Y33" s="306"/>
      <c r="Z33" s="304">
        <v>2.3862029032202487</v>
      </c>
      <c r="AA33" s="304">
        <v>1.9055085090924864</v>
      </c>
      <c r="AB33" s="304">
        <v>1.7469024429491449</v>
      </c>
      <c r="AC33" s="306"/>
      <c r="AD33" s="304">
        <v>1.540644378000422</v>
      </c>
      <c r="AE33" s="304">
        <v>1.4114143708468598</v>
      </c>
      <c r="AF33" s="304">
        <v>1.3569647726838823</v>
      </c>
      <c r="AG33" s="306"/>
      <c r="AH33" s="304">
        <v>0.52187642167170833</v>
      </c>
      <c r="AI33" s="304">
        <v>0.43911149074743649</v>
      </c>
      <c r="AJ33" s="304">
        <v>0.20921671312923074</v>
      </c>
      <c r="AK33" s="306"/>
      <c r="AL33" s="304">
        <v>0.11117130878136253</v>
      </c>
      <c r="AM33" s="304">
        <v>0.12994921509630486</v>
      </c>
      <c r="AN33" s="304">
        <v>0.14565688061248205</v>
      </c>
    </row>
    <row r="34" spans="1:40" x14ac:dyDescent="0.2">
      <c r="A34" s="13" t="str">
        <f t="shared" si="63"/>
        <v>Professional occupations</v>
      </c>
      <c r="B34" s="304">
        <f t="shared" ref="B34:B41" si="66">SUM(F34,J34,N34,R34,V34,Z34,AD34,AH34,AL34)</f>
        <v>18.579030920709684</v>
      </c>
      <c r="C34" s="304">
        <f t="shared" si="64"/>
        <v>19.318042932583563</v>
      </c>
      <c r="D34" s="304">
        <f t="shared" si="65"/>
        <v>19.486099528360651</v>
      </c>
      <c r="E34" s="304"/>
      <c r="F34" s="304">
        <v>0.6593947755825309</v>
      </c>
      <c r="G34" s="304">
        <v>0.85620721500765795</v>
      </c>
      <c r="H34" s="304">
        <v>1.1073652890425627</v>
      </c>
      <c r="I34" s="304"/>
      <c r="J34" s="304">
        <v>2.1823149765098151</v>
      </c>
      <c r="K34" s="304">
        <v>2.8067113784063316</v>
      </c>
      <c r="L34" s="304">
        <v>3.5833556389667591</v>
      </c>
      <c r="M34" s="304"/>
      <c r="N34" s="304">
        <v>4.5196584028005917</v>
      </c>
      <c r="O34" s="304">
        <v>4.9492147239890931</v>
      </c>
      <c r="P34" s="304">
        <v>4.9149582019093865</v>
      </c>
      <c r="Q34" s="306"/>
      <c r="R34" s="304">
        <v>0.47912897882575101</v>
      </c>
      <c r="S34" s="304">
        <v>0.50899502043530032</v>
      </c>
      <c r="T34" s="304">
        <v>0.5245367682670804</v>
      </c>
      <c r="U34" s="306"/>
      <c r="V34" s="304">
        <v>2.0109772727033333</v>
      </c>
      <c r="W34" s="304">
        <v>2.120524491570944</v>
      </c>
      <c r="X34" s="304">
        <v>1.9762363556119631</v>
      </c>
      <c r="Y34" s="306"/>
      <c r="Z34" s="304">
        <v>5.0539352590168427</v>
      </c>
      <c r="AA34" s="304">
        <v>4.3884112002936293</v>
      </c>
      <c r="AB34" s="304">
        <v>4.1508358764852158</v>
      </c>
      <c r="AC34" s="306"/>
      <c r="AD34" s="304">
        <v>2.357121680478989</v>
      </c>
      <c r="AE34" s="304">
        <v>2.2772970339276508</v>
      </c>
      <c r="AF34" s="304">
        <v>2.0186219203419107</v>
      </c>
      <c r="AG34" s="306"/>
      <c r="AH34" s="304">
        <v>1.0978059784504091</v>
      </c>
      <c r="AI34" s="304">
        <v>1.1551701575223581</v>
      </c>
      <c r="AJ34" s="304">
        <v>0.98803630563928502</v>
      </c>
      <c r="AK34" s="306"/>
      <c r="AL34" s="304">
        <v>0.21869359634142099</v>
      </c>
      <c r="AM34" s="304">
        <v>0.25551171143059859</v>
      </c>
      <c r="AN34" s="304">
        <v>0.2221531720964916</v>
      </c>
    </row>
    <row r="35" spans="1:40" x14ac:dyDescent="0.2">
      <c r="A35" s="13" t="str">
        <f t="shared" si="63"/>
        <v>Associate professional occupations</v>
      </c>
      <c r="B35" s="304">
        <f t="shared" si="66"/>
        <v>12.918742389007129</v>
      </c>
      <c r="C35" s="304">
        <f t="shared" si="64"/>
        <v>11.460785802321515</v>
      </c>
      <c r="D35" s="304">
        <f t="shared" si="65"/>
        <v>10.821501458558746</v>
      </c>
      <c r="E35" s="304"/>
      <c r="F35" s="304">
        <v>0.10888849462424238</v>
      </c>
      <c r="G35" s="304">
        <v>0.12418434746164642</v>
      </c>
      <c r="H35" s="304">
        <v>0.1568155703438168</v>
      </c>
      <c r="I35" s="304"/>
      <c r="J35" s="304">
        <v>0.78898791835093007</v>
      </c>
      <c r="K35" s="304">
        <v>0.85470503710070078</v>
      </c>
      <c r="L35" s="304">
        <v>0.96952682290258008</v>
      </c>
      <c r="M35" s="304"/>
      <c r="N35" s="304">
        <v>2.3444371882730555</v>
      </c>
      <c r="O35" s="304">
        <v>2.3438707238794536</v>
      </c>
      <c r="P35" s="304">
        <v>2.3764234507019748</v>
      </c>
      <c r="Q35" s="306"/>
      <c r="R35" s="304">
        <v>0.72476481004660243</v>
      </c>
      <c r="S35" s="304">
        <v>0.76212029398518921</v>
      </c>
      <c r="T35" s="304">
        <v>0.83207107032220251</v>
      </c>
      <c r="U35" s="306"/>
      <c r="V35" s="304">
        <v>1.1520312149391261</v>
      </c>
      <c r="W35" s="304">
        <v>1.033340686676534</v>
      </c>
      <c r="X35" s="304">
        <v>0.90549191783934946</v>
      </c>
      <c r="Y35" s="306"/>
      <c r="Z35" s="304">
        <v>4.0958438513070305</v>
      </c>
      <c r="AA35" s="304">
        <v>3.1627314619555</v>
      </c>
      <c r="AB35" s="304">
        <v>2.8209508760889141</v>
      </c>
      <c r="AC35" s="306"/>
      <c r="AD35" s="304">
        <v>2.5621495760161941</v>
      </c>
      <c r="AE35" s="304">
        <v>2.2424440515837705</v>
      </c>
      <c r="AF35" s="304">
        <v>2.0699795551489779</v>
      </c>
      <c r="AG35" s="306"/>
      <c r="AH35" s="304">
        <v>0.99709973621130832</v>
      </c>
      <c r="AI35" s="304">
        <v>0.80400456147199439</v>
      </c>
      <c r="AJ35" s="304">
        <v>0.58384735198549043</v>
      </c>
      <c r="AK35" s="306"/>
      <c r="AL35" s="304">
        <v>0.14453959923863796</v>
      </c>
      <c r="AM35" s="304">
        <v>0.13338463820672408</v>
      </c>
      <c r="AN35" s="304">
        <v>0.10639484322543892</v>
      </c>
    </row>
    <row r="36" spans="1:40" x14ac:dyDescent="0.2">
      <c r="A36" s="13" t="str">
        <f t="shared" si="63"/>
        <v>Administrative and secretarial occupations</v>
      </c>
      <c r="B36" s="304">
        <f t="shared" si="66"/>
        <v>7.7375875621836085</v>
      </c>
      <c r="C36" s="304">
        <f t="shared" si="64"/>
        <v>6.9291850366562517</v>
      </c>
      <c r="D36" s="304">
        <f t="shared" si="65"/>
        <v>6.0215161449592562</v>
      </c>
      <c r="E36" s="304"/>
      <c r="F36" s="304">
        <v>1.8062587282144001E-2</v>
      </c>
      <c r="G36" s="304">
        <v>1.9657483771050893E-2</v>
      </c>
      <c r="H36" s="304">
        <v>1.8354003285725295E-2</v>
      </c>
      <c r="I36" s="304"/>
      <c r="J36" s="304">
        <v>0.26583319968758878</v>
      </c>
      <c r="K36" s="304">
        <v>0.29631859110931152</v>
      </c>
      <c r="L36" s="304">
        <v>0.30525723514076136</v>
      </c>
      <c r="M36" s="304"/>
      <c r="N36" s="304">
        <v>1.1398633253140089</v>
      </c>
      <c r="O36" s="304">
        <v>1.2527504975530164</v>
      </c>
      <c r="P36" s="304">
        <v>1.3811048622521602</v>
      </c>
      <c r="Q36" s="306"/>
      <c r="R36" s="304">
        <v>0.43164100423142981</v>
      </c>
      <c r="S36" s="304">
        <v>0.47567145270523215</v>
      </c>
      <c r="T36" s="304">
        <v>0.56241641926731123</v>
      </c>
      <c r="U36" s="306"/>
      <c r="V36" s="304">
        <v>0.50243743131576424</v>
      </c>
      <c r="W36" s="304">
        <v>0.52919430217892827</v>
      </c>
      <c r="X36" s="304">
        <v>0.59065716339460006</v>
      </c>
      <c r="Y36" s="306"/>
      <c r="Z36" s="304">
        <v>2.0489894643339039</v>
      </c>
      <c r="AA36" s="304">
        <v>1.8398721395716668</v>
      </c>
      <c r="AB36" s="304">
        <v>1.6764936120539726</v>
      </c>
      <c r="AC36" s="306"/>
      <c r="AD36" s="304">
        <v>2.4152831114739741</v>
      </c>
      <c r="AE36" s="304">
        <v>1.9365548000643282</v>
      </c>
      <c r="AF36" s="304">
        <v>1.2176247712465935</v>
      </c>
      <c r="AG36" s="306"/>
      <c r="AH36" s="304">
        <v>0.75298237833794823</v>
      </c>
      <c r="AI36" s="304">
        <v>0.39602543666384216</v>
      </c>
      <c r="AJ36" s="304">
        <v>0.10096037530154395</v>
      </c>
      <c r="AK36" s="306"/>
      <c r="AL36" s="304">
        <v>0.16249506020684742</v>
      </c>
      <c r="AM36" s="304">
        <v>0.18314033303887536</v>
      </c>
      <c r="AN36" s="304">
        <v>0.16864770301658838</v>
      </c>
    </row>
    <row r="37" spans="1:40" x14ac:dyDescent="0.2">
      <c r="A37" s="13" t="str">
        <f t="shared" si="63"/>
        <v>Skilled trades occupations</v>
      </c>
      <c r="B37" s="304">
        <f t="shared" si="66"/>
        <v>21.609803436383935</v>
      </c>
      <c r="C37" s="304">
        <f t="shared" si="64"/>
        <v>19.88511326649656</v>
      </c>
      <c r="D37" s="304">
        <f t="shared" si="65"/>
        <v>16.203237725321721</v>
      </c>
      <c r="E37" s="304"/>
      <c r="F37" s="304">
        <v>2.3501433945087901E-3</v>
      </c>
      <c r="G37" s="304">
        <v>2.6342358023018959E-3</v>
      </c>
      <c r="H37" s="304">
        <v>2.8298940313794896E-3</v>
      </c>
      <c r="I37" s="304"/>
      <c r="J37" s="304">
        <v>0.20603355550525651</v>
      </c>
      <c r="K37" s="304">
        <v>0.29308920699835117</v>
      </c>
      <c r="L37" s="304">
        <v>0.36564450538965249</v>
      </c>
      <c r="M37" s="304"/>
      <c r="N37" s="304">
        <v>0.55737268765477266</v>
      </c>
      <c r="O37" s="304">
        <v>0.68803944614817925</v>
      </c>
      <c r="P37" s="304">
        <v>0.73519258397198528</v>
      </c>
      <c r="Q37" s="306"/>
      <c r="R37" s="304">
        <v>0.30134875045490306</v>
      </c>
      <c r="S37" s="304">
        <v>0.35370870771641288</v>
      </c>
      <c r="T37" s="304">
        <v>0.38624998129464844</v>
      </c>
      <c r="U37" s="306"/>
      <c r="V37" s="304">
        <v>1.2747438912221654</v>
      </c>
      <c r="W37" s="304">
        <v>1.3939321943596232</v>
      </c>
      <c r="X37" s="304">
        <v>1.2571087554207137</v>
      </c>
      <c r="Y37" s="306"/>
      <c r="Z37" s="304">
        <v>10.830542278831047</v>
      </c>
      <c r="AA37" s="304">
        <v>9.4011268624562163</v>
      </c>
      <c r="AB37" s="304">
        <v>8.1884255840988729</v>
      </c>
      <c r="AC37" s="306"/>
      <c r="AD37" s="304">
        <v>5.3073447626223</v>
      </c>
      <c r="AE37" s="304">
        <v>5.103436968098233</v>
      </c>
      <c r="AF37" s="304">
        <v>3.8456364265733001</v>
      </c>
      <c r="AG37" s="306"/>
      <c r="AH37" s="304">
        <v>2.2638723700223089</v>
      </c>
      <c r="AI37" s="304">
        <v>2.1935143593621729</v>
      </c>
      <c r="AJ37" s="304">
        <v>1.1381986987072299</v>
      </c>
      <c r="AK37" s="306"/>
      <c r="AL37" s="304">
        <v>0.86619499667667255</v>
      </c>
      <c r="AM37" s="304">
        <v>0.45563128555506655</v>
      </c>
      <c r="AN37" s="304">
        <v>0.28395129583393897</v>
      </c>
    </row>
    <row r="38" spans="1:40" x14ac:dyDescent="0.2">
      <c r="A38" s="13" t="str">
        <f t="shared" si="63"/>
        <v>Caring, leisure and other service occupations</v>
      </c>
      <c r="B38" s="304">
        <f t="shared" si="66"/>
        <v>1.3114670476324501</v>
      </c>
      <c r="C38" s="304">
        <f t="shared" si="64"/>
        <v>1.3726145223025465</v>
      </c>
      <c r="D38" s="304">
        <f t="shared" si="65"/>
        <v>1.338937716359589</v>
      </c>
      <c r="E38" s="304"/>
      <c r="F38" s="304">
        <v>1.1766540495174371E-2</v>
      </c>
      <c r="G38" s="304">
        <v>1.1715671484532751E-2</v>
      </c>
      <c r="H38" s="304">
        <v>1.1127720974124299E-2</v>
      </c>
      <c r="I38" s="304"/>
      <c r="J38" s="304">
        <v>1.3562524757141993E-2</v>
      </c>
      <c r="K38" s="304">
        <v>1.3590190703576579E-2</v>
      </c>
      <c r="L38" s="304">
        <v>1.2374449075305941E-2</v>
      </c>
      <c r="M38" s="304"/>
      <c r="N38" s="304">
        <v>0.12763385877366956</v>
      </c>
      <c r="O38" s="304">
        <v>0.1219837673406062</v>
      </c>
      <c r="P38" s="304">
        <v>0.12148517725864869</v>
      </c>
      <c r="Q38" s="306"/>
      <c r="R38" s="304">
        <v>3.2735198282421968E-2</v>
      </c>
      <c r="S38" s="304">
        <v>3.0187811448303591E-2</v>
      </c>
      <c r="T38" s="304">
        <v>2.8474484505355266E-2</v>
      </c>
      <c r="U38" s="306"/>
      <c r="V38" s="304">
        <v>0.13158765684897544</v>
      </c>
      <c r="W38" s="304">
        <v>0.13479601897513274</v>
      </c>
      <c r="X38" s="304">
        <v>0.12820621230086296</v>
      </c>
      <c r="Y38" s="306"/>
      <c r="Z38" s="304">
        <v>0.20871995477707894</v>
      </c>
      <c r="AA38" s="304">
        <v>0.20172231896736226</v>
      </c>
      <c r="AB38" s="304">
        <v>0.16853231434087498</v>
      </c>
      <c r="AC38" s="306"/>
      <c r="AD38" s="304">
        <v>0.19447585779256221</v>
      </c>
      <c r="AE38" s="304">
        <v>0.1586318935091337</v>
      </c>
      <c r="AF38" s="304">
        <v>0.11216138443905653</v>
      </c>
      <c r="AG38" s="306"/>
      <c r="AH38" s="304">
        <v>0.48560935648997783</v>
      </c>
      <c r="AI38" s="304">
        <v>0.57007173339491268</v>
      </c>
      <c r="AJ38" s="304">
        <v>0.63254345155918323</v>
      </c>
      <c r="AK38" s="306"/>
      <c r="AL38" s="304">
        <v>0.10537609941544786</v>
      </c>
      <c r="AM38" s="304">
        <v>0.12991511647898596</v>
      </c>
      <c r="AN38" s="304">
        <v>0.1240325219061772</v>
      </c>
    </row>
    <row r="39" spans="1:40" x14ac:dyDescent="0.2">
      <c r="A39" s="13" t="str">
        <f t="shared" si="63"/>
        <v>Sales and customer service occupations</v>
      </c>
      <c r="B39" s="304">
        <f t="shared" si="66"/>
        <v>2.9387648482660644</v>
      </c>
      <c r="C39" s="304">
        <f t="shared" si="64"/>
        <v>2.9618387605807044</v>
      </c>
      <c r="D39" s="304">
        <f t="shared" si="65"/>
        <v>2.945369474820823</v>
      </c>
      <c r="E39" s="304"/>
      <c r="F39" s="304">
        <v>8.5763002543065309E-3</v>
      </c>
      <c r="G39" s="304">
        <v>9.2390273420279011E-3</v>
      </c>
      <c r="H39" s="304">
        <v>9.1124117714671098E-3</v>
      </c>
      <c r="I39" s="304"/>
      <c r="J39" s="304">
        <v>0.1246571783971861</v>
      </c>
      <c r="K39" s="304">
        <v>0.15057971587095181</v>
      </c>
      <c r="L39" s="304">
        <v>0.18822041502871936</v>
      </c>
      <c r="M39" s="304"/>
      <c r="N39" s="304">
        <v>0.38992634883010729</v>
      </c>
      <c r="O39" s="304">
        <v>0.42771355126329141</v>
      </c>
      <c r="P39" s="304">
        <v>0.45698252897650998</v>
      </c>
      <c r="Q39" s="306"/>
      <c r="R39" s="304">
        <v>0.1389974142518621</v>
      </c>
      <c r="S39" s="304">
        <v>0.16017523651808102</v>
      </c>
      <c r="T39" s="304">
        <v>0.1835864988912001</v>
      </c>
      <c r="U39" s="306"/>
      <c r="V39" s="304">
        <v>0.16264839338937073</v>
      </c>
      <c r="W39" s="304">
        <v>0.19138106132798532</v>
      </c>
      <c r="X39" s="304">
        <v>0.22780559204519724</v>
      </c>
      <c r="Y39" s="306"/>
      <c r="Z39" s="304">
        <v>0.86759754554814117</v>
      </c>
      <c r="AA39" s="304">
        <v>0.86247853176002898</v>
      </c>
      <c r="AB39" s="304">
        <v>0.87015717060504127</v>
      </c>
      <c r="AC39" s="306"/>
      <c r="AD39" s="304">
        <v>0.748953823603007</v>
      </c>
      <c r="AE39" s="304">
        <v>0.70864910376838863</v>
      </c>
      <c r="AF39" s="304">
        <v>0.68723530999196292</v>
      </c>
      <c r="AG39" s="306"/>
      <c r="AH39" s="304">
        <v>0.2996463948606366</v>
      </c>
      <c r="AI39" s="304">
        <v>0.22434097048345059</v>
      </c>
      <c r="AJ39" s="304">
        <v>7.1121360327851199E-2</v>
      </c>
      <c r="AK39" s="306"/>
      <c r="AL39" s="304">
        <v>0.197761449131447</v>
      </c>
      <c r="AM39" s="304">
        <v>0.22728156224649865</v>
      </c>
      <c r="AN39" s="304">
        <v>0.25114818718287396</v>
      </c>
    </row>
    <row r="40" spans="1:40" x14ac:dyDescent="0.2">
      <c r="A40" s="13" t="str">
        <f t="shared" si="63"/>
        <v>Process, plant and machine operatives</v>
      </c>
      <c r="B40" s="304">
        <f t="shared" si="66"/>
        <v>22.747937158475199</v>
      </c>
      <c r="C40" s="304">
        <f t="shared" si="64"/>
        <v>25.096575797678472</v>
      </c>
      <c r="D40" s="304">
        <f t="shared" si="65"/>
        <v>22.57702922611227</v>
      </c>
      <c r="E40" s="304"/>
      <c r="F40" s="304">
        <v>7.553292015475561E-4</v>
      </c>
      <c r="G40" s="304">
        <v>1.097219064903682E-3</v>
      </c>
      <c r="H40" s="304">
        <v>1.5237930300162532E-3</v>
      </c>
      <c r="I40" s="304"/>
      <c r="J40" s="304">
        <v>0.19134126891838524</v>
      </c>
      <c r="K40" s="304">
        <v>0.27450145913930396</v>
      </c>
      <c r="L40" s="304">
        <v>0.39924034196062391</v>
      </c>
      <c r="M40" s="304"/>
      <c r="N40" s="304">
        <v>0.45645584744480316</v>
      </c>
      <c r="O40" s="304">
        <v>0.71762654274440918</v>
      </c>
      <c r="P40" s="304">
        <v>1.1574470196750257</v>
      </c>
      <c r="Q40" s="306"/>
      <c r="R40" s="305">
        <v>0.2405914353335368</v>
      </c>
      <c r="S40" s="305">
        <v>0.33349227504918938</v>
      </c>
      <c r="T40" s="305">
        <v>0.37113193105371323</v>
      </c>
      <c r="U40" s="306"/>
      <c r="V40" s="305">
        <v>0.50493125630693059</v>
      </c>
      <c r="W40" s="305">
        <v>0.69898734673024954</v>
      </c>
      <c r="X40" s="305">
        <v>0.68929955042002633</v>
      </c>
      <c r="Y40" s="306"/>
      <c r="Z40" s="305">
        <v>7.1355493499331963</v>
      </c>
      <c r="AA40" s="305">
        <v>8.0767239624994396</v>
      </c>
      <c r="AB40" s="305">
        <v>8.5688372544267963</v>
      </c>
      <c r="AC40" s="306"/>
      <c r="AD40" s="305">
        <v>7.8560799949979918</v>
      </c>
      <c r="AE40" s="305">
        <v>9.5501646389622898</v>
      </c>
      <c r="AF40" s="305">
        <v>9.3379023643098993</v>
      </c>
      <c r="AG40" s="306"/>
      <c r="AH40" s="305">
        <v>4.2658759708436245</v>
      </c>
      <c r="AI40" s="305">
        <v>4.5520786059055212</v>
      </c>
      <c r="AJ40" s="305">
        <v>1.8072995148918236</v>
      </c>
      <c r="AK40" s="306"/>
      <c r="AL40" s="305">
        <v>2.0963567054951859</v>
      </c>
      <c r="AM40" s="305">
        <v>0.89190374758316693</v>
      </c>
      <c r="AN40" s="305">
        <v>0.24434745634434551</v>
      </c>
    </row>
    <row r="41" spans="1:40" x14ac:dyDescent="0.2">
      <c r="A41" s="38" t="str">
        <f t="shared" si="63"/>
        <v>Elementary occupations</v>
      </c>
      <c r="B41" s="307">
        <f t="shared" si="66"/>
        <v>6.3581997144719153</v>
      </c>
      <c r="C41" s="307">
        <f t="shared" si="64"/>
        <v>5.1356786363552152</v>
      </c>
      <c r="D41" s="307">
        <f>SUM(H41,L41,P41,T41,X41,AB41,AF41,AJ41,AN41)</f>
        <v>4.1406966054985528</v>
      </c>
      <c r="E41" s="307"/>
      <c r="F41" s="307">
        <v>8.9913861347223813E-3</v>
      </c>
      <c r="G41" s="307">
        <v>1.0752502977785044E-2</v>
      </c>
      <c r="H41" s="307">
        <v>1.2707532324927598E-2</v>
      </c>
      <c r="I41" s="307"/>
      <c r="J41" s="307">
        <v>5.0113876129919639E-2</v>
      </c>
      <c r="K41" s="307">
        <v>6.1204567158194438E-2</v>
      </c>
      <c r="L41" s="307">
        <v>7.9173248880252747E-2</v>
      </c>
      <c r="M41" s="307"/>
      <c r="N41" s="307">
        <v>0.24003811849710072</v>
      </c>
      <c r="O41" s="307">
        <v>0.24710160920926461</v>
      </c>
      <c r="P41" s="307">
        <v>0.27871407858793329</v>
      </c>
      <c r="Q41" s="308"/>
      <c r="R41" s="307">
        <v>0.14604277895365986</v>
      </c>
      <c r="S41" s="307">
        <v>0.14044773783685494</v>
      </c>
      <c r="T41" s="307">
        <v>0.17359272808303361</v>
      </c>
      <c r="U41" s="308"/>
      <c r="V41" s="307">
        <v>0.11897671217257751</v>
      </c>
      <c r="W41" s="307">
        <v>0.11881652744779563</v>
      </c>
      <c r="X41" s="307">
        <v>0.13018400062358651</v>
      </c>
      <c r="Y41" s="308"/>
      <c r="Z41" s="307">
        <v>1.0528591424844891</v>
      </c>
      <c r="AA41" s="307">
        <v>0.80933162042928308</v>
      </c>
      <c r="AB41" s="307">
        <v>0.76539289313400993</v>
      </c>
      <c r="AC41" s="308"/>
      <c r="AD41" s="307">
        <v>1.8688752981063159</v>
      </c>
      <c r="AE41" s="307">
        <v>1.4477327852158983</v>
      </c>
      <c r="AF41" s="307">
        <v>1.0992878788527973</v>
      </c>
      <c r="AG41" s="308"/>
      <c r="AH41" s="307">
        <v>2.0093598334316223</v>
      </c>
      <c r="AI41" s="307">
        <v>1.6799288820597269</v>
      </c>
      <c r="AJ41" s="307">
        <v>1.1051199146033883</v>
      </c>
      <c r="AK41" s="308"/>
      <c r="AL41" s="307">
        <v>0.86294256856150753</v>
      </c>
      <c r="AM41" s="307">
        <v>0.62036240402041276</v>
      </c>
      <c r="AN41" s="307">
        <v>0.49652433040862315</v>
      </c>
    </row>
    <row r="42" spans="1:40" x14ac:dyDescent="0.2">
      <c r="B42" s="31"/>
      <c r="C42" s="31"/>
      <c r="D42" s="31"/>
    </row>
    <row r="43" spans="1:40" ht="15.75" x14ac:dyDescent="0.25">
      <c r="A43" s="18" t="str">
        <f>CONCATENATE(A1," (Continued)")</f>
        <v>Basic Table 1  Employment by Industry Sector, Occupation Group and Qualification, 2020-2035, North East (Continued)</v>
      </c>
    </row>
    <row r="44" spans="1:40" ht="12.75" customHeight="1" x14ac:dyDescent="0.25">
      <c r="A44" s="18"/>
    </row>
    <row r="45" spans="1:40" ht="12.75" customHeight="1" x14ac:dyDescent="0.25">
      <c r="A45" s="18"/>
    </row>
    <row r="46" spans="1:40" ht="26.25" customHeight="1" x14ac:dyDescent="0.2">
      <c r="A46" s="77"/>
      <c r="B46" s="77"/>
      <c r="C46" s="78" t="str">
        <f>B4</f>
        <v>All qualifications</v>
      </c>
      <c r="D46" s="77"/>
      <c r="E46" s="77"/>
      <c r="F46" s="77"/>
      <c r="G46" s="78" t="str">
        <f>F4</f>
        <v>RQF8 Doctorate</v>
      </c>
      <c r="H46" s="77"/>
      <c r="I46" s="77"/>
      <c r="J46" s="77"/>
      <c r="K46" s="78" t="str">
        <f>J4</f>
        <v>RQF7 Other higher degree</v>
      </c>
      <c r="L46" s="77"/>
      <c r="M46" s="77"/>
      <c r="N46" s="379" t="str">
        <f>N4</f>
        <v>RQF6 First degree</v>
      </c>
      <c r="O46" s="379"/>
      <c r="P46" s="379"/>
      <c r="Q46" s="77"/>
      <c r="R46" s="379" t="str">
        <f>R4</f>
        <v>RQF5 Foundation degree;Nursing;Teaching</v>
      </c>
      <c r="S46" s="379"/>
      <c r="T46" s="379"/>
      <c r="U46" s="77"/>
      <c r="V46" s="379" t="str">
        <f>V4</f>
        <v>RQF4 HE below degree level</v>
      </c>
      <c r="W46" s="379"/>
      <c r="X46" s="379"/>
      <c r="Y46" s="77"/>
      <c r="Z46" s="379" t="str">
        <f>Z4</f>
        <v>RQF3 A level &amp; equivalent</v>
      </c>
      <c r="AA46" s="379"/>
      <c r="AB46" s="379"/>
      <c r="AC46" s="77"/>
      <c r="AD46" s="379" t="str">
        <f>AD4</f>
        <v>RQF2 GCSE(A-C) &amp; equivalent</v>
      </c>
      <c r="AE46" s="379"/>
      <c r="AF46" s="379"/>
      <c r="AG46" s="77"/>
      <c r="AH46" s="379" t="str">
        <f>AH4</f>
        <v>RQF1 GCSE(below grade C) &amp; equivalent</v>
      </c>
      <c r="AI46" s="379"/>
      <c r="AJ46" s="379"/>
      <c r="AK46" s="77"/>
      <c r="AL46" s="379" t="str">
        <f>AL4</f>
        <v>No Qualification</v>
      </c>
      <c r="AM46" s="379"/>
      <c r="AN46" s="379"/>
    </row>
    <row r="47" spans="1:40" x14ac:dyDescent="0.2">
      <c r="A47" s="38"/>
      <c r="B47" s="41">
        <f>B5</f>
        <v>2020</v>
      </c>
      <c r="C47" s="41">
        <f>C5</f>
        <v>2025</v>
      </c>
      <c r="D47" s="41">
        <f>D5</f>
        <v>2035</v>
      </c>
      <c r="E47" s="38"/>
      <c r="F47" s="34">
        <f>B47</f>
        <v>2020</v>
      </c>
      <c r="G47" s="34">
        <f>C47</f>
        <v>2025</v>
      </c>
      <c r="H47" s="34">
        <f>D47</f>
        <v>2035</v>
      </c>
      <c r="I47" s="38"/>
      <c r="J47" s="34">
        <f>B47</f>
        <v>2020</v>
      </c>
      <c r="K47" s="34">
        <f>C47</f>
        <v>2025</v>
      </c>
      <c r="L47" s="34">
        <f>D47</f>
        <v>2035</v>
      </c>
      <c r="M47" s="38"/>
      <c r="N47" s="34">
        <f>B47</f>
        <v>2020</v>
      </c>
      <c r="O47" s="34">
        <f>C47</f>
        <v>2025</v>
      </c>
      <c r="P47" s="34">
        <f>D47</f>
        <v>2035</v>
      </c>
      <c r="Q47" s="38"/>
      <c r="R47" s="34">
        <f>F47</f>
        <v>2020</v>
      </c>
      <c r="S47" s="34">
        <f>G47</f>
        <v>2025</v>
      </c>
      <c r="T47" s="34">
        <f>H47</f>
        <v>2035</v>
      </c>
      <c r="U47" s="38"/>
      <c r="V47" s="34">
        <f>J47</f>
        <v>2020</v>
      </c>
      <c r="W47" s="34">
        <f>K47</f>
        <v>2025</v>
      </c>
      <c r="X47" s="34">
        <f>L47</f>
        <v>2035</v>
      </c>
      <c r="Y47" s="38"/>
      <c r="Z47" s="34">
        <f>N47</f>
        <v>2020</v>
      </c>
      <c r="AA47" s="34">
        <f>O47</f>
        <v>2025</v>
      </c>
      <c r="AB47" s="34">
        <f>P47</f>
        <v>2035</v>
      </c>
      <c r="AC47" s="38"/>
      <c r="AD47" s="34">
        <f>R47</f>
        <v>2020</v>
      </c>
      <c r="AE47" s="34">
        <f>S47</f>
        <v>2025</v>
      </c>
      <c r="AF47" s="34">
        <f>T47</f>
        <v>2035</v>
      </c>
      <c r="AG47" s="38"/>
      <c r="AH47" s="34">
        <f>V47</f>
        <v>2020</v>
      </c>
      <c r="AI47" s="34">
        <f>W47</f>
        <v>2025</v>
      </c>
      <c r="AJ47" s="34">
        <f>X47</f>
        <v>2035</v>
      </c>
      <c r="AK47" s="38"/>
      <c r="AL47" s="34">
        <f>Z47</f>
        <v>2020</v>
      </c>
      <c r="AM47" s="34">
        <f>AA47</f>
        <v>2025</v>
      </c>
      <c r="AN47" s="34">
        <f>AB47</f>
        <v>2035</v>
      </c>
    </row>
    <row r="48" spans="1:40" x14ac:dyDescent="0.2">
      <c r="B48" s="31"/>
      <c r="C48" s="31"/>
      <c r="D48" s="31"/>
    </row>
    <row r="49" spans="1:40" x14ac:dyDescent="0.2">
      <c r="A49" s="1" t="str">
        <f>name!C6</f>
        <v>Construction</v>
      </c>
      <c r="E49" s="76"/>
      <c r="F49" s="76"/>
      <c r="G49" s="76"/>
      <c r="H49" s="76"/>
      <c r="I49" s="76"/>
      <c r="J49" s="76"/>
      <c r="K49" s="76"/>
      <c r="L49" s="76"/>
      <c r="M49" s="76"/>
      <c r="N49" s="76"/>
      <c r="O49" s="76"/>
      <c r="P49" s="76"/>
      <c r="Q49" s="76"/>
      <c r="R49" s="76"/>
      <c r="S49" s="76"/>
      <c r="T49" s="76"/>
      <c r="U49" s="76"/>
      <c r="V49" s="76"/>
      <c r="W49" s="76"/>
      <c r="X49" s="76"/>
      <c r="Y49" s="76"/>
      <c r="Z49" s="76"/>
      <c r="AA49" s="76"/>
      <c r="AB49" s="76"/>
      <c r="AC49" s="76"/>
      <c r="AD49" s="76"/>
      <c r="AE49" s="76"/>
      <c r="AF49" s="76"/>
      <c r="AG49" s="76"/>
      <c r="AH49" s="76"/>
      <c r="AI49" s="76"/>
      <c r="AJ49" s="76"/>
      <c r="AK49" s="76"/>
      <c r="AL49" s="76"/>
      <c r="AM49" s="76"/>
      <c r="AN49" s="76"/>
    </row>
    <row r="50" spans="1:40" x14ac:dyDescent="0.2">
      <c r="A50" s="13" t="str">
        <f t="shared" ref="A50:A59" si="67">A8</f>
        <v>All occupations</v>
      </c>
      <c r="B50" s="305">
        <f>SUM(B51:B59)</f>
        <v>69.163999999273443</v>
      </c>
      <c r="C50" s="305">
        <f>SUM(C51:C59)</f>
        <v>66.884999997326759</v>
      </c>
      <c r="D50" s="305">
        <f>SUM(D51:D59)</f>
        <v>66.354999997656023</v>
      </c>
      <c r="E50" s="304"/>
      <c r="F50" s="305">
        <f>SUM(F51:F59)</f>
        <v>0.10784128059973104</v>
      </c>
      <c r="G50" s="305">
        <f>SUM(G51:G59)</f>
        <v>0.13309994621955532</v>
      </c>
      <c r="H50" s="305">
        <f>SUM(H51:H59)</f>
        <v>0.18900836746026453</v>
      </c>
      <c r="I50" s="304"/>
      <c r="J50" s="305">
        <f>SUM(J51:J59)</f>
        <v>1.9215888026715524</v>
      </c>
      <c r="K50" s="305">
        <f>SUM(K51:K59)</f>
        <v>2.3587906728358528</v>
      </c>
      <c r="L50" s="305">
        <f>SUM(L51:L59)</f>
        <v>3.2680968697537081</v>
      </c>
      <c r="M50" s="304"/>
      <c r="N50" s="305">
        <f>SUM(N51:N59)</f>
        <v>4.1913236834293661</v>
      </c>
      <c r="O50" s="305">
        <f>SUM(O51:O59)</f>
        <v>4.5158981998976708</v>
      </c>
      <c r="P50" s="305">
        <f>SUM(P51:P59)</f>
        <v>5.254069741623292</v>
      </c>
      <c r="Q50" s="304"/>
      <c r="R50" s="305">
        <f>SUM(R51:R59)</f>
        <v>1.6618360629966422</v>
      </c>
      <c r="S50" s="305">
        <f>SUM(S51:S59)</f>
        <v>1.7789932291739017</v>
      </c>
      <c r="T50" s="305">
        <f>SUM(T51:T59)</f>
        <v>2.190930233575747</v>
      </c>
      <c r="U50" s="304"/>
      <c r="V50" s="305">
        <f>SUM(V51:V59)</f>
        <v>3.125205985528523</v>
      </c>
      <c r="W50" s="305">
        <f>SUM(W51:W59)</f>
        <v>3.2852206181486161</v>
      </c>
      <c r="X50" s="305">
        <f>SUM(X51:X59)</f>
        <v>3.6967218776279549</v>
      </c>
      <c r="Y50" s="304"/>
      <c r="Z50" s="305">
        <f>SUM(Z51:Z59)</f>
        <v>27.271213551381642</v>
      </c>
      <c r="AA50" s="305">
        <f>SUM(AA51:AA59)</f>
        <v>23.667076945670065</v>
      </c>
      <c r="AB50" s="305">
        <f>SUM(AB51:AB59)</f>
        <v>23.107803674618385</v>
      </c>
      <c r="AC50" s="304"/>
      <c r="AD50" s="305">
        <f>SUM(AD51:AD59)</f>
        <v>19.698207073990197</v>
      </c>
      <c r="AE50" s="305">
        <f>SUM(AE51:AE59)</f>
        <v>20.852500763655886</v>
      </c>
      <c r="AF50" s="305">
        <f>SUM(AF51:AF59)</f>
        <v>22.13598289880488</v>
      </c>
      <c r="AG50" s="304"/>
      <c r="AH50" s="305">
        <f>SUM(AH51:AH59)</f>
        <v>7.9831878594207932</v>
      </c>
      <c r="AI50" s="305">
        <f>SUM(AI51:AI59)</f>
        <v>8.1256935932224987</v>
      </c>
      <c r="AJ50" s="305">
        <f>SUM(AJ51:AJ59)</f>
        <v>5.7041720722053002</v>
      </c>
      <c r="AK50" s="304"/>
      <c r="AL50" s="305">
        <f>SUM(AL51:AL59)</f>
        <v>3.2035956992549917</v>
      </c>
      <c r="AM50" s="305">
        <f>SUM(AM51:AM59)</f>
        <v>2.1677260285027105</v>
      </c>
      <c r="AN50" s="305">
        <f>SUM(AN51:AN59)</f>
        <v>0.80821426198649926</v>
      </c>
    </row>
    <row r="51" spans="1:40" x14ac:dyDescent="0.2">
      <c r="A51" s="13" t="str">
        <f t="shared" si="67"/>
        <v>Managers, directors and senior officials</v>
      </c>
      <c r="B51" s="304">
        <f>SUM(F51,J51,N51,R51,V51,Z51,AD51,AH51,AL51)</f>
        <v>5.8928506341303803</v>
      </c>
      <c r="C51" s="304">
        <f t="shared" ref="C51:D51" si="68">SUM(G51,K51,O51,S51,W51,AA51,AE51,AI51,AM51)</f>
        <v>5.3934014654822287</v>
      </c>
      <c r="D51" s="304">
        <f t="shared" si="68"/>
        <v>6.0947200661636218</v>
      </c>
      <c r="E51" s="304"/>
      <c r="F51" s="304">
        <v>1.7162631297895619E-2</v>
      </c>
      <c r="G51" s="304">
        <v>2.2866801593885513E-2</v>
      </c>
      <c r="H51" s="304">
        <v>3.7332039204381426E-2</v>
      </c>
      <c r="I51" s="304"/>
      <c r="J51" s="304">
        <v>0.48382148284874743</v>
      </c>
      <c r="K51" s="304">
        <v>0.5778054744738087</v>
      </c>
      <c r="L51" s="304">
        <v>0.8109333143299966</v>
      </c>
      <c r="M51" s="304"/>
      <c r="N51" s="304">
        <v>0.89419900988680734</v>
      </c>
      <c r="O51" s="304">
        <v>0.91467777706568287</v>
      </c>
      <c r="P51" s="304">
        <v>1.0870166374632917</v>
      </c>
      <c r="Q51" s="304"/>
      <c r="R51" s="304">
        <v>0.22757808386766787</v>
      </c>
      <c r="S51" s="304">
        <v>0.21387688215168052</v>
      </c>
      <c r="T51" s="304">
        <v>0.23394803423615734</v>
      </c>
      <c r="U51" s="304"/>
      <c r="V51" s="304">
        <v>0.54661967335340866</v>
      </c>
      <c r="W51" s="304">
        <v>0.51898215025385586</v>
      </c>
      <c r="X51" s="304">
        <v>0.5774080680969651</v>
      </c>
      <c r="Y51" s="304"/>
      <c r="Z51" s="304">
        <v>1.9274628201791626</v>
      </c>
      <c r="AA51" s="304">
        <v>1.4769290163923552</v>
      </c>
      <c r="AB51" s="304">
        <v>1.7025322183821403</v>
      </c>
      <c r="AC51" s="304"/>
      <c r="AD51" s="304">
        <v>1.0955640543290046</v>
      </c>
      <c r="AE51" s="304">
        <v>1.0141940258583746</v>
      </c>
      <c r="AF51" s="304">
        <v>1.1320706810978121</v>
      </c>
      <c r="AG51" s="304"/>
      <c r="AH51" s="304">
        <v>0.49474631933042307</v>
      </c>
      <c r="AI51" s="304">
        <v>0.46382612068457424</v>
      </c>
      <c r="AJ51" s="304">
        <v>0.34589632722264779</v>
      </c>
      <c r="AK51" s="304"/>
      <c r="AL51" s="304">
        <v>0.20569655903726283</v>
      </c>
      <c r="AM51" s="304">
        <v>0.19024321700801128</v>
      </c>
      <c r="AN51" s="304">
        <v>0.16758274613022883</v>
      </c>
    </row>
    <row r="52" spans="1:40" x14ac:dyDescent="0.2">
      <c r="A52" s="13" t="str">
        <f t="shared" si="67"/>
        <v>Professional occupations</v>
      </c>
      <c r="B52" s="304">
        <f t="shared" ref="B52:B59" si="69">SUM(F52,J52,N52,R52,V52,Z52,AD52,AH52,AL52)</f>
        <v>5.7412974032105781</v>
      </c>
      <c r="C52" s="304">
        <f t="shared" ref="C52:C59" si="70">SUM(G52,K52,O52,S52,W52,AA52,AE52,AI52,AM52)</f>
        <v>5.746916097011602</v>
      </c>
      <c r="D52" s="304">
        <f t="shared" ref="D52:D59" si="71">SUM(H52,L52,P52,T52,X52,AB52,AF52,AJ52,AN52)</f>
        <v>6.5673784175970074</v>
      </c>
      <c r="E52" s="304"/>
      <c r="F52" s="304">
        <v>4.1606001953924193E-2</v>
      </c>
      <c r="G52" s="304">
        <v>4.9120597217895585E-2</v>
      </c>
      <c r="H52" s="304">
        <v>6.1555085960869692E-2</v>
      </c>
      <c r="I52" s="304"/>
      <c r="J52" s="304">
        <v>0.69563332651682674</v>
      </c>
      <c r="K52" s="304">
        <v>0.86901272710619404</v>
      </c>
      <c r="L52" s="304">
        <v>1.1981867783262021</v>
      </c>
      <c r="M52" s="304"/>
      <c r="N52" s="304">
        <v>1.006978355402079</v>
      </c>
      <c r="O52" s="304">
        <v>1.0303643254291996</v>
      </c>
      <c r="P52" s="304">
        <v>1.0735610954912493</v>
      </c>
      <c r="Q52" s="304"/>
      <c r="R52" s="304">
        <v>0.12680432051278476</v>
      </c>
      <c r="S52" s="304">
        <v>0.11521678200523616</v>
      </c>
      <c r="T52" s="304">
        <v>0.14655614920656512</v>
      </c>
      <c r="U52" s="304"/>
      <c r="V52" s="304">
        <v>0.37456384585925445</v>
      </c>
      <c r="W52" s="304">
        <v>0.31026480635684128</v>
      </c>
      <c r="X52" s="304">
        <v>0.23564795892707582</v>
      </c>
      <c r="Y52" s="304"/>
      <c r="Z52" s="304">
        <v>2.0381935816346464</v>
      </c>
      <c r="AA52" s="304">
        <v>1.863597689967232</v>
      </c>
      <c r="AB52" s="304">
        <v>2.2703529796002448</v>
      </c>
      <c r="AC52" s="304"/>
      <c r="AD52" s="304">
        <v>1.004703134167102</v>
      </c>
      <c r="AE52" s="304">
        <v>1.0494766137402443</v>
      </c>
      <c r="AF52" s="304">
        <v>1.2482659886641583</v>
      </c>
      <c r="AG52" s="304"/>
      <c r="AH52" s="304">
        <v>0.32163004914936483</v>
      </c>
      <c r="AI52" s="304">
        <v>0.33467827408018808</v>
      </c>
      <c r="AJ52" s="304">
        <v>0.23924990070873217</v>
      </c>
      <c r="AK52" s="304"/>
      <c r="AL52" s="304">
        <v>0.1311847880145959</v>
      </c>
      <c r="AM52" s="304">
        <v>0.12518428110857088</v>
      </c>
      <c r="AN52" s="304">
        <v>9.4002480711908698E-2</v>
      </c>
    </row>
    <row r="53" spans="1:40" x14ac:dyDescent="0.2">
      <c r="A53" s="13" t="str">
        <f t="shared" si="67"/>
        <v>Associate professional occupations</v>
      </c>
      <c r="B53" s="304">
        <f t="shared" si="69"/>
        <v>3.9961259889869134</v>
      </c>
      <c r="C53" s="304">
        <f t="shared" si="70"/>
        <v>3.465107381641698</v>
      </c>
      <c r="D53" s="304">
        <f t="shared" si="71"/>
        <v>3.8209949322212515</v>
      </c>
      <c r="E53" s="304"/>
      <c r="F53" s="304">
        <v>5.0923018312208496E-3</v>
      </c>
      <c r="G53" s="304">
        <v>6.1699303206051888E-3</v>
      </c>
      <c r="H53" s="304">
        <v>9.560187976195518E-3</v>
      </c>
      <c r="I53" s="304"/>
      <c r="J53" s="304">
        <v>0.25031186038547293</v>
      </c>
      <c r="K53" s="304">
        <v>0.28454903666976666</v>
      </c>
      <c r="L53" s="304">
        <v>0.40954414044939541</v>
      </c>
      <c r="M53" s="304"/>
      <c r="N53" s="304">
        <v>0.56288416713860012</v>
      </c>
      <c r="O53" s="304">
        <v>0.54502130637958168</v>
      </c>
      <c r="P53" s="304">
        <v>0.63485568823338967</v>
      </c>
      <c r="Q53" s="304"/>
      <c r="R53" s="304">
        <v>0.24047725953004079</v>
      </c>
      <c r="S53" s="304">
        <v>0.246033697605263</v>
      </c>
      <c r="T53" s="304">
        <v>0.31214776878997486</v>
      </c>
      <c r="U53" s="304"/>
      <c r="V53" s="304">
        <v>0.49112596641479006</v>
      </c>
      <c r="W53" s="304">
        <v>0.43312369454122068</v>
      </c>
      <c r="X53" s="304">
        <v>0.49383240762619268</v>
      </c>
      <c r="Y53" s="304"/>
      <c r="Z53" s="304">
        <v>1.0024977402459512</v>
      </c>
      <c r="AA53" s="304">
        <v>0.62121259853820532</v>
      </c>
      <c r="AB53" s="304">
        <v>0.55962671374776374</v>
      </c>
      <c r="AC53" s="304"/>
      <c r="AD53" s="304">
        <v>0.8726902832835447</v>
      </c>
      <c r="AE53" s="304">
        <v>0.78949717624846238</v>
      </c>
      <c r="AF53" s="304">
        <v>0.94382234881008553</v>
      </c>
      <c r="AG53" s="304"/>
      <c r="AH53" s="304">
        <v>0.49715204859862372</v>
      </c>
      <c r="AI53" s="304">
        <v>0.48444909841849337</v>
      </c>
      <c r="AJ53" s="304">
        <v>0.40524296500517959</v>
      </c>
      <c r="AK53" s="304"/>
      <c r="AL53" s="304">
        <v>7.3894361558669186E-2</v>
      </c>
      <c r="AM53" s="304">
        <v>5.5050842920099603E-2</v>
      </c>
      <c r="AN53" s="304">
        <v>5.236271158307422E-2</v>
      </c>
    </row>
    <row r="54" spans="1:40" x14ac:dyDescent="0.2">
      <c r="A54" s="13" t="str">
        <f t="shared" si="67"/>
        <v>Administrative and secretarial occupations</v>
      </c>
      <c r="B54" s="304">
        <f t="shared" si="69"/>
        <v>4.5411155436656525</v>
      </c>
      <c r="C54" s="304">
        <f t="shared" si="70"/>
        <v>4.041299269404659</v>
      </c>
      <c r="D54" s="304">
        <f t="shared" si="71"/>
        <v>3.6178429137467347</v>
      </c>
      <c r="E54" s="304"/>
      <c r="F54" s="304">
        <v>2.8841086904250919E-2</v>
      </c>
      <c r="G54" s="304">
        <v>3.1736513667512671E-2</v>
      </c>
      <c r="H54" s="304">
        <v>4.5864028160241987E-2</v>
      </c>
      <c r="I54" s="304"/>
      <c r="J54" s="304">
        <v>0.1880652712169549</v>
      </c>
      <c r="K54" s="304">
        <v>0.22340862948371493</v>
      </c>
      <c r="L54" s="304">
        <v>0.3021529455714202</v>
      </c>
      <c r="M54" s="304"/>
      <c r="N54" s="304">
        <v>0.66464265749798412</v>
      </c>
      <c r="O54" s="304">
        <v>0.74231685649642043</v>
      </c>
      <c r="P54" s="304">
        <v>1.0073161488350619</v>
      </c>
      <c r="Q54" s="304"/>
      <c r="R54" s="304">
        <v>0.42660817572666798</v>
      </c>
      <c r="S54" s="304">
        <v>0.44381771130828429</v>
      </c>
      <c r="T54" s="304">
        <v>0.6116240913617158</v>
      </c>
      <c r="U54" s="304"/>
      <c r="V54" s="304">
        <v>0.20757911371485729</v>
      </c>
      <c r="W54" s="304">
        <v>0.20963079880250779</v>
      </c>
      <c r="X54" s="304">
        <v>0.30359660382329012</v>
      </c>
      <c r="Y54" s="304"/>
      <c r="Z54" s="304">
        <v>0.93699203856268876</v>
      </c>
      <c r="AA54" s="304">
        <v>0.7676403514240292</v>
      </c>
      <c r="AB54" s="304">
        <v>0.57656132103852797</v>
      </c>
      <c r="AC54" s="304"/>
      <c r="AD54" s="304">
        <v>0.79838361604195518</v>
      </c>
      <c r="AE54" s="304">
        <v>0.50661815570196622</v>
      </c>
      <c r="AF54" s="304">
        <v>0.17770952195665937</v>
      </c>
      <c r="AG54" s="304"/>
      <c r="AH54" s="304">
        <v>1.0862322994839988</v>
      </c>
      <c r="AI54" s="304">
        <v>0.97290796614422392</v>
      </c>
      <c r="AJ54" s="304">
        <v>0.51593222193816424</v>
      </c>
      <c r="AK54" s="304"/>
      <c r="AL54" s="304">
        <v>0.20377128451629489</v>
      </c>
      <c r="AM54" s="304">
        <v>0.14322228637599962</v>
      </c>
      <c r="AN54" s="304">
        <v>7.7086031061652682E-2</v>
      </c>
    </row>
    <row r="55" spans="1:40" x14ac:dyDescent="0.2">
      <c r="A55" s="13" t="str">
        <f t="shared" si="67"/>
        <v>Skilled trades occupations</v>
      </c>
      <c r="B55" s="304">
        <f t="shared" si="69"/>
        <v>39.414120684714533</v>
      </c>
      <c r="C55" s="304">
        <f t="shared" si="70"/>
        <v>38.533896752675169</v>
      </c>
      <c r="D55" s="304">
        <f t="shared" si="71"/>
        <v>36.446186007438364</v>
      </c>
      <c r="E55" s="304"/>
      <c r="F55" s="304">
        <v>3.5332334791817843E-3</v>
      </c>
      <c r="G55" s="304">
        <v>4.7081273170980851E-3</v>
      </c>
      <c r="H55" s="304">
        <v>6.5605328743793268E-3</v>
      </c>
      <c r="I55" s="304"/>
      <c r="J55" s="304">
        <v>0.20581648981424114</v>
      </c>
      <c r="K55" s="304">
        <v>0.27354121239630269</v>
      </c>
      <c r="L55" s="304">
        <v>0.36570868312064497</v>
      </c>
      <c r="M55" s="304"/>
      <c r="N55" s="304">
        <v>0.7252224917381449</v>
      </c>
      <c r="O55" s="304">
        <v>0.89868871191798239</v>
      </c>
      <c r="P55" s="304">
        <v>0.99023309925055847</v>
      </c>
      <c r="Q55" s="304"/>
      <c r="R55" s="304">
        <v>0.49892874810298721</v>
      </c>
      <c r="S55" s="304">
        <v>0.59073015253092054</v>
      </c>
      <c r="T55" s="304">
        <v>0.67961761628428474</v>
      </c>
      <c r="U55" s="304"/>
      <c r="V55" s="304">
        <v>1.1836150663077178</v>
      </c>
      <c r="W55" s="304">
        <v>1.4299778396318865</v>
      </c>
      <c r="X55" s="304">
        <v>1.6761793109046059</v>
      </c>
      <c r="Y55" s="304"/>
      <c r="Z55" s="304">
        <v>18.084238755696486</v>
      </c>
      <c r="AA55" s="304">
        <v>15.714351005180458</v>
      </c>
      <c r="AB55" s="304">
        <v>14.31664709975346</v>
      </c>
      <c r="AC55" s="304"/>
      <c r="AD55" s="304">
        <v>12.878163908225583</v>
      </c>
      <c r="AE55" s="304">
        <v>14.105080742003587</v>
      </c>
      <c r="AF55" s="304">
        <v>14.819715892952008</v>
      </c>
      <c r="AG55" s="304"/>
      <c r="AH55" s="304">
        <v>3.966412047307069</v>
      </c>
      <c r="AI55" s="304">
        <v>4.3087501328743132</v>
      </c>
      <c r="AJ55" s="304">
        <v>3.4151538595905904</v>
      </c>
      <c r="AK55" s="304"/>
      <c r="AL55" s="304">
        <v>1.868189944043122</v>
      </c>
      <c r="AM55" s="304">
        <v>1.2080688288226218</v>
      </c>
      <c r="AN55" s="304">
        <v>0.17636991270783514</v>
      </c>
    </row>
    <row r="56" spans="1:40" x14ac:dyDescent="0.2">
      <c r="A56" s="13" t="str">
        <f t="shared" si="67"/>
        <v>Caring, leisure and other service occupations</v>
      </c>
      <c r="B56" s="304">
        <f t="shared" si="69"/>
        <v>0.15052405182087961</v>
      </c>
      <c r="C56" s="304">
        <f t="shared" si="70"/>
        <v>0.14077208578561756</v>
      </c>
      <c r="D56" s="304">
        <f t="shared" si="71"/>
        <v>0.14475651766766157</v>
      </c>
      <c r="E56" s="304"/>
      <c r="F56" s="304">
        <v>8.2546012886804842E-5</v>
      </c>
      <c r="G56" s="304">
        <v>8.8658826827100172E-5</v>
      </c>
      <c r="H56" s="304">
        <v>1.4734504707723768E-4</v>
      </c>
      <c r="I56" s="304"/>
      <c r="J56" s="304">
        <v>4.3387124103638729E-3</v>
      </c>
      <c r="K56" s="304">
        <v>4.6058397974280806E-3</v>
      </c>
      <c r="L56" s="304">
        <v>4.7416025213507032E-3</v>
      </c>
      <c r="M56" s="304"/>
      <c r="N56" s="304">
        <v>7.9470188664378782E-3</v>
      </c>
      <c r="O56" s="304">
        <v>7.900432456775127E-3</v>
      </c>
      <c r="P56" s="304">
        <v>8.9915759967595689E-3</v>
      </c>
      <c r="Q56" s="304"/>
      <c r="R56" s="304">
        <v>1.611212463815945E-3</v>
      </c>
      <c r="S56" s="304">
        <v>1.7883241254505065E-3</v>
      </c>
      <c r="T56" s="304">
        <v>2.1688892504312537E-3</v>
      </c>
      <c r="U56" s="304"/>
      <c r="V56" s="304">
        <v>4.0562516315984691E-3</v>
      </c>
      <c r="W56" s="304">
        <v>3.7260740925060486E-3</v>
      </c>
      <c r="X56" s="304">
        <v>3.7736675808442924E-3</v>
      </c>
      <c r="Y56" s="304"/>
      <c r="Z56" s="304">
        <v>5.7935998243740391E-2</v>
      </c>
      <c r="AA56" s="304">
        <v>5.9702069258527592E-2</v>
      </c>
      <c r="AB56" s="304">
        <v>7.186286067599984E-2</v>
      </c>
      <c r="AC56" s="304"/>
      <c r="AD56" s="304">
        <v>1.240391601865173E-2</v>
      </c>
      <c r="AE56" s="304">
        <v>9.9346508759365435E-3</v>
      </c>
      <c r="AF56" s="304">
        <v>1.1095844444548281E-2</v>
      </c>
      <c r="AG56" s="304"/>
      <c r="AH56" s="304">
        <v>3.2538606885718038E-2</v>
      </c>
      <c r="AI56" s="304">
        <v>2.9793957328969566E-2</v>
      </c>
      <c r="AJ56" s="304">
        <v>2.947159934479161E-2</v>
      </c>
      <c r="AK56" s="304"/>
      <c r="AL56" s="304">
        <v>2.9609789287666471E-2</v>
      </c>
      <c r="AM56" s="304">
        <v>2.3232079023196992E-2</v>
      </c>
      <c r="AN56" s="304">
        <v>1.2503132805858798E-2</v>
      </c>
    </row>
    <row r="57" spans="1:40" x14ac:dyDescent="0.2">
      <c r="A57" s="13" t="str">
        <f t="shared" si="67"/>
        <v>Sales and customer service occupations</v>
      </c>
      <c r="B57" s="304">
        <f t="shared" si="69"/>
        <v>1.2753416069272028</v>
      </c>
      <c r="C57" s="304">
        <f t="shared" si="70"/>
        <v>1.3110238838443991</v>
      </c>
      <c r="D57" s="304">
        <f t="shared" si="71"/>
        <v>1.3047807390787398</v>
      </c>
      <c r="E57" s="304"/>
      <c r="F57" s="304">
        <v>1.7480179491927922E-3</v>
      </c>
      <c r="G57" s="304">
        <v>2.4310865176398809E-3</v>
      </c>
      <c r="H57" s="304">
        <v>3.2596073664327668E-3</v>
      </c>
      <c r="I57" s="304"/>
      <c r="J57" s="304">
        <v>4.2733396295089862E-2</v>
      </c>
      <c r="K57" s="304">
        <v>4.8521061662348999E-2</v>
      </c>
      <c r="L57" s="304">
        <v>5.3075437166004706E-2</v>
      </c>
      <c r="M57" s="304"/>
      <c r="N57" s="304">
        <v>0.21806239417662399</v>
      </c>
      <c r="O57" s="304">
        <v>0.24449504207464673</v>
      </c>
      <c r="P57" s="304">
        <v>0.29203688050629023</v>
      </c>
      <c r="Q57" s="304"/>
      <c r="R57" s="304">
        <v>7.1887199274424704E-2</v>
      </c>
      <c r="S57" s="304">
        <v>8.1184025642751317E-2</v>
      </c>
      <c r="T57" s="304">
        <v>9.6273831732680351E-2</v>
      </c>
      <c r="U57" s="304"/>
      <c r="V57" s="304">
        <v>5.5072891238863567E-2</v>
      </c>
      <c r="W57" s="304">
        <v>6.2240767338684777E-2</v>
      </c>
      <c r="X57" s="304">
        <v>7.1136672483500141E-2</v>
      </c>
      <c r="Y57" s="304"/>
      <c r="Z57" s="304">
        <v>0.51402552593059703</v>
      </c>
      <c r="AA57" s="304">
        <v>0.52682572247227755</v>
      </c>
      <c r="AB57" s="304">
        <v>0.57111559784705113</v>
      </c>
      <c r="AC57" s="304"/>
      <c r="AD57" s="304">
        <v>0.10299576083537959</v>
      </c>
      <c r="AE57" s="304">
        <v>6.0446965359031921E-2</v>
      </c>
      <c r="AF57" s="304">
        <v>2.6096988117529987E-2</v>
      </c>
      <c r="AG57" s="304"/>
      <c r="AH57" s="304">
        <v>0.11441920168704135</v>
      </c>
      <c r="AI57" s="304">
        <v>0.11729137120993126</v>
      </c>
      <c r="AJ57" s="304">
        <v>4.186264290115399E-2</v>
      </c>
      <c r="AK57" s="304"/>
      <c r="AL57" s="304">
        <v>0.15439721953998986</v>
      </c>
      <c r="AM57" s="304">
        <v>0.16758784156708659</v>
      </c>
      <c r="AN57" s="304">
        <v>0.14992308095809653</v>
      </c>
    </row>
    <row r="58" spans="1:40" x14ac:dyDescent="0.2">
      <c r="A58" s="13" t="str">
        <f t="shared" si="67"/>
        <v>Process, plant and machine operatives</v>
      </c>
      <c r="B58" s="304">
        <f t="shared" si="69"/>
        <v>4.9969447905602156</v>
      </c>
      <c r="C58" s="304">
        <f t="shared" si="70"/>
        <v>5.4999844363706263</v>
      </c>
      <c r="D58" s="304">
        <f t="shared" si="71"/>
        <v>5.6018877349333405</v>
      </c>
      <c r="E58" s="304"/>
      <c r="F58" s="304">
        <v>9.5583401495606679E-3</v>
      </c>
      <c r="G58" s="304">
        <v>1.5736091225385045E-2</v>
      </c>
      <c r="H58" s="304">
        <v>2.4472396558867647E-2</v>
      </c>
      <c r="I58" s="304"/>
      <c r="J58" s="304">
        <v>3.13193913791135E-2</v>
      </c>
      <c r="K58" s="304">
        <v>5.0465069835298346E-2</v>
      </c>
      <c r="L58" s="304">
        <v>8.1061725126957668E-2</v>
      </c>
      <c r="M58" s="304"/>
      <c r="N58" s="304">
        <v>5.1456935499138892E-2</v>
      </c>
      <c r="O58" s="304">
        <v>6.8039327572189529E-2</v>
      </c>
      <c r="P58" s="304">
        <v>9.6646742003813929E-2</v>
      </c>
      <c r="Q58" s="304"/>
      <c r="R58" s="304">
        <v>5.2670596186931186E-2</v>
      </c>
      <c r="S58" s="304">
        <v>7.1244590213216233E-2</v>
      </c>
      <c r="T58" s="304">
        <v>9.4440830501766632E-2</v>
      </c>
      <c r="U58" s="304"/>
      <c r="V58" s="304">
        <v>0.15978171902709395</v>
      </c>
      <c r="W58" s="304">
        <v>0.20029565226952145</v>
      </c>
      <c r="X58" s="304">
        <v>0.21276471273193301</v>
      </c>
      <c r="Y58" s="304"/>
      <c r="Z58" s="304">
        <v>1.6885318171440495</v>
      </c>
      <c r="AA58" s="304">
        <v>1.7125986242569287</v>
      </c>
      <c r="AB58" s="304">
        <v>1.8951961633330816</v>
      </c>
      <c r="AC58" s="304"/>
      <c r="AD58" s="304">
        <v>1.9469915032482676</v>
      </c>
      <c r="AE58" s="304">
        <v>2.4018092858734441</v>
      </c>
      <c r="AF58" s="304">
        <v>2.7739572353951694</v>
      </c>
      <c r="AG58" s="304"/>
      <c r="AH58" s="304">
        <v>0.81483344097743204</v>
      </c>
      <c r="AI58" s="304">
        <v>0.82932056236903917</v>
      </c>
      <c r="AJ58" s="304">
        <v>0.37466553990972645</v>
      </c>
      <c r="AK58" s="304"/>
      <c r="AL58" s="304">
        <v>0.24180104694862883</v>
      </c>
      <c r="AM58" s="304">
        <v>0.15047523275560321</v>
      </c>
      <c r="AN58" s="304">
        <v>4.8682389372024501E-2</v>
      </c>
    </row>
    <row r="59" spans="1:40" x14ac:dyDescent="0.2">
      <c r="A59" s="13" t="str">
        <f t="shared" si="67"/>
        <v>Elementary occupations</v>
      </c>
      <c r="B59" s="304">
        <f t="shared" si="69"/>
        <v>3.1556792952570891</v>
      </c>
      <c r="C59" s="304">
        <f t="shared" si="70"/>
        <v>2.752598625110755</v>
      </c>
      <c r="D59" s="304">
        <f t="shared" si="71"/>
        <v>2.7564526688093096</v>
      </c>
      <c r="E59" s="304"/>
      <c r="F59" s="304">
        <v>2.1712102161740854E-4</v>
      </c>
      <c r="G59" s="304">
        <v>2.421395327062837E-4</v>
      </c>
      <c r="H59" s="304">
        <v>2.5714431181895168E-4</v>
      </c>
      <c r="I59" s="304"/>
      <c r="J59" s="304">
        <v>1.9548871804742442E-2</v>
      </c>
      <c r="K59" s="304">
        <v>2.688162141098973E-2</v>
      </c>
      <c r="L59" s="304">
        <v>4.2692243141735753E-2</v>
      </c>
      <c r="M59" s="304"/>
      <c r="N59" s="304">
        <v>5.9930653223549936E-2</v>
      </c>
      <c r="O59" s="304">
        <v>6.4394420505192687E-2</v>
      </c>
      <c r="P59" s="304">
        <v>6.3411873842876346E-2</v>
      </c>
      <c r="Q59" s="304"/>
      <c r="R59" s="304">
        <v>1.5270467331321733E-2</v>
      </c>
      <c r="S59" s="304">
        <v>1.5101063591099119E-2</v>
      </c>
      <c r="T59" s="304">
        <v>1.4153022212170721E-2</v>
      </c>
      <c r="U59" s="304"/>
      <c r="V59" s="304">
        <v>0.10279145798093836</v>
      </c>
      <c r="W59" s="304">
        <v>0.11697883486159147</v>
      </c>
      <c r="X59" s="304">
        <v>0.12238247545354825</v>
      </c>
      <c r="Y59" s="304"/>
      <c r="Z59" s="304">
        <v>1.0213352737443242</v>
      </c>
      <c r="AA59" s="304">
        <v>0.92421986818005009</v>
      </c>
      <c r="AB59" s="304">
        <v>1.1439087202401155</v>
      </c>
      <c r="AC59" s="304"/>
      <c r="AD59" s="304">
        <v>0.9863108978407108</v>
      </c>
      <c r="AE59" s="304">
        <v>0.91544314799484006</v>
      </c>
      <c r="AF59" s="304">
        <v>1.0032483973669091</v>
      </c>
      <c r="AG59" s="304"/>
      <c r="AH59" s="304">
        <v>0.65522384600112249</v>
      </c>
      <c r="AI59" s="304">
        <v>0.58467611011276543</v>
      </c>
      <c r="AJ59" s="304">
        <v>0.33669701558431536</v>
      </c>
      <c r="AK59" s="304"/>
      <c r="AL59" s="304">
        <v>0.29505070630876173</v>
      </c>
      <c r="AM59" s="304">
        <v>0.10466141892152013</v>
      </c>
      <c r="AN59" s="304">
        <v>2.97017766558197E-2</v>
      </c>
    </row>
    <row r="60" spans="1:40" x14ac:dyDescent="0.2">
      <c r="B60" s="304"/>
      <c r="C60" s="304"/>
      <c r="D60" s="304"/>
      <c r="E60" s="304"/>
      <c r="F60" s="304"/>
      <c r="G60" s="304"/>
      <c r="H60" s="304"/>
      <c r="I60" s="304"/>
      <c r="J60" s="304"/>
      <c r="K60" s="304"/>
      <c r="L60" s="304"/>
      <c r="M60" s="304"/>
      <c r="N60" s="304"/>
      <c r="O60" s="304"/>
      <c r="P60" s="304"/>
      <c r="Q60" s="304"/>
      <c r="R60" s="304"/>
      <c r="S60" s="304"/>
      <c r="T60" s="304"/>
      <c r="U60" s="304"/>
      <c r="V60" s="304"/>
      <c r="W60" s="304"/>
      <c r="X60" s="304"/>
      <c r="Y60" s="304"/>
      <c r="Z60" s="304"/>
      <c r="AA60" s="304"/>
      <c r="AB60" s="304"/>
      <c r="AC60" s="304"/>
      <c r="AD60" s="304"/>
      <c r="AE60" s="304"/>
      <c r="AF60" s="304"/>
      <c r="AG60" s="304"/>
      <c r="AH60" s="304"/>
      <c r="AI60" s="304"/>
      <c r="AJ60" s="304"/>
      <c r="AK60" s="304"/>
      <c r="AL60" s="304"/>
      <c r="AM60" s="304"/>
      <c r="AN60" s="304"/>
    </row>
    <row r="61" spans="1:40" x14ac:dyDescent="0.2">
      <c r="A61" s="1" t="str">
        <f>name!C7</f>
        <v>Trade, accomod. and transport</v>
      </c>
      <c r="B61" s="306"/>
      <c r="C61" s="306"/>
      <c r="D61" s="306"/>
      <c r="E61" s="304"/>
      <c r="F61" s="304"/>
      <c r="G61" s="304"/>
      <c r="H61" s="304"/>
      <c r="I61" s="304"/>
      <c r="J61" s="304"/>
      <c r="K61" s="304"/>
      <c r="L61" s="304"/>
      <c r="M61" s="304"/>
      <c r="N61" s="304"/>
      <c r="O61" s="304"/>
      <c r="P61" s="304"/>
      <c r="Q61" s="304"/>
      <c r="R61" s="304"/>
      <c r="S61" s="304"/>
      <c r="T61" s="304"/>
      <c r="U61" s="304"/>
      <c r="V61" s="304"/>
      <c r="W61" s="304"/>
      <c r="X61" s="304"/>
      <c r="Y61" s="304"/>
      <c r="Z61" s="304"/>
      <c r="AA61" s="304"/>
      <c r="AB61" s="304"/>
      <c r="AC61" s="304"/>
      <c r="AD61" s="304"/>
      <c r="AE61" s="304"/>
      <c r="AF61" s="304"/>
      <c r="AG61" s="304"/>
      <c r="AH61" s="304"/>
      <c r="AI61" s="304"/>
      <c r="AJ61" s="304"/>
      <c r="AK61" s="304"/>
      <c r="AL61" s="304"/>
      <c r="AM61" s="304"/>
      <c r="AN61" s="304"/>
    </row>
    <row r="62" spans="1:40" x14ac:dyDescent="0.2">
      <c r="A62" s="13" t="str">
        <f t="shared" ref="A62:A71" si="72">A8</f>
        <v>All occupations</v>
      </c>
      <c r="B62" s="305">
        <f>SUM(B63:B71)</f>
        <v>324.45500000108882</v>
      </c>
      <c r="C62" s="305">
        <f>SUM(C63:C71)</f>
        <v>328.38100000981763</v>
      </c>
      <c r="D62" s="305">
        <f>SUM(D63:D71)</f>
        <v>345.32299999881718</v>
      </c>
      <c r="E62" s="304"/>
      <c r="F62" s="305">
        <f>SUM(F63:F71)</f>
        <v>0.67372207793247851</v>
      </c>
      <c r="G62" s="305">
        <f>SUM(G63:G71)</f>
        <v>0.92442052375552208</v>
      </c>
      <c r="H62" s="305">
        <f>SUM(H63:H71)</f>
        <v>1.5568424584428728</v>
      </c>
      <c r="I62" s="304"/>
      <c r="J62" s="305">
        <f>SUM(J63:J71)</f>
        <v>8.6941728487050618</v>
      </c>
      <c r="K62" s="305">
        <f>SUM(K63:K71)</f>
        <v>11.253118928897527</v>
      </c>
      <c r="L62" s="305">
        <f>SUM(L63:L71)</f>
        <v>17.681294841931404</v>
      </c>
      <c r="M62" s="304"/>
      <c r="N62" s="305">
        <f>SUM(N63:N71)</f>
        <v>35.320250400091176</v>
      </c>
      <c r="O62" s="305">
        <f>SUM(O63:O71)</f>
        <v>42.067760976475526</v>
      </c>
      <c r="P62" s="305">
        <f>SUM(P63:P71)</f>
        <v>59.848893382298471</v>
      </c>
      <c r="Q62" s="304"/>
      <c r="R62" s="305">
        <f>SUM(R63:R71)</f>
        <v>11.922004925764854</v>
      </c>
      <c r="S62" s="305">
        <f>SUM(S63:S71)</f>
        <v>13.696449097798073</v>
      </c>
      <c r="T62" s="305">
        <f>SUM(T63:T71)</f>
        <v>19.736556608972037</v>
      </c>
      <c r="U62" s="304"/>
      <c r="V62" s="305">
        <f>SUM(V63:V71)</f>
        <v>12.51949881303352</v>
      </c>
      <c r="W62" s="305">
        <f>SUM(W63:W71)</f>
        <v>14.193195723199178</v>
      </c>
      <c r="X62" s="305">
        <f>SUM(X63:X71)</f>
        <v>18.996035689976303</v>
      </c>
      <c r="Y62" s="304"/>
      <c r="Z62" s="305">
        <f>SUM(Z63:Z71)</f>
        <v>90.257645979698168</v>
      </c>
      <c r="AA62" s="305">
        <f>SUM(AA63:AA71)</f>
        <v>88.941909057394525</v>
      </c>
      <c r="AB62" s="305">
        <f>SUM(AB63:AB71)</f>
        <v>101.50106293534915</v>
      </c>
      <c r="AC62" s="304"/>
      <c r="AD62" s="305">
        <f>SUM(AD63:AD71)</f>
        <v>94.37648003834282</v>
      </c>
      <c r="AE62" s="305">
        <f>SUM(AE63:AE71)</f>
        <v>92.502154588953317</v>
      </c>
      <c r="AF62" s="305">
        <f>SUM(AF63:AF71)</f>
        <v>87.480331671429923</v>
      </c>
      <c r="AG62" s="304"/>
      <c r="AH62" s="305">
        <f>SUM(AH63:AH71)</f>
        <v>49.457229648601036</v>
      </c>
      <c r="AI62" s="305">
        <f>SUM(AI63:AI71)</f>
        <v>47.04405554991326</v>
      </c>
      <c r="AJ62" s="305">
        <f>SUM(AJ63:AJ71)</f>
        <v>26.978215585135516</v>
      </c>
      <c r="AK62" s="304"/>
      <c r="AL62" s="305">
        <f>SUM(AL63:AL71)</f>
        <v>21.233995268919649</v>
      </c>
      <c r="AM62" s="305">
        <f>SUM(AM63:AM71)</f>
        <v>17.757935563430671</v>
      </c>
      <c r="AN62" s="305">
        <f>SUM(AN63:AN71)</f>
        <v>11.543766825281523</v>
      </c>
    </row>
    <row r="63" spans="1:40" x14ac:dyDescent="0.2">
      <c r="A63" s="13" t="str">
        <f t="shared" si="72"/>
        <v>Managers, directors and senior officials</v>
      </c>
      <c r="B63" s="304">
        <f>SUM(F63,J63,N63,R63,V63,Z63,AD63,AH63,AL63)</f>
        <v>40.312867747444635</v>
      </c>
      <c r="C63" s="304">
        <f t="shared" ref="C63:C71" si="73">SUM(G63,K63,O63,S63,W63,AA63,AE63,AI63,AM63)</f>
        <v>42.913348105249646</v>
      </c>
      <c r="D63" s="304">
        <f t="shared" ref="D63:D71" si="74">SUM(H63,L63,P63,T63,X63,AB63,AF63,AJ63,AN63)</f>
        <v>51.333275488587141</v>
      </c>
      <c r="E63" s="304"/>
      <c r="F63" s="304">
        <v>0.15825314605790136</v>
      </c>
      <c r="G63" s="304">
        <v>0.23141960496686526</v>
      </c>
      <c r="H63" s="304">
        <v>0.43694034187016173</v>
      </c>
      <c r="I63" s="304"/>
      <c r="J63" s="304">
        <v>1.9331701176767211</v>
      </c>
      <c r="K63" s="304">
        <v>2.6128054899123137</v>
      </c>
      <c r="L63" s="304">
        <v>4.4580783764393326</v>
      </c>
      <c r="M63" s="304"/>
      <c r="N63" s="304">
        <v>7.5634237648923035</v>
      </c>
      <c r="O63" s="304">
        <v>9.2922936598387977</v>
      </c>
      <c r="P63" s="304">
        <v>12.727810448864245</v>
      </c>
      <c r="Q63" s="304"/>
      <c r="R63" s="304">
        <v>1.9182038469151066</v>
      </c>
      <c r="S63" s="304">
        <v>2.1356802450882921</v>
      </c>
      <c r="T63" s="304">
        <v>3.0966386973278897</v>
      </c>
      <c r="U63" s="304"/>
      <c r="V63" s="304">
        <v>2.1284303570842504</v>
      </c>
      <c r="W63" s="304">
        <v>2.3575934235402869</v>
      </c>
      <c r="X63" s="304">
        <v>2.9204906194054905</v>
      </c>
      <c r="Y63" s="304"/>
      <c r="Z63" s="304">
        <v>9.8215546373331133</v>
      </c>
      <c r="AA63" s="304">
        <v>8.9385452148365943</v>
      </c>
      <c r="AB63" s="304">
        <v>11.072988000066069</v>
      </c>
      <c r="AC63" s="304"/>
      <c r="AD63" s="304">
        <v>10.029171855621538</v>
      </c>
      <c r="AE63" s="304">
        <v>10.280550469182408</v>
      </c>
      <c r="AF63" s="304">
        <v>10.77239791561462</v>
      </c>
      <c r="AG63" s="304"/>
      <c r="AH63" s="304">
        <v>5.4662044085949129</v>
      </c>
      <c r="AI63" s="304">
        <v>5.7996290802620241</v>
      </c>
      <c r="AJ63" s="304">
        <v>4.392500653521191</v>
      </c>
      <c r="AK63" s="304"/>
      <c r="AL63" s="304">
        <v>1.2944556132687928</v>
      </c>
      <c r="AM63" s="304">
        <v>1.2648309176220722</v>
      </c>
      <c r="AN63" s="304">
        <v>1.4554304354781429</v>
      </c>
    </row>
    <row r="64" spans="1:40" x14ac:dyDescent="0.2">
      <c r="A64" s="13" t="str">
        <f t="shared" si="72"/>
        <v>Professional occupations</v>
      </c>
      <c r="B64" s="304">
        <f t="shared" ref="B64:B71" si="75">SUM(F64,J64,N64,R64,V64,Z64,AD64,AH64,AL64)</f>
        <v>20.765943365283718</v>
      </c>
      <c r="C64" s="304">
        <f t="shared" si="73"/>
        <v>22.527436923723787</v>
      </c>
      <c r="D64" s="304">
        <f t="shared" si="74"/>
        <v>26.678079207170192</v>
      </c>
      <c r="E64" s="304"/>
      <c r="F64" s="304">
        <v>0.2570779834615779</v>
      </c>
      <c r="G64" s="304">
        <v>0.34845823600650411</v>
      </c>
      <c r="H64" s="304">
        <v>0.58221706257555117</v>
      </c>
      <c r="I64" s="304"/>
      <c r="J64" s="304">
        <v>1.9735566400705133</v>
      </c>
      <c r="K64" s="304">
        <v>2.5692293518094256</v>
      </c>
      <c r="L64" s="304">
        <v>3.9168283483946285</v>
      </c>
      <c r="M64" s="304"/>
      <c r="N64" s="304">
        <v>4.6832132575260399</v>
      </c>
      <c r="O64" s="304">
        <v>5.393347125739492</v>
      </c>
      <c r="P64" s="304">
        <v>6.9041058758617586</v>
      </c>
      <c r="Q64" s="304"/>
      <c r="R64" s="304">
        <v>0.71184509365111481</v>
      </c>
      <c r="S64" s="304">
        <v>0.72466955354415208</v>
      </c>
      <c r="T64" s="304">
        <v>0.87882479596566199</v>
      </c>
      <c r="U64" s="304"/>
      <c r="V64" s="304">
        <v>1.2055656153053145</v>
      </c>
      <c r="W64" s="304">
        <v>1.3568568823884009</v>
      </c>
      <c r="X64" s="304">
        <v>1.7241845929845432</v>
      </c>
      <c r="Y64" s="304"/>
      <c r="Z64" s="304">
        <v>5.4523511434082792</v>
      </c>
      <c r="AA64" s="304">
        <v>5.5675483449607421</v>
      </c>
      <c r="AB64" s="304">
        <v>6.8709790417608811</v>
      </c>
      <c r="AC64" s="304"/>
      <c r="AD64" s="304">
        <v>3.9702607064907891</v>
      </c>
      <c r="AE64" s="304">
        <v>3.90816402814339</v>
      </c>
      <c r="AF64" s="304">
        <v>3.7778116692345876</v>
      </c>
      <c r="AG64" s="304"/>
      <c r="AH64" s="304">
        <v>2.0150222795179236</v>
      </c>
      <c r="AI64" s="304">
        <v>2.0994788206703943</v>
      </c>
      <c r="AJ64" s="304">
        <v>1.4088208057498732</v>
      </c>
      <c r="AK64" s="304"/>
      <c r="AL64" s="304">
        <v>0.49705064585216824</v>
      </c>
      <c r="AM64" s="304">
        <v>0.55968458046128855</v>
      </c>
      <c r="AN64" s="304">
        <v>0.61430701464270765</v>
      </c>
    </row>
    <row r="65" spans="1:40" x14ac:dyDescent="0.2">
      <c r="A65" s="13" t="str">
        <f t="shared" si="72"/>
        <v>Associate professional occupations</v>
      </c>
      <c r="B65" s="304">
        <f t="shared" si="75"/>
        <v>17.699014957746638</v>
      </c>
      <c r="C65" s="304">
        <f t="shared" si="73"/>
        <v>17.320237152879429</v>
      </c>
      <c r="D65" s="304">
        <f t="shared" si="74"/>
        <v>19.791096761036382</v>
      </c>
      <c r="E65" s="304"/>
      <c r="F65" s="304">
        <v>7.4978849486540378E-2</v>
      </c>
      <c r="G65" s="304">
        <v>9.0858097528534562E-2</v>
      </c>
      <c r="H65" s="304">
        <v>0.13646617373339151</v>
      </c>
      <c r="I65" s="304"/>
      <c r="J65" s="304">
        <v>0.77135987696754593</v>
      </c>
      <c r="K65" s="304">
        <v>0.86688116004666904</v>
      </c>
      <c r="L65" s="304">
        <v>1.1433663666514851</v>
      </c>
      <c r="M65" s="304"/>
      <c r="N65" s="304">
        <v>2.9649714287414275</v>
      </c>
      <c r="O65" s="304">
        <v>3.2104077461456284</v>
      </c>
      <c r="P65" s="304">
        <v>4.2291895062870548</v>
      </c>
      <c r="Q65" s="304"/>
      <c r="R65" s="304">
        <v>0.69626814745697496</v>
      </c>
      <c r="S65" s="304">
        <v>0.73268021469460543</v>
      </c>
      <c r="T65" s="304">
        <v>0.99201347122663175</v>
      </c>
      <c r="U65" s="304"/>
      <c r="V65" s="304">
        <v>0.90602581051722841</v>
      </c>
      <c r="W65" s="304">
        <v>0.95447555456339217</v>
      </c>
      <c r="X65" s="304">
        <v>1.2630996695772505</v>
      </c>
      <c r="Y65" s="304"/>
      <c r="Z65" s="304">
        <v>5.2666816499437585</v>
      </c>
      <c r="AA65" s="304">
        <v>4.7921143915785667</v>
      </c>
      <c r="AB65" s="304">
        <v>5.6348295373321466</v>
      </c>
      <c r="AC65" s="304"/>
      <c r="AD65" s="304">
        <v>4.3773379500554812</v>
      </c>
      <c r="AE65" s="304">
        <v>4.2628525818894802</v>
      </c>
      <c r="AF65" s="304">
        <v>4.6725303838695185</v>
      </c>
      <c r="AG65" s="304"/>
      <c r="AH65" s="304">
        <v>2.0095456914191332</v>
      </c>
      <c r="AI65" s="304">
        <v>1.8534950487812909</v>
      </c>
      <c r="AJ65" s="304">
        <v>1.1759939746965411</v>
      </c>
      <c r="AK65" s="304"/>
      <c r="AL65" s="304">
        <v>0.6318455531585484</v>
      </c>
      <c r="AM65" s="304">
        <v>0.55647235765126357</v>
      </c>
      <c r="AN65" s="304">
        <v>0.54360767766236007</v>
      </c>
    </row>
    <row r="66" spans="1:40" x14ac:dyDescent="0.2">
      <c r="A66" s="13" t="str">
        <f t="shared" si="72"/>
        <v>Administrative and secretarial occupations</v>
      </c>
      <c r="B66" s="304">
        <f t="shared" si="75"/>
        <v>18.427704813196005</v>
      </c>
      <c r="C66" s="304">
        <f t="shared" si="73"/>
        <v>18.105461179423521</v>
      </c>
      <c r="D66" s="304">
        <f t="shared" si="74"/>
        <v>20.301217860535509</v>
      </c>
      <c r="E66" s="304"/>
      <c r="F66" s="304">
        <v>3.3209416556462402E-2</v>
      </c>
      <c r="G66" s="304">
        <v>4.7086472826626341E-2</v>
      </c>
      <c r="H66" s="304">
        <v>7.8160243816322666E-2</v>
      </c>
      <c r="I66" s="304"/>
      <c r="J66" s="304">
        <v>0.50943086038505891</v>
      </c>
      <c r="K66" s="304">
        <v>0.63039902094131572</v>
      </c>
      <c r="L66" s="304">
        <v>0.90142806663224773</v>
      </c>
      <c r="M66" s="304"/>
      <c r="N66" s="304">
        <v>2.4381454947467178</v>
      </c>
      <c r="O66" s="304">
        <v>2.7867713650196446</v>
      </c>
      <c r="P66" s="304">
        <v>5.2162204163034502</v>
      </c>
      <c r="Q66" s="304"/>
      <c r="R66" s="304">
        <v>0.82377371015691225</v>
      </c>
      <c r="S66" s="304">
        <v>0.8877229403747795</v>
      </c>
      <c r="T66" s="304">
        <v>1.1599068664362444</v>
      </c>
      <c r="U66" s="304"/>
      <c r="V66" s="304">
        <v>0.80685424696520347</v>
      </c>
      <c r="W66" s="304">
        <v>0.83844087052132021</v>
      </c>
      <c r="X66" s="304">
        <v>1.3891158838119793</v>
      </c>
      <c r="Y66" s="304"/>
      <c r="Z66" s="304">
        <v>5.1514727107038878</v>
      </c>
      <c r="AA66" s="304">
        <v>5.0109877888208993</v>
      </c>
      <c r="AB66" s="304">
        <v>5.1742558345268561</v>
      </c>
      <c r="AC66" s="304"/>
      <c r="AD66" s="304">
        <v>5.7641378095163383</v>
      </c>
      <c r="AE66" s="304">
        <v>5.5210581044344869</v>
      </c>
      <c r="AF66" s="304">
        <v>5.1550433399444318</v>
      </c>
      <c r="AG66" s="304"/>
      <c r="AH66" s="304">
        <v>1.9599323433491642</v>
      </c>
      <c r="AI66" s="304">
        <v>1.3537224111434207</v>
      </c>
      <c r="AJ66" s="304">
        <v>0.44217496427506242</v>
      </c>
      <c r="AK66" s="304"/>
      <c r="AL66" s="304">
        <v>0.94074822081625975</v>
      </c>
      <c r="AM66" s="304">
        <v>1.0292722053410308</v>
      </c>
      <c r="AN66" s="304">
        <v>0.78491224478891819</v>
      </c>
    </row>
    <row r="67" spans="1:40" x14ac:dyDescent="0.2">
      <c r="A67" s="13" t="str">
        <f t="shared" si="72"/>
        <v>Skilled trades occupations</v>
      </c>
      <c r="B67" s="304">
        <f t="shared" si="75"/>
        <v>24.856974483654341</v>
      </c>
      <c r="C67" s="304">
        <f t="shared" si="73"/>
        <v>24.422391577124877</v>
      </c>
      <c r="D67" s="304">
        <f t="shared" si="74"/>
        <v>24.173270225518944</v>
      </c>
      <c r="E67" s="304"/>
      <c r="F67" s="304">
        <v>1.1228884424775473E-2</v>
      </c>
      <c r="G67" s="304">
        <v>1.3799027961804355E-2</v>
      </c>
      <c r="H67" s="304">
        <v>2.2367625021988184E-2</v>
      </c>
      <c r="I67" s="304"/>
      <c r="J67" s="304">
        <v>0.27991768826807434</v>
      </c>
      <c r="K67" s="304">
        <v>0.3760688624662048</v>
      </c>
      <c r="L67" s="304">
        <v>0.6121763436681642</v>
      </c>
      <c r="M67" s="304"/>
      <c r="N67" s="304">
        <v>1.1927423883296424</v>
      </c>
      <c r="O67" s="304">
        <v>1.5104675835598766</v>
      </c>
      <c r="P67" s="304">
        <v>1.9210424090734572</v>
      </c>
      <c r="Q67" s="304"/>
      <c r="R67" s="304">
        <v>0.66889064993998026</v>
      </c>
      <c r="S67" s="304">
        <v>0.76103064961749423</v>
      </c>
      <c r="T67" s="304">
        <v>1.0573023275763354</v>
      </c>
      <c r="U67" s="304"/>
      <c r="V67" s="304">
        <v>0.86559631150989824</v>
      </c>
      <c r="W67" s="304">
        <v>1.0038438934443146</v>
      </c>
      <c r="X67" s="304">
        <v>1.1333965548217002</v>
      </c>
      <c r="Y67" s="304"/>
      <c r="Z67" s="304">
        <v>9.3022576149657255</v>
      </c>
      <c r="AA67" s="304">
        <v>8.9207547879322746</v>
      </c>
      <c r="AB67" s="304">
        <v>9.5575068148800497</v>
      </c>
      <c r="AC67" s="304"/>
      <c r="AD67" s="304">
        <v>6.9210357381193575</v>
      </c>
      <c r="AE67" s="304">
        <v>6.3513337554106002</v>
      </c>
      <c r="AF67" s="304">
        <v>6.2376436269861326</v>
      </c>
      <c r="AG67" s="304"/>
      <c r="AH67" s="304">
        <v>3.6229374379014181</v>
      </c>
      <c r="AI67" s="304">
        <v>3.6786380187783005</v>
      </c>
      <c r="AJ67" s="304">
        <v>2.2986206013433739</v>
      </c>
      <c r="AK67" s="304"/>
      <c r="AL67" s="304">
        <v>1.9923677701954694</v>
      </c>
      <c r="AM67" s="304">
        <v>1.8064549979540048</v>
      </c>
      <c r="AN67" s="304">
        <v>1.3332139221477464</v>
      </c>
    </row>
    <row r="68" spans="1:40" x14ac:dyDescent="0.2">
      <c r="A68" s="13" t="str">
        <f t="shared" si="72"/>
        <v>Caring, leisure and other service occupations</v>
      </c>
      <c r="B68" s="304">
        <f t="shared" si="75"/>
        <v>11.340407664467596</v>
      </c>
      <c r="C68" s="304">
        <f t="shared" si="73"/>
        <v>11.971066832797923</v>
      </c>
      <c r="D68" s="304">
        <f t="shared" si="74"/>
        <v>13.929899514742003</v>
      </c>
      <c r="E68" s="304"/>
      <c r="F68" s="304">
        <v>1.0226836381517418E-2</v>
      </c>
      <c r="G68" s="304">
        <v>1.4566033358893336E-2</v>
      </c>
      <c r="H68" s="304">
        <v>2.4157705200481487E-2</v>
      </c>
      <c r="I68" s="304"/>
      <c r="J68" s="304">
        <v>0.23258552895341955</v>
      </c>
      <c r="K68" s="304">
        <v>0.29452397738643865</v>
      </c>
      <c r="L68" s="304">
        <v>0.39522610863804453</v>
      </c>
      <c r="M68" s="304"/>
      <c r="N68" s="304">
        <v>1.1897019173175516</v>
      </c>
      <c r="O68" s="304">
        <v>1.4062421147385764</v>
      </c>
      <c r="P68" s="304">
        <v>1.8761396850888779</v>
      </c>
      <c r="Q68" s="304"/>
      <c r="R68" s="304">
        <v>1.0351726774717462</v>
      </c>
      <c r="S68" s="304">
        <v>1.272150950375345</v>
      </c>
      <c r="T68" s="304">
        <v>2.0722936668634633</v>
      </c>
      <c r="U68" s="304"/>
      <c r="V68" s="304">
        <v>0.94582020888481222</v>
      </c>
      <c r="W68" s="304">
        <v>1.1243883166583748</v>
      </c>
      <c r="X68" s="304">
        <v>1.6432850211229089</v>
      </c>
      <c r="Y68" s="304"/>
      <c r="Z68" s="304">
        <v>2.4246103384581192</v>
      </c>
      <c r="AA68" s="304">
        <v>2.5516241422070136</v>
      </c>
      <c r="AB68" s="304">
        <v>3.1298455959831362</v>
      </c>
      <c r="AC68" s="304"/>
      <c r="AD68" s="304">
        <v>3.2226821000322583</v>
      </c>
      <c r="AE68" s="304">
        <v>3.1019705260240116</v>
      </c>
      <c r="AF68" s="304">
        <v>3.1355844141237301</v>
      </c>
      <c r="AG68" s="304"/>
      <c r="AH68" s="304">
        <v>1.5139341141209752</v>
      </c>
      <c r="AI68" s="304">
        <v>1.4459928913398836</v>
      </c>
      <c r="AJ68" s="304">
        <v>0.94309219800517863</v>
      </c>
      <c r="AK68" s="304"/>
      <c r="AL68" s="304">
        <v>0.76567394284719781</v>
      </c>
      <c r="AM68" s="304">
        <v>0.75960788070938501</v>
      </c>
      <c r="AN68" s="304">
        <v>0.71027511971618107</v>
      </c>
    </row>
    <row r="69" spans="1:40" x14ac:dyDescent="0.2">
      <c r="A69" s="13" t="str">
        <f t="shared" si="72"/>
        <v>Sales and customer service occupations</v>
      </c>
      <c r="B69" s="304">
        <f t="shared" si="75"/>
        <v>89.320827139123139</v>
      </c>
      <c r="C69" s="304">
        <f t="shared" si="73"/>
        <v>86.432594302425827</v>
      </c>
      <c r="D69" s="304">
        <f t="shared" si="74"/>
        <v>85.237737433618705</v>
      </c>
      <c r="E69" s="304"/>
      <c r="F69" s="304">
        <v>6.324113456897329E-2</v>
      </c>
      <c r="G69" s="304">
        <v>8.3529487732579163E-2</v>
      </c>
      <c r="H69" s="304">
        <v>0.12436771632588249</v>
      </c>
      <c r="I69" s="304"/>
      <c r="J69" s="304">
        <v>1.4883509477949646</v>
      </c>
      <c r="K69" s="304">
        <v>1.8532767398142165</v>
      </c>
      <c r="L69" s="304">
        <v>2.7794488708719429</v>
      </c>
      <c r="M69" s="304"/>
      <c r="N69" s="304">
        <v>8.6682923986417144</v>
      </c>
      <c r="O69" s="304">
        <v>10.136147069663826</v>
      </c>
      <c r="P69" s="304">
        <v>14.599204605869954</v>
      </c>
      <c r="Q69" s="304"/>
      <c r="R69" s="304">
        <v>3.1824920979864468</v>
      </c>
      <c r="S69" s="304">
        <v>3.6231528817340908</v>
      </c>
      <c r="T69" s="304">
        <v>5.3132304452602419</v>
      </c>
      <c r="U69" s="304"/>
      <c r="V69" s="304">
        <v>2.2318544233394522</v>
      </c>
      <c r="W69" s="304">
        <v>2.3069813121265272</v>
      </c>
      <c r="X69" s="304">
        <v>2.9926845401289026</v>
      </c>
      <c r="Y69" s="304"/>
      <c r="Z69" s="304">
        <v>27.549352852769459</v>
      </c>
      <c r="AA69" s="304">
        <v>28.285318728160888</v>
      </c>
      <c r="AB69" s="304">
        <v>33.651288827044432</v>
      </c>
      <c r="AC69" s="304"/>
      <c r="AD69" s="304">
        <v>26.344681175134173</v>
      </c>
      <c r="AE69" s="304">
        <v>23.341021340729426</v>
      </c>
      <c r="AF69" s="304">
        <v>18.068193783382483</v>
      </c>
      <c r="AG69" s="304"/>
      <c r="AH69" s="304">
        <v>14.433533087643264</v>
      </c>
      <c r="AI69" s="304">
        <v>12.590739768517192</v>
      </c>
      <c r="AJ69" s="304">
        <v>5.7579052164361944</v>
      </c>
      <c r="AK69" s="304"/>
      <c r="AL69" s="304">
        <v>5.3590290212446847</v>
      </c>
      <c r="AM69" s="304">
        <v>4.2124269739470819</v>
      </c>
      <c r="AN69" s="304">
        <v>1.9514134282986704</v>
      </c>
    </row>
    <row r="70" spans="1:40" x14ac:dyDescent="0.2">
      <c r="A70" s="13" t="str">
        <f t="shared" si="72"/>
        <v>Process, plant and machine operatives</v>
      </c>
      <c r="B70" s="304">
        <f t="shared" si="75"/>
        <v>35.863183838202289</v>
      </c>
      <c r="C70" s="304">
        <f t="shared" si="73"/>
        <v>37.897026453832801</v>
      </c>
      <c r="D70" s="304">
        <f t="shared" si="74"/>
        <v>37.006805105069496</v>
      </c>
      <c r="E70" s="304"/>
      <c r="F70" s="304">
        <v>5.4871532851751385E-2</v>
      </c>
      <c r="G70" s="304">
        <v>8.2233138140942338E-2</v>
      </c>
      <c r="H70" s="304">
        <v>0.13756742877450556</v>
      </c>
      <c r="I70" s="304"/>
      <c r="J70" s="304">
        <v>0.31893096458040171</v>
      </c>
      <c r="K70" s="304">
        <v>0.46361737828122629</v>
      </c>
      <c r="L70" s="304">
        <v>0.79305019247278496</v>
      </c>
      <c r="M70" s="304"/>
      <c r="N70" s="304">
        <v>1.3417760347706069</v>
      </c>
      <c r="O70" s="304">
        <v>1.7060947316156516</v>
      </c>
      <c r="P70" s="304">
        <v>2.467741469559293</v>
      </c>
      <c r="Q70" s="304"/>
      <c r="R70" s="304">
        <v>0.61362843550388602</v>
      </c>
      <c r="S70" s="304">
        <v>0.77065127009102097</v>
      </c>
      <c r="T70" s="304">
        <v>0.91079126497365059</v>
      </c>
      <c r="U70" s="304"/>
      <c r="V70" s="304">
        <v>0.94210882629418891</v>
      </c>
      <c r="W70" s="304">
        <v>1.1886780010107885</v>
      </c>
      <c r="X70" s="304">
        <v>1.406836402777516</v>
      </c>
      <c r="Y70" s="304"/>
      <c r="Z70" s="304">
        <v>9.1744103402755197</v>
      </c>
      <c r="AA70" s="304">
        <v>8.9561263341807162</v>
      </c>
      <c r="AB70" s="304">
        <v>9.3217946517032786</v>
      </c>
      <c r="AC70" s="304"/>
      <c r="AD70" s="304">
        <v>12.670957285088198</v>
      </c>
      <c r="AE70" s="304">
        <v>14.594255821609615</v>
      </c>
      <c r="AF70" s="304">
        <v>16.153754323679248</v>
      </c>
      <c r="AG70" s="304"/>
      <c r="AH70" s="304">
        <v>7.1287462181091268</v>
      </c>
      <c r="AI70" s="304">
        <v>7.5659366680344871</v>
      </c>
      <c r="AJ70" s="304">
        <v>4.8611169345082699</v>
      </c>
      <c r="AK70" s="304"/>
      <c r="AL70" s="304">
        <v>3.6177542007286139</v>
      </c>
      <c r="AM70" s="304">
        <v>2.5694331108683532</v>
      </c>
      <c r="AN70" s="304">
        <v>0.95415243662095439</v>
      </c>
    </row>
    <row r="71" spans="1:40" x14ac:dyDescent="0.2">
      <c r="A71" s="13" t="str">
        <f t="shared" si="72"/>
        <v>Elementary occupations</v>
      </c>
      <c r="B71" s="304">
        <f t="shared" si="75"/>
        <v>65.868075991970414</v>
      </c>
      <c r="C71" s="304">
        <f t="shared" si="73"/>
        <v>66.791437482359797</v>
      </c>
      <c r="D71" s="304">
        <f t="shared" si="74"/>
        <v>66.871618402538843</v>
      </c>
      <c r="E71" s="304"/>
      <c r="F71" s="304">
        <v>1.0634294142978925E-2</v>
      </c>
      <c r="G71" s="304">
        <v>1.2470425232772591E-2</v>
      </c>
      <c r="H71" s="304">
        <v>1.4598161124588107E-2</v>
      </c>
      <c r="I71" s="304"/>
      <c r="J71" s="304">
        <v>1.1868702240083604</v>
      </c>
      <c r="K71" s="304">
        <v>1.5863169482397159</v>
      </c>
      <c r="L71" s="304">
        <v>2.6816921681627748</v>
      </c>
      <c r="M71" s="304"/>
      <c r="N71" s="304">
        <v>5.2779837151251705</v>
      </c>
      <c r="O71" s="304">
        <v>6.6259895801540445</v>
      </c>
      <c r="P71" s="304">
        <v>9.9074389653903783</v>
      </c>
      <c r="Q71" s="304"/>
      <c r="R71" s="304">
        <v>2.271730266682686</v>
      </c>
      <c r="S71" s="304">
        <v>2.7887103922782943</v>
      </c>
      <c r="T71" s="304">
        <v>4.2555550733419194</v>
      </c>
      <c r="U71" s="304"/>
      <c r="V71" s="304">
        <v>2.4872430131331722</v>
      </c>
      <c r="W71" s="304">
        <v>3.061937468945771</v>
      </c>
      <c r="X71" s="304">
        <v>4.5229424053460106</v>
      </c>
      <c r="Y71" s="304"/>
      <c r="Z71" s="304">
        <v>16.114954691840317</v>
      </c>
      <c r="AA71" s="304">
        <v>15.918889324716847</v>
      </c>
      <c r="AB71" s="304">
        <v>17.087574632052306</v>
      </c>
      <c r="AC71" s="304"/>
      <c r="AD71" s="304">
        <v>21.076215418284693</v>
      </c>
      <c r="AE71" s="304">
        <v>21.140947961529896</v>
      </c>
      <c r="AF71" s="304">
        <v>19.507372214595186</v>
      </c>
      <c r="AG71" s="304"/>
      <c r="AH71" s="304">
        <v>11.307374067945114</v>
      </c>
      <c r="AI71" s="304">
        <v>10.656422842386265</v>
      </c>
      <c r="AJ71" s="304">
        <v>5.6979902365998329</v>
      </c>
      <c r="AK71" s="304"/>
      <c r="AL71" s="304">
        <v>6.1350703008079162</v>
      </c>
      <c r="AM71" s="304">
        <v>4.9997525388761899</v>
      </c>
      <c r="AN71" s="304">
        <v>3.1964545459258411</v>
      </c>
    </row>
    <row r="72" spans="1:40" x14ac:dyDescent="0.2">
      <c r="B72" s="304"/>
      <c r="C72" s="304"/>
      <c r="D72" s="304"/>
      <c r="E72" s="304"/>
      <c r="F72" s="304"/>
      <c r="G72" s="304"/>
      <c r="H72" s="304"/>
      <c r="I72" s="304"/>
      <c r="J72" s="304"/>
      <c r="K72" s="304"/>
      <c r="L72" s="304"/>
      <c r="M72" s="304"/>
      <c r="N72" s="304"/>
      <c r="O72" s="304"/>
      <c r="P72" s="304"/>
      <c r="Q72" s="304"/>
      <c r="R72" s="304"/>
      <c r="S72" s="304"/>
      <c r="T72" s="304"/>
      <c r="U72" s="304"/>
      <c r="V72" s="304"/>
      <c r="W72" s="304"/>
      <c r="X72" s="304"/>
      <c r="Y72" s="304"/>
      <c r="Z72" s="304"/>
      <c r="AA72" s="304"/>
      <c r="AB72" s="304"/>
      <c r="AC72" s="304"/>
      <c r="AD72" s="304"/>
      <c r="AE72" s="304"/>
      <c r="AF72" s="304"/>
      <c r="AG72" s="304"/>
      <c r="AH72" s="304"/>
      <c r="AI72" s="304"/>
      <c r="AJ72" s="304"/>
      <c r="AK72" s="304"/>
      <c r="AL72" s="304"/>
      <c r="AM72" s="304"/>
      <c r="AN72" s="304"/>
    </row>
    <row r="73" spans="1:40" x14ac:dyDescent="0.2">
      <c r="A73" s="1" t="str">
        <f>name!C8</f>
        <v>Business and other services</v>
      </c>
      <c r="B73" s="306"/>
      <c r="C73" s="306"/>
      <c r="D73" s="306"/>
      <c r="E73" s="304"/>
      <c r="F73" s="304"/>
      <c r="G73" s="304"/>
      <c r="H73" s="304"/>
      <c r="I73" s="304"/>
      <c r="J73" s="304"/>
      <c r="K73" s="304"/>
      <c r="L73" s="304"/>
      <c r="M73" s="304"/>
      <c r="N73" s="304"/>
      <c r="O73" s="304"/>
      <c r="P73" s="304"/>
      <c r="Q73" s="304"/>
      <c r="R73" s="304"/>
      <c r="S73" s="304"/>
      <c r="T73" s="304"/>
      <c r="U73" s="304"/>
      <c r="V73" s="304"/>
      <c r="W73" s="304"/>
      <c r="X73" s="304"/>
      <c r="Y73" s="304"/>
      <c r="Z73" s="304"/>
      <c r="AA73" s="304"/>
      <c r="AB73" s="304"/>
      <c r="AC73" s="304"/>
      <c r="AD73" s="304"/>
      <c r="AE73" s="304"/>
      <c r="AF73" s="304"/>
      <c r="AG73" s="304"/>
      <c r="AH73" s="304"/>
      <c r="AI73" s="304"/>
      <c r="AJ73" s="304"/>
      <c r="AK73" s="304"/>
      <c r="AL73" s="304"/>
      <c r="AM73" s="304"/>
      <c r="AN73" s="304"/>
    </row>
    <row r="74" spans="1:40" x14ac:dyDescent="0.2">
      <c r="A74" s="13" t="str">
        <f t="shared" ref="A74:A83" si="76">A8</f>
        <v>All occupations</v>
      </c>
      <c r="B74" s="305">
        <f>SUM(B75:B83)</f>
        <v>301.06899999909422</v>
      </c>
      <c r="C74" s="305">
        <f>SUM(C75:C83)</f>
        <v>303.93300000331499</v>
      </c>
      <c r="D74" s="305">
        <f>SUM(D75:D83)</f>
        <v>318.65200000145666</v>
      </c>
      <c r="E74" s="304"/>
      <c r="F74" s="305">
        <f>SUM(F75:F83)</f>
        <v>3.443185737739332</v>
      </c>
      <c r="G74" s="305">
        <f>SUM(G75:G83)</f>
        <v>4.1211066266921517</v>
      </c>
      <c r="H74" s="305">
        <f>SUM(H75:H83)</f>
        <v>5.2886702236316676</v>
      </c>
      <c r="I74" s="304"/>
      <c r="J74" s="305">
        <f>SUM(J75:J83)</f>
        <v>29.569260217756604</v>
      </c>
      <c r="K74" s="305">
        <f>SUM(K75:K83)</f>
        <v>35.188869814995158</v>
      </c>
      <c r="L74" s="305">
        <f>SUM(L75:L83)</f>
        <v>44.875969185234609</v>
      </c>
      <c r="M74" s="304"/>
      <c r="N74" s="305">
        <f>SUM(N75:N83)</f>
        <v>67.605269585527338</v>
      </c>
      <c r="O74" s="305">
        <f>SUM(O75:O83)</f>
        <v>72.858527048597637</v>
      </c>
      <c r="P74" s="305">
        <f>SUM(P75:P83)</f>
        <v>85.716580973786492</v>
      </c>
      <c r="Q74" s="304"/>
      <c r="R74" s="305">
        <f>SUM(R75:R83)</f>
        <v>14.41653220538943</v>
      </c>
      <c r="S74" s="305">
        <f>SUM(S75:S83)</f>
        <v>15.360806524987328</v>
      </c>
      <c r="T74" s="305">
        <f>SUM(T75:T83)</f>
        <v>18.958028826930708</v>
      </c>
      <c r="U74" s="304"/>
      <c r="V74" s="305">
        <f>SUM(V75:V83)</f>
        <v>16.5485228362047</v>
      </c>
      <c r="W74" s="305">
        <f>SUM(W75:W83)</f>
        <v>17.474134528181555</v>
      </c>
      <c r="X74" s="305">
        <f>SUM(X75:X83)</f>
        <v>20.778077952297171</v>
      </c>
      <c r="Y74" s="304"/>
      <c r="Z74" s="305">
        <f>SUM(Z75:Z83)</f>
        <v>59.016477706183096</v>
      </c>
      <c r="AA74" s="305">
        <f>SUM(AA75:AA83)</f>
        <v>52.096257087703322</v>
      </c>
      <c r="AB74" s="305">
        <f>SUM(AB75:AB83)</f>
        <v>50.867568805689409</v>
      </c>
      <c r="AC74" s="304"/>
      <c r="AD74" s="305">
        <f>SUM(AD75:AD83)</f>
        <v>62.680852541030887</v>
      </c>
      <c r="AE74" s="305">
        <f>SUM(AE75:AE83)</f>
        <v>60.253185095015411</v>
      </c>
      <c r="AF74" s="305">
        <f>SUM(AF75:AF83)</f>
        <v>56.206967551100178</v>
      </c>
      <c r="AG74" s="304"/>
      <c r="AH74" s="305">
        <f>SUM(AH75:AH83)</f>
        <v>35.620758984058192</v>
      </c>
      <c r="AI74" s="305">
        <f>SUM(AI75:AI83)</f>
        <v>35.068242399784999</v>
      </c>
      <c r="AJ74" s="305">
        <f>SUM(AJ75:AJ83)</f>
        <v>26.140028753834237</v>
      </c>
      <c r="AK74" s="304"/>
      <c r="AL74" s="305">
        <f>SUM(AL75:AL83)</f>
        <v>12.168140185204686</v>
      </c>
      <c r="AM74" s="305">
        <f>SUM(AM75:AM83)</f>
        <v>11.511870877357435</v>
      </c>
      <c r="AN74" s="305">
        <f>SUM(AN75:AN83)</f>
        <v>9.8201077289521574</v>
      </c>
    </row>
    <row r="75" spans="1:40" x14ac:dyDescent="0.2">
      <c r="A75" s="13" t="str">
        <f t="shared" si="76"/>
        <v>Managers, directors and senior officials</v>
      </c>
      <c r="B75" s="305">
        <f>SUM(F75,J75,N75,R75,V75,Z75,AD75,AH75,AL75)</f>
        <v>24.892567899612118</v>
      </c>
      <c r="C75" s="305">
        <f t="shared" ref="C75:C83" si="77">SUM(G75,K75,O75,S75,W75,AA75,AE75,AI75,AM75)</f>
        <v>24.946308956455418</v>
      </c>
      <c r="D75" s="305">
        <f t="shared" ref="D75:D83" si="78">SUM(H75,L75,P75,T75,X75,AB75,AF75,AJ75,AN75)</f>
        <v>27.64550311464771</v>
      </c>
      <c r="E75" s="304"/>
      <c r="F75" s="304">
        <v>0.40570229109788192</v>
      </c>
      <c r="G75" s="304">
        <v>0.50728585857164898</v>
      </c>
      <c r="H75" s="304">
        <v>0.6951314962020414</v>
      </c>
      <c r="I75" s="304"/>
      <c r="J75" s="304">
        <v>3.0866649936035477</v>
      </c>
      <c r="K75" s="304">
        <v>3.6327080079036955</v>
      </c>
      <c r="L75" s="304">
        <v>4.7040631216987574</v>
      </c>
      <c r="M75" s="304"/>
      <c r="N75" s="304">
        <v>7.5189604841379971</v>
      </c>
      <c r="O75" s="304">
        <v>7.9490874304268289</v>
      </c>
      <c r="P75" s="304">
        <v>9.5106878542876689</v>
      </c>
      <c r="Q75" s="304"/>
      <c r="R75" s="304">
        <v>1.0615186039403735</v>
      </c>
      <c r="S75" s="304">
        <v>1.072962340677416</v>
      </c>
      <c r="T75" s="304">
        <v>1.314367193104359</v>
      </c>
      <c r="U75" s="304"/>
      <c r="V75" s="304">
        <v>1.7780139383369356</v>
      </c>
      <c r="W75" s="304">
        <v>1.8895156045551911</v>
      </c>
      <c r="X75" s="304">
        <v>2.2630512776761478</v>
      </c>
      <c r="Y75" s="304"/>
      <c r="Z75" s="304">
        <v>4.8814123024191431</v>
      </c>
      <c r="AA75" s="304">
        <v>4.007911276237353</v>
      </c>
      <c r="AB75" s="304">
        <v>4.062881885349011</v>
      </c>
      <c r="AC75" s="304"/>
      <c r="AD75" s="304">
        <v>3.48932420936119</v>
      </c>
      <c r="AE75" s="304">
        <v>3.1785877169836332</v>
      </c>
      <c r="AF75" s="304">
        <v>2.9430557551613128</v>
      </c>
      <c r="AG75" s="304"/>
      <c r="AH75" s="304">
        <v>2.0019600096319063</v>
      </c>
      <c r="AI75" s="304">
        <v>2.0256770427196313</v>
      </c>
      <c r="AJ75" s="304">
        <v>1.6159372162483105</v>
      </c>
      <c r="AK75" s="304"/>
      <c r="AL75" s="304">
        <v>0.66901106708314595</v>
      </c>
      <c r="AM75" s="304">
        <v>0.68257367838002359</v>
      </c>
      <c r="AN75" s="304">
        <v>0.536327314920099</v>
      </c>
    </row>
    <row r="76" spans="1:40" x14ac:dyDescent="0.2">
      <c r="A76" s="13" t="str">
        <f t="shared" si="76"/>
        <v>Professional occupations</v>
      </c>
      <c r="B76" s="305">
        <f t="shared" ref="B76:B83" si="79">SUM(F76,J76,N76,R76,V76,Z76,AD76,AH76,AL76)</f>
        <v>59.815394243419256</v>
      </c>
      <c r="C76" s="305">
        <f t="shared" si="77"/>
        <v>62.757555821773025</v>
      </c>
      <c r="D76" s="305">
        <f>SUM(H76,L76,P76,T76,X76,AB76,AF76,AJ76,AN76)</f>
        <v>69.526529472460368</v>
      </c>
      <c r="E76" s="304"/>
      <c r="F76" s="304">
        <v>1.8698656370459252</v>
      </c>
      <c r="G76" s="304">
        <v>2.242449447488942</v>
      </c>
      <c r="H76" s="304">
        <v>2.7779730421395219</v>
      </c>
      <c r="I76" s="304"/>
      <c r="J76" s="304">
        <v>12.840643398685245</v>
      </c>
      <c r="K76" s="304">
        <v>15.534854067484176</v>
      </c>
      <c r="L76" s="304">
        <v>19.575787014620673</v>
      </c>
      <c r="M76" s="304"/>
      <c r="N76" s="304">
        <v>22.104069931146523</v>
      </c>
      <c r="O76" s="304">
        <v>23.352805721628098</v>
      </c>
      <c r="P76" s="304">
        <v>25.442872033864933</v>
      </c>
      <c r="Q76" s="304"/>
      <c r="R76" s="304">
        <v>2.1169617023686893</v>
      </c>
      <c r="S76" s="304">
        <v>2.1781462603556196</v>
      </c>
      <c r="T76" s="304">
        <v>2.5269784207835335</v>
      </c>
      <c r="U76" s="304"/>
      <c r="V76" s="304">
        <v>3.4771713025284008</v>
      </c>
      <c r="W76" s="304">
        <v>3.5814446378882545</v>
      </c>
      <c r="X76" s="304">
        <v>4.0718763371375495</v>
      </c>
      <c r="Y76" s="304"/>
      <c r="Z76" s="304">
        <v>7.9426893519525628</v>
      </c>
      <c r="AA76" s="304">
        <v>6.4729151213223322</v>
      </c>
      <c r="AB76" s="304">
        <v>6.3404446432322805</v>
      </c>
      <c r="AC76" s="304"/>
      <c r="AD76" s="304">
        <v>5.8061149787429409</v>
      </c>
      <c r="AE76" s="304">
        <v>5.5462778801183568</v>
      </c>
      <c r="AF76" s="304">
        <v>5.5876730275099948</v>
      </c>
      <c r="AG76" s="304"/>
      <c r="AH76" s="304">
        <v>2.7662374612157459</v>
      </c>
      <c r="AI76" s="304">
        <v>2.8259983126636312</v>
      </c>
      <c r="AJ76" s="304">
        <v>2.0583108692812444</v>
      </c>
      <c r="AK76" s="304"/>
      <c r="AL76" s="304">
        <v>0.89164047973322347</v>
      </c>
      <c r="AM76" s="304">
        <v>1.0226643728236235</v>
      </c>
      <c r="AN76" s="304">
        <v>1.1446140838906231</v>
      </c>
    </row>
    <row r="77" spans="1:40" x14ac:dyDescent="0.2">
      <c r="A77" s="13" t="str">
        <f t="shared" si="76"/>
        <v>Associate professional occupations</v>
      </c>
      <c r="B77" s="305">
        <f t="shared" si="79"/>
        <v>45.873902099622363</v>
      </c>
      <c r="C77" s="305">
        <f t="shared" si="77"/>
        <v>43.374224738896757</v>
      </c>
      <c r="D77" s="305">
        <f t="shared" si="78"/>
        <v>47.342228179656644</v>
      </c>
      <c r="E77" s="304"/>
      <c r="F77" s="304">
        <v>0.6658983712496177</v>
      </c>
      <c r="G77" s="304">
        <v>0.74560900072930281</v>
      </c>
      <c r="H77" s="304">
        <v>0.99876476490878041</v>
      </c>
      <c r="I77" s="304"/>
      <c r="J77" s="304">
        <v>6.7913119602421181</v>
      </c>
      <c r="K77" s="304">
        <v>7.3694956318351625</v>
      </c>
      <c r="L77" s="304">
        <v>9.0777918708145542</v>
      </c>
      <c r="M77" s="304"/>
      <c r="N77" s="304">
        <v>14.540657484874954</v>
      </c>
      <c r="O77" s="304">
        <v>14.397664227660654</v>
      </c>
      <c r="P77" s="304">
        <v>16.560589492348143</v>
      </c>
      <c r="Q77" s="304"/>
      <c r="R77" s="304">
        <v>2.7362192089985156</v>
      </c>
      <c r="S77" s="304">
        <v>2.7672101904116158</v>
      </c>
      <c r="T77" s="304">
        <v>3.4800486619231736</v>
      </c>
      <c r="U77" s="304"/>
      <c r="V77" s="304">
        <v>2.7598032199943399</v>
      </c>
      <c r="W77" s="304">
        <v>2.612464724394024</v>
      </c>
      <c r="X77" s="304">
        <v>2.8495097749309135</v>
      </c>
      <c r="Y77" s="304"/>
      <c r="Z77" s="304">
        <v>8.0981195405144106</v>
      </c>
      <c r="AA77" s="304">
        <v>6.5559709465412039</v>
      </c>
      <c r="AB77" s="304">
        <v>6.659315868549986</v>
      </c>
      <c r="AC77" s="304"/>
      <c r="AD77" s="304">
        <v>5.9577757721513418</v>
      </c>
      <c r="AE77" s="304">
        <v>4.9678147316662491</v>
      </c>
      <c r="AF77" s="304">
        <v>4.2170787816492226</v>
      </c>
      <c r="AG77" s="304"/>
      <c r="AH77" s="304">
        <v>3.3420490096046245</v>
      </c>
      <c r="AI77" s="304">
        <v>2.9003818505228693</v>
      </c>
      <c r="AJ77" s="304">
        <v>2.0698513198829316</v>
      </c>
      <c r="AK77" s="304"/>
      <c r="AL77" s="304">
        <v>0.98206753199244257</v>
      </c>
      <c r="AM77" s="304">
        <v>1.0576134351356778</v>
      </c>
      <c r="AN77" s="304">
        <v>1.4292776446489424</v>
      </c>
    </row>
    <row r="78" spans="1:40" x14ac:dyDescent="0.2">
      <c r="A78" s="13" t="str">
        <f t="shared" si="76"/>
        <v>Administrative and secretarial occupations</v>
      </c>
      <c r="B78" s="305">
        <f t="shared" si="79"/>
        <v>60.371668956959127</v>
      </c>
      <c r="C78" s="305">
        <f t="shared" si="77"/>
        <v>59.387250154456417</v>
      </c>
      <c r="D78" s="305">
        <f t="shared" si="78"/>
        <v>58.856173659688089</v>
      </c>
      <c r="E78" s="304"/>
      <c r="F78" s="304">
        <v>0.25728413109496406</v>
      </c>
      <c r="G78" s="304">
        <v>0.29715799114490371</v>
      </c>
      <c r="H78" s="304">
        <v>0.36675395708611613</v>
      </c>
      <c r="I78" s="304"/>
      <c r="J78" s="304">
        <v>3.6005158038062293</v>
      </c>
      <c r="K78" s="304">
        <v>4.3292649690417671</v>
      </c>
      <c r="L78" s="304">
        <v>5.6101239433565731</v>
      </c>
      <c r="M78" s="304"/>
      <c r="N78" s="304">
        <v>12.747604698984267</v>
      </c>
      <c r="O78" s="304">
        <v>14.351338057518298</v>
      </c>
      <c r="P78" s="304">
        <v>17.91070650505706</v>
      </c>
      <c r="Q78" s="304"/>
      <c r="R78" s="304">
        <v>3.5091634704562527</v>
      </c>
      <c r="S78" s="304">
        <v>3.6095191021647315</v>
      </c>
      <c r="T78" s="304">
        <v>4.2229374615197743</v>
      </c>
      <c r="U78" s="304"/>
      <c r="V78" s="304">
        <v>4.0921725690072028</v>
      </c>
      <c r="W78" s="304">
        <v>4.3858341299444259</v>
      </c>
      <c r="X78" s="304">
        <v>5.3383503823013747</v>
      </c>
      <c r="Y78" s="304"/>
      <c r="Z78" s="304">
        <v>13.046143081603022</v>
      </c>
      <c r="AA78" s="304">
        <v>11.779716234915565</v>
      </c>
      <c r="AB78" s="304">
        <v>10.479186114143953</v>
      </c>
      <c r="AC78" s="304"/>
      <c r="AD78" s="304">
        <v>14.705089236156612</v>
      </c>
      <c r="AE78" s="304">
        <v>12.756077637681729</v>
      </c>
      <c r="AF78" s="304">
        <v>9.9276189230652871</v>
      </c>
      <c r="AG78" s="304"/>
      <c r="AH78" s="304">
        <v>6.0373135507854787</v>
      </c>
      <c r="AI78" s="304">
        <v>5.0276404985473935</v>
      </c>
      <c r="AJ78" s="304">
        <v>1.9766609168584244</v>
      </c>
      <c r="AK78" s="304"/>
      <c r="AL78" s="304">
        <v>2.3763824150651036</v>
      </c>
      <c r="AM78" s="304">
        <v>2.8507015334976109</v>
      </c>
      <c r="AN78" s="304">
        <v>3.0238354562995204</v>
      </c>
    </row>
    <row r="79" spans="1:40" x14ac:dyDescent="0.2">
      <c r="A79" s="13" t="str">
        <f t="shared" si="76"/>
        <v>Skilled trades occupations</v>
      </c>
      <c r="B79" s="305">
        <f t="shared" si="79"/>
        <v>13.181034651380809</v>
      </c>
      <c r="C79" s="305">
        <f t="shared" si="77"/>
        <v>13.320036954419114</v>
      </c>
      <c r="D79" s="305">
        <f t="shared" si="78"/>
        <v>13.071234930670332</v>
      </c>
      <c r="E79" s="304"/>
      <c r="F79" s="304">
        <v>4.5801776611601806E-2</v>
      </c>
      <c r="G79" s="304">
        <v>6.3358123088848903E-2</v>
      </c>
      <c r="H79" s="304">
        <v>8.7460228372089471E-2</v>
      </c>
      <c r="I79" s="304"/>
      <c r="J79" s="304">
        <v>0.55316876165285123</v>
      </c>
      <c r="K79" s="304">
        <v>0.73677449840779807</v>
      </c>
      <c r="L79" s="304">
        <v>0.94507779450293761</v>
      </c>
      <c r="M79" s="304"/>
      <c r="N79" s="304">
        <v>1.3208329663959897</v>
      </c>
      <c r="O79" s="304">
        <v>1.5512742193581492</v>
      </c>
      <c r="P79" s="304">
        <v>1.8757947492814793</v>
      </c>
      <c r="Q79" s="304"/>
      <c r="R79" s="304">
        <v>0.62454731406572939</v>
      </c>
      <c r="S79" s="304">
        <v>0.69721129500645973</v>
      </c>
      <c r="T79" s="304">
        <v>0.89535411539876708</v>
      </c>
      <c r="U79" s="304"/>
      <c r="V79" s="304">
        <v>0.80343546709474267</v>
      </c>
      <c r="W79" s="304">
        <v>0.87055277003931919</v>
      </c>
      <c r="X79" s="304">
        <v>0.97867201804274573</v>
      </c>
      <c r="Y79" s="304"/>
      <c r="Z79" s="304">
        <v>3.7792619272306562</v>
      </c>
      <c r="AA79" s="304">
        <v>3.178790488779522</v>
      </c>
      <c r="AB79" s="304">
        <v>2.7145408254660741</v>
      </c>
      <c r="AC79" s="304"/>
      <c r="AD79" s="304">
        <v>3.6187330509284648</v>
      </c>
      <c r="AE79" s="304">
        <v>3.8006681064080632</v>
      </c>
      <c r="AF79" s="304">
        <v>3.8203559863117165</v>
      </c>
      <c r="AG79" s="304"/>
      <c r="AH79" s="304">
        <v>1.4881111374249303</v>
      </c>
      <c r="AI79" s="304">
        <v>1.5164034221077898</v>
      </c>
      <c r="AJ79" s="304">
        <v>1.0660122635285985</v>
      </c>
      <c r="AK79" s="304"/>
      <c r="AL79" s="304">
        <v>0.94714224997584329</v>
      </c>
      <c r="AM79" s="304">
        <v>0.90500403122316408</v>
      </c>
      <c r="AN79" s="304">
        <v>0.68796694976592432</v>
      </c>
    </row>
    <row r="80" spans="1:40" x14ac:dyDescent="0.2">
      <c r="A80" s="13" t="str">
        <f t="shared" si="76"/>
        <v>Caring, leisure and other service occupations</v>
      </c>
      <c r="B80" s="305">
        <f t="shared" si="79"/>
        <v>19.833208170974402</v>
      </c>
      <c r="C80" s="305">
        <f t="shared" si="77"/>
        <v>19.038688830069052</v>
      </c>
      <c r="D80" s="305">
        <f t="shared" si="78"/>
        <v>19.285883587602061</v>
      </c>
      <c r="E80" s="304"/>
      <c r="F80" s="304">
        <v>1.4404128546961987E-2</v>
      </c>
      <c r="G80" s="304">
        <v>2.0681372489500225E-2</v>
      </c>
      <c r="H80" s="304">
        <v>3.39373331556262E-2</v>
      </c>
      <c r="I80" s="304"/>
      <c r="J80" s="304">
        <v>0.61916486018139971</v>
      </c>
      <c r="K80" s="304">
        <v>0.75196484859359092</v>
      </c>
      <c r="L80" s="304">
        <v>0.98318347374027859</v>
      </c>
      <c r="M80" s="304"/>
      <c r="N80" s="304">
        <v>2.3663420595139213</v>
      </c>
      <c r="O80" s="304">
        <v>2.822393625633306</v>
      </c>
      <c r="P80" s="304">
        <v>3.8792593147616383</v>
      </c>
      <c r="Q80" s="304"/>
      <c r="R80" s="304">
        <v>1.5615087692507674</v>
      </c>
      <c r="S80" s="304">
        <v>1.7163166313847653</v>
      </c>
      <c r="T80" s="304">
        <v>2.2172085054919721</v>
      </c>
      <c r="U80" s="304"/>
      <c r="V80" s="304">
        <v>1.2458989789219421</v>
      </c>
      <c r="W80" s="304">
        <v>1.3721012160913155</v>
      </c>
      <c r="X80" s="304">
        <v>1.9094086980582927</v>
      </c>
      <c r="Y80" s="304"/>
      <c r="Z80" s="304">
        <v>5.4953107052960517</v>
      </c>
      <c r="AA80" s="304">
        <v>5.2034749710656278</v>
      </c>
      <c r="AB80" s="304">
        <v>5.2104622421793954</v>
      </c>
      <c r="AC80" s="304"/>
      <c r="AD80" s="304">
        <v>4.8177626815685795</v>
      </c>
      <c r="AE80" s="304">
        <v>3.8880980287712181</v>
      </c>
      <c r="AF80" s="304">
        <v>2.8593308955855963</v>
      </c>
      <c r="AG80" s="304"/>
      <c r="AH80" s="304">
        <v>2.8292176759155208</v>
      </c>
      <c r="AI80" s="304">
        <v>2.5856752401525562</v>
      </c>
      <c r="AJ80" s="304">
        <v>1.7740196591364266</v>
      </c>
      <c r="AK80" s="304"/>
      <c r="AL80" s="304">
        <v>0.88359831177926063</v>
      </c>
      <c r="AM80" s="304">
        <v>0.67798289588717309</v>
      </c>
      <c r="AN80" s="304">
        <v>0.41907346549283447</v>
      </c>
    </row>
    <row r="81" spans="1:40" x14ac:dyDescent="0.2">
      <c r="A81" s="13" t="str">
        <f t="shared" si="76"/>
        <v>Sales and customer service occupations</v>
      </c>
      <c r="B81" s="305">
        <f t="shared" si="79"/>
        <v>26.118523698217118</v>
      </c>
      <c r="C81" s="305">
        <f t="shared" si="77"/>
        <v>28.889327675516821</v>
      </c>
      <c r="D81" s="305">
        <f t="shared" si="78"/>
        <v>32.252084538161874</v>
      </c>
      <c r="E81" s="304"/>
      <c r="F81" s="304">
        <v>0.11341578079437897</v>
      </c>
      <c r="G81" s="304">
        <v>0.14623655868129376</v>
      </c>
      <c r="H81" s="304">
        <v>0.18743841563881827</v>
      </c>
      <c r="I81" s="304"/>
      <c r="J81" s="304">
        <v>1.0292884200232497</v>
      </c>
      <c r="K81" s="304">
        <v>1.3403006274839544</v>
      </c>
      <c r="L81" s="304">
        <v>1.8224120908719106</v>
      </c>
      <c r="M81" s="304"/>
      <c r="N81" s="304">
        <v>4.4279147328034503</v>
      </c>
      <c r="O81" s="304">
        <v>5.3699090967926955</v>
      </c>
      <c r="P81" s="304">
        <v>7.068794975018112</v>
      </c>
      <c r="Q81" s="304"/>
      <c r="R81" s="304">
        <v>1.3235805735368738</v>
      </c>
      <c r="S81" s="304">
        <v>1.5680020441619698</v>
      </c>
      <c r="T81" s="304">
        <v>2.174677155617684</v>
      </c>
      <c r="U81" s="304"/>
      <c r="V81" s="304">
        <v>1.519070300043565</v>
      </c>
      <c r="W81" s="304">
        <v>1.8621774300180483</v>
      </c>
      <c r="X81" s="304">
        <v>2.3637846504527444</v>
      </c>
      <c r="Y81" s="304"/>
      <c r="Z81" s="304">
        <v>6.7286441257600327</v>
      </c>
      <c r="AA81" s="304">
        <v>6.9256804174177553</v>
      </c>
      <c r="AB81" s="304">
        <v>7.4412613360976092</v>
      </c>
      <c r="AC81" s="304"/>
      <c r="AD81" s="304">
        <v>7.0852807894583156</v>
      </c>
      <c r="AE81" s="304">
        <v>7.6205906680407534</v>
      </c>
      <c r="AF81" s="304">
        <v>7.3350957958736691</v>
      </c>
      <c r="AG81" s="304"/>
      <c r="AH81" s="304">
        <v>2.9227538344072816</v>
      </c>
      <c r="AI81" s="304">
        <v>2.9117838546732373</v>
      </c>
      <c r="AJ81" s="304">
        <v>2.5386246559827841</v>
      </c>
      <c r="AK81" s="304"/>
      <c r="AL81" s="304">
        <v>0.96857514138997025</v>
      </c>
      <c r="AM81" s="304">
        <v>1.1446469782471147</v>
      </c>
      <c r="AN81" s="304">
        <v>1.3199954626085402</v>
      </c>
    </row>
    <row r="82" spans="1:40" x14ac:dyDescent="0.2">
      <c r="A82" s="13" t="str">
        <f t="shared" si="76"/>
        <v>Process, plant and machine operatives</v>
      </c>
      <c r="B82" s="305">
        <f t="shared" si="79"/>
        <v>8.3159167825693441</v>
      </c>
      <c r="C82" s="305">
        <f t="shared" si="77"/>
        <v>9.0100944177340008</v>
      </c>
      <c r="D82" s="305">
        <f t="shared" si="78"/>
        <v>8.6969541424394521</v>
      </c>
      <c r="E82" s="304"/>
      <c r="F82" s="304">
        <v>1.523017412400649E-2</v>
      </c>
      <c r="G82" s="304">
        <v>2.3297876369291821E-2</v>
      </c>
      <c r="H82" s="304">
        <v>3.0951925344289116E-2</v>
      </c>
      <c r="I82" s="304"/>
      <c r="J82" s="304">
        <v>0.1616079171162422</v>
      </c>
      <c r="K82" s="304">
        <v>0.23101548868020633</v>
      </c>
      <c r="L82" s="304">
        <v>0.33492584241422618</v>
      </c>
      <c r="M82" s="304"/>
      <c r="N82" s="304">
        <v>0.42331898945093366</v>
      </c>
      <c r="O82" s="304">
        <v>0.56204399014854778</v>
      </c>
      <c r="P82" s="304">
        <v>0.68965707653513031</v>
      </c>
      <c r="Q82" s="304"/>
      <c r="R82" s="304">
        <v>0.16294074096518141</v>
      </c>
      <c r="S82" s="304">
        <v>0.18044922545536277</v>
      </c>
      <c r="T82" s="304">
        <v>0.22161615003467749</v>
      </c>
      <c r="U82" s="304"/>
      <c r="V82" s="304">
        <v>0.20576121232539851</v>
      </c>
      <c r="W82" s="304">
        <v>0.26605461601491454</v>
      </c>
      <c r="X82" s="304">
        <v>0.33498695083424124</v>
      </c>
      <c r="Y82" s="304"/>
      <c r="Z82" s="304">
        <v>2.5754774392751827</v>
      </c>
      <c r="AA82" s="304">
        <v>2.6592179779936336</v>
      </c>
      <c r="AB82" s="304">
        <v>2.9856736671339918</v>
      </c>
      <c r="AC82" s="304"/>
      <c r="AD82" s="304">
        <v>2.2035282829003946</v>
      </c>
      <c r="AE82" s="304">
        <v>2.5674014155475837</v>
      </c>
      <c r="AF82" s="304">
        <v>2.718070247067462</v>
      </c>
      <c r="AG82" s="304"/>
      <c r="AH82" s="304">
        <v>1.400422826934421</v>
      </c>
      <c r="AI82" s="304">
        <v>1.4945561589073897</v>
      </c>
      <c r="AJ82" s="304">
        <v>0.97797143961649913</v>
      </c>
      <c r="AK82" s="304"/>
      <c r="AL82" s="304">
        <v>1.1676291994775838</v>
      </c>
      <c r="AM82" s="304">
        <v>1.0260576686170706</v>
      </c>
      <c r="AN82" s="304">
        <v>0.40310084345893249</v>
      </c>
    </row>
    <row r="83" spans="1:40" x14ac:dyDescent="0.2">
      <c r="A83" s="38" t="str">
        <f t="shared" si="76"/>
        <v>Elementary occupations</v>
      </c>
      <c r="B83" s="307">
        <f t="shared" si="79"/>
        <v>42.666783496339704</v>
      </c>
      <c r="C83" s="307">
        <f t="shared" si="77"/>
        <v>43.20951245399435</v>
      </c>
      <c r="D83" s="307">
        <f t="shared" si="78"/>
        <v>41.975408376130126</v>
      </c>
      <c r="E83" s="307"/>
      <c r="F83" s="307">
        <v>5.5583447173993647E-2</v>
      </c>
      <c r="G83" s="307">
        <v>7.5030398128419301E-2</v>
      </c>
      <c r="H83" s="307">
        <v>0.11025906078438373</v>
      </c>
      <c r="I83" s="307"/>
      <c r="J83" s="307">
        <v>0.88689410244571953</v>
      </c>
      <c r="K83" s="307">
        <v>1.2624916755648097</v>
      </c>
      <c r="L83" s="307">
        <v>1.8226040332147027</v>
      </c>
      <c r="M83" s="307"/>
      <c r="N83" s="307">
        <v>2.155568238219296</v>
      </c>
      <c r="O83" s="307">
        <v>2.5020106794310504</v>
      </c>
      <c r="P83" s="307">
        <v>2.7782189726323292</v>
      </c>
      <c r="Q83" s="307"/>
      <c r="R83" s="307">
        <v>1.3200918218070448</v>
      </c>
      <c r="S83" s="307">
        <v>1.5709894353693885</v>
      </c>
      <c r="T83" s="307">
        <v>1.9048411630567705</v>
      </c>
      <c r="U83" s="307"/>
      <c r="V83" s="307">
        <v>0.66719584795217335</v>
      </c>
      <c r="W83" s="307">
        <v>0.63398939923606035</v>
      </c>
      <c r="X83" s="307">
        <v>0.66843786286316098</v>
      </c>
      <c r="Y83" s="307"/>
      <c r="Z83" s="307">
        <v>6.4694192321320338</v>
      </c>
      <c r="AA83" s="307">
        <v>5.3125796534303324</v>
      </c>
      <c r="AB83" s="307">
        <v>4.9738022235371071</v>
      </c>
      <c r="AC83" s="307"/>
      <c r="AD83" s="307">
        <v>14.997243539763049</v>
      </c>
      <c r="AE83" s="307">
        <v>15.927668909797815</v>
      </c>
      <c r="AF83" s="307">
        <v>16.798688138875921</v>
      </c>
      <c r="AG83" s="307"/>
      <c r="AH83" s="307">
        <v>12.832693478138285</v>
      </c>
      <c r="AI83" s="307">
        <v>13.780126019490499</v>
      </c>
      <c r="AJ83" s="307">
        <v>12.062640413299016</v>
      </c>
      <c r="AK83" s="307"/>
      <c r="AL83" s="307">
        <v>3.2820937887081132</v>
      </c>
      <c r="AM83" s="307">
        <v>2.1446262835459757</v>
      </c>
      <c r="AN83" s="307">
        <v>0.85591650786674089</v>
      </c>
    </row>
    <row r="84" spans="1:40" x14ac:dyDescent="0.2">
      <c r="B84" s="31"/>
      <c r="C84" s="31"/>
      <c r="D84" s="31"/>
    </row>
    <row r="85" spans="1:40" ht="15.75" x14ac:dyDescent="0.25">
      <c r="A85" s="18" t="str">
        <f>CONCATENATE(A1," (Continued)")</f>
        <v>Basic Table 1  Employment by Industry Sector, Occupation Group and Qualification, 2020-2035, North East (Continued)</v>
      </c>
    </row>
    <row r="86" spans="1:40" ht="12.75" customHeight="1" x14ac:dyDescent="0.25">
      <c r="A86" s="18"/>
    </row>
    <row r="87" spans="1:40" ht="12.75" customHeight="1" x14ac:dyDescent="0.25">
      <c r="A87" s="18"/>
    </row>
    <row r="88" spans="1:40" ht="26.25" customHeight="1" x14ac:dyDescent="0.2">
      <c r="A88" s="77"/>
      <c r="B88" s="77"/>
      <c r="C88" s="78" t="str">
        <f>B4</f>
        <v>All qualifications</v>
      </c>
      <c r="D88" s="77"/>
      <c r="E88" s="77"/>
      <c r="F88" s="77"/>
      <c r="G88" s="78" t="str">
        <f>F4</f>
        <v>RQF8 Doctorate</v>
      </c>
      <c r="H88" s="77"/>
      <c r="I88" s="77"/>
      <c r="J88" s="77"/>
      <c r="K88" s="78" t="str">
        <f>J4</f>
        <v>RQF7 Other higher degree</v>
      </c>
      <c r="L88" s="77"/>
      <c r="M88" s="77"/>
      <c r="N88" s="379" t="str">
        <f>N4</f>
        <v>RQF6 First degree</v>
      </c>
      <c r="O88" s="379"/>
      <c r="P88" s="379"/>
      <c r="Q88" s="77"/>
      <c r="R88" s="379" t="str">
        <f>R4</f>
        <v>RQF5 Foundation degree;Nursing;Teaching</v>
      </c>
      <c r="S88" s="379"/>
      <c r="T88" s="379"/>
      <c r="U88" s="77"/>
      <c r="V88" s="379" t="str">
        <f>V4</f>
        <v>RQF4 HE below degree level</v>
      </c>
      <c r="W88" s="379"/>
      <c r="X88" s="379"/>
      <c r="Y88" s="77"/>
      <c r="Z88" s="379" t="str">
        <f>Z4</f>
        <v>RQF3 A level &amp; equivalent</v>
      </c>
      <c r="AA88" s="379"/>
      <c r="AB88" s="379"/>
      <c r="AC88" s="77"/>
      <c r="AD88" s="379" t="str">
        <f>AD4</f>
        <v>RQF2 GCSE(A-C) &amp; equivalent</v>
      </c>
      <c r="AE88" s="379"/>
      <c r="AF88" s="379"/>
      <c r="AG88" s="77"/>
      <c r="AH88" s="379" t="str">
        <f>AH4</f>
        <v>RQF1 GCSE(below grade C) &amp; equivalent</v>
      </c>
      <c r="AI88" s="379"/>
      <c r="AJ88" s="379"/>
      <c r="AK88" s="77"/>
      <c r="AL88" s="77"/>
      <c r="AM88" s="78" t="str">
        <f>AL4</f>
        <v>No Qualification</v>
      </c>
      <c r="AN88" s="77"/>
    </row>
    <row r="89" spans="1:40" x14ac:dyDescent="0.2">
      <c r="A89" s="38"/>
      <c r="B89" s="41">
        <f>B5</f>
        <v>2020</v>
      </c>
      <c r="C89" s="41">
        <f>C5</f>
        <v>2025</v>
      </c>
      <c r="D89" s="41">
        <f>D5</f>
        <v>2035</v>
      </c>
      <c r="E89" s="38"/>
      <c r="F89" s="34">
        <f>B89</f>
        <v>2020</v>
      </c>
      <c r="G89" s="34">
        <f>C89</f>
        <v>2025</v>
      </c>
      <c r="H89" s="34">
        <f>D89</f>
        <v>2035</v>
      </c>
      <c r="I89" s="38"/>
      <c r="J89" s="34">
        <f>B89</f>
        <v>2020</v>
      </c>
      <c r="K89" s="34">
        <f>C89</f>
        <v>2025</v>
      </c>
      <c r="L89" s="34">
        <f>D89</f>
        <v>2035</v>
      </c>
      <c r="M89" s="38"/>
      <c r="N89" s="34">
        <f>B89</f>
        <v>2020</v>
      </c>
      <c r="O89" s="34">
        <f>C89</f>
        <v>2025</v>
      </c>
      <c r="P89" s="34">
        <f>D89</f>
        <v>2035</v>
      </c>
      <c r="Q89" s="38"/>
      <c r="R89" s="34">
        <f>F89</f>
        <v>2020</v>
      </c>
      <c r="S89" s="34">
        <f>G89</f>
        <v>2025</v>
      </c>
      <c r="T89" s="34">
        <f>H89</f>
        <v>2035</v>
      </c>
      <c r="U89" s="38"/>
      <c r="V89" s="34">
        <f>J89</f>
        <v>2020</v>
      </c>
      <c r="W89" s="34">
        <f>K89</f>
        <v>2025</v>
      </c>
      <c r="X89" s="34">
        <f>L89</f>
        <v>2035</v>
      </c>
      <c r="Y89" s="38"/>
      <c r="Z89" s="34">
        <f>N89</f>
        <v>2020</v>
      </c>
      <c r="AA89" s="34">
        <f>O89</f>
        <v>2025</v>
      </c>
      <c r="AB89" s="34">
        <f>P89</f>
        <v>2035</v>
      </c>
      <c r="AC89" s="38"/>
      <c r="AD89" s="34">
        <f>R89</f>
        <v>2020</v>
      </c>
      <c r="AE89" s="34">
        <f>S89</f>
        <v>2025</v>
      </c>
      <c r="AF89" s="34">
        <f>T89</f>
        <v>2035</v>
      </c>
      <c r="AG89" s="38"/>
      <c r="AH89" s="34">
        <f>V89</f>
        <v>2020</v>
      </c>
      <c r="AI89" s="34">
        <f>W89</f>
        <v>2025</v>
      </c>
      <c r="AJ89" s="34">
        <f>X89</f>
        <v>2035</v>
      </c>
      <c r="AK89" s="38"/>
      <c r="AL89" s="34">
        <f>Z89</f>
        <v>2020</v>
      </c>
      <c r="AM89" s="34">
        <f>AA89</f>
        <v>2025</v>
      </c>
      <c r="AN89" s="34">
        <f>AB89</f>
        <v>2035</v>
      </c>
    </row>
    <row r="90" spans="1:40" x14ac:dyDescent="0.2">
      <c r="B90" s="31"/>
      <c r="C90" s="31"/>
      <c r="D90" s="31"/>
    </row>
    <row r="91" spans="1:40" x14ac:dyDescent="0.2">
      <c r="A91" s="1" t="str">
        <f>name!C9</f>
        <v>Non-marketed services</v>
      </c>
      <c r="E91" s="76"/>
      <c r="F91" s="76"/>
      <c r="G91" s="76"/>
      <c r="H91" s="76"/>
      <c r="I91" s="76"/>
      <c r="J91" s="76"/>
      <c r="K91" s="76"/>
      <c r="L91" s="76"/>
      <c r="M91" s="76"/>
      <c r="N91" s="76"/>
      <c r="O91" s="76"/>
      <c r="P91" s="76"/>
      <c r="Q91" s="76"/>
      <c r="R91" s="76"/>
      <c r="S91" s="76"/>
      <c r="T91" s="76"/>
      <c r="U91" s="76"/>
      <c r="V91" s="76"/>
      <c r="W91" s="76"/>
      <c r="X91" s="76"/>
      <c r="Y91" s="76"/>
      <c r="Z91" s="76"/>
      <c r="AA91" s="76"/>
      <c r="AB91" s="76"/>
      <c r="AC91" s="76"/>
      <c r="AD91" s="76"/>
      <c r="AE91" s="76"/>
      <c r="AF91" s="76"/>
      <c r="AG91" s="76"/>
      <c r="AH91" s="76"/>
      <c r="AI91" s="76"/>
      <c r="AJ91" s="76"/>
      <c r="AK91" s="76"/>
      <c r="AL91" s="76"/>
      <c r="AM91" s="76"/>
      <c r="AN91" s="76"/>
    </row>
    <row r="92" spans="1:40" x14ac:dyDescent="0.2">
      <c r="A92" s="13" t="str">
        <f t="shared" ref="A92:A101" si="80">A8</f>
        <v>All occupations</v>
      </c>
      <c r="B92" s="305">
        <f>SUM(B93:B101)</f>
        <v>366.59800000129349</v>
      </c>
      <c r="C92" s="305">
        <f>SUM(C93:C101)</f>
        <v>384.02399998943582</v>
      </c>
      <c r="D92" s="305">
        <f>SUM(D93:D101)</f>
        <v>403.63100000277819</v>
      </c>
      <c r="E92" s="304"/>
      <c r="F92" s="305">
        <f>SUM(F93:F101)</f>
        <v>10.562128203551403</v>
      </c>
      <c r="G92" s="305">
        <f>SUM(G93:G101)</f>
        <v>13.103924284254742</v>
      </c>
      <c r="H92" s="305">
        <f>SUM(H93:H101)</f>
        <v>15.909746546942714</v>
      </c>
      <c r="I92" s="304"/>
      <c r="J92" s="305">
        <f>SUM(J93:J101)</f>
        <v>56.113009255982902</v>
      </c>
      <c r="K92" s="305">
        <f>SUM(K93:K101)</f>
        <v>66.457494602564353</v>
      </c>
      <c r="L92" s="305">
        <f>SUM(L93:L101)</f>
        <v>74.983420911738534</v>
      </c>
      <c r="M92" s="304"/>
      <c r="N92" s="305">
        <f>SUM(N93:N101)</f>
        <v>91.164193245778108</v>
      </c>
      <c r="O92" s="305">
        <f>SUM(O93:O101)</f>
        <v>104.29616150674596</v>
      </c>
      <c r="P92" s="305">
        <f>SUM(P93:P101)</f>
        <v>130.45754550666416</v>
      </c>
      <c r="Q92" s="304"/>
      <c r="R92" s="305">
        <f>SUM(R93:R101)</f>
        <v>34.218661242654839</v>
      </c>
      <c r="S92" s="305">
        <f>SUM(S93:S101)</f>
        <v>29.328099837674124</v>
      </c>
      <c r="T92" s="305">
        <f>SUM(T93:T101)</f>
        <v>25.229011970446336</v>
      </c>
      <c r="U92" s="304"/>
      <c r="V92" s="305">
        <f>SUM(V93:V101)</f>
        <v>14.3357791244698</v>
      </c>
      <c r="W92" s="305">
        <f>SUM(W93:W101)</f>
        <v>14.839506336635289</v>
      </c>
      <c r="X92" s="305">
        <f>SUM(X93:X101)</f>
        <v>16.356786924451107</v>
      </c>
      <c r="Y92" s="304"/>
      <c r="Z92" s="305">
        <f>SUM(Z93:Z101)</f>
        <v>77.860173275321529</v>
      </c>
      <c r="AA92" s="305">
        <f>SUM(AA93:AA101)</f>
        <v>84.49291273474114</v>
      </c>
      <c r="AB92" s="305">
        <f>SUM(AB93:AB101)</f>
        <v>90.267256117424026</v>
      </c>
      <c r="AC92" s="304"/>
      <c r="AD92" s="305">
        <f>SUM(AD93:AD101)</f>
        <v>59.655944817796168</v>
      </c>
      <c r="AE92" s="305">
        <f>SUM(AE93:AE101)</f>
        <v>53.122882983951108</v>
      </c>
      <c r="AF92" s="305">
        <f>SUM(AF93:AF101)</f>
        <v>39.70954775649993</v>
      </c>
      <c r="AG92" s="304"/>
      <c r="AH92" s="305">
        <f>SUM(AH93:AH101)</f>
        <v>19.24217658593167</v>
      </c>
      <c r="AI92" s="305">
        <f>SUM(AI93:AI101)</f>
        <v>15.284839569809439</v>
      </c>
      <c r="AJ92" s="305">
        <f>SUM(AJ93:AJ101)</f>
        <v>7.8959440702398282</v>
      </c>
      <c r="AK92" s="304"/>
      <c r="AL92" s="305">
        <f>SUM(AL93:AL101)</f>
        <v>3.4459342498069852</v>
      </c>
      <c r="AM92" s="305">
        <f>SUM(AM93:AM101)</f>
        <v>3.0981781330597284</v>
      </c>
      <c r="AN92" s="305">
        <f>SUM(AN93:AN101)</f>
        <v>2.8217401983716259</v>
      </c>
    </row>
    <row r="93" spans="1:40" x14ac:dyDescent="0.2">
      <c r="A93" s="13" t="str">
        <f t="shared" si="80"/>
        <v>Managers, directors and senior officials</v>
      </c>
      <c r="B93" s="305">
        <f>SUM(F93,J93,N93,R93,V93,Z93,AD93,AH93,AL93)</f>
        <v>16.951803238873996</v>
      </c>
      <c r="C93" s="305">
        <f t="shared" ref="C93:D93" si="81">SUM(G93,K93,O93,S93,W93,AA93,AE93,AI93,AM93)</f>
        <v>17.629644895865194</v>
      </c>
      <c r="D93" s="305">
        <f t="shared" si="81"/>
        <v>19.686569964888768</v>
      </c>
      <c r="E93" s="304"/>
      <c r="F93" s="304">
        <v>0.27708476912084079</v>
      </c>
      <c r="G93" s="304">
        <v>0.33421707901557218</v>
      </c>
      <c r="H93" s="304">
        <v>0.44105700697153438</v>
      </c>
      <c r="I93" s="304"/>
      <c r="J93" s="304">
        <v>2.7188707460758081</v>
      </c>
      <c r="K93" s="304">
        <v>3.0228407510451203</v>
      </c>
      <c r="L93" s="304">
        <v>3.4479361010303733</v>
      </c>
      <c r="M93" s="304"/>
      <c r="N93" s="304">
        <v>4.9435640795221722</v>
      </c>
      <c r="O93" s="304">
        <v>5.462803722796437</v>
      </c>
      <c r="P93" s="304">
        <v>7.0019695263208961</v>
      </c>
      <c r="Q93" s="304"/>
      <c r="R93" s="304">
        <v>2.8616031333408487</v>
      </c>
      <c r="S93" s="304">
        <v>3.0051475897142343</v>
      </c>
      <c r="T93" s="304">
        <v>3.3644731787778799</v>
      </c>
      <c r="U93" s="304"/>
      <c r="V93" s="304">
        <v>0.61350203019941174</v>
      </c>
      <c r="W93" s="304">
        <v>0.57238109724983011</v>
      </c>
      <c r="X93" s="304">
        <v>0.51931948956726781</v>
      </c>
      <c r="Y93" s="304"/>
      <c r="Z93" s="304">
        <v>3.3343835679521847</v>
      </c>
      <c r="AA93" s="304">
        <v>3.1038409053557694</v>
      </c>
      <c r="AB93" s="304">
        <v>3.0397741234690261</v>
      </c>
      <c r="AC93" s="304"/>
      <c r="AD93" s="304">
        <v>1.5479927288898068</v>
      </c>
      <c r="AE93" s="304">
        <v>1.4532829472649422</v>
      </c>
      <c r="AF93" s="304">
        <v>1.3129176130105658</v>
      </c>
      <c r="AG93" s="304"/>
      <c r="AH93" s="304">
        <v>0.401130337184118</v>
      </c>
      <c r="AI93" s="304">
        <v>0.37431949849712581</v>
      </c>
      <c r="AJ93" s="304">
        <v>0.23055060361691074</v>
      </c>
      <c r="AK93" s="304"/>
      <c r="AL93" s="304">
        <v>0.25367184658880992</v>
      </c>
      <c r="AM93" s="304">
        <v>0.30081130492616431</v>
      </c>
      <c r="AN93" s="304">
        <v>0.32857232212431325</v>
      </c>
    </row>
    <row r="94" spans="1:40" x14ac:dyDescent="0.2">
      <c r="A94" s="13" t="str">
        <f t="shared" si="80"/>
        <v>Professional occupations</v>
      </c>
      <c r="B94" s="305">
        <f t="shared" ref="B94:B101" si="82">SUM(F94,J94,N94,R94,V94,Z94,AD94,AH94,AL94)</f>
        <v>145.3962904831449</v>
      </c>
      <c r="C94" s="305">
        <f t="shared" ref="C94:C101" si="83">SUM(G94,K94,O94,S94,W94,AA94,AE94,AI94,AM94)</f>
        <v>161.34805884290287</v>
      </c>
      <c r="D94" s="305">
        <f t="shared" ref="D94:D101" si="84">SUM(H94,L94,P94,T94,X94,AB94,AF94,AJ94,AN94)</f>
        <v>179.45024006297191</v>
      </c>
      <c r="E94" s="305"/>
      <c r="F94" s="304">
        <v>9.559512564408239</v>
      </c>
      <c r="G94" s="304">
        <v>11.907036615752521</v>
      </c>
      <c r="H94" s="304">
        <v>14.379519152674195</v>
      </c>
      <c r="I94" s="304"/>
      <c r="J94" s="304">
        <v>42.499721811822432</v>
      </c>
      <c r="K94" s="304">
        <v>50.867757960670772</v>
      </c>
      <c r="L94" s="304">
        <v>56.907787349342854</v>
      </c>
      <c r="M94" s="304"/>
      <c r="N94" s="304">
        <v>52.642731877797068</v>
      </c>
      <c r="O94" s="304">
        <v>60.568290723208513</v>
      </c>
      <c r="P94" s="304">
        <v>75.06544396848922</v>
      </c>
      <c r="Q94" s="304"/>
      <c r="R94" s="304">
        <v>11.632298547628977</v>
      </c>
      <c r="S94" s="304">
        <v>7.0023629900219939</v>
      </c>
      <c r="T94" s="304">
        <v>2.5025408693933922</v>
      </c>
      <c r="U94" s="304"/>
      <c r="V94" s="304">
        <v>3.0697664417558541</v>
      </c>
      <c r="W94" s="304">
        <v>3.3681226622501654</v>
      </c>
      <c r="X94" s="304">
        <v>3.7783744064664395</v>
      </c>
      <c r="Y94" s="304"/>
      <c r="Z94" s="304">
        <v>13.27258045053081</v>
      </c>
      <c r="AA94" s="304">
        <v>14.982292143198618</v>
      </c>
      <c r="AB94" s="304">
        <v>16.9186220403483</v>
      </c>
      <c r="AC94" s="304"/>
      <c r="AD94" s="304">
        <v>8.5524176092534141</v>
      </c>
      <c r="AE94" s="304">
        <v>8.5744947114607015</v>
      </c>
      <c r="AF94" s="304">
        <v>7.3401801104523905</v>
      </c>
      <c r="AG94" s="304"/>
      <c r="AH94" s="304">
        <v>3.68620634280812</v>
      </c>
      <c r="AI94" s="304">
        <v>3.4878690200890983</v>
      </c>
      <c r="AJ94" s="304">
        <v>1.9010241811746893</v>
      </c>
      <c r="AK94" s="304"/>
      <c r="AL94" s="304">
        <v>0.48105483713995573</v>
      </c>
      <c r="AM94" s="304">
        <v>0.58983201625050319</v>
      </c>
      <c r="AN94" s="304">
        <v>0.65674798463042949</v>
      </c>
    </row>
    <row r="95" spans="1:40" x14ac:dyDescent="0.2">
      <c r="A95" s="13" t="str">
        <f t="shared" si="80"/>
        <v>Associate professional occupations</v>
      </c>
      <c r="B95" s="305">
        <f t="shared" si="82"/>
        <v>56.244403580222105</v>
      </c>
      <c r="C95" s="305">
        <f t="shared" si="83"/>
        <v>57.044704428984311</v>
      </c>
      <c r="D95" s="305">
        <f t="shared" si="84"/>
        <v>61.620360958196414</v>
      </c>
      <c r="E95" s="305"/>
      <c r="F95" s="304">
        <v>0.34554824632381842</v>
      </c>
      <c r="G95" s="304">
        <v>0.40598246930620918</v>
      </c>
      <c r="H95" s="304">
        <v>0.52868310663687401</v>
      </c>
      <c r="I95" s="304"/>
      <c r="J95" s="304">
        <v>5.7328443392493353</v>
      </c>
      <c r="K95" s="304">
        <v>6.4498773654631441</v>
      </c>
      <c r="L95" s="304">
        <v>7.8637605437042373</v>
      </c>
      <c r="M95" s="304"/>
      <c r="N95" s="304">
        <v>15.930081785303852</v>
      </c>
      <c r="O95" s="304">
        <v>18.185902674804883</v>
      </c>
      <c r="P95" s="304">
        <v>24.004606769159032</v>
      </c>
      <c r="Q95" s="304"/>
      <c r="R95" s="304">
        <v>6.8744271742240288</v>
      </c>
      <c r="S95" s="304">
        <v>5.8830530235584302</v>
      </c>
      <c r="T95" s="304">
        <v>4.7965378414659288</v>
      </c>
      <c r="U95" s="304"/>
      <c r="V95" s="304">
        <v>2.6064853070496801</v>
      </c>
      <c r="W95" s="304">
        <v>2.5109267222009439</v>
      </c>
      <c r="X95" s="304">
        <v>2.9094727592880152</v>
      </c>
      <c r="Y95" s="304"/>
      <c r="Z95" s="304">
        <v>12.670813883912798</v>
      </c>
      <c r="AA95" s="304">
        <v>12.39727128385279</v>
      </c>
      <c r="AB95" s="304">
        <v>13.241287755122105</v>
      </c>
      <c r="AC95" s="304"/>
      <c r="AD95" s="304">
        <v>8.7096688228397099</v>
      </c>
      <c r="AE95" s="304">
        <v>8.054712392702756</v>
      </c>
      <c r="AF95" s="304">
        <v>6.5054844699267314</v>
      </c>
      <c r="AG95" s="304"/>
      <c r="AH95" s="304">
        <v>3.020329823320278</v>
      </c>
      <c r="AI95" s="304">
        <v>2.8461117522478441</v>
      </c>
      <c r="AJ95" s="304">
        <v>1.4103634268838781</v>
      </c>
      <c r="AK95" s="304"/>
      <c r="AL95" s="304">
        <v>0.35420419799860492</v>
      </c>
      <c r="AM95" s="304">
        <v>0.31086674484732046</v>
      </c>
      <c r="AN95" s="304">
        <v>0.36016428600961953</v>
      </c>
    </row>
    <row r="96" spans="1:40" x14ac:dyDescent="0.2">
      <c r="A96" s="13" t="str">
        <f t="shared" si="80"/>
        <v>Administrative and secretarial occupations</v>
      </c>
      <c r="B96" s="305">
        <f t="shared" si="82"/>
        <v>40.363839963492154</v>
      </c>
      <c r="C96" s="305">
        <f t="shared" si="83"/>
        <v>35.79243432705718</v>
      </c>
      <c r="D96" s="305">
        <f t="shared" si="84"/>
        <v>27.379900046648157</v>
      </c>
      <c r="E96" s="305"/>
      <c r="F96" s="304">
        <v>0.22095134043815007</v>
      </c>
      <c r="G96" s="304">
        <v>0.24392202519454081</v>
      </c>
      <c r="H96" s="304">
        <v>0.28633212883016718</v>
      </c>
      <c r="I96" s="304"/>
      <c r="J96" s="304">
        <v>2.2910398414897464</v>
      </c>
      <c r="K96" s="304">
        <v>2.5222656038845805</v>
      </c>
      <c r="L96" s="304">
        <v>2.4869948062813831</v>
      </c>
      <c r="M96" s="304"/>
      <c r="N96" s="304">
        <v>6.9705070299084788</v>
      </c>
      <c r="O96" s="304">
        <v>7.2435641077634605</v>
      </c>
      <c r="P96" s="304">
        <v>7.8344204400075999</v>
      </c>
      <c r="Q96" s="304"/>
      <c r="R96" s="304">
        <v>4.1424294020710839</v>
      </c>
      <c r="S96" s="304">
        <v>4.4021200414692805</v>
      </c>
      <c r="T96" s="304">
        <v>4.6468567599176955</v>
      </c>
      <c r="U96" s="304"/>
      <c r="V96" s="304">
        <v>2.7248218333946719</v>
      </c>
      <c r="W96" s="304">
        <v>2.6968508570913525</v>
      </c>
      <c r="X96" s="304">
        <v>2.7061574504148793</v>
      </c>
      <c r="Y96" s="304"/>
      <c r="Z96" s="304">
        <v>10.245669776202151</v>
      </c>
      <c r="AA96" s="304">
        <v>10.44569861131742</v>
      </c>
      <c r="AB96" s="304">
        <v>7.8931228035948271</v>
      </c>
      <c r="AC96" s="304"/>
      <c r="AD96" s="304">
        <v>8.9034537299672163</v>
      </c>
      <c r="AE96" s="304">
        <v>5.7370133359567621</v>
      </c>
      <c r="AF96" s="304">
        <v>1.3243411058392378</v>
      </c>
      <c r="AG96" s="304"/>
      <c r="AH96" s="304">
        <v>4.3649202038946155</v>
      </c>
      <c r="AI96" s="304">
        <v>2.1688751786533764</v>
      </c>
      <c r="AJ96" s="304">
        <v>0.12722014756807798</v>
      </c>
      <c r="AK96" s="304"/>
      <c r="AL96" s="304">
        <v>0.50004680612604002</v>
      </c>
      <c r="AM96" s="304">
        <v>0.33212456572640614</v>
      </c>
      <c r="AN96" s="304">
        <v>7.4454404194287296E-2</v>
      </c>
    </row>
    <row r="97" spans="1:40" x14ac:dyDescent="0.2">
      <c r="A97" s="13" t="str">
        <f t="shared" si="80"/>
        <v>Skilled trades occupations</v>
      </c>
      <c r="B97" s="305">
        <f t="shared" si="82"/>
        <v>4.7478487501361508</v>
      </c>
      <c r="C97" s="305">
        <f t="shared" si="83"/>
        <v>4.7490518027143684</v>
      </c>
      <c r="D97" s="305">
        <f t="shared" si="84"/>
        <v>4.3911862227889911</v>
      </c>
      <c r="E97" s="304"/>
      <c r="F97" s="304">
        <v>2.9840343898430051E-2</v>
      </c>
      <c r="G97" s="304">
        <v>3.2402917540561398E-2</v>
      </c>
      <c r="H97" s="304">
        <v>3.2973932285303459E-2</v>
      </c>
      <c r="I97" s="304"/>
      <c r="J97" s="304">
        <v>8.0166432679661101E-2</v>
      </c>
      <c r="K97" s="304">
        <v>0.11057628292213356</v>
      </c>
      <c r="L97" s="304">
        <v>0.14504643995904801</v>
      </c>
      <c r="M97" s="304"/>
      <c r="N97" s="304">
        <v>0.47173945147607471</v>
      </c>
      <c r="O97" s="304">
        <v>0.61995185388114882</v>
      </c>
      <c r="P97" s="304">
        <v>0.72954056279594803</v>
      </c>
      <c r="Q97" s="304"/>
      <c r="R97" s="304">
        <v>0.29373008742981926</v>
      </c>
      <c r="S97" s="304">
        <v>0.35255310066995244</v>
      </c>
      <c r="T97" s="304">
        <v>0.41376079658389853</v>
      </c>
      <c r="U97" s="304"/>
      <c r="V97" s="304">
        <v>0.15497648204986858</v>
      </c>
      <c r="W97" s="304">
        <v>0.16054392242299972</v>
      </c>
      <c r="X97" s="304">
        <v>0.17856299692952809</v>
      </c>
      <c r="Y97" s="304"/>
      <c r="Z97" s="304">
        <v>1.1381965428163425</v>
      </c>
      <c r="AA97" s="304">
        <v>1.0358391568462857</v>
      </c>
      <c r="AB97" s="304">
        <v>0.94505994974231722</v>
      </c>
      <c r="AC97" s="304"/>
      <c r="AD97" s="304">
        <v>1.6593244455085274</v>
      </c>
      <c r="AE97" s="304">
        <v>1.5117079658465584</v>
      </c>
      <c r="AF97" s="304">
        <v>1.2053808930722727</v>
      </c>
      <c r="AG97" s="304"/>
      <c r="AH97" s="304">
        <v>0.67602958085043863</v>
      </c>
      <c r="AI97" s="304">
        <v>0.70059569030586721</v>
      </c>
      <c r="AJ97" s="304">
        <v>0.56782884896745622</v>
      </c>
      <c r="AK97" s="304"/>
      <c r="AL97" s="304">
        <v>0.24384538342698836</v>
      </c>
      <c r="AM97" s="304">
        <v>0.22488091227886142</v>
      </c>
      <c r="AN97" s="304">
        <v>0.17303180245321914</v>
      </c>
    </row>
    <row r="98" spans="1:40" x14ac:dyDescent="0.2">
      <c r="A98" s="13" t="str">
        <f t="shared" si="80"/>
        <v>Caring, leisure and other service occupations</v>
      </c>
      <c r="B98" s="305">
        <f t="shared" si="82"/>
        <v>79.69803532879726</v>
      </c>
      <c r="C98" s="305">
        <f t="shared" si="83"/>
        <v>85.675139249048797</v>
      </c>
      <c r="D98" s="305">
        <f t="shared" si="84"/>
        <v>88.894932425682853</v>
      </c>
      <c r="E98" s="304"/>
      <c r="F98" s="304">
        <v>3.5103807039025152E-2</v>
      </c>
      <c r="G98" s="304">
        <v>4.5736457011739021E-2</v>
      </c>
      <c r="H98" s="304">
        <v>5.7433111341784623E-2</v>
      </c>
      <c r="I98" s="304"/>
      <c r="J98" s="304">
        <v>2.1531467480836217</v>
      </c>
      <c r="K98" s="304">
        <v>2.665292101962534</v>
      </c>
      <c r="L98" s="304">
        <v>3.2213614915576185</v>
      </c>
      <c r="M98" s="304"/>
      <c r="N98" s="304">
        <v>8.2003800420260049</v>
      </c>
      <c r="O98" s="304">
        <v>9.8934458824232081</v>
      </c>
      <c r="P98" s="304">
        <v>12.656459125832908</v>
      </c>
      <c r="Q98" s="304"/>
      <c r="R98" s="304">
        <v>6.935666118030019</v>
      </c>
      <c r="S98" s="304">
        <v>7.0863542943988183</v>
      </c>
      <c r="T98" s="304">
        <v>7.3905184804246762</v>
      </c>
      <c r="U98" s="304"/>
      <c r="V98" s="304">
        <v>4.1616092296421554</v>
      </c>
      <c r="W98" s="304">
        <v>4.4438538776597838</v>
      </c>
      <c r="X98" s="304">
        <v>4.9979492331469002</v>
      </c>
      <c r="Y98" s="304"/>
      <c r="Z98" s="304">
        <v>32.469862725425834</v>
      </c>
      <c r="AA98" s="304">
        <v>38.347869572013352</v>
      </c>
      <c r="AB98" s="304">
        <v>44.022765070234897</v>
      </c>
      <c r="AC98" s="304"/>
      <c r="AD98" s="304">
        <v>22.848573027477688</v>
      </c>
      <c r="AE98" s="304">
        <v>21.061750013352988</v>
      </c>
      <c r="AF98" s="304">
        <v>15.13889628515725</v>
      </c>
      <c r="AG98" s="304"/>
      <c r="AH98" s="304">
        <v>2.4490674954907159</v>
      </c>
      <c r="AI98" s="304">
        <v>1.7386623213324561</v>
      </c>
      <c r="AJ98" s="304">
        <v>1.1409599229289009</v>
      </c>
      <c r="AK98" s="304"/>
      <c r="AL98" s="304">
        <v>0.44462613558221431</v>
      </c>
      <c r="AM98" s="304">
        <v>0.39217472889392152</v>
      </c>
      <c r="AN98" s="304">
        <v>0.26858970505792168</v>
      </c>
    </row>
    <row r="99" spans="1:40" x14ac:dyDescent="0.2">
      <c r="A99" s="13" t="str">
        <f t="shared" si="80"/>
        <v>Sales and customer service occupations</v>
      </c>
      <c r="B99" s="305">
        <f t="shared" si="82"/>
        <v>5.3795618072924674</v>
      </c>
      <c r="C99" s="305">
        <f t="shared" si="83"/>
        <v>5.9994369664740619</v>
      </c>
      <c r="D99" s="305">
        <f>SUM(H99,L99,P99,T99,X99,AB99,AF99,AJ99,AN99)</f>
        <v>6.0277932791724416</v>
      </c>
      <c r="E99" s="304"/>
      <c r="F99" s="304">
        <v>3.1381630521192867E-2</v>
      </c>
      <c r="G99" s="304">
        <v>3.7590190918134675E-2</v>
      </c>
      <c r="H99" s="304">
        <v>4.0373309369798042E-2</v>
      </c>
      <c r="I99" s="304"/>
      <c r="J99" s="304">
        <v>0.47946833056252974</v>
      </c>
      <c r="K99" s="304">
        <v>0.62325163321620602</v>
      </c>
      <c r="L99" s="304">
        <v>0.67835161927539311</v>
      </c>
      <c r="M99" s="304"/>
      <c r="N99" s="304">
        <v>1.1184631566861836</v>
      </c>
      <c r="O99" s="304">
        <v>1.3171686799415321</v>
      </c>
      <c r="P99" s="304">
        <v>1.5614810309980343</v>
      </c>
      <c r="Q99" s="304"/>
      <c r="R99" s="304">
        <v>0.66256280592382266</v>
      </c>
      <c r="S99" s="304">
        <v>0.65091283689550228</v>
      </c>
      <c r="T99" s="304">
        <v>0.66654889483709112</v>
      </c>
      <c r="U99" s="304"/>
      <c r="V99" s="304">
        <v>0.41237919323674715</v>
      </c>
      <c r="W99" s="304">
        <v>0.47775074810080637</v>
      </c>
      <c r="X99" s="304">
        <v>0.55226849712034509</v>
      </c>
      <c r="Y99" s="304"/>
      <c r="Z99" s="304">
        <v>1.3031297321747819</v>
      </c>
      <c r="AA99" s="304">
        <v>1.5372260253396408</v>
      </c>
      <c r="AB99" s="304">
        <v>1.6743593145321825</v>
      </c>
      <c r="AC99" s="304"/>
      <c r="AD99" s="304">
        <v>0.96470059067268044</v>
      </c>
      <c r="AE99" s="304">
        <v>0.92444935829603903</v>
      </c>
      <c r="AF99" s="304">
        <v>0.54376743391888804</v>
      </c>
      <c r="AG99" s="304"/>
      <c r="AH99" s="304">
        <v>0.30325323584072106</v>
      </c>
      <c r="AI99" s="304">
        <v>0.29142004411210637</v>
      </c>
      <c r="AJ99" s="304">
        <v>0.13939866531344886</v>
      </c>
      <c r="AK99" s="304"/>
      <c r="AL99" s="304">
        <v>0.10422313167380877</v>
      </c>
      <c r="AM99" s="304">
        <v>0.13966744965409375</v>
      </c>
      <c r="AN99" s="304">
        <v>0.17124451380726041</v>
      </c>
    </row>
    <row r="100" spans="1:40" x14ac:dyDescent="0.2">
      <c r="A100" s="13" t="str">
        <f t="shared" si="80"/>
        <v>Process, plant and machine operatives</v>
      </c>
      <c r="B100" s="305">
        <f t="shared" si="82"/>
        <v>4.1229672689047687</v>
      </c>
      <c r="C100" s="305">
        <f t="shared" si="83"/>
        <v>4.5264582267305551</v>
      </c>
      <c r="D100" s="305">
        <f t="shared" si="84"/>
        <v>3.8887367326008881</v>
      </c>
      <c r="E100" s="304"/>
      <c r="F100" s="304">
        <v>5.49302929374689E-2</v>
      </c>
      <c r="G100" s="304">
        <v>8.5409969669930239E-2</v>
      </c>
      <c r="H100" s="304">
        <v>0.12928563331258919</v>
      </c>
      <c r="I100" s="304"/>
      <c r="J100" s="304">
        <v>6.8303239794441556E-2</v>
      </c>
      <c r="K100" s="304">
        <v>0.11714484430773892</v>
      </c>
      <c r="L100" s="304">
        <v>0.17060586248299492</v>
      </c>
      <c r="M100" s="304"/>
      <c r="N100" s="304">
        <v>0.31324760594660417</v>
      </c>
      <c r="O100" s="304">
        <v>0.38511748454365646</v>
      </c>
      <c r="P100" s="304">
        <v>0.4664797297562201</v>
      </c>
      <c r="Q100" s="304"/>
      <c r="R100" s="304">
        <v>0.25983192618299328</v>
      </c>
      <c r="S100" s="304">
        <v>0.37566482884576174</v>
      </c>
      <c r="T100" s="304">
        <v>0.51081946634802755</v>
      </c>
      <c r="U100" s="304"/>
      <c r="V100" s="304">
        <v>0.26162086137303586</v>
      </c>
      <c r="W100" s="304">
        <v>0.32271020714174203</v>
      </c>
      <c r="X100" s="304">
        <v>0.3648223988082766</v>
      </c>
      <c r="Y100" s="304"/>
      <c r="Z100" s="304">
        <v>1.2251750919830846</v>
      </c>
      <c r="AA100" s="304">
        <v>1.1677313653751502</v>
      </c>
      <c r="AB100" s="304">
        <v>1.1637584004498254</v>
      </c>
      <c r="AC100" s="304"/>
      <c r="AD100" s="304">
        <v>0.91446014383495178</v>
      </c>
      <c r="AE100" s="304">
        <v>1.0674320005525779</v>
      </c>
      <c r="AF100" s="304">
        <v>0.5427994790223265</v>
      </c>
      <c r="AG100" s="304"/>
      <c r="AH100" s="304">
        <v>0.86735206095860951</v>
      </c>
      <c r="AI100" s="304">
        <v>0.85946019019305475</v>
      </c>
      <c r="AJ100" s="304">
        <v>0.4318225612426369</v>
      </c>
      <c r="AK100" s="304"/>
      <c r="AL100" s="304">
        <v>0.15804604589357898</v>
      </c>
      <c r="AM100" s="304">
        <v>0.14578733610094305</v>
      </c>
      <c r="AN100" s="304">
        <v>0.10834320117799126</v>
      </c>
    </row>
    <row r="101" spans="1:40" x14ac:dyDescent="0.2">
      <c r="A101" s="38" t="str">
        <f t="shared" si="80"/>
        <v>Elementary occupations</v>
      </c>
      <c r="B101" s="307">
        <f t="shared" si="82"/>
        <v>13.693249580429642</v>
      </c>
      <c r="C101" s="307">
        <f t="shared" si="83"/>
        <v>11.259071249658543</v>
      </c>
      <c r="D101" s="307">
        <f t="shared" si="84"/>
        <v>12.291280309827817</v>
      </c>
      <c r="E101" s="307"/>
      <c r="F101" s="307">
        <v>7.7752088642390723E-3</v>
      </c>
      <c r="G101" s="307">
        <v>1.1626559845532614E-2</v>
      </c>
      <c r="H101" s="307">
        <v>1.4089165520465267E-2</v>
      </c>
      <c r="I101" s="307"/>
      <c r="J101" s="307">
        <v>8.9447766225326741E-2</v>
      </c>
      <c r="K101" s="307">
        <v>7.8488059092118589E-2</v>
      </c>
      <c r="L101" s="307">
        <v>6.1576698104629554E-2</v>
      </c>
      <c r="M101" s="307"/>
      <c r="N101" s="307">
        <v>0.57347821711169067</v>
      </c>
      <c r="O101" s="307">
        <v>0.6199163773831371</v>
      </c>
      <c r="P101" s="307">
        <v>1.1371443533043033</v>
      </c>
      <c r="Q101" s="307"/>
      <c r="R101" s="307">
        <v>0.55611204782325319</v>
      </c>
      <c r="S101" s="307">
        <v>0.56993113210015234</v>
      </c>
      <c r="T101" s="307">
        <v>0.93695568269774454</v>
      </c>
      <c r="U101" s="307"/>
      <c r="V101" s="307">
        <v>0.33061774576837483</v>
      </c>
      <c r="W101" s="307">
        <v>0.28636624251766524</v>
      </c>
      <c r="X101" s="307">
        <v>0.34985969270945605</v>
      </c>
      <c r="Y101" s="307"/>
      <c r="Z101" s="307">
        <v>2.2003615043235425</v>
      </c>
      <c r="AA101" s="307">
        <v>1.4751436714421244</v>
      </c>
      <c r="AB101" s="307">
        <v>1.3685066599305398</v>
      </c>
      <c r="AC101" s="307"/>
      <c r="AD101" s="307">
        <v>5.5553537193521789</v>
      </c>
      <c r="AE101" s="307">
        <v>4.7380402585177874</v>
      </c>
      <c r="AF101" s="307">
        <v>5.7957803661002636</v>
      </c>
      <c r="AG101" s="307"/>
      <c r="AH101" s="307">
        <v>3.4738875055840532</v>
      </c>
      <c r="AI101" s="307">
        <v>2.8175258743785112</v>
      </c>
      <c r="AJ101" s="307">
        <v>1.9467757125438303</v>
      </c>
      <c r="AK101" s="307"/>
      <c r="AL101" s="307">
        <v>0.90621586537698406</v>
      </c>
      <c r="AM101" s="307">
        <v>0.66203307438151482</v>
      </c>
      <c r="AN101" s="307">
        <v>0.68059197891658418</v>
      </c>
    </row>
  </sheetData>
  <mergeCells count="23">
    <mergeCell ref="B4:D4"/>
    <mergeCell ref="V4:X4"/>
    <mergeCell ref="R4:T4"/>
    <mergeCell ref="N4:P4"/>
    <mergeCell ref="J4:L4"/>
    <mergeCell ref="F4:H4"/>
    <mergeCell ref="N46:P46"/>
    <mergeCell ref="R46:T46"/>
    <mergeCell ref="V46:X46"/>
    <mergeCell ref="Z46:AB46"/>
    <mergeCell ref="N88:P88"/>
    <mergeCell ref="R88:T88"/>
    <mergeCell ref="V88:X88"/>
    <mergeCell ref="AL4:AN4"/>
    <mergeCell ref="AD46:AF46"/>
    <mergeCell ref="AH46:AJ46"/>
    <mergeCell ref="AL46:AN46"/>
    <mergeCell ref="Z4:AB4"/>
    <mergeCell ref="AD88:AF88"/>
    <mergeCell ref="Z88:AB88"/>
    <mergeCell ref="AH88:AJ88"/>
    <mergeCell ref="AD4:AF4"/>
    <mergeCell ref="AH4:AJ4"/>
  </mergeCells>
  <phoneticPr fontId="4" type="noConversion"/>
  <pageMargins left="0.74803149606299213" right="0.74803149606299213" top="0.59055118110236227" bottom="0.59055118110236227" header="0.51181102362204722" footer="0.51181102362204722"/>
  <pageSetup paperSize="9" scale="43" orientation="landscape" r:id="rId1"/>
  <headerFooter alignWithMargins="0"/>
  <rowBreaks count="1" manualBreakCount="1">
    <brk id="42" max="39" man="1"/>
  </rowBreaks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eet48"/>
  <dimension ref="A1:CT146"/>
  <sheetViews>
    <sheetView showGridLines="0" zoomScale="85" zoomScaleNormal="85" workbookViewId="0">
      <selection sqref="A1:J1"/>
    </sheetView>
  </sheetViews>
  <sheetFormatPr defaultColWidth="9.140625" defaultRowHeight="12.75" x14ac:dyDescent="0.2"/>
  <cols>
    <col min="1" max="1" width="54.7109375" customWidth="1"/>
    <col min="2" max="6" width="8" customWidth="1"/>
    <col min="7" max="7" width="6.7109375" customWidth="1"/>
    <col min="8" max="10" width="10.7109375" customWidth="1"/>
    <col min="11" max="11" width="9.140625" customWidth="1"/>
    <col min="12" max="12" width="17.5703125" customWidth="1"/>
    <col min="13" max="17" width="8" customWidth="1"/>
    <col min="18" max="18" width="6.7109375" customWidth="1"/>
    <col min="19" max="21" width="10.7109375" customWidth="1"/>
    <col min="23" max="23" width="17.7109375" customWidth="1"/>
    <col min="24" max="28" width="8" customWidth="1"/>
    <col min="29" max="29" width="6.7109375" customWidth="1"/>
    <col min="30" max="32" width="10.7109375" customWidth="1"/>
    <col min="34" max="34" width="17.7109375" customWidth="1"/>
    <col min="35" max="39" width="7" customWidth="1"/>
    <col min="40" max="40" width="6.7109375" customWidth="1"/>
    <col min="41" max="43" width="10.7109375" customWidth="1"/>
    <col min="44" max="44" width="9.140625" customWidth="1"/>
    <col min="45" max="45" width="17.7109375" customWidth="1"/>
    <col min="46" max="50" width="8" customWidth="1"/>
    <col min="51" max="51" width="6.7109375" customWidth="1"/>
    <col min="52" max="54" width="10.7109375" customWidth="1"/>
    <col min="56" max="56" width="17.7109375" customWidth="1"/>
    <col min="57" max="61" width="8" customWidth="1"/>
    <col min="62" max="62" width="6.7109375" customWidth="1"/>
    <col min="63" max="65" width="10.7109375" customWidth="1"/>
    <col min="67" max="67" width="17.7109375" customWidth="1"/>
    <col min="68" max="72" width="8" customWidth="1"/>
    <col min="73" max="73" width="6.7109375" customWidth="1"/>
    <col min="74" max="76" width="10.7109375" customWidth="1"/>
    <col min="78" max="78" width="17.5703125" customWidth="1"/>
    <col min="79" max="83" width="8" customWidth="1"/>
    <col min="84" max="84" width="5.85546875" customWidth="1"/>
    <col min="85" max="87" width="10.7109375" customWidth="1"/>
    <col min="88" max="88" width="5.85546875" customWidth="1"/>
    <col min="89" max="89" width="17.7109375" customWidth="1"/>
    <col min="90" max="94" width="8" customWidth="1"/>
    <col min="95" max="95" width="6.85546875" customWidth="1"/>
    <col min="96" max="98" width="10.7109375" customWidth="1"/>
  </cols>
  <sheetData>
    <row r="1" spans="1:98" ht="49.5" customHeight="1" x14ac:dyDescent="0.2">
      <c r="A1" s="378" t="str">
        <f>CONCATENATE("Basic Table 2  Employment Change by Occupation and Replacement Demand, ",name!F4,", ",B$6,"-",F$6,", ",Info!B5)</f>
        <v>Basic Table 2  Employment Change by Occupation and Replacement Demand, RQF8 Doctorate, 2015-2035, North East</v>
      </c>
      <c r="B1" s="378"/>
      <c r="C1" s="378"/>
      <c r="D1" s="378"/>
      <c r="E1" s="378"/>
      <c r="F1" s="378"/>
      <c r="G1" s="378"/>
      <c r="H1" s="378"/>
      <c r="I1" s="378"/>
      <c r="J1" s="378"/>
      <c r="L1" s="378" t="str">
        <f>CONCATENATE("Basic Table 2.1  Employment Change by Occupation and Replacement Demand, ",name!F5,", ",M$6,"-",Q$6,", ",Info!B5)</f>
        <v>Basic Table 2.1  Employment Change by Occupation and Replacement Demand, RQF7 Other higher degree, 2015-2035, North East</v>
      </c>
      <c r="M1" s="378"/>
      <c r="N1" s="378"/>
      <c r="O1" s="378"/>
      <c r="P1" s="378"/>
      <c r="Q1" s="378"/>
      <c r="R1" s="378"/>
      <c r="S1" s="378"/>
      <c r="T1" s="378"/>
      <c r="U1" s="378"/>
      <c r="W1" s="378" t="str">
        <f>CONCATENATE("Basic Table 2.2  Employment Change by Occupation and Replacement Demand, ",name!F6,", ",X$6,"-",AB$6,", ",Info!B5)</f>
        <v>Basic Table 2.2  Employment Change by Occupation and Replacement Demand, RQF6 First degree, 2015-2035, North East</v>
      </c>
      <c r="X1" s="378"/>
      <c r="Y1" s="378"/>
      <c r="Z1" s="378"/>
      <c r="AA1" s="378"/>
      <c r="AB1" s="378"/>
      <c r="AC1" s="378"/>
      <c r="AD1" s="378"/>
      <c r="AE1" s="378"/>
      <c r="AF1" s="378"/>
      <c r="AH1" s="378" t="str">
        <f>CONCATENATE("Basic Table 2.3  Employment Change by Occupation and Replacement Demand, ",name!F7,", ",AI$6,"-",AM$6,", ",Info!B5)</f>
        <v>Basic Table 2.3  Employment Change by Occupation and Replacement Demand, RQF5 Foundation degree;Nursing;Teaching, 2015-2035, North East</v>
      </c>
      <c r="AI1" s="378"/>
      <c r="AJ1" s="378"/>
      <c r="AK1" s="378"/>
      <c r="AL1" s="378"/>
      <c r="AM1" s="378"/>
      <c r="AN1" s="378"/>
      <c r="AO1" s="378"/>
      <c r="AP1" s="378"/>
      <c r="AQ1" s="378"/>
      <c r="AS1" s="378" t="str">
        <f>CONCATENATE("Basic Table 2.4  Employment Change by Occupation and Replacement Demand, ",name!F8,", ",AT$6,"-",AX$6,", ",Info!B5)</f>
        <v>Basic Table 2.4  Employment Change by Occupation and Replacement Demand, RQF4 HE below degree level, 2015-2035, North East</v>
      </c>
      <c r="AT1" s="378"/>
      <c r="AU1" s="378"/>
      <c r="AV1" s="378"/>
      <c r="AW1" s="378"/>
      <c r="AX1" s="378"/>
      <c r="AY1" s="378"/>
      <c r="AZ1" s="378"/>
      <c r="BA1" s="378"/>
      <c r="BB1" s="378"/>
      <c r="BD1" s="378" t="str">
        <f>CONCATENATE("Basic Table 2.5  Employment Change by Occupation and Replacement Demand, ",name!F9,", ",BE$6,"-",BI$6,", ",Info!B5)</f>
        <v>Basic Table 2.5  Employment Change by Occupation and Replacement Demand, RQF3 A level &amp; equivalent, 2015-2035, North East</v>
      </c>
      <c r="BE1" s="378"/>
      <c r="BF1" s="378"/>
      <c r="BG1" s="378"/>
      <c r="BH1" s="378"/>
      <c r="BI1" s="378"/>
      <c r="BJ1" s="378"/>
      <c r="BK1" s="378"/>
      <c r="BL1" s="378"/>
      <c r="BM1" s="378"/>
      <c r="BO1" s="378" t="str">
        <f>CONCATENATE("Basic Table 2.6  Employment Change by Occupation and Replacement Demand, ",name!F10,", ",BP$6,"-",BT$6,", ",Info!B5)</f>
        <v>Basic Table 2.6  Employment Change by Occupation and Replacement Demand, RQF2 GCSE(A-C) &amp; equivalent, 2015-2035, North East</v>
      </c>
      <c r="BP1" s="378"/>
      <c r="BQ1" s="378"/>
      <c r="BR1" s="378"/>
      <c r="BS1" s="378"/>
      <c r="BT1" s="378"/>
      <c r="BU1" s="378"/>
      <c r="BV1" s="378"/>
      <c r="BW1" s="378"/>
      <c r="BX1" s="378"/>
      <c r="BZ1" s="378" t="str">
        <f>CONCATENATE("Basic Table 2.7  Employment Change by Occupation and Replacement Demand, ",name!F11,", ",CA$6,"-",CE$6,", ",Info!B5)</f>
        <v>Basic Table 2.7  Employment Change by Occupation and Replacement Demand, RQF1 GCSE(below grade C) &amp; equivalent, 2015-2035, North East</v>
      </c>
      <c r="CA1" s="378"/>
      <c r="CB1" s="378"/>
      <c r="CC1" s="378"/>
      <c r="CD1" s="378"/>
      <c r="CE1" s="378"/>
      <c r="CF1" s="378"/>
      <c r="CG1" s="378"/>
      <c r="CH1" s="378"/>
      <c r="CI1" s="378"/>
      <c r="CK1" s="378" t="str">
        <f>CONCATENATE("Basic Table 2.8  Employment Change by Occupation and Replacement Demand, ",name!F12,", ",CL$6,"-",CP$6,", ",Info!B5)</f>
        <v>Basic Table 2.8  Employment Change by Occupation and Replacement Demand, No Qualification, 2015-2035, North East</v>
      </c>
      <c r="CL1" s="378"/>
      <c r="CM1" s="378"/>
      <c r="CN1" s="378"/>
      <c r="CO1" s="378"/>
      <c r="CP1" s="378"/>
      <c r="CQ1" s="378"/>
      <c r="CR1" s="378"/>
      <c r="CS1" s="378"/>
      <c r="CT1" s="378"/>
    </row>
    <row r="2" spans="1:98" ht="12.75" customHeight="1" x14ac:dyDescent="0.2">
      <c r="A2" s="181" t="s">
        <v>540</v>
      </c>
      <c r="L2" s="85"/>
      <c r="W2" s="85"/>
      <c r="AH2" s="85"/>
      <c r="AS2" s="85"/>
      <c r="BD2" s="85"/>
      <c r="BO2" s="85"/>
      <c r="BZ2" s="85"/>
      <c r="CK2" s="85"/>
    </row>
    <row r="3" spans="1:98" x14ac:dyDescent="0.2">
      <c r="F3" s="15" t="s">
        <v>35</v>
      </c>
      <c r="J3" s="15" t="s">
        <v>35</v>
      </c>
      <c r="Q3" s="15" t="s">
        <v>35</v>
      </c>
      <c r="U3" s="15" t="s">
        <v>35</v>
      </c>
      <c r="AB3" s="15" t="s">
        <v>35</v>
      </c>
      <c r="AF3" s="15" t="s">
        <v>35</v>
      </c>
      <c r="AM3" s="15" t="s">
        <v>35</v>
      </c>
      <c r="AQ3" s="15" t="s">
        <v>35</v>
      </c>
      <c r="AX3" s="15" t="s">
        <v>35</v>
      </c>
      <c r="BB3" s="15" t="s">
        <v>35</v>
      </c>
      <c r="BI3" s="15" t="s">
        <v>35</v>
      </c>
      <c r="BM3" s="15" t="s">
        <v>35</v>
      </c>
      <c r="BT3" s="15" t="s">
        <v>35</v>
      </c>
      <c r="BX3" s="15" t="s">
        <v>35</v>
      </c>
      <c r="CE3" s="15" t="s">
        <v>35</v>
      </c>
      <c r="CI3" s="15" t="s">
        <v>35</v>
      </c>
      <c r="CP3" s="15" t="s">
        <v>35</v>
      </c>
      <c r="CT3" s="15" t="s">
        <v>35</v>
      </c>
    </row>
    <row r="4" spans="1:98" x14ac:dyDescent="0.2">
      <c r="A4" s="35"/>
      <c r="B4" s="35"/>
      <c r="C4" s="35"/>
      <c r="D4" s="35"/>
      <c r="E4" s="35"/>
      <c r="F4" s="35"/>
      <c r="H4" s="27" t="str">
        <f>CONCATENATE(D6,"-",F6)</f>
        <v>2020-2035</v>
      </c>
      <c r="I4" s="35"/>
      <c r="J4" s="35"/>
      <c r="L4" s="35"/>
      <c r="M4" s="35"/>
      <c r="N4" s="35"/>
      <c r="O4" s="35"/>
      <c r="P4" s="35"/>
      <c r="Q4" s="35"/>
      <c r="S4" s="27" t="str">
        <f>H4</f>
        <v>2020-2035</v>
      </c>
      <c r="T4" s="35"/>
      <c r="U4" s="35"/>
      <c r="W4" s="35"/>
      <c r="X4" s="35"/>
      <c r="Y4" s="35"/>
      <c r="Z4" s="35"/>
      <c r="AA4" s="35"/>
      <c r="AB4" s="35"/>
      <c r="AD4" s="27" t="str">
        <f>S4</f>
        <v>2020-2035</v>
      </c>
      <c r="AE4" s="35"/>
      <c r="AF4" s="35"/>
      <c r="AH4" s="35"/>
      <c r="AI4" s="35"/>
      <c r="AJ4" s="35"/>
      <c r="AK4" s="35"/>
      <c r="AL4" s="35"/>
      <c r="AM4" s="35"/>
      <c r="AO4" s="27" t="str">
        <f>AD4</f>
        <v>2020-2035</v>
      </c>
      <c r="AP4" s="35"/>
      <c r="AQ4" s="35"/>
      <c r="AS4" s="35"/>
      <c r="AT4" s="35"/>
      <c r="AU4" s="35"/>
      <c r="AV4" s="35"/>
      <c r="AW4" s="35"/>
      <c r="AX4" s="35"/>
      <c r="AZ4" s="27" t="str">
        <f>AO4</f>
        <v>2020-2035</v>
      </c>
      <c r="BA4" s="35"/>
      <c r="BB4" s="35"/>
      <c r="BD4" s="35"/>
      <c r="BE4" s="35"/>
      <c r="BF4" s="35"/>
      <c r="BG4" s="35"/>
      <c r="BH4" s="35"/>
      <c r="BI4" s="35"/>
      <c r="BK4" s="27" t="str">
        <f>AZ4</f>
        <v>2020-2035</v>
      </c>
      <c r="BL4" s="35"/>
      <c r="BM4" s="35"/>
      <c r="BO4" s="35"/>
      <c r="BP4" s="35"/>
      <c r="BQ4" s="35"/>
      <c r="BR4" s="35"/>
      <c r="BS4" s="35"/>
      <c r="BT4" s="35"/>
      <c r="BV4" s="27" t="str">
        <f>BK4</f>
        <v>2020-2035</v>
      </c>
      <c r="BW4" s="35"/>
      <c r="BX4" s="35"/>
      <c r="BZ4" s="35"/>
      <c r="CA4" s="35"/>
      <c r="CB4" s="35"/>
      <c r="CC4" s="35"/>
      <c r="CD4" s="35"/>
      <c r="CE4" s="35"/>
      <c r="CG4" s="27" t="str">
        <f>BV4</f>
        <v>2020-2035</v>
      </c>
      <c r="CH4" s="35"/>
      <c r="CI4" s="35"/>
      <c r="CK4" s="35"/>
      <c r="CL4" s="35"/>
      <c r="CM4" s="35"/>
      <c r="CN4" s="35"/>
      <c r="CO4" s="35"/>
      <c r="CP4" s="35"/>
      <c r="CR4" s="27" t="str">
        <f>CG4</f>
        <v>2020-2035</v>
      </c>
      <c r="CS4" s="35"/>
      <c r="CT4" s="35"/>
    </row>
    <row r="5" spans="1:98" x14ac:dyDescent="0.2">
      <c r="H5" s="15" t="s">
        <v>29</v>
      </c>
      <c r="I5" s="15" t="s">
        <v>30</v>
      </c>
      <c r="J5" s="15" t="s">
        <v>32</v>
      </c>
      <c r="S5" s="15" t="s">
        <v>29</v>
      </c>
      <c r="T5" s="15" t="s">
        <v>30</v>
      </c>
      <c r="U5" s="15" t="s">
        <v>32</v>
      </c>
      <c r="AD5" s="15" t="s">
        <v>29</v>
      </c>
      <c r="AE5" s="15" t="s">
        <v>30</v>
      </c>
      <c r="AF5" s="15" t="s">
        <v>32</v>
      </c>
      <c r="AO5" s="15" t="s">
        <v>29</v>
      </c>
      <c r="AP5" s="15" t="s">
        <v>30</v>
      </c>
      <c r="AQ5" s="15" t="s">
        <v>32</v>
      </c>
      <c r="AZ5" s="15" t="s">
        <v>29</v>
      </c>
      <c r="BA5" s="15" t="s">
        <v>30</v>
      </c>
      <c r="BB5" s="15" t="s">
        <v>32</v>
      </c>
      <c r="BK5" s="15" t="s">
        <v>29</v>
      </c>
      <c r="BL5" s="15" t="s">
        <v>30</v>
      </c>
      <c r="BM5" s="15" t="s">
        <v>32</v>
      </c>
      <c r="BV5" s="15" t="s">
        <v>29</v>
      </c>
      <c r="BW5" s="15" t="s">
        <v>30</v>
      </c>
      <c r="BX5" s="15" t="s">
        <v>32</v>
      </c>
      <c r="CG5" s="15" t="s">
        <v>29</v>
      </c>
      <c r="CH5" s="15" t="s">
        <v>30</v>
      </c>
      <c r="CI5" s="15" t="s">
        <v>32</v>
      </c>
      <c r="CR5" s="15" t="s">
        <v>29</v>
      </c>
      <c r="CS5" s="15" t="s">
        <v>30</v>
      </c>
      <c r="CT5" s="15" t="s">
        <v>32</v>
      </c>
    </row>
    <row r="6" spans="1:98" x14ac:dyDescent="0.2">
      <c r="A6" s="40" t="s">
        <v>13</v>
      </c>
      <c r="B6" s="34">
        <v>2015</v>
      </c>
      <c r="C6" s="34">
        <v>2019</v>
      </c>
      <c r="D6" s="34">
        <v>2020</v>
      </c>
      <c r="E6" s="34">
        <v>2025</v>
      </c>
      <c r="F6" s="34">
        <v>2035</v>
      </c>
      <c r="H6" s="62" t="s">
        <v>18</v>
      </c>
      <c r="I6" s="62" t="s">
        <v>31</v>
      </c>
      <c r="J6" s="62" t="s">
        <v>33</v>
      </c>
      <c r="L6" s="40" t="s">
        <v>13</v>
      </c>
      <c r="M6" s="34">
        <f>B6</f>
        <v>2015</v>
      </c>
      <c r="N6" s="34">
        <f t="shared" ref="N6:Q6" si="0">C6</f>
        <v>2019</v>
      </c>
      <c r="O6" s="34">
        <f t="shared" si="0"/>
        <v>2020</v>
      </c>
      <c r="P6" s="34">
        <f t="shared" si="0"/>
        <v>2025</v>
      </c>
      <c r="Q6" s="34">
        <f t="shared" si="0"/>
        <v>2035</v>
      </c>
      <c r="S6" s="62" t="s">
        <v>18</v>
      </c>
      <c r="T6" s="62" t="s">
        <v>31</v>
      </c>
      <c r="U6" s="62" t="s">
        <v>33</v>
      </c>
      <c r="W6" s="40" t="s">
        <v>13</v>
      </c>
      <c r="X6" s="34">
        <f>M6</f>
        <v>2015</v>
      </c>
      <c r="Y6" s="34">
        <f t="shared" ref="Y6:AB6" si="1">N6</f>
        <v>2019</v>
      </c>
      <c r="Z6" s="34">
        <f t="shared" si="1"/>
        <v>2020</v>
      </c>
      <c r="AA6" s="34">
        <f t="shared" si="1"/>
        <v>2025</v>
      </c>
      <c r="AB6" s="34">
        <f t="shared" si="1"/>
        <v>2035</v>
      </c>
      <c r="AD6" s="62" t="s">
        <v>18</v>
      </c>
      <c r="AE6" s="62" t="s">
        <v>31</v>
      </c>
      <c r="AF6" s="62" t="s">
        <v>33</v>
      </c>
      <c r="AH6" s="40" t="s">
        <v>13</v>
      </c>
      <c r="AI6" s="34">
        <f>X6</f>
        <v>2015</v>
      </c>
      <c r="AJ6" s="34">
        <f t="shared" ref="AJ6" si="2">Y6</f>
        <v>2019</v>
      </c>
      <c r="AK6" s="34">
        <f t="shared" ref="AK6" si="3">Z6</f>
        <v>2020</v>
      </c>
      <c r="AL6" s="34">
        <f t="shared" ref="AL6" si="4">AA6</f>
        <v>2025</v>
      </c>
      <c r="AM6" s="34">
        <f t="shared" ref="AM6" si="5">AB6</f>
        <v>2035</v>
      </c>
      <c r="AO6" s="62" t="s">
        <v>18</v>
      </c>
      <c r="AP6" s="62" t="s">
        <v>31</v>
      </c>
      <c r="AQ6" s="62" t="s">
        <v>33</v>
      </c>
      <c r="AS6" s="40" t="s">
        <v>13</v>
      </c>
      <c r="AT6" s="34">
        <f>AI6</f>
        <v>2015</v>
      </c>
      <c r="AU6" s="34">
        <f t="shared" ref="AU6" si="6">AJ6</f>
        <v>2019</v>
      </c>
      <c r="AV6" s="34">
        <f t="shared" ref="AV6" si="7">AK6</f>
        <v>2020</v>
      </c>
      <c r="AW6" s="34">
        <f t="shared" ref="AW6" si="8">AL6</f>
        <v>2025</v>
      </c>
      <c r="AX6" s="34">
        <f t="shared" ref="AX6" si="9">AM6</f>
        <v>2035</v>
      </c>
      <c r="AZ6" s="62" t="s">
        <v>18</v>
      </c>
      <c r="BA6" s="62" t="s">
        <v>31</v>
      </c>
      <c r="BB6" s="62" t="s">
        <v>33</v>
      </c>
      <c r="BD6" s="40" t="s">
        <v>13</v>
      </c>
      <c r="BE6" s="34">
        <f>AT6</f>
        <v>2015</v>
      </c>
      <c r="BF6" s="34">
        <f t="shared" ref="BF6" si="10">AU6</f>
        <v>2019</v>
      </c>
      <c r="BG6" s="34">
        <f t="shared" ref="BG6" si="11">AV6</f>
        <v>2020</v>
      </c>
      <c r="BH6" s="34">
        <f t="shared" ref="BH6" si="12">AW6</f>
        <v>2025</v>
      </c>
      <c r="BI6" s="34">
        <f t="shared" ref="BI6" si="13">AX6</f>
        <v>2035</v>
      </c>
      <c r="BK6" s="62" t="s">
        <v>18</v>
      </c>
      <c r="BL6" s="62" t="s">
        <v>31</v>
      </c>
      <c r="BM6" s="62" t="s">
        <v>33</v>
      </c>
      <c r="BO6" s="40" t="s">
        <v>13</v>
      </c>
      <c r="BP6" s="34">
        <f>BE6</f>
        <v>2015</v>
      </c>
      <c r="BQ6" s="34">
        <f t="shared" ref="BQ6" si="14">BF6</f>
        <v>2019</v>
      </c>
      <c r="BR6" s="34">
        <f t="shared" ref="BR6" si="15">BG6</f>
        <v>2020</v>
      </c>
      <c r="BS6" s="34">
        <f t="shared" ref="BS6" si="16">BH6</f>
        <v>2025</v>
      </c>
      <c r="BT6" s="34">
        <f t="shared" ref="BT6" si="17">BI6</f>
        <v>2035</v>
      </c>
      <c r="BV6" s="62" t="s">
        <v>18</v>
      </c>
      <c r="BW6" s="62" t="s">
        <v>31</v>
      </c>
      <c r="BX6" s="62" t="s">
        <v>33</v>
      </c>
      <c r="BZ6" s="40" t="s">
        <v>13</v>
      </c>
      <c r="CA6" s="34">
        <f>BP6</f>
        <v>2015</v>
      </c>
      <c r="CB6" s="34">
        <f t="shared" ref="CB6" si="18">BQ6</f>
        <v>2019</v>
      </c>
      <c r="CC6" s="34">
        <f t="shared" ref="CC6" si="19">BR6</f>
        <v>2020</v>
      </c>
      <c r="CD6" s="34">
        <f t="shared" ref="CD6" si="20">BS6</f>
        <v>2025</v>
      </c>
      <c r="CE6" s="34">
        <f t="shared" ref="CE6" si="21">BT6</f>
        <v>2035</v>
      </c>
      <c r="CG6" s="62" t="s">
        <v>18</v>
      </c>
      <c r="CH6" s="62" t="s">
        <v>31</v>
      </c>
      <c r="CI6" s="62" t="s">
        <v>33</v>
      </c>
      <c r="CK6" s="40" t="s">
        <v>13</v>
      </c>
      <c r="CL6" s="34">
        <f>CA6</f>
        <v>2015</v>
      </c>
      <c r="CM6" s="34">
        <f t="shared" ref="CM6" si="22">CB6</f>
        <v>2019</v>
      </c>
      <c r="CN6" s="34">
        <f t="shared" ref="CN6" si="23">CC6</f>
        <v>2020</v>
      </c>
      <c r="CO6" s="34">
        <f t="shared" ref="CO6" si="24">CD6</f>
        <v>2025</v>
      </c>
      <c r="CP6" s="34">
        <f t="shared" ref="CP6" si="25">CE6</f>
        <v>2035</v>
      </c>
      <c r="CR6" s="62" t="s">
        <v>18</v>
      </c>
      <c r="CS6" s="62" t="s">
        <v>31</v>
      </c>
      <c r="CT6" s="62" t="s">
        <v>33</v>
      </c>
    </row>
    <row r="8" spans="1:98" x14ac:dyDescent="0.2">
      <c r="A8" s="10" t="str">
        <f>name!D4</f>
        <v>11 Corporate managers and directors</v>
      </c>
      <c r="B8" s="68">
        <v>0.53469507650968551</v>
      </c>
      <c r="C8" s="68">
        <v>0.7803630867391288</v>
      </c>
      <c r="D8" s="68">
        <v>0.66384549097551093</v>
      </c>
      <c r="E8" s="68">
        <v>0.74748920174487354</v>
      </c>
      <c r="F8" s="68">
        <v>0.99211156495761588</v>
      </c>
      <c r="G8" s="10"/>
      <c r="H8" s="68">
        <f>F8-D8</f>
        <v>0.32826607398210494</v>
      </c>
      <c r="I8" s="68">
        <f>'RD T1'!E36</f>
        <v>0.46378959552016064</v>
      </c>
      <c r="J8" s="68">
        <f>SUM(H8:I8)</f>
        <v>0.79205566950226558</v>
      </c>
      <c r="L8" t="str">
        <f>A8</f>
        <v>11 Corporate managers and directors</v>
      </c>
      <c r="M8" s="68">
        <v>5.0096173338249752</v>
      </c>
      <c r="N8" s="68">
        <v>7.6688813306192767</v>
      </c>
      <c r="O8" s="68">
        <v>6.4011006291155885</v>
      </c>
      <c r="P8" s="68">
        <v>6.8773440709295688</v>
      </c>
      <c r="Q8" s="68">
        <v>8.5049245924366002</v>
      </c>
      <c r="R8" s="10"/>
      <c r="S8" s="68">
        <f>Q8-O8</f>
        <v>2.1038239633210116</v>
      </c>
      <c r="T8" s="68">
        <f>'RD T1'!E65</f>
        <v>4.3106725605746998</v>
      </c>
      <c r="U8" s="68">
        <f>SUM(S8:T8)</f>
        <v>6.4144965238957115</v>
      </c>
      <c r="W8" t="str">
        <f>A8</f>
        <v>11 Corporate managers and directors</v>
      </c>
      <c r="X8" s="68">
        <v>14.177556146281386</v>
      </c>
      <c r="Y8" s="68">
        <v>15.035582811417862</v>
      </c>
      <c r="Z8" s="68">
        <v>16.009103654096961</v>
      </c>
      <c r="AA8" s="68">
        <v>16.19526133230563</v>
      </c>
      <c r="AB8" s="68">
        <v>19.801346543316615</v>
      </c>
      <c r="AC8" s="68"/>
      <c r="AD8" s="68">
        <f>AB8-Z8</f>
        <v>3.7922428892196542</v>
      </c>
      <c r="AE8" s="68">
        <f>'RD T1'!E94</f>
        <v>10.257165401892028</v>
      </c>
      <c r="AF8" s="68">
        <f>SUM(AD8:AE8)</f>
        <v>14.049408291111682</v>
      </c>
      <c r="AH8" t="str">
        <f>L8</f>
        <v>11 Corporate managers and directors</v>
      </c>
      <c r="AI8" s="68">
        <v>3.4297710212003452</v>
      </c>
      <c r="AJ8" s="68">
        <v>3.3193431997707106</v>
      </c>
      <c r="AK8" s="68">
        <v>3.8898592043068567</v>
      </c>
      <c r="AL8" s="68">
        <v>3.6765510939777455</v>
      </c>
      <c r="AM8" s="68">
        <v>4.1981162540399843</v>
      </c>
      <c r="AN8" s="68"/>
      <c r="AO8" s="68">
        <f>AM8-AK8</f>
        <v>0.30825704973312762</v>
      </c>
      <c r="AP8" s="68">
        <f>'RD T1'!E123</f>
        <v>2.1006049243971554</v>
      </c>
      <c r="AQ8" s="68">
        <f>SUM(AO8:AP8)</f>
        <v>2.408861974130283</v>
      </c>
      <c r="AS8" t="str">
        <f>W8</f>
        <v>11 Corporate managers and directors</v>
      </c>
      <c r="AT8" s="68">
        <v>3.9239412917848853</v>
      </c>
      <c r="AU8" s="68">
        <v>3.7611283097109856</v>
      </c>
      <c r="AV8" s="68">
        <v>4.0459600715216153</v>
      </c>
      <c r="AW8" s="68">
        <v>3.7213823999346607</v>
      </c>
      <c r="AX8" s="68">
        <v>4.0919782154616451</v>
      </c>
      <c r="AY8" s="68"/>
      <c r="AZ8" s="68">
        <f>AX8-AV8</f>
        <v>4.6018143940029788E-2</v>
      </c>
      <c r="BA8" s="68">
        <f>'RD T1'!E152</f>
        <v>2.08987870846151</v>
      </c>
      <c r="BB8" s="68">
        <f>SUM(AZ8:BA8)</f>
        <v>2.1358968524015398</v>
      </c>
      <c r="BD8" t="str">
        <f>AH8</f>
        <v>11 Corporate managers and directors</v>
      </c>
      <c r="BE8" s="68">
        <v>11.060784479414085</v>
      </c>
      <c r="BF8" s="68">
        <v>12.149626783365671</v>
      </c>
      <c r="BG8" s="68">
        <v>14.721220762154775</v>
      </c>
      <c r="BH8" s="68">
        <v>11.61813954290211</v>
      </c>
      <c r="BI8" s="68">
        <v>12.706550544184488</v>
      </c>
      <c r="BJ8" s="68"/>
      <c r="BK8" s="68">
        <f>BI8-BG8</f>
        <v>-2.0146702179702878</v>
      </c>
      <c r="BL8" s="68">
        <f>'RD T1'!E181</f>
        <v>5.4637442904958355</v>
      </c>
      <c r="BM8" s="68">
        <f>SUM(BK8:BL8)</f>
        <v>3.4490740725255478</v>
      </c>
      <c r="BO8" t="str">
        <f>AS8</f>
        <v>11 Corporate managers and directors</v>
      </c>
      <c r="BP8" s="68">
        <v>9.024820224427085</v>
      </c>
      <c r="BQ8" s="68">
        <v>9.8439537139401505</v>
      </c>
      <c r="BR8" s="68">
        <v>9.9121623140486932</v>
      </c>
      <c r="BS8" s="68">
        <v>8.3887892667378594</v>
      </c>
      <c r="BT8" s="68">
        <v>7.7967380659128125</v>
      </c>
      <c r="BU8" s="68"/>
      <c r="BV8" s="68">
        <f>BT8-BR8</f>
        <v>-2.1154242481358807</v>
      </c>
      <c r="BW8" s="68">
        <f>'RD T1'!E210</f>
        <v>3.6571151018752008</v>
      </c>
      <c r="BX8" s="68">
        <f>SUM(BV8:BW8)</f>
        <v>1.5416908537393201</v>
      </c>
      <c r="BZ8" t="str">
        <f>BD8</f>
        <v>11 Corporate managers and directors</v>
      </c>
      <c r="CA8" s="68">
        <v>4.2307805108756682</v>
      </c>
      <c r="CB8" s="68">
        <v>6.0648802658935708</v>
      </c>
      <c r="CC8" s="68">
        <v>4.8169446146861983</v>
      </c>
      <c r="CD8" s="68">
        <v>4.4596648838035806</v>
      </c>
      <c r="CE8" s="68">
        <v>3.181126460675288</v>
      </c>
      <c r="CF8" s="68"/>
      <c r="CG8" s="68">
        <f>CE8-CC8</f>
        <v>-1.6358181540109102</v>
      </c>
      <c r="CH8" s="68">
        <f>'RD T1'!E239</f>
        <v>1.7415168398132748</v>
      </c>
      <c r="CI8" s="68">
        <f>SUM(CG8:CH8)</f>
        <v>0.10569868580236452</v>
      </c>
      <c r="CK8" t="str">
        <f>BO8</f>
        <v>11 Corporate managers and directors</v>
      </c>
      <c r="CL8" s="68">
        <v>1.3976154812444683</v>
      </c>
      <c r="CM8" s="68">
        <v>1.6834795413457537</v>
      </c>
      <c r="CN8" s="68">
        <v>1.308192452852043</v>
      </c>
      <c r="CO8" s="68">
        <v>1.1183501048955091</v>
      </c>
      <c r="CP8" s="68">
        <v>1.2716037485448413</v>
      </c>
      <c r="CQ8" s="68"/>
      <c r="CR8" s="68">
        <f>CP8-CN8</f>
        <v>-3.6588704307201736E-2</v>
      </c>
      <c r="CS8" s="68">
        <f>'RD T1'!E268</f>
        <v>0.45899572812357997</v>
      </c>
      <c r="CT8" s="68">
        <f>SUM(CR8:CS8)</f>
        <v>0.42240702381637824</v>
      </c>
    </row>
    <row r="9" spans="1:98" x14ac:dyDescent="0.2">
      <c r="A9" s="10" t="str">
        <f>name!D5</f>
        <v>12 Other managers and proprietors</v>
      </c>
      <c r="B9" s="68">
        <v>0.26801353286400237</v>
      </c>
      <c r="C9" s="68">
        <v>0.44840548165075927</v>
      </c>
      <c r="D9" s="68">
        <v>0.32870316294012958</v>
      </c>
      <c r="E9" s="68">
        <v>0.49404922273594459</v>
      </c>
      <c r="F9" s="68">
        <v>0.76915546577231597</v>
      </c>
      <c r="H9" s="68">
        <f>F9-D9</f>
        <v>0.44045230283218639</v>
      </c>
      <c r="I9" s="68">
        <f>'RD T1'!E37</f>
        <v>0.36904534628639735</v>
      </c>
      <c r="J9" s="68">
        <f t="shared" ref="J9:J32" si="26">SUM(H9:I9)</f>
        <v>0.80949764911858368</v>
      </c>
      <c r="L9" t="str">
        <f t="shared" ref="L9:L32" si="27">A9</f>
        <v>12 Other managers and proprietors</v>
      </c>
      <c r="M9" s="68">
        <v>2.3290988368795769</v>
      </c>
      <c r="N9" s="68">
        <v>3.5250123317406894</v>
      </c>
      <c r="O9" s="68">
        <v>3.005514797930231</v>
      </c>
      <c r="P9" s="68">
        <v>4.3524374696650883</v>
      </c>
      <c r="Q9" s="68">
        <v>6.6425579104271932</v>
      </c>
      <c r="S9" s="68">
        <f t="shared" ref="S9:S32" si="28">Q9-O9</f>
        <v>3.6370431124969622</v>
      </c>
      <c r="T9" s="68">
        <f>'RD T1'!E66</f>
        <v>3.2537005381309529</v>
      </c>
      <c r="U9" s="68">
        <f t="shared" ref="U9:U32" si="29">SUM(S9:T9)</f>
        <v>6.8907436506279147</v>
      </c>
      <c r="W9" t="str">
        <f t="shared" ref="W9:W32" si="30">A9</f>
        <v>12 Other managers and proprietors</v>
      </c>
      <c r="X9" s="68">
        <v>6.925187610074742</v>
      </c>
      <c r="Y9" s="68">
        <v>7.4898685066148989</v>
      </c>
      <c r="Z9" s="68">
        <v>7.6713435800824596</v>
      </c>
      <c r="AA9" s="68">
        <v>10.278879399148742</v>
      </c>
      <c r="AB9" s="68">
        <v>13.482615684453267</v>
      </c>
      <c r="AC9" s="68"/>
      <c r="AD9" s="68">
        <f t="shared" ref="AD9:AD32" si="31">AB9-Z9</f>
        <v>5.8112721043708069</v>
      </c>
      <c r="AE9" s="68">
        <f>'RD T1'!E95</f>
        <v>7.4747594217597593</v>
      </c>
      <c r="AF9" s="68">
        <f t="shared" ref="AF9:AF32" si="32">SUM(AD9:AE9)</f>
        <v>13.286031526130566</v>
      </c>
      <c r="AH9" t="str">
        <f t="shared" ref="AH9:AH32" si="33">L9</f>
        <v>12 Other managers and proprietors</v>
      </c>
      <c r="AI9" s="68">
        <v>2.2625847434326447</v>
      </c>
      <c r="AJ9" s="68">
        <v>2.3866090309993875</v>
      </c>
      <c r="AK9" s="68">
        <v>2.7443348037455175</v>
      </c>
      <c r="AL9" s="68">
        <v>3.3430722229965442</v>
      </c>
      <c r="AM9" s="68">
        <v>4.4656394615147335</v>
      </c>
      <c r="AN9" s="68"/>
      <c r="AO9" s="68">
        <f t="shared" ref="AO9:AO32" si="34">AM9-AK9</f>
        <v>1.7213046577692159</v>
      </c>
      <c r="AP9" s="68">
        <f>'RD T1'!E124</f>
        <v>2.4010329274746081</v>
      </c>
      <c r="AQ9" s="68">
        <f t="shared" ref="AQ9:AQ32" si="35">SUM(AO9:AP9)</f>
        <v>4.122337585243824</v>
      </c>
      <c r="AS9" t="str">
        <f t="shared" ref="AS9:AS32" si="36">W9</f>
        <v>12 Other managers and proprietors</v>
      </c>
      <c r="AT9" s="68">
        <v>2.2435720296770887</v>
      </c>
      <c r="AU9" s="68">
        <v>2.3064014013790519</v>
      </c>
      <c r="AV9" s="68">
        <v>2.2651946128761997</v>
      </c>
      <c r="AW9" s="68">
        <v>2.8378921511280804</v>
      </c>
      <c r="AX9" s="68">
        <v>3.3569112296484453</v>
      </c>
      <c r="AY9" s="68"/>
      <c r="AZ9" s="68">
        <f t="shared" ref="AZ9:AZ32" si="37">AX9-AV9</f>
        <v>1.0917166167722456</v>
      </c>
      <c r="BA9" s="68">
        <f>'RD T1'!E153</f>
        <v>1.8062780460647962</v>
      </c>
      <c r="BB9" s="68">
        <f t="shared" ref="BB9:BB32" si="38">SUM(AZ9:BA9)</f>
        <v>2.8979946628370419</v>
      </c>
      <c r="BD9" t="str">
        <f t="shared" ref="BD9:BD32" si="39">AH9</f>
        <v>12 Other managers and proprietors</v>
      </c>
      <c r="BE9" s="68">
        <v>7.6992791652790658</v>
      </c>
      <c r="BF9" s="68">
        <v>7.2075920716729858</v>
      </c>
      <c r="BG9" s="68">
        <v>8.0535010961609164</v>
      </c>
      <c r="BH9" s="68">
        <v>8.2372399016561122</v>
      </c>
      <c r="BI9" s="68">
        <v>9.4615061749106673</v>
      </c>
      <c r="BJ9" s="68"/>
      <c r="BK9" s="68">
        <f t="shared" ref="BK9:BK32" si="40">BI9-BG9</f>
        <v>1.4080050787497509</v>
      </c>
      <c r="BL9" s="68">
        <f>'RD T1'!E182</f>
        <v>4.1834332517468349</v>
      </c>
      <c r="BM9" s="68">
        <f t="shared" ref="BM9:BM32" si="41">SUM(BK9:BL9)</f>
        <v>5.5914383304965858</v>
      </c>
      <c r="BO9" t="str">
        <f t="shared" ref="BO9:BO32" si="42">AS9</f>
        <v>12 Other managers and proprietors</v>
      </c>
      <c r="BP9" s="68">
        <v>7.7855324611614876</v>
      </c>
      <c r="BQ9" s="68">
        <v>8.4198289922844527</v>
      </c>
      <c r="BR9" s="68">
        <v>8.1562481269553047</v>
      </c>
      <c r="BS9" s="68">
        <v>9.3133622489011447</v>
      </c>
      <c r="BT9" s="68">
        <v>10.048805781833357</v>
      </c>
      <c r="BU9" s="68"/>
      <c r="BV9" s="68">
        <f t="shared" ref="BV9:BV32" si="43">BT9-BR9</f>
        <v>1.8925576548780523</v>
      </c>
      <c r="BW9" s="68">
        <f>'RD T1'!E211</f>
        <v>4.8646897387380381</v>
      </c>
      <c r="BX9" s="68">
        <f t="shared" ref="BX9:BX32" si="44">SUM(BV9:BW9)</f>
        <v>6.7572473936160904</v>
      </c>
      <c r="BZ9" t="str">
        <f t="shared" ref="BZ9:BZ32" si="45">BD9</f>
        <v>12 Other managers and proprietors</v>
      </c>
      <c r="CA9" s="68">
        <v>4.3366289917260294</v>
      </c>
      <c r="CB9" s="68">
        <v>5.7811141993843167</v>
      </c>
      <c r="CC9" s="68">
        <v>4.3341944582299945</v>
      </c>
      <c r="CD9" s="68">
        <v>4.9089105042664158</v>
      </c>
      <c r="CE9" s="68">
        <v>3.7961202281761368</v>
      </c>
      <c r="CF9" s="68"/>
      <c r="CG9" s="68">
        <f t="shared" ref="CG9:CG32" si="46">CE9-CC9</f>
        <v>-0.53807423005385768</v>
      </c>
      <c r="CH9" s="68">
        <f>'RD T1'!E240</f>
        <v>2.1101851097893825</v>
      </c>
      <c r="CI9" s="68">
        <f t="shared" ref="CI9:CI32" si="47">SUM(CG9:CH9)</f>
        <v>1.5721108797355248</v>
      </c>
      <c r="CK9" t="str">
        <f t="shared" ref="CK9:CK32" si="48">BO9</f>
        <v>12 Other managers and proprietors</v>
      </c>
      <c r="CL9" s="68">
        <v>1.9371141377412455</v>
      </c>
      <c r="CM9" s="68">
        <v>1.8284815886328931</v>
      </c>
      <c r="CN9" s="68">
        <v>1.4003242515782401</v>
      </c>
      <c r="CO9" s="68">
        <v>1.6306203995201072</v>
      </c>
      <c r="CP9" s="68">
        <v>1.5420760986726219</v>
      </c>
      <c r="CQ9" s="68"/>
      <c r="CR9" s="68">
        <f t="shared" ref="CR9:CR32" si="49">CP9-CN9</f>
        <v>0.14175184709438171</v>
      </c>
      <c r="CS9" s="68">
        <f>'RD T1'!E269</f>
        <v>0.56945919839984871</v>
      </c>
      <c r="CT9" s="68">
        <f t="shared" ref="CT9:CT32" si="50">SUM(CR9:CS9)</f>
        <v>0.71121104549423042</v>
      </c>
    </row>
    <row r="10" spans="1:98" x14ac:dyDescent="0.2">
      <c r="A10" s="10" t="str">
        <f>name!D6</f>
        <v>21 Science, research, engineering and technology professionals</v>
      </c>
      <c r="B10" s="68">
        <v>2.0677915825106292</v>
      </c>
      <c r="C10" s="68">
        <v>2.8116237438189646</v>
      </c>
      <c r="D10" s="68">
        <v>2.4486249154106621</v>
      </c>
      <c r="E10" s="68">
        <v>3.0176888809032594</v>
      </c>
      <c r="F10" s="68">
        <v>3.9341827134261251</v>
      </c>
      <c r="G10" s="11"/>
      <c r="H10" s="68">
        <f t="shared" ref="H10:H32" si="51">F10-D10</f>
        <v>1.4855577980154631</v>
      </c>
      <c r="I10" s="68">
        <f>'RD T1'!E38</f>
        <v>1.298320194656728</v>
      </c>
      <c r="J10" s="68">
        <f t="shared" si="26"/>
        <v>2.783877992672191</v>
      </c>
      <c r="L10" t="str">
        <f t="shared" si="27"/>
        <v>21 Science, research, engineering and technology professionals</v>
      </c>
      <c r="M10" s="68">
        <v>7.474274482262695</v>
      </c>
      <c r="N10" s="68">
        <v>11.049861059659682</v>
      </c>
      <c r="O10" s="68">
        <v>9.7305561490260892</v>
      </c>
      <c r="P10" s="68">
        <v>12.497194220583607</v>
      </c>
      <c r="Q10" s="68">
        <v>17.16293354496047</v>
      </c>
      <c r="R10" s="11"/>
      <c r="S10" s="68">
        <f t="shared" si="28"/>
        <v>7.4323773959343811</v>
      </c>
      <c r="T10" s="68">
        <f>'RD T1'!E67</f>
        <v>5.8258970264342542</v>
      </c>
      <c r="U10" s="68">
        <f t="shared" si="29"/>
        <v>13.258274422368636</v>
      </c>
      <c r="W10" t="str">
        <f t="shared" si="30"/>
        <v>21 Science, research, engineering and technology professionals</v>
      </c>
      <c r="X10" s="68">
        <v>18.047564052405171</v>
      </c>
      <c r="Y10" s="68">
        <v>16.050118329671754</v>
      </c>
      <c r="Z10" s="68">
        <v>17.272215740240924</v>
      </c>
      <c r="AA10" s="68">
        <v>18.627103618060076</v>
      </c>
      <c r="AB10" s="68">
        <v>20.102664224772543</v>
      </c>
      <c r="AC10" s="68"/>
      <c r="AD10" s="68">
        <f t="shared" si="31"/>
        <v>2.8304484845316189</v>
      </c>
      <c r="AE10" s="68">
        <f>'RD T1'!E96</f>
        <v>7.4767459961818039</v>
      </c>
      <c r="AF10" s="68">
        <f t="shared" si="32"/>
        <v>10.307194480713424</v>
      </c>
      <c r="AH10" t="str">
        <f t="shared" si="33"/>
        <v>21 Science, research, engineering and technology professionals</v>
      </c>
      <c r="AI10" s="68">
        <v>1.7910625711662833</v>
      </c>
      <c r="AJ10" s="68">
        <v>1.6372249236802052</v>
      </c>
      <c r="AK10" s="68">
        <v>1.8756998945936794</v>
      </c>
      <c r="AL10" s="68">
        <v>2.0375894390867719</v>
      </c>
      <c r="AM10" s="68">
        <v>2.3243705757800983</v>
      </c>
      <c r="AN10" s="68"/>
      <c r="AO10" s="68">
        <f t="shared" si="34"/>
        <v>0.44867068118641895</v>
      </c>
      <c r="AP10" s="68">
        <f>'RD T1'!E125</f>
        <v>0.80957227973960144</v>
      </c>
      <c r="AQ10" s="68">
        <f t="shared" si="35"/>
        <v>1.2582429609260204</v>
      </c>
      <c r="AS10" t="str">
        <f t="shared" si="36"/>
        <v>21 Science, research, engineering and technology professionals</v>
      </c>
      <c r="AT10" s="68">
        <v>5.4680185224982836</v>
      </c>
      <c r="AU10" s="68">
        <v>4.7951627888001127</v>
      </c>
      <c r="AV10" s="68">
        <v>5.0828266615625282</v>
      </c>
      <c r="AW10" s="68">
        <v>5.0143009056705239</v>
      </c>
      <c r="AX10" s="68">
        <v>4.9868793510544602</v>
      </c>
      <c r="AY10" s="68"/>
      <c r="AZ10" s="68">
        <f t="shared" si="37"/>
        <v>-9.5947310508067929E-2</v>
      </c>
      <c r="BA10" s="68">
        <f>'RD T1'!E154</f>
        <v>1.7425271796232118</v>
      </c>
      <c r="BB10" s="68">
        <f t="shared" si="38"/>
        <v>1.6465798691151439</v>
      </c>
      <c r="BD10" t="str">
        <f t="shared" si="39"/>
        <v>21 Science, research, engineering and technology professionals</v>
      </c>
      <c r="BE10" s="68">
        <v>8.8134685442198251</v>
      </c>
      <c r="BF10" s="68">
        <v>8.4665329860575795</v>
      </c>
      <c r="BG10" s="68">
        <v>10.952044512273948</v>
      </c>
      <c r="BH10" s="68">
        <v>8.6234023937433353</v>
      </c>
      <c r="BI10" s="68">
        <v>8.2314327692522014</v>
      </c>
      <c r="BJ10" s="68"/>
      <c r="BK10" s="68">
        <f t="shared" si="40"/>
        <v>-2.7206117430217471</v>
      </c>
      <c r="BL10" s="68">
        <f>'RD T1'!E183</f>
        <v>2.5450187904845833</v>
      </c>
      <c r="BM10" s="68">
        <f t="shared" si="41"/>
        <v>-0.17559295253716378</v>
      </c>
      <c r="BO10" t="str">
        <f t="shared" si="42"/>
        <v>21 Science, research, engineering and technology professionals</v>
      </c>
      <c r="BP10" s="68">
        <v>6.1073726254434941</v>
      </c>
      <c r="BQ10" s="68">
        <v>6.0215440514281173</v>
      </c>
      <c r="BR10" s="68">
        <v>6.5460546858901987</v>
      </c>
      <c r="BS10" s="68">
        <v>6.1384555585234377</v>
      </c>
      <c r="BT10" s="68">
        <v>6.0359345988902655</v>
      </c>
      <c r="BU10" s="68"/>
      <c r="BV10" s="68">
        <f t="shared" si="43"/>
        <v>-0.51012008699993316</v>
      </c>
      <c r="BW10" s="68">
        <f>'RD T1'!E212</f>
        <v>1.9332251722859386</v>
      </c>
      <c r="BX10" s="68">
        <f t="shared" si="44"/>
        <v>1.4231050852860054</v>
      </c>
      <c r="BZ10" t="str">
        <f t="shared" si="45"/>
        <v>21 Science, research, engineering and technology professionals</v>
      </c>
      <c r="CA10" s="68">
        <v>2.6559367353383347</v>
      </c>
      <c r="CB10" s="68">
        <v>4.0794811665692832</v>
      </c>
      <c r="CC10" s="68">
        <v>3.0702730144017965</v>
      </c>
      <c r="CD10" s="68">
        <v>3.3343446649873503</v>
      </c>
      <c r="CE10" s="68">
        <v>2.7669657629460134</v>
      </c>
      <c r="CF10" s="68"/>
      <c r="CG10" s="68">
        <f t="shared" si="46"/>
        <v>-0.30330725145578308</v>
      </c>
      <c r="CH10" s="68">
        <f>'RD T1'!E241</f>
        <v>0.91912961053390929</v>
      </c>
      <c r="CI10" s="68">
        <f t="shared" si="47"/>
        <v>0.61582235907812621</v>
      </c>
      <c r="CK10" t="str">
        <f t="shared" si="48"/>
        <v>21 Science, research, engineering and technology professionals</v>
      </c>
      <c r="CL10" s="68">
        <v>0.65945622670877413</v>
      </c>
      <c r="CM10" s="68">
        <v>0.7755104670446098</v>
      </c>
      <c r="CN10" s="68">
        <v>0.71541597617226449</v>
      </c>
      <c r="CO10" s="68">
        <v>0.81814630192116566</v>
      </c>
      <c r="CP10" s="68">
        <v>0.78724418915001371</v>
      </c>
      <c r="CQ10" s="68"/>
      <c r="CR10" s="68">
        <f t="shared" si="49"/>
        <v>7.1828212977749217E-2</v>
      </c>
      <c r="CS10" s="68">
        <f>'RD T1'!E270</f>
        <v>0.26152918166813982</v>
      </c>
      <c r="CT10" s="68">
        <f t="shared" si="50"/>
        <v>0.33335739464588904</v>
      </c>
    </row>
    <row r="11" spans="1:98" x14ac:dyDescent="0.2">
      <c r="A11" s="10" t="str">
        <f>name!D7</f>
        <v>22 Health professionals</v>
      </c>
      <c r="B11" s="68">
        <v>3.7086438062439901</v>
      </c>
      <c r="C11" s="68">
        <v>4.9466490017718909</v>
      </c>
      <c r="D11" s="68">
        <v>4.5457782901718593</v>
      </c>
      <c r="E11" s="68">
        <v>5.8368916857384905</v>
      </c>
      <c r="F11" s="68">
        <v>7.3824254579268498</v>
      </c>
      <c r="G11" s="11"/>
      <c r="H11" s="68">
        <f t="shared" si="51"/>
        <v>2.8366471677549905</v>
      </c>
      <c r="I11" s="68">
        <f>'RD T1'!E39</f>
        <v>3.3378457194635196</v>
      </c>
      <c r="J11" s="68">
        <f t="shared" si="26"/>
        <v>6.1744928872185101</v>
      </c>
      <c r="L11" t="str">
        <f t="shared" si="27"/>
        <v>22 Health professionals</v>
      </c>
      <c r="M11" s="68">
        <v>11.073475954995157</v>
      </c>
      <c r="N11" s="68">
        <v>14.237916463644908</v>
      </c>
      <c r="O11" s="68">
        <v>12.835572045886286</v>
      </c>
      <c r="P11" s="68">
        <v>15.424880545507554</v>
      </c>
      <c r="Q11" s="68">
        <v>17.434631312993528</v>
      </c>
      <c r="R11" s="11"/>
      <c r="S11" s="68">
        <f t="shared" si="28"/>
        <v>4.5990592671072417</v>
      </c>
      <c r="T11" s="68">
        <f>'RD T1'!E68</f>
        <v>8.9143333422856283</v>
      </c>
      <c r="U11" s="68">
        <f t="shared" si="29"/>
        <v>13.51339260939287</v>
      </c>
      <c r="W11" t="str">
        <f t="shared" si="30"/>
        <v>22 Health professionals</v>
      </c>
      <c r="X11" s="68">
        <v>26.838427704535185</v>
      </c>
      <c r="Y11" s="68">
        <v>27.094230286727218</v>
      </c>
      <c r="Z11" s="68">
        <v>31.285816991127721</v>
      </c>
      <c r="AA11" s="68">
        <v>37.75409480853309</v>
      </c>
      <c r="AB11" s="68">
        <v>48.263144267381215</v>
      </c>
      <c r="AC11" s="68"/>
      <c r="AD11" s="68">
        <f t="shared" si="31"/>
        <v>16.977327276253494</v>
      </c>
      <c r="AE11" s="68">
        <f>'RD T1'!E97</f>
        <v>23.957281960622943</v>
      </c>
      <c r="AF11" s="68">
        <f t="shared" si="32"/>
        <v>40.93460923687644</v>
      </c>
      <c r="AH11" t="str">
        <f t="shared" si="33"/>
        <v>22 Health professionals</v>
      </c>
      <c r="AI11" s="68">
        <v>14.774481985601247</v>
      </c>
      <c r="AJ11" s="68">
        <v>9.8072285273947308</v>
      </c>
      <c r="AK11" s="68">
        <v>10.362714428725651</v>
      </c>
      <c r="AL11" s="68">
        <v>6.1871503540543022</v>
      </c>
      <c r="AM11" s="68">
        <v>1.7238424635653782</v>
      </c>
      <c r="AN11" s="68"/>
      <c r="AO11" s="68">
        <f t="shared" si="34"/>
        <v>-8.6388719651602734</v>
      </c>
      <c r="AP11" s="68">
        <f>'RD T1'!E126</f>
        <v>2.0173943266924121</v>
      </c>
      <c r="AQ11" s="68">
        <f t="shared" si="35"/>
        <v>-6.6214776384678613</v>
      </c>
      <c r="AS11" t="str">
        <f t="shared" si="36"/>
        <v>22 Health professionals</v>
      </c>
      <c r="AT11" s="68">
        <v>1.6059218767374677</v>
      </c>
      <c r="AU11" s="68">
        <v>1.622273917474945</v>
      </c>
      <c r="AV11" s="68">
        <v>2.0694174367974485</v>
      </c>
      <c r="AW11" s="68">
        <v>2.3555722078939971</v>
      </c>
      <c r="AX11" s="68">
        <v>2.8240970691698242</v>
      </c>
      <c r="AY11" s="68"/>
      <c r="AZ11" s="68">
        <f t="shared" si="37"/>
        <v>0.75467963237237567</v>
      </c>
      <c r="BA11" s="68">
        <f>'RD T1'!E155</f>
        <v>1.2615369606378315</v>
      </c>
      <c r="BB11" s="68">
        <f t="shared" si="38"/>
        <v>2.0162165930102072</v>
      </c>
      <c r="BD11" t="str">
        <f t="shared" si="39"/>
        <v>22 Health professionals</v>
      </c>
      <c r="BE11" s="68">
        <v>7.2291985401716987</v>
      </c>
      <c r="BF11" s="68">
        <v>8.3346781715505127</v>
      </c>
      <c r="BG11" s="68">
        <v>9.6793938939425317</v>
      </c>
      <c r="BH11" s="68">
        <v>11.468295743155373</v>
      </c>
      <c r="BI11" s="68">
        <v>13.543403331327282</v>
      </c>
      <c r="BJ11" s="68"/>
      <c r="BK11" s="68">
        <f t="shared" si="40"/>
        <v>3.86400943738475</v>
      </c>
      <c r="BL11" s="68">
        <f>'RD T1'!E184</f>
        <v>6.7372966979003595</v>
      </c>
      <c r="BM11" s="68">
        <f t="shared" si="41"/>
        <v>10.60130613528511</v>
      </c>
      <c r="BO11" t="str">
        <f t="shared" si="42"/>
        <v>22 Health professionals</v>
      </c>
      <c r="BP11" s="68">
        <v>5.7261941798010865</v>
      </c>
      <c r="BQ11" s="68">
        <v>6.1252177222949928</v>
      </c>
      <c r="BR11" s="68">
        <v>6.7429588744627775</v>
      </c>
      <c r="BS11" s="68">
        <v>6.8448800252716246</v>
      </c>
      <c r="BT11" s="68">
        <v>6.0316555082736656</v>
      </c>
      <c r="BU11" s="68"/>
      <c r="BV11" s="68">
        <f t="shared" si="43"/>
        <v>-0.71130336618911194</v>
      </c>
      <c r="BW11" s="68">
        <f>'RD T1'!E213</f>
        <v>2.8790988890799114</v>
      </c>
      <c r="BX11" s="68">
        <f t="shared" si="44"/>
        <v>2.1677955228907995</v>
      </c>
      <c r="BZ11" t="str">
        <f t="shared" si="45"/>
        <v>22 Health professionals</v>
      </c>
      <c r="CA11" s="68">
        <v>3.0801279388606284</v>
      </c>
      <c r="CB11" s="68">
        <v>2.7765264637609688</v>
      </c>
      <c r="CC11" s="68">
        <v>2.6984409000285625</v>
      </c>
      <c r="CD11" s="68">
        <v>2.4635125505312341</v>
      </c>
      <c r="CE11" s="68">
        <v>1.1869490253959207</v>
      </c>
      <c r="CF11" s="68"/>
      <c r="CG11" s="68">
        <f t="shared" si="46"/>
        <v>-1.5114918746326418</v>
      </c>
      <c r="CH11" s="68">
        <f>'RD T1'!E242</f>
        <v>0.80254939279150472</v>
      </c>
      <c r="CI11" s="68">
        <f t="shared" si="47"/>
        <v>-0.70894248184113706</v>
      </c>
      <c r="CK11" t="str">
        <f t="shared" si="48"/>
        <v>22 Health professionals</v>
      </c>
      <c r="CL11" s="68">
        <v>0.40894605322642835</v>
      </c>
      <c r="CM11" s="68">
        <v>0.44030290107660447</v>
      </c>
      <c r="CN11" s="68">
        <v>0.38048312314000582</v>
      </c>
      <c r="CO11" s="68">
        <v>0.44653577770553637</v>
      </c>
      <c r="CP11" s="68">
        <v>0.49791386728908016</v>
      </c>
      <c r="CQ11" s="68"/>
      <c r="CR11" s="68">
        <f t="shared" si="49"/>
        <v>0.11743074414907434</v>
      </c>
      <c r="CS11" s="68">
        <f>'RD T1'!E271</f>
        <v>0.17499810937548393</v>
      </c>
      <c r="CT11" s="68">
        <f t="shared" si="50"/>
        <v>0.29242885352455827</v>
      </c>
    </row>
    <row r="12" spans="1:98" x14ac:dyDescent="0.2">
      <c r="A12" s="10" t="str">
        <f>name!D8</f>
        <v>23 Teaching and other educational professionals</v>
      </c>
      <c r="B12" s="68">
        <v>4.3759395943291723</v>
      </c>
      <c r="C12" s="68">
        <v>4.929641985792875</v>
      </c>
      <c r="D12" s="68">
        <v>4.6234101431584635</v>
      </c>
      <c r="E12" s="68">
        <v>5.5575172445064416</v>
      </c>
      <c r="F12" s="68">
        <v>6.2715629826586676</v>
      </c>
      <c r="G12" s="11"/>
      <c r="H12" s="68">
        <f t="shared" si="51"/>
        <v>1.6481528395002041</v>
      </c>
      <c r="I12" s="68">
        <f>'RD T1'!E40</f>
        <v>2.8979680010776465</v>
      </c>
      <c r="J12" s="68">
        <f t="shared" si="26"/>
        <v>4.546120840577851</v>
      </c>
      <c r="L12" t="str">
        <f t="shared" si="27"/>
        <v>23 Teaching and other educational professionals</v>
      </c>
      <c r="M12" s="68">
        <v>23.270770463044787</v>
      </c>
      <c r="N12" s="68">
        <v>27.741671039636802</v>
      </c>
      <c r="O12" s="68">
        <v>26.217387211712566</v>
      </c>
      <c r="P12" s="68">
        <v>31.053835426329027</v>
      </c>
      <c r="Q12" s="68">
        <v>34.4128133080902</v>
      </c>
      <c r="R12" s="11"/>
      <c r="S12" s="68">
        <f t="shared" si="28"/>
        <v>8.1954260963776342</v>
      </c>
      <c r="T12" s="68">
        <f>'RD T1'!E69</f>
        <v>16.688302803077807</v>
      </c>
      <c r="U12" s="68">
        <f t="shared" si="29"/>
        <v>24.883728899455441</v>
      </c>
      <c r="W12" t="str">
        <f t="shared" si="30"/>
        <v>23 Teaching and other educational professionals</v>
      </c>
      <c r="X12" s="68">
        <v>15.591942652237844</v>
      </c>
      <c r="Y12" s="68">
        <v>12.153321937090119</v>
      </c>
      <c r="Z12" s="68">
        <v>15.169663260346805</v>
      </c>
      <c r="AA12" s="68">
        <v>14.848774676371459</v>
      </c>
      <c r="AB12" s="68">
        <v>15.516010865824976</v>
      </c>
      <c r="AC12" s="68"/>
      <c r="AD12" s="68">
        <f t="shared" si="31"/>
        <v>0.34634760547817045</v>
      </c>
      <c r="AE12" s="68">
        <f>'RD T1'!E98</f>
        <v>7.3378783187838632</v>
      </c>
      <c r="AF12" s="68">
        <f t="shared" si="32"/>
        <v>7.6842259242620337</v>
      </c>
      <c r="AH12" t="str">
        <f t="shared" si="33"/>
        <v>23 Teaching and other educational professionals</v>
      </c>
      <c r="AI12" s="68">
        <v>2.1070000312532664</v>
      </c>
      <c r="AJ12" s="68">
        <v>0.84714142013231697</v>
      </c>
      <c r="AK12" s="68">
        <v>0.82849550116029125</v>
      </c>
      <c r="AL12" s="68">
        <v>0.45820990813695212</v>
      </c>
      <c r="AM12" s="68">
        <v>0.4722074482041258</v>
      </c>
      <c r="AN12" s="68"/>
      <c r="AO12" s="68">
        <f t="shared" si="34"/>
        <v>-0.35628805295616545</v>
      </c>
      <c r="AP12" s="68">
        <f>'RD T1'!E127</f>
        <v>0.13124943617303395</v>
      </c>
      <c r="AQ12" s="68">
        <f t="shared" si="35"/>
        <v>-0.2250386167831315</v>
      </c>
      <c r="AS12" t="str">
        <f t="shared" si="36"/>
        <v>23 Teaching and other educational professionals</v>
      </c>
      <c r="AT12" s="68">
        <v>0.53380593717124114</v>
      </c>
      <c r="AU12" s="68">
        <v>0.33933440823385991</v>
      </c>
      <c r="AV12" s="68">
        <v>0.38145739640496434</v>
      </c>
      <c r="AW12" s="68">
        <v>0.32271017451634898</v>
      </c>
      <c r="AX12" s="68">
        <v>0.26780034309783851</v>
      </c>
      <c r="AY12" s="68"/>
      <c r="AZ12" s="68">
        <f t="shared" si="37"/>
        <v>-0.11365705330712583</v>
      </c>
      <c r="BA12" s="68">
        <f>'RD T1'!E156</f>
        <v>0.12358851225463109</v>
      </c>
      <c r="BB12" s="68">
        <f t="shared" si="38"/>
        <v>9.9314589475052589E-3</v>
      </c>
      <c r="BD12" t="str">
        <f t="shared" si="39"/>
        <v>23 Teaching and other educational professionals</v>
      </c>
      <c r="BE12" s="68">
        <v>2.3519075544798596</v>
      </c>
      <c r="BF12" s="68">
        <v>2.0006928279138791</v>
      </c>
      <c r="BG12" s="68">
        <v>2.8265777786891908</v>
      </c>
      <c r="BH12" s="68">
        <v>2.911004326565096</v>
      </c>
      <c r="BI12" s="68">
        <v>3.2643670602953931</v>
      </c>
      <c r="BJ12" s="68"/>
      <c r="BK12" s="68">
        <f t="shared" si="40"/>
        <v>0.43778928160620234</v>
      </c>
      <c r="BL12" s="68">
        <f>'RD T1'!E185</f>
        <v>1.1952070095732361</v>
      </c>
      <c r="BM12" s="68">
        <f t="shared" si="41"/>
        <v>1.6329962911794385</v>
      </c>
      <c r="BO12" t="str">
        <f t="shared" si="42"/>
        <v>23 Teaching and other educational professionals</v>
      </c>
      <c r="BP12" s="68">
        <v>1.8787861555014864</v>
      </c>
      <c r="BQ12" s="68">
        <v>1.672137884698992</v>
      </c>
      <c r="BR12" s="68">
        <v>2.0789444658441996</v>
      </c>
      <c r="BS12" s="68">
        <v>1.9653940126413678</v>
      </c>
      <c r="BT12" s="68">
        <v>1.6994363793872846</v>
      </c>
      <c r="BU12" s="68"/>
      <c r="BV12" s="68">
        <f t="shared" si="43"/>
        <v>-0.37950808645691492</v>
      </c>
      <c r="BW12" s="68">
        <f>'RD T1'!E214</f>
        <v>0.83216226771839863</v>
      </c>
      <c r="BX12" s="68">
        <f t="shared" si="44"/>
        <v>0.45265418126148371</v>
      </c>
      <c r="BZ12" t="str">
        <f t="shared" si="45"/>
        <v>23 Teaching and other educational professionals</v>
      </c>
      <c r="CA12" s="68">
        <v>1.3322680304590211</v>
      </c>
      <c r="CB12" s="68">
        <v>1.2442292652612075</v>
      </c>
      <c r="CC12" s="68">
        <v>1.2695718398508142</v>
      </c>
      <c r="CD12" s="68">
        <v>1.2266467020219085</v>
      </c>
      <c r="CE12" s="68">
        <v>0.84699616848033421</v>
      </c>
      <c r="CF12" s="68"/>
      <c r="CG12" s="68">
        <f t="shared" si="46"/>
        <v>-0.42257567137048002</v>
      </c>
      <c r="CH12" s="68">
        <f>'RD T1'!E243</f>
        <v>0.44394455954542628</v>
      </c>
      <c r="CI12" s="68">
        <f t="shared" si="47"/>
        <v>2.1368888174946254E-2</v>
      </c>
      <c r="CK12" t="str">
        <f t="shared" si="48"/>
        <v>23 Teaching and other educational professionals</v>
      </c>
      <c r="CL12" s="68">
        <v>0.29761889991270973</v>
      </c>
      <c r="CM12" s="68">
        <v>0.3263805070215488</v>
      </c>
      <c r="CN12" s="68">
        <v>0.31306759862107636</v>
      </c>
      <c r="CO12" s="68">
        <v>0.37162266895407686</v>
      </c>
      <c r="CP12" s="68">
        <v>0.38613555020459955</v>
      </c>
      <c r="CQ12" s="68"/>
      <c r="CR12" s="68">
        <f t="shared" si="49"/>
        <v>7.3067951583523194E-2</v>
      </c>
      <c r="CS12" s="68">
        <f>'RD T1'!E272</f>
        <v>0.14323634734991339</v>
      </c>
      <c r="CT12" s="68">
        <f t="shared" si="50"/>
        <v>0.21630429893343658</v>
      </c>
    </row>
    <row r="13" spans="1:98" x14ac:dyDescent="0.2">
      <c r="A13" s="10" t="str">
        <f>name!D9</f>
        <v>24 Business, media and public service professionals</v>
      </c>
      <c r="B13" s="68">
        <v>0.71786721493950378</v>
      </c>
      <c r="C13" s="68">
        <v>1.0051506124485268</v>
      </c>
      <c r="D13" s="68">
        <v>0.93027502535722006</v>
      </c>
      <c r="E13" s="68">
        <v>1.2086013761595442</v>
      </c>
      <c r="F13" s="68">
        <v>1.6388920600421539</v>
      </c>
      <c r="G13" s="11"/>
      <c r="H13" s="68">
        <f t="shared" si="51"/>
        <v>0.70861703468493387</v>
      </c>
      <c r="I13" s="68">
        <f>'RD T1'!E41</f>
        <v>0.71659177576195676</v>
      </c>
      <c r="J13" s="68">
        <f t="shared" si="26"/>
        <v>1.4252088104468905</v>
      </c>
      <c r="L13" t="str">
        <f t="shared" si="27"/>
        <v>24 Business, media and public service professionals</v>
      </c>
      <c r="M13" s="68">
        <v>9.7300797103752554</v>
      </c>
      <c r="N13" s="68">
        <v>13.080134511926957</v>
      </c>
      <c r="O13" s="68">
        <v>12.093066802083939</v>
      </c>
      <c r="P13" s="68">
        <v>14.559114788015403</v>
      </c>
      <c r="Q13" s="68">
        <v>17.417973140457224</v>
      </c>
      <c r="R13" s="11"/>
      <c r="S13" s="68">
        <f t="shared" si="28"/>
        <v>5.3249063383732853</v>
      </c>
      <c r="T13" s="68">
        <f>'RD T1'!E70</f>
        <v>8.3501461622520807</v>
      </c>
      <c r="U13" s="68">
        <f t="shared" si="29"/>
        <v>13.675052500625366</v>
      </c>
      <c r="W13" t="str">
        <f t="shared" si="30"/>
        <v>24 Business, media and public service professionals</v>
      </c>
      <c r="X13" s="68">
        <v>18.947658700014884</v>
      </c>
      <c r="Y13" s="68">
        <v>18.271437947232855</v>
      </c>
      <c r="Z13" s="68">
        <v>22.552252189724449</v>
      </c>
      <c r="AA13" s="68">
        <v>25.506447314262815</v>
      </c>
      <c r="AB13" s="68">
        <v>31.074269269250337</v>
      </c>
      <c r="AC13" s="68"/>
      <c r="AD13" s="68">
        <f t="shared" si="31"/>
        <v>8.5220170795258881</v>
      </c>
      <c r="AE13" s="68">
        <f>'RD T1'!E99</f>
        <v>14.434543868388955</v>
      </c>
      <c r="AF13" s="68">
        <f t="shared" si="32"/>
        <v>22.956560947914845</v>
      </c>
      <c r="AH13" t="str">
        <f t="shared" si="33"/>
        <v>24 Business, media and public service professionals</v>
      </c>
      <c r="AI13" s="68">
        <v>2.1832447277319913</v>
      </c>
      <c r="AJ13" s="68">
        <v>1.8051598851506769</v>
      </c>
      <c r="AK13" s="68">
        <v>2.1479161395700883</v>
      </c>
      <c r="AL13" s="68">
        <v>2.0100807496026172</v>
      </c>
      <c r="AM13" s="68">
        <v>2.2301527867414386</v>
      </c>
      <c r="AN13" s="68"/>
      <c r="AO13" s="68">
        <f t="shared" si="34"/>
        <v>8.2236647171350263E-2</v>
      </c>
      <c r="AP13" s="68">
        <f>'RD T1'!E128</f>
        <v>0.80380356150617172</v>
      </c>
      <c r="AQ13" s="68">
        <f t="shared" si="35"/>
        <v>0.88604020867752198</v>
      </c>
      <c r="AS13" t="str">
        <f t="shared" si="36"/>
        <v>24 Business, media and public service professionals</v>
      </c>
      <c r="AT13" s="68">
        <v>2.9797655976503106</v>
      </c>
      <c r="AU13" s="68">
        <v>2.6558571952173389</v>
      </c>
      <c r="AV13" s="68">
        <v>3.1559591828315572</v>
      </c>
      <c r="AW13" s="68">
        <v>3.5671363083360133</v>
      </c>
      <c r="AX13" s="68">
        <v>4.2035149701402847</v>
      </c>
      <c r="AY13" s="68"/>
      <c r="AZ13" s="68">
        <f t="shared" si="37"/>
        <v>1.0475557873087276</v>
      </c>
      <c r="BA13" s="68">
        <f>'RD T1'!E157</f>
        <v>1.7965556522829504</v>
      </c>
      <c r="BB13" s="68">
        <f t="shared" si="38"/>
        <v>2.844111439591678</v>
      </c>
      <c r="BD13" t="str">
        <f t="shared" si="39"/>
        <v>24 Business, media and public service professionals</v>
      </c>
      <c r="BE13" s="68">
        <v>8.1936993214127281</v>
      </c>
      <c r="BF13" s="68">
        <v>8.3918345360079858</v>
      </c>
      <c r="BG13" s="68">
        <v>11.200901089655217</v>
      </c>
      <c r="BH13" s="68">
        <v>11.072244985375031</v>
      </c>
      <c r="BI13" s="68">
        <v>12.292040345864182</v>
      </c>
      <c r="BJ13" s="68"/>
      <c r="BK13" s="68">
        <f t="shared" si="40"/>
        <v>1.0911392562089652</v>
      </c>
      <c r="BL13" s="68">
        <f>'RD T1'!E186</f>
        <v>4.8934764717011223</v>
      </c>
      <c r="BM13" s="68">
        <f t="shared" si="41"/>
        <v>5.9846157279100876</v>
      </c>
      <c r="BO13" t="str">
        <f t="shared" si="42"/>
        <v>24 Business, media and public service professionals</v>
      </c>
      <c r="BP13" s="68">
        <v>5.9093425649770595</v>
      </c>
      <c r="BQ13" s="68">
        <v>5.7785485169999253</v>
      </c>
      <c r="BR13" s="68">
        <v>6.6751063240304944</v>
      </c>
      <c r="BS13" s="68">
        <v>6.6570091636868955</v>
      </c>
      <c r="BT13" s="68">
        <v>6.4220474790334521</v>
      </c>
      <c r="BU13" s="68"/>
      <c r="BV13" s="68">
        <f t="shared" si="43"/>
        <v>-0.25305884499704234</v>
      </c>
      <c r="BW13" s="68">
        <f>'RD T1'!E215</f>
        <v>2.6249742853012492</v>
      </c>
      <c r="BX13" s="68">
        <f t="shared" si="44"/>
        <v>2.3719154403042069</v>
      </c>
      <c r="BZ13" t="str">
        <f t="shared" si="45"/>
        <v>24 Business, media and public service professionals</v>
      </c>
      <c r="CA13" s="68">
        <v>2.6838420928845808</v>
      </c>
      <c r="CB13" s="68">
        <v>3.3364165834180874</v>
      </c>
      <c r="CC13" s="68">
        <v>3.0511464670247159</v>
      </c>
      <c r="CD13" s="68">
        <v>3.0964585169776444</v>
      </c>
      <c r="CE13" s="68">
        <v>1.9567025872275527</v>
      </c>
      <c r="CF13" s="68"/>
      <c r="CG13" s="68">
        <f t="shared" si="46"/>
        <v>-1.0944438797971632</v>
      </c>
      <c r="CH13" s="68">
        <f>'RD T1'!E244</f>
        <v>1.0254988610243996</v>
      </c>
      <c r="CI13" s="68">
        <f t="shared" si="47"/>
        <v>-6.89450187727636E-2</v>
      </c>
      <c r="CK13" t="str">
        <f t="shared" si="48"/>
        <v>24 Business, media and public service professionals</v>
      </c>
      <c r="CL13" s="68">
        <v>0.87482255665077469</v>
      </c>
      <c r="CM13" s="68">
        <v>1.0216887327037152</v>
      </c>
      <c r="CN13" s="68">
        <v>0.94475113180821013</v>
      </c>
      <c r="CO13" s="68">
        <v>1.0557388337535165</v>
      </c>
      <c r="CP13" s="68">
        <v>1.1935101147988973</v>
      </c>
      <c r="CQ13" s="68"/>
      <c r="CR13" s="68">
        <f t="shared" si="49"/>
        <v>0.24875898299068722</v>
      </c>
      <c r="CS13" s="68">
        <f>'RD T1'!E273</f>
        <v>0.42320242311930006</v>
      </c>
      <c r="CT13" s="68">
        <f t="shared" si="50"/>
        <v>0.67196140610998722</v>
      </c>
    </row>
    <row r="14" spans="1:98" x14ac:dyDescent="0.2">
      <c r="A14" s="10" t="str">
        <f>name!D10</f>
        <v>31 Science, engineering and technology associate professionals</v>
      </c>
      <c r="B14" s="68">
        <v>0.28977658118290778</v>
      </c>
      <c r="C14" s="68">
        <v>0.40532618824654787</v>
      </c>
      <c r="D14" s="68">
        <v>0.36250589257541382</v>
      </c>
      <c r="E14" s="68">
        <v>0.41606560459815783</v>
      </c>
      <c r="F14" s="68">
        <v>0.60069241711429888</v>
      </c>
      <c r="G14" s="11"/>
      <c r="H14" s="68">
        <f t="shared" si="51"/>
        <v>0.23818652453888506</v>
      </c>
      <c r="I14" s="68">
        <f>'RD T1'!E42</f>
        <v>0.23632517008987897</v>
      </c>
      <c r="J14" s="68">
        <f t="shared" si="26"/>
        <v>0.47451169462876402</v>
      </c>
      <c r="L14" t="str">
        <f t="shared" si="27"/>
        <v>31 Science, engineering and technology associate professionals</v>
      </c>
      <c r="M14" s="68">
        <v>1.6537827481791105</v>
      </c>
      <c r="N14" s="68">
        <v>2.4420684497632403</v>
      </c>
      <c r="O14" s="68">
        <v>2.2532892922257894</v>
      </c>
      <c r="P14" s="68">
        <v>2.3900178704094914</v>
      </c>
      <c r="Q14" s="68">
        <v>3.2301504470095646</v>
      </c>
      <c r="R14" s="11"/>
      <c r="S14" s="68">
        <f t="shared" si="28"/>
        <v>0.97686115478377511</v>
      </c>
      <c r="T14" s="68">
        <f>'RD T1'!E71</f>
        <v>1.2469477606360171</v>
      </c>
      <c r="U14" s="68">
        <f t="shared" si="29"/>
        <v>2.2238089154197924</v>
      </c>
      <c r="W14" t="str">
        <f t="shared" si="30"/>
        <v>31 Science, engineering and technology associate professionals</v>
      </c>
      <c r="X14" s="68">
        <v>5.3249015345342441</v>
      </c>
      <c r="Y14" s="68">
        <v>5.1415075816145555</v>
      </c>
      <c r="Z14" s="68">
        <v>5.7468430654975462</v>
      </c>
      <c r="AA14" s="68">
        <v>5.4773356116201191</v>
      </c>
      <c r="AB14" s="68">
        <v>6.1198776692570629</v>
      </c>
      <c r="AC14" s="68"/>
      <c r="AD14" s="68">
        <f t="shared" si="31"/>
        <v>0.37303460375951669</v>
      </c>
      <c r="AE14" s="68">
        <f>'RD T1'!E100</f>
        <v>2.5513604650554829</v>
      </c>
      <c r="AF14" s="68">
        <f t="shared" si="32"/>
        <v>2.9243950688149996</v>
      </c>
      <c r="AH14" t="str">
        <f t="shared" si="33"/>
        <v>31 Science, engineering and technology associate professionals</v>
      </c>
      <c r="AI14" s="68">
        <v>0.94799769888157448</v>
      </c>
      <c r="AJ14" s="68">
        <v>0.94522189562151471</v>
      </c>
      <c r="AK14" s="68">
        <v>1.0957195335696335</v>
      </c>
      <c r="AL14" s="68">
        <v>1.1340748222969514</v>
      </c>
      <c r="AM14" s="68">
        <v>1.4765684597093596</v>
      </c>
      <c r="AN14" s="68"/>
      <c r="AO14" s="68">
        <f t="shared" si="34"/>
        <v>0.3808489261397261</v>
      </c>
      <c r="AP14" s="68">
        <f>'RD T1'!E129</f>
        <v>0.58075941502783768</v>
      </c>
      <c r="AQ14" s="68">
        <f t="shared" si="35"/>
        <v>0.96160834116756377</v>
      </c>
      <c r="AS14" t="str">
        <f t="shared" si="36"/>
        <v>31 Science, engineering and technology associate professionals</v>
      </c>
      <c r="AT14" s="68">
        <v>2.64087316361358</v>
      </c>
      <c r="AU14" s="68">
        <v>2.1720286418444763</v>
      </c>
      <c r="AV14" s="68">
        <v>2.3399184935553246</v>
      </c>
      <c r="AW14" s="68">
        <v>1.9620927883403154</v>
      </c>
      <c r="AX14" s="68">
        <v>1.8978800788842165</v>
      </c>
      <c r="AY14" s="68"/>
      <c r="AZ14" s="68">
        <f t="shared" si="37"/>
        <v>-0.44203841467110805</v>
      </c>
      <c r="BA14" s="68">
        <f>'RD T1'!E158</f>
        <v>0.74914476986277745</v>
      </c>
      <c r="BB14" s="68">
        <f t="shared" si="38"/>
        <v>0.3071063551916694</v>
      </c>
      <c r="BD14" t="str">
        <f t="shared" si="39"/>
        <v>31 Science, engineering and technology associate professionals</v>
      </c>
      <c r="BE14" s="68">
        <v>5.0976926255758253</v>
      </c>
      <c r="BF14" s="68">
        <v>5.0710138580057453</v>
      </c>
      <c r="BG14" s="68">
        <v>6.5120225597102799</v>
      </c>
      <c r="BH14" s="68">
        <v>4.4937665030436653</v>
      </c>
      <c r="BI14" s="68">
        <v>3.9270699119800354</v>
      </c>
      <c r="BJ14" s="68"/>
      <c r="BK14" s="68">
        <f t="shared" si="40"/>
        <v>-2.5849526477302445</v>
      </c>
      <c r="BL14" s="68">
        <f>'RD T1'!E187</f>
        <v>1.517824208436982</v>
      </c>
      <c r="BM14" s="68">
        <f t="shared" si="41"/>
        <v>-1.0671284392932625</v>
      </c>
      <c r="BO14" t="str">
        <f t="shared" si="42"/>
        <v>31 Science, engineering and technology associate professionals</v>
      </c>
      <c r="BP14" s="68">
        <v>3.830164973112506</v>
      </c>
      <c r="BQ14" s="68">
        <v>3.9824183490372489</v>
      </c>
      <c r="BR14" s="68">
        <v>4.4092006372928259</v>
      </c>
      <c r="BS14" s="68">
        <v>3.5638522580327954</v>
      </c>
      <c r="BT14" s="68">
        <v>3.4836355616605847</v>
      </c>
      <c r="BU14" s="68"/>
      <c r="BV14" s="68">
        <f t="shared" si="43"/>
        <v>-0.92556507563224111</v>
      </c>
      <c r="BW14" s="68">
        <f>'RD T1'!E216</f>
        <v>1.2480478783448956</v>
      </c>
      <c r="BX14" s="68">
        <f t="shared" si="44"/>
        <v>0.3224828027126545</v>
      </c>
      <c r="BZ14" t="str">
        <f t="shared" si="45"/>
        <v>31 Science, engineering and technology associate professionals</v>
      </c>
      <c r="CA14" s="68">
        <v>1.9692511559115855</v>
      </c>
      <c r="CB14" s="68">
        <v>3.1024187573161717</v>
      </c>
      <c r="CC14" s="68">
        <v>2.464156167869691</v>
      </c>
      <c r="CD14" s="68">
        <v>2.2234612975064407</v>
      </c>
      <c r="CE14" s="68">
        <v>1.8423649738112258</v>
      </c>
      <c r="CF14" s="68"/>
      <c r="CG14" s="68">
        <f t="shared" si="46"/>
        <v>-0.62179119405846528</v>
      </c>
      <c r="CH14" s="68">
        <f>'RD T1'!E245</f>
        <v>0.73343140269577134</v>
      </c>
      <c r="CI14" s="68">
        <f t="shared" si="47"/>
        <v>0.11164020863730606</v>
      </c>
      <c r="CK14" t="str">
        <f t="shared" si="48"/>
        <v>31 Science, engineering and technology associate professionals</v>
      </c>
      <c r="CL14" s="68">
        <v>0.41925987283814853</v>
      </c>
      <c r="CM14" s="68">
        <v>0.53024041106375941</v>
      </c>
      <c r="CN14" s="68">
        <v>0.4909560310043562</v>
      </c>
      <c r="CO14" s="68">
        <v>0.49549312059719358</v>
      </c>
      <c r="CP14" s="68">
        <v>0.58492562412697979</v>
      </c>
      <c r="CQ14" s="68"/>
      <c r="CR14" s="68">
        <f t="shared" si="49"/>
        <v>9.3969593122623596E-2</v>
      </c>
      <c r="CS14" s="68">
        <f>'RD T1'!E274</f>
        <v>0.20276707951354997</v>
      </c>
      <c r="CT14" s="68">
        <f t="shared" si="50"/>
        <v>0.29673667263617354</v>
      </c>
    </row>
    <row r="15" spans="1:98" x14ac:dyDescent="0.2">
      <c r="A15" s="10" t="str">
        <f>name!D11</f>
        <v>32 Health and social care associate professionals</v>
      </c>
      <c r="B15" s="68">
        <v>7.5259259010822768E-2</v>
      </c>
      <c r="C15" s="68">
        <v>0.11817100941433251</v>
      </c>
      <c r="D15" s="68">
        <v>8.3717666343405814E-2</v>
      </c>
      <c r="E15" s="68">
        <v>9.9969179108119213E-2</v>
      </c>
      <c r="F15" s="68">
        <v>0.12445973666099817</v>
      </c>
      <c r="G15" s="11"/>
      <c r="H15" s="68">
        <f t="shared" si="51"/>
        <v>4.074207031759236E-2</v>
      </c>
      <c r="I15" s="68">
        <f>'RD T1'!E43</f>
        <v>7.12543843131795E-2</v>
      </c>
      <c r="J15" s="68">
        <f t="shared" si="26"/>
        <v>0.11199645463077186</v>
      </c>
      <c r="L15" t="str">
        <f t="shared" si="27"/>
        <v>32 Health and social care associate professionals</v>
      </c>
      <c r="M15" s="68">
        <v>2.3191302256400657</v>
      </c>
      <c r="N15" s="68">
        <v>3.1154858258124838</v>
      </c>
      <c r="O15" s="68">
        <v>2.7001130690716462</v>
      </c>
      <c r="P15" s="68">
        <v>3.1111199223820369</v>
      </c>
      <c r="Q15" s="68">
        <v>3.7138154543794411</v>
      </c>
      <c r="R15" s="11"/>
      <c r="S15" s="68">
        <f t="shared" si="28"/>
        <v>1.0137023853077949</v>
      </c>
      <c r="T15" s="68">
        <f>'RD T1'!E72</f>
        <v>2.1055645454696816</v>
      </c>
      <c r="U15" s="68">
        <f t="shared" si="29"/>
        <v>3.1192669307774765</v>
      </c>
      <c r="W15" t="str">
        <f t="shared" si="30"/>
        <v>32 Health and social care associate professionals</v>
      </c>
      <c r="X15" s="68">
        <v>7.5033752110765004</v>
      </c>
      <c r="Y15" s="68">
        <v>7.8353435123259842</v>
      </c>
      <c r="Z15" s="68">
        <v>9.0495232881924856</v>
      </c>
      <c r="AA15" s="68">
        <v>10.488960406109699</v>
      </c>
      <c r="AB15" s="68">
        <v>13.960851067662917</v>
      </c>
      <c r="AC15" s="68"/>
      <c r="AD15" s="68">
        <f t="shared" si="31"/>
        <v>4.9113277794704313</v>
      </c>
      <c r="AE15" s="68">
        <f>'RD T1'!E101</f>
        <v>7.414536703610116</v>
      </c>
      <c r="AF15" s="68">
        <f t="shared" si="32"/>
        <v>12.325864483080547</v>
      </c>
      <c r="AH15" t="str">
        <f t="shared" si="33"/>
        <v>32 Health and social care associate professionals</v>
      </c>
      <c r="AI15" s="68">
        <v>5.6357943248052278</v>
      </c>
      <c r="AJ15" s="68">
        <v>4.1750744952307448</v>
      </c>
      <c r="AK15" s="68">
        <v>4.6091971500291757</v>
      </c>
      <c r="AL15" s="68">
        <v>3.4210898293818812</v>
      </c>
      <c r="AM15" s="68">
        <v>1.8243448649116245</v>
      </c>
      <c r="AN15" s="68"/>
      <c r="AO15" s="68">
        <f t="shared" si="34"/>
        <v>-2.7848522851175512</v>
      </c>
      <c r="AP15" s="68">
        <f>'RD T1'!E130</f>
        <v>1.3425785515905038</v>
      </c>
      <c r="AQ15" s="68">
        <f t="shared" si="35"/>
        <v>-1.4422737335270475</v>
      </c>
      <c r="AS15" t="str">
        <f t="shared" si="36"/>
        <v>32 Health and social care associate professionals</v>
      </c>
      <c r="AT15" s="68">
        <v>0.96513779640614628</v>
      </c>
      <c r="AU15" s="68">
        <v>0.99737466245384931</v>
      </c>
      <c r="AV15" s="68">
        <v>1.2081791028546611</v>
      </c>
      <c r="AW15" s="68">
        <v>1.1991633662320293</v>
      </c>
      <c r="AX15" s="68">
        <v>1.3815056772602263</v>
      </c>
      <c r="AY15" s="68"/>
      <c r="AZ15" s="68">
        <f t="shared" si="37"/>
        <v>0.1733265744055652</v>
      </c>
      <c r="BA15" s="68">
        <f>'RD T1'!E159</f>
        <v>0.72148692833299088</v>
      </c>
      <c r="BB15" s="68">
        <f t="shared" si="38"/>
        <v>0.89481350273855609</v>
      </c>
      <c r="BD15" t="str">
        <f t="shared" si="39"/>
        <v>32 Health and social care associate professionals</v>
      </c>
      <c r="BE15" s="68">
        <v>4.2807275449426658</v>
      </c>
      <c r="BF15" s="68">
        <v>4.9303842020526707</v>
      </c>
      <c r="BG15" s="68">
        <v>5.715908550190397</v>
      </c>
      <c r="BH15" s="68">
        <v>6.1365026535664073</v>
      </c>
      <c r="BI15" s="68">
        <v>7.2589989969128386</v>
      </c>
      <c r="BJ15" s="68"/>
      <c r="BK15" s="68">
        <f t="shared" si="40"/>
        <v>1.5430904467224416</v>
      </c>
      <c r="BL15" s="68">
        <f>'RD T1'!E188</f>
        <v>3.8449548439152692</v>
      </c>
      <c r="BM15" s="68">
        <f t="shared" si="41"/>
        <v>5.3880452906377112</v>
      </c>
      <c r="BO15" t="str">
        <f t="shared" si="42"/>
        <v>32 Health and social care associate professionals</v>
      </c>
      <c r="BP15" s="68">
        <v>3.5844276934675148</v>
      </c>
      <c r="BQ15" s="68">
        <v>3.7387460557316219</v>
      </c>
      <c r="BR15" s="68">
        <v>4.0851424822972877</v>
      </c>
      <c r="BS15" s="68">
        <v>3.6739483811190659</v>
      </c>
      <c r="BT15" s="68">
        <v>3.0089765732691678</v>
      </c>
      <c r="BU15" s="68"/>
      <c r="BV15" s="68">
        <f t="shared" si="43"/>
        <v>-1.0761659090281199</v>
      </c>
      <c r="BW15" s="68">
        <f>'RD T1'!E217</f>
        <v>1.7212698947829184</v>
      </c>
      <c r="BX15" s="68">
        <f t="shared" si="44"/>
        <v>0.64510398575479844</v>
      </c>
      <c r="BZ15" t="str">
        <f t="shared" si="45"/>
        <v>32 Health and social care associate professionals</v>
      </c>
      <c r="CA15" s="68">
        <v>1.3835776225729088</v>
      </c>
      <c r="CB15" s="68">
        <v>1.1167651227683719</v>
      </c>
      <c r="CC15" s="68">
        <v>1.0631712047819257</v>
      </c>
      <c r="CD15" s="68">
        <v>0.85108475506710624</v>
      </c>
      <c r="CE15" s="68">
        <v>0.40818098378411422</v>
      </c>
      <c r="CF15" s="68"/>
      <c r="CG15" s="68">
        <f t="shared" si="46"/>
        <v>-0.65499022099781157</v>
      </c>
      <c r="CH15" s="68">
        <f>'RD T1'!E246</f>
        <v>0.29383830432748509</v>
      </c>
      <c r="CI15" s="68">
        <f t="shared" si="47"/>
        <v>-0.36115191667032648</v>
      </c>
      <c r="CK15" t="str">
        <f t="shared" si="48"/>
        <v>32 Health and social care associate professionals</v>
      </c>
      <c r="CL15" s="68">
        <v>0.21418006963590577</v>
      </c>
      <c r="CM15" s="68">
        <v>0.20692527298354624</v>
      </c>
      <c r="CN15" s="68">
        <v>0.18156431282328375</v>
      </c>
      <c r="CO15" s="68">
        <v>0.18836764525739361</v>
      </c>
      <c r="CP15" s="68">
        <v>0.20200675397051968</v>
      </c>
      <c r="CQ15" s="68"/>
      <c r="CR15" s="68">
        <f t="shared" si="49"/>
        <v>2.0442441147235924E-2</v>
      </c>
      <c r="CS15" s="68">
        <f>'RD T1'!E275</f>
        <v>7.6905723271611673E-2</v>
      </c>
      <c r="CT15" s="68">
        <f t="shared" si="50"/>
        <v>9.7348164418847596E-2</v>
      </c>
    </row>
    <row r="16" spans="1:98" x14ac:dyDescent="0.2">
      <c r="A16" s="10" t="str">
        <f>name!D12</f>
        <v>33 Protective service occupations</v>
      </c>
      <c r="B16" s="68">
        <v>2.8741678473818259E-2</v>
      </c>
      <c r="C16" s="68">
        <v>4.638735723001474E-2</v>
      </c>
      <c r="D16" s="68">
        <v>3.6906482406152949E-2</v>
      </c>
      <c r="E16" s="68">
        <v>5.7021506038080205E-2</v>
      </c>
      <c r="F16" s="68">
        <v>8.8977795975756738E-2</v>
      </c>
      <c r="G16" s="11"/>
      <c r="H16" s="68">
        <f t="shared" si="51"/>
        <v>5.2071313569603789E-2</v>
      </c>
      <c r="I16" s="68">
        <f>'RD T1'!E44</f>
        <v>2.628192805609145E-2</v>
      </c>
      <c r="J16" s="68">
        <f t="shared" si="26"/>
        <v>7.8353241625695236E-2</v>
      </c>
      <c r="L16" t="str">
        <f t="shared" si="27"/>
        <v>33 Protective service occupations</v>
      </c>
      <c r="M16" s="68">
        <v>0.48666924911764631</v>
      </c>
      <c r="N16" s="68">
        <v>0.81010924155059993</v>
      </c>
      <c r="O16" s="68">
        <v>0.67179107305953167</v>
      </c>
      <c r="P16" s="68">
        <v>1.0117493795577488</v>
      </c>
      <c r="Q16" s="68">
        <v>1.6309943397109288</v>
      </c>
      <c r="R16" s="11"/>
      <c r="S16" s="68">
        <f t="shared" si="28"/>
        <v>0.9592032666513971</v>
      </c>
      <c r="T16" s="68">
        <f>'RD T1'!E73</f>
        <v>0.42944293533525391</v>
      </c>
      <c r="U16" s="68">
        <f t="shared" si="29"/>
        <v>1.388646201986651</v>
      </c>
      <c r="W16" t="str">
        <f t="shared" si="30"/>
        <v>33 Protective service occupations</v>
      </c>
      <c r="X16" s="68">
        <v>3.0822382290899073</v>
      </c>
      <c r="Y16" s="68">
        <v>3.370376913631584</v>
      </c>
      <c r="Z16" s="68">
        <v>3.7402908988582424</v>
      </c>
      <c r="AA16" s="68">
        <v>4.9619431634530189</v>
      </c>
      <c r="AB16" s="68">
        <v>7.338579934481908</v>
      </c>
      <c r="AC16" s="68"/>
      <c r="AD16" s="68">
        <f t="shared" si="31"/>
        <v>3.5982890356236656</v>
      </c>
      <c r="AE16" s="68">
        <f>'RD T1'!E102</f>
        <v>2.5734218228873029</v>
      </c>
      <c r="AF16" s="68">
        <f t="shared" si="32"/>
        <v>6.1717108585109681</v>
      </c>
      <c r="AH16" t="str">
        <f t="shared" si="33"/>
        <v>33 Protective service occupations</v>
      </c>
      <c r="AI16" s="68">
        <v>0.83157355040130498</v>
      </c>
      <c r="AJ16" s="68">
        <v>0.86837817926820537</v>
      </c>
      <c r="AK16" s="68">
        <v>0.96276136483236252</v>
      </c>
      <c r="AL16" s="68">
        <v>1.2471333545968888</v>
      </c>
      <c r="AM16" s="68">
        <v>1.7083444008260016</v>
      </c>
      <c r="AN16" s="68"/>
      <c r="AO16" s="68">
        <f t="shared" si="34"/>
        <v>0.74558303599363906</v>
      </c>
      <c r="AP16" s="68">
        <f>'RD T1'!E131</f>
        <v>0.5500108708734639</v>
      </c>
      <c r="AQ16" s="68">
        <f t="shared" si="35"/>
        <v>1.295593906867103</v>
      </c>
      <c r="AS16" t="str">
        <f t="shared" si="36"/>
        <v>33 Protective service occupations</v>
      </c>
      <c r="AT16" s="68">
        <v>0.75951652198704989</v>
      </c>
      <c r="AU16" s="68">
        <v>0.7210850762351585</v>
      </c>
      <c r="AV16" s="68">
        <v>0.77247509732747588</v>
      </c>
      <c r="AW16" s="68">
        <v>0.87100200598841404</v>
      </c>
      <c r="AX16" s="68">
        <v>1.0600968093276106</v>
      </c>
      <c r="AY16" s="68"/>
      <c r="AZ16" s="68">
        <f t="shared" si="37"/>
        <v>0.28762171200013475</v>
      </c>
      <c r="BA16" s="68">
        <f>'RD T1'!E160</f>
        <v>0.40788154520250935</v>
      </c>
      <c r="BB16" s="68">
        <f t="shared" si="38"/>
        <v>0.69550325720264405</v>
      </c>
      <c r="BD16" t="str">
        <f t="shared" si="39"/>
        <v>33 Protective service occupations</v>
      </c>
      <c r="BE16" s="68">
        <v>3.5169591062988639</v>
      </c>
      <c r="BF16" s="68">
        <v>3.2918246525207344</v>
      </c>
      <c r="BG16" s="68">
        <v>4.1012736738759816</v>
      </c>
      <c r="BH16" s="68">
        <v>3.8833630164174155</v>
      </c>
      <c r="BI16" s="68">
        <v>3.8576921625185681</v>
      </c>
      <c r="BJ16" s="68"/>
      <c r="BK16" s="68">
        <f t="shared" si="40"/>
        <v>-0.24358151135741357</v>
      </c>
      <c r="BL16" s="68">
        <f>'RD T1'!E189</f>
        <v>0.98932461709688313</v>
      </c>
      <c r="BM16" s="68">
        <f t="shared" si="41"/>
        <v>0.74574310573946956</v>
      </c>
      <c r="BO16" t="str">
        <f t="shared" si="42"/>
        <v>33 Protective service occupations</v>
      </c>
      <c r="BP16" s="68">
        <v>3.9681336701722967</v>
      </c>
      <c r="BQ16" s="68">
        <v>4.1127280467116574</v>
      </c>
      <c r="BR16" s="68">
        <v>4.1807565716696287</v>
      </c>
      <c r="BS16" s="68">
        <v>4.6272945745442948</v>
      </c>
      <c r="BT16" s="68">
        <v>4.4661571822958148</v>
      </c>
      <c r="BU16" s="68"/>
      <c r="BV16" s="68">
        <f t="shared" si="43"/>
        <v>0.28540061062618616</v>
      </c>
      <c r="BW16" s="68">
        <f>'RD T1'!E218</f>
        <v>1.2949652277817478</v>
      </c>
      <c r="BX16" s="68">
        <f t="shared" si="44"/>
        <v>1.580365838407934</v>
      </c>
      <c r="BZ16" t="str">
        <f t="shared" si="45"/>
        <v>33 Protective service occupations</v>
      </c>
      <c r="CA16" s="68">
        <v>1.6719123102654878</v>
      </c>
      <c r="CB16" s="68">
        <v>2.1110932919186713</v>
      </c>
      <c r="CC16" s="68">
        <v>1.7641445189443559</v>
      </c>
      <c r="CD16" s="68">
        <v>2.0438374296535882</v>
      </c>
      <c r="CE16" s="68">
        <v>1.2049296705468793</v>
      </c>
      <c r="CF16" s="68"/>
      <c r="CG16" s="68">
        <f t="shared" si="46"/>
        <v>-0.55921484839747659</v>
      </c>
      <c r="CH16" s="68">
        <f>'RD T1'!E247</f>
        <v>0.6212957495241751</v>
      </c>
      <c r="CI16" s="68">
        <f t="shared" si="47"/>
        <v>6.2080901126698507E-2</v>
      </c>
      <c r="CK16" t="str">
        <f t="shared" si="48"/>
        <v>33 Protective service occupations</v>
      </c>
      <c r="CL16" s="68">
        <v>0.3416876402305622</v>
      </c>
      <c r="CM16" s="68">
        <v>0.30547832136836733</v>
      </c>
      <c r="CN16" s="68">
        <v>0.26050508521706672</v>
      </c>
      <c r="CO16" s="68">
        <v>0.22204142122430967</v>
      </c>
      <c r="CP16" s="68">
        <v>0.20653047016515325</v>
      </c>
      <c r="CQ16" s="68"/>
      <c r="CR16" s="68">
        <f t="shared" si="49"/>
        <v>-5.3974615051913477E-2</v>
      </c>
      <c r="CS16" s="68">
        <f>'RD T1'!E276</f>
        <v>5.4297261556500692E-2</v>
      </c>
      <c r="CT16" s="68">
        <f t="shared" si="50"/>
        <v>3.2264650458721511E-4</v>
      </c>
    </row>
    <row r="17" spans="1:98" x14ac:dyDescent="0.2">
      <c r="A17" s="10" t="str">
        <f>name!D13</f>
        <v>34 Culture, media and sports occupations</v>
      </c>
      <c r="B17" s="68">
        <v>0.16015618163246625</v>
      </c>
      <c r="C17" s="68">
        <v>0.22563900628898381</v>
      </c>
      <c r="D17" s="68">
        <v>0.23410664164217967</v>
      </c>
      <c r="E17" s="68">
        <v>0.23897241922192136</v>
      </c>
      <c r="F17" s="68">
        <v>0.28420991694118253</v>
      </c>
      <c r="G17" s="11"/>
      <c r="H17" s="68">
        <f t="shared" si="51"/>
        <v>5.0103275299002853E-2</v>
      </c>
      <c r="I17" s="68">
        <f>'RD T1'!E45</f>
        <v>0.151810272059521</v>
      </c>
      <c r="J17" s="68">
        <f t="shared" si="26"/>
        <v>0.20191354735852385</v>
      </c>
      <c r="L17" t="str">
        <f t="shared" si="27"/>
        <v>34 Culture, media and sports occupations</v>
      </c>
      <c r="M17" s="68">
        <v>2.6391083092958332</v>
      </c>
      <c r="N17" s="68">
        <v>3.1946132541631425</v>
      </c>
      <c r="O17" s="68">
        <v>2.757163749098408</v>
      </c>
      <c r="P17" s="68">
        <v>2.8092286021902217</v>
      </c>
      <c r="Q17" s="68">
        <v>3.2150919352921279</v>
      </c>
      <c r="R17" s="11"/>
      <c r="S17" s="68">
        <f t="shared" si="28"/>
        <v>0.45792818619371989</v>
      </c>
      <c r="T17" s="68">
        <f>'RD T1'!E74</f>
        <v>1.7547043599158758</v>
      </c>
      <c r="U17" s="68">
        <f t="shared" si="29"/>
        <v>2.2126325461095959</v>
      </c>
      <c r="W17" t="str">
        <f t="shared" si="30"/>
        <v>34 Culture, media and sports occupations</v>
      </c>
      <c r="X17" s="68">
        <v>5.8173496501708541</v>
      </c>
      <c r="Y17" s="68">
        <v>5.6177326179628269</v>
      </c>
      <c r="Z17" s="68">
        <v>5.4662294927624835</v>
      </c>
      <c r="AA17" s="68">
        <v>5.2785674134542715</v>
      </c>
      <c r="AB17" s="68">
        <v>6.0392117199660378</v>
      </c>
      <c r="AC17" s="68"/>
      <c r="AD17" s="68">
        <f t="shared" si="31"/>
        <v>0.5729822272035543</v>
      </c>
      <c r="AE17" s="68">
        <f>'RD T1'!E103</f>
        <v>2.8291950913917576</v>
      </c>
      <c r="AF17" s="68">
        <f t="shared" si="32"/>
        <v>3.4021773185953119</v>
      </c>
      <c r="AH17" t="str">
        <f t="shared" si="33"/>
        <v>34 Culture, media and sports occupations</v>
      </c>
      <c r="AI17" s="68">
        <v>0.59487334076474074</v>
      </c>
      <c r="AJ17" s="68">
        <v>0.4928699077974163</v>
      </c>
      <c r="AK17" s="68">
        <v>0.73223324759653052</v>
      </c>
      <c r="AL17" s="68">
        <v>0.72722970648716789</v>
      </c>
      <c r="AM17" s="68">
        <v>0.97582013399988965</v>
      </c>
      <c r="AN17" s="68"/>
      <c r="AO17" s="68">
        <f t="shared" si="34"/>
        <v>0.24358688640335913</v>
      </c>
      <c r="AP17" s="68">
        <f>'RD T1'!E132</f>
        <v>0.40766083831513789</v>
      </c>
      <c r="AQ17" s="68">
        <f t="shared" si="35"/>
        <v>0.65124772471849701</v>
      </c>
      <c r="AS17" t="str">
        <f t="shared" si="36"/>
        <v>34 Culture, media and sports occupations</v>
      </c>
      <c r="AT17" s="68">
        <v>0.88529266221371994</v>
      </c>
      <c r="AU17" s="68">
        <v>0.80288450783151644</v>
      </c>
      <c r="AV17" s="68">
        <v>0.8433872574170852</v>
      </c>
      <c r="AW17" s="68">
        <v>0.81345953679429817</v>
      </c>
      <c r="AX17" s="68">
        <v>0.96791401828787971</v>
      </c>
      <c r="AY17" s="68"/>
      <c r="AZ17" s="68">
        <f t="shared" si="37"/>
        <v>0.12452676087079451</v>
      </c>
      <c r="BA17" s="68">
        <f>'RD T1'!E161</f>
        <v>0.42744162130979063</v>
      </c>
      <c r="BB17" s="68">
        <f t="shared" si="38"/>
        <v>0.55196838218058519</v>
      </c>
      <c r="BD17" t="str">
        <f t="shared" si="39"/>
        <v>34 Culture, media and sports occupations</v>
      </c>
      <c r="BE17" s="68">
        <v>2.642620745542005</v>
      </c>
      <c r="BF17" s="68">
        <v>2.6568852510697036</v>
      </c>
      <c r="BG17" s="68">
        <v>2.671061524030677</v>
      </c>
      <c r="BH17" s="68">
        <v>2.3625142901104326</v>
      </c>
      <c r="BI17" s="68">
        <v>2.8578549326139182</v>
      </c>
      <c r="BJ17" s="68"/>
      <c r="BK17" s="68">
        <f t="shared" si="40"/>
        <v>0.18679340858324123</v>
      </c>
      <c r="BL17" s="68">
        <f>'RD T1'!E190</f>
        <v>1.0557702173746775</v>
      </c>
      <c r="BM17" s="68">
        <f t="shared" si="41"/>
        <v>1.2425636259579187</v>
      </c>
      <c r="BO17" t="str">
        <f t="shared" si="42"/>
        <v>34 Culture, media and sports occupations</v>
      </c>
      <c r="BP17" s="68">
        <v>1.5737444331206087</v>
      </c>
      <c r="BQ17" s="68">
        <v>1.3599039015038523</v>
      </c>
      <c r="BR17" s="68">
        <v>1.0677048219306575</v>
      </c>
      <c r="BS17" s="68">
        <v>0.82895501027075236</v>
      </c>
      <c r="BT17" s="68">
        <v>0.55028159775424212</v>
      </c>
      <c r="BU17" s="68"/>
      <c r="BV17" s="68">
        <f t="shared" si="43"/>
        <v>-0.5174232241764154</v>
      </c>
      <c r="BW17" s="68">
        <f>'RD T1'!E219</f>
        <v>0.28694094598887615</v>
      </c>
      <c r="BX17" s="68">
        <f t="shared" si="44"/>
        <v>-0.23048227818753925</v>
      </c>
      <c r="BZ17" t="str">
        <f t="shared" si="45"/>
        <v>34 Culture, media and sports occupations</v>
      </c>
      <c r="CA17" s="68">
        <v>0.95268553944412293</v>
      </c>
      <c r="CB17" s="68">
        <v>1.0227983109901513</v>
      </c>
      <c r="CC17" s="68">
        <v>0.77426894584454353</v>
      </c>
      <c r="CD17" s="68">
        <v>0.60452249797959934</v>
      </c>
      <c r="CE17" s="68">
        <v>0.3199639385612259</v>
      </c>
      <c r="CF17" s="68"/>
      <c r="CG17" s="68">
        <f t="shared" si="46"/>
        <v>-0.45430500728331763</v>
      </c>
      <c r="CH17" s="68">
        <f>'RD T1'!E248</f>
        <v>0.18092553568336137</v>
      </c>
      <c r="CI17" s="68">
        <f t="shared" si="47"/>
        <v>-0.27337947159995624</v>
      </c>
      <c r="CK17" t="str">
        <f t="shared" si="48"/>
        <v>34 Culture, media and sports occupations</v>
      </c>
      <c r="CL17" s="68">
        <v>0.31845901228641588</v>
      </c>
      <c r="CM17" s="68">
        <v>0.40031482914987204</v>
      </c>
      <c r="CN17" s="68">
        <v>0.32543899944216043</v>
      </c>
      <c r="CO17" s="68">
        <v>0.34353590771511866</v>
      </c>
      <c r="CP17" s="68">
        <v>0.53383596003568312</v>
      </c>
      <c r="CQ17" s="68"/>
      <c r="CR17" s="68">
        <f t="shared" si="49"/>
        <v>0.2083969605935227</v>
      </c>
      <c r="CS17" s="68">
        <f>'RD T1'!E277</f>
        <v>0.14183958792377196</v>
      </c>
      <c r="CT17" s="68">
        <f t="shared" si="50"/>
        <v>0.35023654851729469</v>
      </c>
    </row>
    <row r="18" spans="1:98" x14ac:dyDescent="0.2">
      <c r="A18" s="10" t="str">
        <f>name!D14</f>
        <v>35 Business and public service associate professionals</v>
      </c>
      <c r="B18" s="68">
        <v>0.47028428644757525</v>
      </c>
      <c r="C18" s="68">
        <v>0.64549685531480505</v>
      </c>
      <c r="D18" s="68">
        <v>0.53124454803312404</v>
      </c>
      <c r="E18" s="68">
        <v>0.61717954987992507</v>
      </c>
      <c r="F18" s="68">
        <v>0.80263719991319238</v>
      </c>
      <c r="G18" s="11"/>
      <c r="H18" s="68">
        <f t="shared" si="51"/>
        <v>0.27139265188006834</v>
      </c>
      <c r="I18" s="68">
        <f>'RD T1'!E46</f>
        <v>0.34880471819984799</v>
      </c>
      <c r="J18" s="68">
        <f t="shared" si="26"/>
        <v>0.62019737007991638</v>
      </c>
      <c r="L18" t="str">
        <f t="shared" si="27"/>
        <v>35 Business and public service associate professionals</v>
      </c>
      <c r="M18" s="68">
        <v>5.2974144905211435</v>
      </c>
      <c r="N18" s="68">
        <v>7.2196292060933622</v>
      </c>
      <c r="O18" s="68">
        <v>6.1640320181866768</v>
      </c>
      <c r="P18" s="68">
        <v>6.7607656095529034</v>
      </c>
      <c r="Q18" s="68">
        <v>8.0090764671848991</v>
      </c>
      <c r="R18" s="11"/>
      <c r="S18" s="68">
        <f t="shared" si="28"/>
        <v>1.8450444489982223</v>
      </c>
      <c r="T18" s="68">
        <f>'RD T1'!E75</f>
        <v>3.8897027634767953</v>
      </c>
      <c r="U18" s="68">
        <f t="shared" si="29"/>
        <v>5.7347472124750176</v>
      </c>
      <c r="W18" t="str">
        <f t="shared" si="30"/>
        <v>35 Business and public service associate professionals</v>
      </c>
      <c r="X18" s="68">
        <v>12.409290144762455</v>
      </c>
      <c r="Y18" s="68">
        <v>11.991685780371249</v>
      </c>
      <c r="Z18" s="68">
        <v>13.091097549910113</v>
      </c>
      <c r="AA18" s="68">
        <v>13.228486695425605</v>
      </c>
      <c r="AB18" s="68">
        <v>15.177252091571816</v>
      </c>
      <c r="AC18" s="68"/>
      <c r="AD18" s="68">
        <f t="shared" si="31"/>
        <v>2.0861545416617027</v>
      </c>
      <c r="AE18" s="68">
        <f>'RD T1'!E104</f>
        <v>7.257791335134935</v>
      </c>
      <c r="AF18" s="68">
        <f t="shared" si="32"/>
        <v>9.3439458767966386</v>
      </c>
      <c r="AH18" t="str">
        <f t="shared" si="33"/>
        <v>35 Business and public service associate professionals</v>
      </c>
      <c r="AI18" s="68">
        <v>3.6698681904222723</v>
      </c>
      <c r="AJ18" s="68">
        <v>3.4762491548521108</v>
      </c>
      <c r="AK18" s="68">
        <v>3.9480537012854304</v>
      </c>
      <c r="AL18" s="68">
        <v>3.9384291181504727</v>
      </c>
      <c r="AM18" s="68">
        <v>4.5191356324250327</v>
      </c>
      <c r="AN18" s="68"/>
      <c r="AO18" s="68">
        <f t="shared" si="34"/>
        <v>0.57108193113960226</v>
      </c>
      <c r="AP18" s="68">
        <f>'RD T1'!E133</f>
        <v>2.0445346502777557</v>
      </c>
      <c r="AQ18" s="68">
        <f t="shared" si="35"/>
        <v>2.615616581417358</v>
      </c>
      <c r="AS18" t="str">
        <f t="shared" si="36"/>
        <v>35 Business and public service associate professionals</v>
      </c>
      <c r="AT18" s="68">
        <v>2.9847662138494542</v>
      </c>
      <c r="AU18" s="68">
        <v>2.7867573877637661</v>
      </c>
      <c r="AV18" s="68">
        <v>3.1450197611428736</v>
      </c>
      <c r="AW18" s="68">
        <v>3.1171522600499437</v>
      </c>
      <c r="AX18" s="68">
        <v>3.6298710845174447</v>
      </c>
      <c r="AY18" s="68"/>
      <c r="AZ18" s="68">
        <f t="shared" si="37"/>
        <v>0.48485132337457104</v>
      </c>
      <c r="BA18" s="68">
        <f>'RD T1'!E162</f>
        <v>1.6233164267607711</v>
      </c>
      <c r="BB18" s="68">
        <f t="shared" si="38"/>
        <v>2.1081677501353422</v>
      </c>
      <c r="BD18" t="str">
        <f t="shared" si="39"/>
        <v>35 Business and public service associate professionals</v>
      </c>
      <c r="BE18" s="68">
        <v>11.381969884762896</v>
      </c>
      <c r="BF18" s="68">
        <v>11.07805552911497</v>
      </c>
      <c r="BG18" s="68">
        <v>13.40011976764505</v>
      </c>
      <c r="BH18" s="68">
        <v>11.689278200544468</v>
      </c>
      <c r="BI18" s="68">
        <v>12.052625559742586</v>
      </c>
      <c r="BJ18" s="68"/>
      <c r="BK18" s="68">
        <f t="shared" si="40"/>
        <v>-1.3474942079024643</v>
      </c>
      <c r="BL18" s="68">
        <f>'RD T1'!E191</f>
        <v>5.1968056270380902</v>
      </c>
      <c r="BM18" s="68">
        <f t="shared" si="41"/>
        <v>3.8493114191356259</v>
      </c>
      <c r="BO18" t="str">
        <f t="shared" si="42"/>
        <v>35 Business and public service associate professionals</v>
      </c>
      <c r="BP18" s="68">
        <v>8.9043149826183292</v>
      </c>
      <c r="BQ18" s="68">
        <v>8.5590592404796819</v>
      </c>
      <c r="BR18" s="68">
        <v>9.1308955915748271</v>
      </c>
      <c r="BS18" s="68">
        <v>7.9124838478845589</v>
      </c>
      <c r="BT18" s="68">
        <v>7.1060709826730974</v>
      </c>
      <c r="BU18" s="68"/>
      <c r="BV18" s="68">
        <f t="shared" si="43"/>
        <v>-2.0248246089017297</v>
      </c>
      <c r="BW18" s="68">
        <f>'RD T1'!E220</f>
        <v>2.9663568918802521</v>
      </c>
      <c r="BX18" s="68">
        <f t="shared" si="44"/>
        <v>0.94153228297852243</v>
      </c>
      <c r="BZ18" t="str">
        <f t="shared" si="45"/>
        <v>35 Business and public service associate professionals</v>
      </c>
      <c r="CA18" s="68">
        <v>4.2579340154193304</v>
      </c>
      <c r="CB18" s="68">
        <v>4.8217441451181022</v>
      </c>
      <c r="CC18" s="68">
        <v>4.0697468531348688</v>
      </c>
      <c r="CD18" s="68">
        <v>3.4261610555941302</v>
      </c>
      <c r="CE18" s="68">
        <v>2.0464610822788418</v>
      </c>
      <c r="CF18" s="68"/>
      <c r="CG18" s="68">
        <f t="shared" si="46"/>
        <v>-2.023285770856027</v>
      </c>
      <c r="CH18" s="68">
        <f>'RD T1'!E249</f>
        <v>1.0634629599477086</v>
      </c>
      <c r="CI18" s="68">
        <f t="shared" si="47"/>
        <v>-0.95982281090831845</v>
      </c>
      <c r="CK18" t="str">
        <f t="shared" si="48"/>
        <v>35 Business and public service associate professionals</v>
      </c>
      <c r="CL18" s="68">
        <v>1.284279447522793</v>
      </c>
      <c r="CM18" s="68">
        <v>1.3520669345011718</v>
      </c>
      <c r="CN18" s="68">
        <v>1.0583145998486765</v>
      </c>
      <c r="CO18" s="68">
        <v>1.0118784594269128</v>
      </c>
      <c r="CP18" s="68">
        <v>1.1622674065102916</v>
      </c>
      <c r="CQ18" s="68"/>
      <c r="CR18" s="68">
        <f t="shared" si="49"/>
        <v>0.1039528066616151</v>
      </c>
      <c r="CS18" s="68">
        <f>'RD T1'!E278</f>
        <v>0.38892417290977199</v>
      </c>
      <c r="CT18" s="68">
        <f t="shared" si="50"/>
        <v>0.4928769795713871</v>
      </c>
    </row>
    <row r="19" spans="1:98" x14ac:dyDescent="0.2">
      <c r="A19" s="10" t="str">
        <f>name!D15</f>
        <v>41 Administrative occupations</v>
      </c>
      <c r="B19" s="68">
        <v>0.52396695323731635</v>
      </c>
      <c r="C19" s="68">
        <v>0.6272517861378043</v>
      </c>
      <c r="D19" s="68">
        <v>0.5297666215659913</v>
      </c>
      <c r="E19" s="68">
        <v>0.59329408371411918</v>
      </c>
      <c r="F19" s="68">
        <v>0.72317299623700992</v>
      </c>
      <c r="G19" s="11"/>
      <c r="H19" s="68">
        <f t="shared" si="51"/>
        <v>0.19340637467101862</v>
      </c>
      <c r="I19" s="68">
        <f>'RD T1'!E47</f>
        <v>0.35077612019948379</v>
      </c>
      <c r="J19" s="68">
        <f t="shared" si="26"/>
        <v>0.54418249487050241</v>
      </c>
      <c r="L19" t="str">
        <f t="shared" si="27"/>
        <v>41 Administrative occupations</v>
      </c>
      <c r="M19" s="68">
        <v>5.6474381858051474</v>
      </c>
      <c r="N19" s="68">
        <v>7.2080641695672441</v>
      </c>
      <c r="O19" s="68">
        <v>6.0803615916351186</v>
      </c>
      <c r="P19" s="68">
        <v>6.8545422733293222</v>
      </c>
      <c r="Q19" s="68">
        <v>8.2580034624872791</v>
      </c>
      <c r="R19" s="11"/>
      <c r="S19" s="68">
        <f t="shared" si="28"/>
        <v>2.1776418708521605</v>
      </c>
      <c r="T19" s="68">
        <f>'RD T1'!E76</f>
        <v>4.2721718641186772</v>
      </c>
      <c r="U19" s="68">
        <f t="shared" si="29"/>
        <v>6.4498137349708378</v>
      </c>
      <c r="W19" t="str">
        <f t="shared" si="30"/>
        <v>41 Administrative occupations</v>
      </c>
      <c r="X19" s="68">
        <v>19.871893691348042</v>
      </c>
      <c r="Y19" s="68">
        <v>18.714456936074118</v>
      </c>
      <c r="Z19" s="68">
        <v>20.991214085674667</v>
      </c>
      <c r="AA19" s="68">
        <v>22.030878427669109</v>
      </c>
      <c r="AB19" s="68">
        <v>25.935792012182862</v>
      </c>
      <c r="AC19" s="68"/>
      <c r="AD19" s="68">
        <f t="shared" si="31"/>
        <v>4.9445779265081953</v>
      </c>
      <c r="AE19" s="68">
        <f>'RD T1'!E105</f>
        <v>13.494035334064581</v>
      </c>
      <c r="AF19" s="68">
        <f t="shared" si="32"/>
        <v>18.438613260572776</v>
      </c>
      <c r="AH19" t="str">
        <f t="shared" si="33"/>
        <v>41 Administrative occupations</v>
      </c>
      <c r="AI19" s="68">
        <v>7.1522680940011805</v>
      </c>
      <c r="AJ19" s="68">
        <v>7.0714039250028566</v>
      </c>
      <c r="AK19" s="68">
        <v>7.9492721421322967</v>
      </c>
      <c r="AL19" s="68">
        <v>8.0502282733581882</v>
      </c>
      <c r="AM19" s="68">
        <v>9.4029962791101056</v>
      </c>
      <c r="AN19" s="68"/>
      <c r="AO19" s="68">
        <f t="shared" si="34"/>
        <v>1.4537241369778089</v>
      </c>
      <c r="AP19" s="68">
        <f>'RD T1'!E134</f>
        <v>5.1430183572787191</v>
      </c>
      <c r="AQ19" s="68">
        <f t="shared" si="35"/>
        <v>6.596742494256528</v>
      </c>
      <c r="AS19" t="str">
        <f t="shared" si="36"/>
        <v>41 Administrative occupations</v>
      </c>
      <c r="AT19" s="68">
        <v>6.7270528108127623</v>
      </c>
      <c r="AU19" s="68">
        <v>6.3648519070603449</v>
      </c>
      <c r="AV19" s="68">
        <v>7.259437516434982</v>
      </c>
      <c r="AW19" s="68">
        <v>7.2847118370706028</v>
      </c>
      <c r="AX19" s="68">
        <v>8.5001342959983468</v>
      </c>
      <c r="AY19" s="68"/>
      <c r="AZ19" s="68">
        <f t="shared" si="37"/>
        <v>1.2406967795633648</v>
      </c>
      <c r="BA19" s="68">
        <f>'RD T1'!E163</f>
        <v>4.4294066467570827</v>
      </c>
      <c r="BB19" s="68">
        <f t="shared" si="38"/>
        <v>5.6701034263204475</v>
      </c>
      <c r="BD19" t="str">
        <f t="shared" si="39"/>
        <v>41 Administrative occupations</v>
      </c>
      <c r="BE19" s="68">
        <v>25.28658307479018</v>
      </c>
      <c r="BF19" s="68">
        <v>23.584901830374545</v>
      </c>
      <c r="BG19" s="68">
        <v>26.870811114328259</v>
      </c>
      <c r="BH19" s="68">
        <v>23.797810605708865</v>
      </c>
      <c r="BI19" s="68">
        <v>21.769784817752658</v>
      </c>
      <c r="BJ19" s="68"/>
      <c r="BK19" s="68">
        <f t="shared" si="40"/>
        <v>-5.1010262965756006</v>
      </c>
      <c r="BL19" s="68">
        <f>'RD T1'!E192</f>
        <v>11.339495489102548</v>
      </c>
      <c r="BM19" s="68">
        <f t="shared" si="41"/>
        <v>6.2384691925269475</v>
      </c>
      <c r="BO19" t="str">
        <f t="shared" si="42"/>
        <v>41 Administrative occupations</v>
      </c>
      <c r="BP19" s="68">
        <v>30.006507337482862</v>
      </c>
      <c r="BQ19" s="68">
        <v>26.708019500045715</v>
      </c>
      <c r="BR19" s="68">
        <v>27.928497366207829</v>
      </c>
      <c r="BS19" s="68">
        <v>22.899402708723919</v>
      </c>
      <c r="BT19" s="68">
        <v>16.935236750547535</v>
      </c>
      <c r="BU19" s="68"/>
      <c r="BV19" s="68">
        <f t="shared" si="43"/>
        <v>-10.993260615660294</v>
      </c>
      <c r="BW19" s="68">
        <f>'RD T1'!E221</f>
        <v>8.7560534286587721</v>
      </c>
      <c r="BX19" s="68">
        <f t="shared" si="44"/>
        <v>-2.2372071870015215</v>
      </c>
      <c r="BZ19" t="str">
        <f t="shared" si="45"/>
        <v>41 Administrative occupations</v>
      </c>
      <c r="CA19" s="68">
        <v>14.51525299469607</v>
      </c>
      <c r="CB19" s="68">
        <v>11.31843099754632</v>
      </c>
      <c r="CC19" s="68">
        <v>10.201560441429603</v>
      </c>
      <c r="CD19" s="68">
        <v>7.1890242067473853</v>
      </c>
      <c r="CE19" s="68">
        <v>2.6700624499609189</v>
      </c>
      <c r="CF19" s="68"/>
      <c r="CG19" s="68">
        <f t="shared" si="46"/>
        <v>-7.5314979914686839</v>
      </c>
      <c r="CH19" s="68">
        <f>'RD T1'!E250</f>
        <v>2.0925352867552474</v>
      </c>
      <c r="CI19" s="68">
        <f t="shared" si="47"/>
        <v>-5.4389627047134361</v>
      </c>
      <c r="CK19" t="str">
        <f t="shared" si="48"/>
        <v>41 Administrative occupations</v>
      </c>
      <c r="CL19" s="68">
        <v>4.8394415505463506</v>
      </c>
      <c r="CM19" s="68">
        <v>3.9424268044930271</v>
      </c>
      <c r="CN19" s="68">
        <v>3.1077301842355229</v>
      </c>
      <c r="CO19" s="68">
        <v>3.0100215407143431</v>
      </c>
      <c r="CP19" s="68">
        <v>2.860166338688376</v>
      </c>
      <c r="CQ19" s="68"/>
      <c r="CR19" s="68">
        <f t="shared" si="49"/>
        <v>-0.24756384554714694</v>
      </c>
      <c r="CS19" s="68">
        <f>'RD T1'!E279</f>
        <v>1.0477635476480238</v>
      </c>
      <c r="CT19" s="68">
        <f t="shared" si="50"/>
        <v>0.80019970210087688</v>
      </c>
    </row>
    <row r="20" spans="1:98" x14ac:dyDescent="0.2">
      <c r="A20" s="10" t="str">
        <f>name!D16</f>
        <v>42 Secretarial and related occupations</v>
      </c>
      <c r="B20" s="68">
        <v>2.7534825529522154E-2</v>
      </c>
      <c r="C20" s="68">
        <v>3.6724877792087857E-2</v>
      </c>
      <c r="D20" s="68">
        <v>3.2783579053146591E-2</v>
      </c>
      <c r="E20" s="68">
        <v>5.0264989790809247E-2</v>
      </c>
      <c r="F20" s="68">
        <v>7.6210237319945973E-2</v>
      </c>
      <c r="G20" s="11"/>
      <c r="H20" s="68">
        <f t="shared" si="51"/>
        <v>4.3426658266799381E-2</v>
      </c>
      <c r="I20" s="68">
        <f>'RD T1'!E48</f>
        <v>3.8828784271112658E-2</v>
      </c>
      <c r="J20" s="68">
        <f t="shared" si="26"/>
        <v>8.2255442537912032E-2</v>
      </c>
      <c r="L20" t="str">
        <f t="shared" si="27"/>
        <v>42 Secretarial and related occupations</v>
      </c>
      <c r="M20" s="68">
        <v>0.84656977274185052</v>
      </c>
      <c r="N20" s="68">
        <v>1.0100842287574185</v>
      </c>
      <c r="O20" s="68">
        <v>0.84682316429075388</v>
      </c>
      <c r="P20" s="68">
        <v>1.2261075994909441</v>
      </c>
      <c r="Q20" s="68">
        <v>1.4425837106936397</v>
      </c>
      <c r="R20" s="11"/>
      <c r="S20" s="68">
        <f t="shared" si="28"/>
        <v>0.59576054640288578</v>
      </c>
      <c r="T20" s="68">
        <f>'RD T1'!E77</f>
        <v>0.81732483064465677</v>
      </c>
      <c r="U20" s="68">
        <f t="shared" si="29"/>
        <v>1.4130853770475427</v>
      </c>
      <c r="W20" t="str">
        <f t="shared" si="30"/>
        <v>42 Secretarial and related occupations</v>
      </c>
      <c r="X20" s="68">
        <v>2.9510444124801074</v>
      </c>
      <c r="Y20" s="68">
        <v>2.8858634953903599</v>
      </c>
      <c r="Z20" s="68">
        <v>3.1814107311938011</v>
      </c>
      <c r="AA20" s="68">
        <v>4.552372118234894</v>
      </c>
      <c r="AB20" s="68">
        <v>7.632493178411548</v>
      </c>
      <c r="AC20" s="68"/>
      <c r="AD20" s="68">
        <f t="shared" si="31"/>
        <v>4.4510824472177468</v>
      </c>
      <c r="AE20" s="68">
        <f>'RD T1'!E106</f>
        <v>3.2964548975477594</v>
      </c>
      <c r="AF20" s="68">
        <f t="shared" si="32"/>
        <v>7.7475373447655063</v>
      </c>
      <c r="AH20" t="str">
        <f t="shared" si="33"/>
        <v>42 Secretarial and related occupations</v>
      </c>
      <c r="AI20" s="68">
        <v>1.3257108258244825</v>
      </c>
      <c r="AJ20" s="68">
        <v>1.2473666292432377</v>
      </c>
      <c r="AK20" s="68">
        <v>1.4245299357763315</v>
      </c>
      <c r="AL20" s="68">
        <v>1.8065910005598451</v>
      </c>
      <c r="AM20" s="68">
        <v>1.8402750123410005</v>
      </c>
      <c r="AN20" s="68"/>
      <c r="AO20" s="68">
        <f t="shared" si="34"/>
        <v>0.41574507656466908</v>
      </c>
      <c r="AP20" s="68">
        <f>'RD T1'!E135</f>
        <v>1.1211810953935226</v>
      </c>
      <c r="AQ20" s="68">
        <f t="shared" si="35"/>
        <v>1.5369261719581917</v>
      </c>
      <c r="AS20" t="str">
        <f t="shared" si="36"/>
        <v>42 Secretarial and related occupations</v>
      </c>
      <c r="AT20" s="68">
        <v>1.1469559239729525</v>
      </c>
      <c r="AU20" s="68">
        <v>1.0632031709321164</v>
      </c>
      <c r="AV20" s="68">
        <v>1.1699971986624742</v>
      </c>
      <c r="AW20" s="68">
        <v>1.4709410864119268</v>
      </c>
      <c r="AX20" s="68">
        <v>1.9254565898651239</v>
      </c>
      <c r="AY20" s="68"/>
      <c r="AZ20" s="68">
        <f t="shared" si="37"/>
        <v>0.75545939120264971</v>
      </c>
      <c r="BA20" s="68">
        <f>'RD T1'!E164</f>
        <v>0.89959886601800176</v>
      </c>
      <c r="BB20" s="68">
        <f t="shared" si="38"/>
        <v>1.6550582572206514</v>
      </c>
      <c r="BD20" t="str">
        <f t="shared" si="39"/>
        <v>42 Secretarial and related occupations</v>
      </c>
      <c r="BE20" s="68">
        <v>4.9658286659316504</v>
      </c>
      <c r="BF20" s="68">
        <v>4.6522282827341845</v>
      </c>
      <c r="BG20" s="68">
        <v>4.8489366108881438</v>
      </c>
      <c r="BH20" s="68">
        <v>6.3060056080528071</v>
      </c>
      <c r="BI20" s="68">
        <v>4.25378741515659</v>
      </c>
      <c r="BJ20" s="68"/>
      <c r="BK20" s="68">
        <f t="shared" si="40"/>
        <v>-0.59514919573155378</v>
      </c>
      <c r="BL20" s="68">
        <f>'RD T1'!E193</f>
        <v>2.9977963525137064</v>
      </c>
      <c r="BM20" s="68">
        <f t="shared" si="41"/>
        <v>2.4026471567821526</v>
      </c>
      <c r="BO20" t="str">
        <f t="shared" si="42"/>
        <v>42 Secretarial and related occupations</v>
      </c>
      <c r="BP20" s="68">
        <v>6.2853071641513569</v>
      </c>
      <c r="BQ20" s="68">
        <v>4.8268522706353876</v>
      </c>
      <c r="BR20" s="68">
        <v>4.899402520464192</v>
      </c>
      <c r="BS20" s="68">
        <v>3.7264792232336248</v>
      </c>
      <c r="BT20" s="68">
        <v>0.97056565389364169</v>
      </c>
      <c r="BU20" s="68"/>
      <c r="BV20" s="68">
        <f t="shared" si="43"/>
        <v>-3.9288368665705504</v>
      </c>
      <c r="BW20" s="68">
        <f>'RD T1'!E222</f>
        <v>1.25072113296478</v>
      </c>
      <c r="BX20" s="68">
        <f t="shared" si="44"/>
        <v>-2.6781157336057704</v>
      </c>
      <c r="BZ20" t="str">
        <f t="shared" si="45"/>
        <v>42 Secretarial and related occupations</v>
      </c>
      <c r="CA20" s="68">
        <v>5.7502586060589937</v>
      </c>
      <c r="CB20" s="68">
        <v>4.1007304124629753</v>
      </c>
      <c r="CC20" s="68">
        <v>4.1827732146214913</v>
      </c>
      <c r="CD20" s="68">
        <v>2.8871419707653039</v>
      </c>
      <c r="CE20" s="68">
        <v>0.58468607738657496</v>
      </c>
      <c r="CF20" s="68"/>
      <c r="CG20" s="68">
        <f t="shared" si="46"/>
        <v>-3.5980871372349164</v>
      </c>
      <c r="CH20" s="68">
        <f>'RD T1'!E251</f>
        <v>0.913577154991846</v>
      </c>
      <c r="CI20" s="68">
        <f t="shared" si="47"/>
        <v>-2.6845099822430702</v>
      </c>
      <c r="CK20" t="str">
        <f t="shared" si="48"/>
        <v>42 Secretarial and related occupations</v>
      </c>
      <c r="CL20" s="68">
        <v>1.8811704163613527</v>
      </c>
      <c r="CM20" s="68">
        <v>1.6511459976384952</v>
      </c>
      <c r="CN20" s="68">
        <v>1.1857861166908841</v>
      </c>
      <c r="CO20" s="68">
        <v>1.6672542911935884</v>
      </c>
      <c r="CP20" s="68">
        <v>1.4417934994705661</v>
      </c>
      <c r="CQ20" s="68"/>
      <c r="CR20" s="68">
        <f t="shared" si="49"/>
        <v>0.25600738277968205</v>
      </c>
      <c r="CS20" s="68">
        <f>'RD T1'!E280</f>
        <v>0.71307605699447085</v>
      </c>
      <c r="CT20" s="68">
        <f t="shared" si="50"/>
        <v>0.9690834397741529</v>
      </c>
    </row>
    <row r="21" spans="1:98" x14ac:dyDescent="0.2">
      <c r="A21" s="10" t="str">
        <f>name!D17</f>
        <v>51 Skilled agricultural and related trades</v>
      </c>
      <c r="B21" s="68">
        <v>5.7404823845395433E-3</v>
      </c>
      <c r="C21" s="68">
        <v>1.3264745698652866E-2</v>
      </c>
      <c r="D21" s="68">
        <v>2.0714141501021091E-2</v>
      </c>
      <c r="E21" s="68">
        <v>2.2324527698019757E-2</v>
      </c>
      <c r="F21" s="68">
        <v>2.6852291658792615E-2</v>
      </c>
      <c r="G21" s="11"/>
      <c r="H21" s="68">
        <f t="shared" si="51"/>
        <v>6.1381501577715235E-3</v>
      </c>
      <c r="I21" s="68">
        <f>'RD T1'!E49</f>
        <v>1.629277700637979E-2</v>
      </c>
      <c r="J21" s="68">
        <f t="shared" si="26"/>
        <v>2.2430927164151314E-2</v>
      </c>
      <c r="L21" t="str">
        <f t="shared" si="27"/>
        <v>51 Skilled agricultural and related trades</v>
      </c>
      <c r="M21" s="68">
        <v>0.1139123890041872</v>
      </c>
      <c r="N21" s="68">
        <v>0.1202914142778745</v>
      </c>
      <c r="O21" s="68">
        <v>0.11553061827766976</v>
      </c>
      <c r="P21" s="68">
        <v>0.12462787754182482</v>
      </c>
      <c r="Q21" s="68">
        <v>0.16964711058881132</v>
      </c>
      <c r="R21" s="11"/>
      <c r="S21" s="68">
        <f t="shared" si="28"/>
        <v>5.4116492311141559E-2</v>
      </c>
      <c r="T21" s="68">
        <f>'RD T1'!E78</f>
        <v>8.2500990097166438E-2</v>
      </c>
      <c r="U21" s="68">
        <f t="shared" si="29"/>
        <v>0.13661748240830801</v>
      </c>
      <c r="W21" t="str">
        <f t="shared" si="30"/>
        <v>51 Skilled agricultural and related trades</v>
      </c>
      <c r="X21" s="68">
        <v>1.1694055992555357</v>
      </c>
      <c r="Y21" s="68">
        <v>0.86320889140704971</v>
      </c>
      <c r="Z21" s="68">
        <v>1.1069846826582888</v>
      </c>
      <c r="AA21" s="68">
        <v>1.2919839247159242</v>
      </c>
      <c r="AB21" s="68">
        <v>1.7442552966353992</v>
      </c>
      <c r="AC21" s="68"/>
      <c r="AD21" s="68">
        <f t="shared" si="31"/>
        <v>0.63727061397711049</v>
      </c>
      <c r="AE21" s="68">
        <f>'RD T1'!E107</f>
        <v>1.0023403467653194</v>
      </c>
      <c r="AF21" s="68">
        <f t="shared" si="32"/>
        <v>1.6396109607424298</v>
      </c>
      <c r="AH21" t="str">
        <f t="shared" si="33"/>
        <v>51 Skilled agricultural and related trades</v>
      </c>
      <c r="AI21" s="68">
        <v>0.68076780016001304</v>
      </c>
      <c r="AJ21" s="68">
        <v>0.57612593847365401</v>
      </c>
      <c r="AK21" s="68">
        <v>0.64228692629702844</v>
      </c>
      <c r="AL21" s="68">
        <v>0.72916764783377175</v>
      </c>
      <c r="AM21" s="68">
        <v>0.87792856185472579</v>
      </c>
      <c r="AN21" s="68"/>
      <c r="AO21" s="68">
        <f t="shared" si="34"/>
        <v>0.23564163555769735</v>
      </c>
      <c r="AP21" s="68">
        <f>'RD T1'!E136</f>
        <v>0.54788932062712459</v>
      </c>
      <c r="AQ21" s="68">
        <f t="shared" si="35"/>
        <v>0.78353095618482194</v>
      </c>
      <c r="AS21" t="str">
        <f t="shared" si="36"/>
        <v>51 Skilled agricultural and related trades</v>
      </c>
      <c r="AT21" s="68">
        <v>0.9037179657463924</v>
      </c>
      <c r="AU21" s="68">
        <v>0.69591188708757001</v>
      </c>
      <c r="AV21" s="68">
        <v>0.84237433660273675</v>
      </c>
      <c r="AW21" s="68">
        <v>0.93981367592364384</v>
      </c>
      <c r="AX21" s="68">
        <v>1.2420078367926344</v>
      </c>
      <c r="AY21" s="68"/>
      <c r="AZ21" s="68">
        <f t="shared" si="37"/>
        <v>0.39963350018989763</v>
      </c>
      <c r="BA21" s="68">
        <f>'RD T1'!E165</f>
        <v>0.67290650168210631</v>
      </c>
      <c r="BB21" s="68">
        <f t="shared" si="38"/>
        <v>1.0725400018720039</v>
      </c>
      <c r="BD21" t="str">
        <f t="shared" si="39"/>
        <v>51 Skilled agricultural and related trades</v>
      </c>
      <c r="BE21" s="68">
        <v>2.2506744867558961</v>
      </c>
      <c r="BF21" s="68">
        <v>1.5623088687664741</v>
      </c>
      <c r="BG21" s="68">
        <v>1.8637193948387611</v>
      </c>
      <c r="BH21" s="68">
        <v>1.6662479790106679</v>
      </c>
      <c r="BI21" s="68">
        <v>1.836897504086477</v>
      </c>
      <c r="BJ21" s="68"/>
      <c r="BK21" s="68">
        <f t="shared" si="40"/>
        <v>-2.6821890752284139E-2</v>
      </c>
      <c r="BL21" s="68">
        <f>'RD T1'!E194</f>
        <v>0.94119868649298155</v>
      </c>
      <c r="BM21" s="68">
        <f t="shared" si="41"/>
        <v>0.91437679574069741</v>
      </c>
      <c r="BO21" t="str">
        <f t="shared" si="42"/>
        <v>51 Skilled agricultural and related trades</v>
      </c>
      <c r="BP21" s="68">
        <v>3.6025812193275595</v>
      </c>
      <c r="BQ21" s="68">
        <v>2.9518225871582877</v>
      </c>
      <c r="BR21" s="68">
        <v>2.8571835045597793</v>
      </c>
      <c r="BS21" s="68">
        <v>2.9361221105072381</v>
      </c>
      <c r="BT21" s="68">
        <v>3.2767526271553726</v>
      </c>
      <c r="BU21" s="68"/>
      <c r="BV21" s="68">
        <f t="shared" si="43"/>
        <v>0.41956912259559331</v>
      </c>
      <c r="BW21" s="68">
        <f>'RD T1'!E223</f>
        <v>1.6083668260892134</v>
      </c>
      <c r="BX21" s="68">
        <f t="shared" si="44"/>
        <v>2.0279359486848065</v>
      </c>
      <c r="BZ21" t="str">
        <f t="shared" si="45"/>
        <v>51 Skilled agricultural and related trades</v>
      </c>
      <c r="CA21" s="68">
        <v>1.9198050198553813</v>
      </c>
      <c r="CB21" s="68">
        <v>2.1881414854917192</v>
      </c>
      <c r="CC21" s="68">
        <v>1.6209427749794105</v>
      </c>
      <c r="CD21" s="68">
        <v>1.691301974560294</v>
      </c>
      <c r="CE21" s="68">
        <v>1.892098720629672</v>
      </c>
      <c r="CF21" s="68"/>
      <c r="CG21" s="68">
        <f t="shared" si="46"/>
        <v>0.27115594565026147</v>
      </c>
      <c r="CH21" s="68">
        <f>'RD T1'!E252</f>
        <v>0.82652605913956034</v>
      </c>
      <c r="CI21" s="68">
        <f t="shared" si="47"/>
        <v>1.0976820047898217</v>
      </c>
      <c r="CK21" t="str">
        <f t="shared" si="48"/>
        <v>51 Skilled agricultural and related trades</v>
      </c>
      <c r="CL21" s="68">
        <v>1.8968147559729434</v>
      </c>
      <c r="CM21" s="68">
        <v>1.2938645217522811</v>
      </c>
      <c r="CN21" s="68">
        <v>1.2321319808509452</v>
      </c>
      <c r="CO21" s="68">
        <v>1.0634461801730597</v>
      </c>
      <c r="CP21" s="68">
        <v>0.51966498896355606</v>
      </c>
      <c r="CQ21" s="68"/>
      <c r="CR21" s="68">
        <f t="shared" si="49"/>
        <v>-0.71246699188738916</v>
      </c>
      <c r="CS21" s="68">
        <f>'RD T1'!E281</f>
        <v>0.3586842602014288</v>
      </c>
      <c r="CT21" s="68">
        <f t="shared" si="50"/>
        <v>-0.35378273168596036</v>
      </c>
    </row>
    <row r="22" spans="1:98" x14ac:dyDescent="0.2">
      <c r="A22" s="10" t="str">
        <f>name!D18</f>
        <v>52 Skilled metal, electrical and electronic trades</v>
      </c>
      <c r="B22" s="68">
        <v>3.0895114740690361E-2</v>
      </c>
      <c r="C22" s="68">
        <v>4.6219501539856669E-2</v>
      </c>
      <c r="D22" s="68">
        <v>3.3491818702344571E-2</v>
      </c>
      <c r="E22" s="68">
        <v>4.1420418819664039E-2</v>
      </c>
      <c r="F22" s="68">
        <v>5.7768809405494219E-2</v>
      </c>
      <c r="G22" s="11"/>
      <c r="H22" s="68">
        <f t="shared" si="51"/>
        <v>2.4276990703149648E-2</v>
      </c>
      <c r="I22" s="68">
        <f>'RD T1'!E50</f>
        <v>2.2923052999876334E-2</v>
      </c>
      <c r="J22" s="68">
        <f t="shared" si="26"/>
        <v>4.7200043703025982E-2</v>
      </c>
      <c r="L22" t="str">
        <f t="shared" si="27"/>
        <v>52 Skilled metal, electrical and electronic trades</v>
      </c>
      <c r="M22" s="68">
        <v>0.52182689760404022</v>
      </c>
      <c r="N22" s="68">
        <v>0.86653073197062891</v>
      </c>
      <c r="O22" s="68">
        <v>0.54116383289368886</v>
      </c>
      <c r="P22" s="68">
        <v>0.81279877404345768</v>
      </c>
      <c r="Q22" s="68">
        <v>1.1573138115785406</v>
      </c>
      <c r="R22" s="11"/>
      <c r="S22" s="68">
        <f t="shared" si="28"/>
        <v>0.61614997868485177</v>
      </c>
      <c r="T22" s="68">
        <f>'RD T1'!E79</f>
        <v>0.46085919250161905</v>
      </c>
      <c r="U22" s="68">
        <f t="shared" si="29"/>
        <v>1.0770091711864709</v>
      </c>
      <c r="W22" t="str">
        <f t="shared" si="30"/>
        <v>52 Skilled metal, electrical and electronic trades</v>
      </c>
      <c r="X22" s="68">
        <v>2.4125930721513096</v>
      </c>
      <c r="Y22" s="68">
        <v>2.1048581718144925</v>
      </c>
      <c r="Z22" s="68">
        <v>1.6179198651529529</v>
      </c>
      <c r="AA22" s="68">
        <v>2.0184544573352707</v>
      </c>
      <c r="AB22" s="68">
        <v>2.3246367330219244</v>
      </c>
      <c r="AC22" s="68"/>
      <c r="AD22" s="68">
        <f t="shared" si="31"/>
        <v>0.70671686786897148</v>
      </c>
      <c r="AE22" s="68">
        <f>'RD T1'!E108</f>
        <v>1.0190601475952394</v>
      </c>
      <c r="AF22" s="68">
        <f t="shared" si="32"/>
        <v>1.7257770154642109</v>
      </c>
      <c r="AH22" t="str">
        <f t="shared" si="33"/>
        <v>52 Skilled metal, electrical and electronic trades</v>
      </c>
      <c r="AI22" s="68">
        <v>0.8654931376062136</v>
      </c>
      <c r="AJ22" s="68">
        <v>0.71662115257755021</v>
      </c>
      <c r="AK22" s="68">
        <v>0.61539632413258527</v>
      </c>
      <c r="AL22" s="68">
        <v>0.70252720887379028</v>
      </c>
      <c r="AM22" s="68">
        <v>0.86117447983275919</v>
      </c>
      <c r="AN22" s="68"/>
      <c r="AO22" s="68">
        <f t="shared" si="34"/>
        <v>0.24577815570017392</v>
      </c>
      <c r="AP22" s="68">
        <f>'RD T1'!E137</f>
        <v>0.33993967932287161</v>
      </c>
      <c r="AQ22" s="68">
        <f t="shared" si="35"/>
        <v>0.58571783502304553</v>
      </c>
      <c r="AS22" t="str">
        <f t="shared" si="36"/>
        <v>52 Skilled metal, electrical and electronic trades</v>
      </c>
      <c r="AT22" s="68">
        <v>3.5957358455620954</v>
      </c>
      <c r="AU22" s="68">
        <v>3.037560139201914</v>
      </c>
      <c r="AV22" s="68">
        <v>2.4427358012767417</v>
      </c>
      <c r="AW22" s="68">
        <v>2.6752994964757661</v>
      </c>
      <c r="AX22" s="68">
        <v>2.7160751173590358</v>
      </c>
      <c r="AY22" s="68"/>
      <c r="AZ22" s="68">
        <f t="shared" si="37"/>
        <v>0.27333931608229411</v>
      </c>
      <c r="BA22" s="68">
        <f>'RD T1'!E166</f>
        <v>1.1751026972973959</v>
      </c>
      <c r="BB22" s="68">
        <f t="shared" si="38"/>
        <v>1.44844201337969</v>
      </c>
      <c r="BD22" t="str">
        <f t="shared" si="39"/>
        <v>52 Skilled metal, electrical and electronic trades</v>
      </c>
      <c r="BE22" s="68">
        <v>23.661871186308872</v>
      </c>
      <c r="BF22" s="68">
        <v>21.873683631878432</v>
      </c>
      <c r="BG22" s="68">
        <v>21.948244707444299</v>
      </c>
      <c r="BH22" s="68">
        <v>19.017980524401608</v>
      </c>
      <c r="BI22" s="68">
        <v>17.488641602550036</v>
      </c>
      <c r="BJ22" s="68"/>
      <c r="BK22" s="68">
        <f t="shared" si="40"/>
        <v>-4.4596031048942635</v>
      </c>
      <c r="BL22" s="68">
        <f>'RD T1'!E195</f>
        <v>6.6162614068801444</v>
      </c>
      <c r="BM22" s="68">
        <f t="shared" si="41"/>
        <v>2.1566583019858809</v>
      </c>
      <c r="BO22" t="str">
        <f t="shared" si="42"/>
        <v>52 Skilled metal, electrical and electronic trades</v>
      </c>
      <c r="BP22" s="68">
        <v>13.602363353016006</v>
      </c>
      <c r="BQ22" s="68">
        <v>12.965955401414334</v>
      </c>
      <c r="BR22" s="68">
        <v>10.421197953181135</v>
      </c>
      <c r="BS22" s="68">
        <v>10.27979330783622</v>
      </c>
      <c r="BT22" s="68">
        <v>9.1591721127340726</v>
      </c>
      <c r="BU22" s="68"/>
      <c r="BV22" s="68">
        <f t="shared" si="43"/>
        <v>-1.2620258404470626</v>
      </c>
      <c r="BW22" s="68">
        <f>'RD T1'!E224</f>
        <v>3.5127231126751792</v>
      </c>
      <c r="BX22" s="68">
        <f t="shared" si="44"/>
        <v>2.2506972722281167</v>
      </c>
      <c r="BZ22" t="str">
        <f t="shared" si="45"/>
        <v>52 Skilled metal, electrical and electronic trades</v>
      </c>
      <c r="CA22" s="68">
        <v>4.8499677096436118</v>
      </c>
      <c r="CB22" s="68">
        <v>6.5567737850504804</v>
      </c>
      <c r="CC22" s="68">
        <v>3.5561283631414318</v>
      </c>
      <c r="CD22" s="68">
        <v>3.6430882533807374</v>
      </c>
      <c r="CE22" s="68">
        <v>1.8389182159062538</v>
      </c>
      <c r="CF22" s="68"/>
      <c r="CG22" s="68">
        <f t="shared" si="46"/>
        <v>-1.717210147235178</v>
      </c>
      <c r="CH22" s="68">
        <f>'RD T1'!E253</f>
        <v>1.0922114247657806</v>
      </c>
      <c r="CI22" s="68">
        <f t="shared" si="47"/>
        <v>-0.62499872246939736</v>
      </c>
      <c r="CK22" t="str">
        <f t="shared" si="48"/>
        <v>52 Skilled metal, electrical and electronic trades</v>
      </c>
      <c r="CL22" s="68">
        <v>2.2062752258354066</v>
      </c>
      <c r="CM22" s="68">
        <v>1.9752997143980968</v>
      </c>
      <c r="CN22" s="68">
        <v>1.4314715778577956</v>
      </c>
      <c r="CO22" s="68">
        <v>1.2065822526386158</v>
      </c>
      <c r="CP22" s="68">
        <v>0.86934628851503493</v>
      </c>
      <c r="CQ22" s="68"/>
      <c r="CR22" s="68">
        <f t="shared" si="49"/>
        <v>-0.56212528934276063</v>
      </c>
      <c r="CS22" s="68">
        <f>'RD T1'!E282</f>
        <v>0.41745273535389082</v>
      </c>
      <c r="CT22" s="68">
        <f t="shared" si="50"/>
        <v>-0.1446725539888698</v>
      </c>
    </row>
    <row r="23" spans="1:98" x14ac:dyDescent="0.2">
      <c r="A23" s="10" t="str">
        <f>name!D19</f>
        <v>53 Skilled construction and building trades</v>
      </c>
      <c r="B23" s="68">
        <v>1.0532354628777215E-2</v>
      </c>
      <c r="C23" s="68">
        <v>1.1214372577873982E-2</v>
      </c>
      <c r="D23" s="68">
        <v>6.681425236982081E-3</v>
      </c>
      <c r="E23" s="68">
        <v>1.1572349329439366E-2</v>
      </c>
      <c r="F23" s="68">
        <v>1.2995004146545254E-2</v>
      </c>
      <c r="G23" s="11"/>
      <c r="H23" s="68">
        <f t="shared" si="51"/>
        <v>6.3135789095631733E-3</v>
      </c>
      <c r="I23" s="68">
        <f>'RD T1'!E51</f>
        <v>5.6117193063646405E-3</v>
      </c>
      <c r="J23" s="68">
        <f t="shared" si="26"/>
        <v>1.1925298215927815E-2</v>
      </c>
      <c r="L23" t="str">
        <f t="shared" si="27"/>
        <v>53 Skilled construction and building trades</v>
      </c>
      <c r="M23" s="68">
        <v>0.28467450089175123</v>
      </c>
      <c r="N23" s="68">
        <v>0.3644611502720202</v>
      </c>
      <c r="O23" s="68">
        <v>0.22999050178573263</v>
      </c>
      <c r="P23" s="68">
        <v>0.31529904200764841</v>
      </c>
      <c r="Q23" s="68">
        <v>0.41565395987560527</v>
      </c>
      <c r="R23" s="11"/>
      <c r="S23" s="68">
        <f t="shared" si="28"/>
        <v>0.18566345808987264</v>
      </c>
      <c r="T23" s="68">
        <f>'RD T1'!E80</f>
        <v>0.18644672705639487</v>
      </c>
      <c r="U23" s="68">
        <f t="shared" si="29"/>
        <v>0.37211018514626748</v>
      </c>
      <c r="W23" t="str">
        <f t="shared" si="30"/>
        <v>53 Skilled construction and building trades</v>
      </c>
      <c r="X23" s="68">
        <v>1.0957596204382813</v>
      </c>
      <c r="Y23" s="68">
        <v>0.96772596720452009</v>
      </c>
      <c r="Z23" s="68">
        <v>0.74491386600680587</v>
      </c>
      <c r="AA23" s="68">
        <v>0.91973848845267192</v>
      </c>
      <c r="AB23" s="68">
        <v>0.93759105996580683</v>
      </c>
      <c r="AC23" s="68"/>
      <c r="AD23" s="68">
        <f t="shared" si="31"/>
        <v>0.19267719395900096</v>
      </c>
      <c r="AE23" s="68">
        <f>'RD T1'!E109</f>
        <v>0.47290275077905064</v>
      </c>
      <c r="AF23" s="68">
        <f t="shared" si="32"/>
        <v>0.6655799447380516</v>
      </c>
      <c r="AH23" t="str">
        <f t="shared" si="33"/>
        <v>53 Skilled construction and building trades</v>
      </c>
      <c r="AI23" s="68">
        <v>0.72580207330702606</v>
      </c>
      <c r="AJ23" s="68">
        <v>0.69295321080060668</v>
      </c>
      <c r="AK23" s="68">
        <v>0.56808737042480173</v>
      </c>
      <c r="AL23" s="68">
        <v>0.67143257582707749</v>
      </c>
      <c r="AM23" s="68">
        <v>0.72164406640392254</v>
      </c>
      <c r="AN23" s="68"/>
      <c r="AO23" s="68">
        <f t="shared" si="34"/>
        <v>0.15355669597912081</v>
      </c>
      <c r="AP23" s="68">
        <f>'RD T1'!E138</f>
        <v>0.37218560546401036</v>
      </c>
      <c r="AQ23" s="68">
        <f t="shared" si="35"/>
        <v>0.52574230144313117</v>
      </c>
      <c r="AS23" t="str">
        <f t="shared" si="36"/>
        <v>53 Skilled construction and building trades</v>
      </c>
      <c r="AT23" s="68">
        <v>1.014274667938019</v>
      </c>
      <c r="AU23" s="68">
        <v>0.9859377619557107</v>
      </c>
      <c r="AV23" s="68">
        <v>0.8125485989585931</v>
      </c>
      <c r="AW23" s="68">
        <v>1.0265076709222514</v>
      </c>
      <c r="AX23" s="68">
        <v>1.1022863497356625</v>
      </c>
      <c r="AY23" s="68"/>
      <c r="AZ23" s="68">
        <f t="shared" si="37"/>
        <v>0.28973775077706942</v>
      </c>
      <c r="BA23" s="68">
        <f>'RD T1'!E167</f>
        <v>0.56779663798118651</v>
      </c>
      <c r="BB23" s="68">
        <f t="shared" si="38"/>
        <v>0.85753438875825594</v>
      </c>
      <c r="BD23" t="str">
        <f t="shared" si="39"/>
        <v>53 Skilled construction and building trades</v>
      </c>
      <c r="BE23" s="68">
        <v>16.2132713305562</v>
      </c>
      <c r="BF23" s="68">
        <v>15.798797580298462</v>
      </c>
      <c r="BG23" s="68">
        <v>15.238836806809019</v>
      </c>
      <c r="BH23" s="68">
        <v>13.071247546712039</v>
      </c>
      <c r="BI23" s="68">
        <v>11.199327357022915</v>
      </c>
      <c r="BJ23" s="68"/>
      <c r="BK23" s="68">
        <f t="shared" si="40"/>
        <v>-4.0395094497861042</v>
      </c>
      <c r="BL23" s="68">
        <f>'RD T1'!E196</f>
        <v>4.8960766829313442</v>
      </c>
      <c r="BM23" s="68">
        <f t="shared" si="41"/>
        <v>0.85656723314524008</v>
      </c>
      <c r="BO23" t="str">
        <f t="shared" si="42"/>
        <v>53 Skilled construction and building trades</v>
      </c>
      <c r="BP23" s="68">
        <v>14.085228929436271</v>
      </c>
      <c r="BQ23" s="68">
        <v>15.51164692661296</v>
      </c>
      <c r="BR23" s="68">
        <v>12.438789199107134</v>
      </c>
      <c r="BS23" s="68">
        <v>13.873794283296615</v>
      </c>
      <c r="BT23" s="68">
        <v>14.296877226520273</v>
      </c>
      <c r="BU23" s="68"/>
      <c r="BV23" s="68">
        <f t="shared" si="43"/>
        <v>1.8580880274131388</v>
      </c>
      <c r="BW23" s="68">
        <f>'RD T1'!E225</f>
        <v>5.963358024530037</v>
      </c>
      <c r="BX23" s="68">
        <f t="shared" si="44"/>
        <v>7.8214460519431759</v>
      </c>
      <c r="BZ23" t="str">
        <f t="shared" si="45"/>
        <v>53 Skilled construction and building trades</v>
      </c>
      <c r="CA23" s="68">
        <v>4.9973235776261058</v>
      </c>
      <c r="CB23" s="68">
        <v>7.3782676307541371</v>
      </c>
      <c r="CC23" s="68">
        <v>3.9224484828155646</v>
      </c>
      <c r="CD23" s="68">
        <v>4.2353180076114416</v>
      </c>
      <c r="CE23" s="68">
        <v>2.9957347088111748</v>
      </c>
      <c r="CF23" s="68"/>
      <c r="CG23" s="68">
        <f t="shared" si="46"/>
        <v>-0.92671377400438981</v>
      </c>
      <c r="CH23" s="68">
        <f>'RD T1'!E254</f>
        <v>1.5174708134813888</v>
      </c>
      <c r="CI23" s="68">
        <f t="shared" si="47"/>
        <v>0.59075703947699898</v>
      </c>
      <c r="CK23" t="str">
        <f t="shared" si="48"/>
        <v>53 Skilled construction and building trades</v>
      </c>
      <c r="CL23" s="68">
        <v>2.9922832841062985</v>
      </c>
      <c r="CM23" s="68">
        <v>2.9581885945543327</v>
      </c>
      <c r="CN23" s="68">
        <v>2.0768065127125173</v>
      </c>
      <c r="CO23" s="68">
        <v>1.3637322467160724</v>
      </c>
      <c r="CP23" s="68">
        <v>0.27864728431028052</v>
      </c>
      <c r="CQ23" s="68"/>
      <c r="CR23" s="68">
        <f t="shared" si="49"/>
        <v>-1.7981592284022367</v>
      </c>
      <c r="CS23" s="68">
        <f>'RD T1'!E283</f>
        <v>0.32885773119593664</v>
      </c>
      <c r="CT23" s="68">
        <f t="shared" si="50"/>
        <v>-1.4693014972063001</v>
      </c>
    </row>
    <row r="24" spans="1:98" x14ac:dyDescent="0.2">
      <c r="A24" s="10" t="str">
        <f>name!D20</f>
        <v>54 Textiles, printing and other skilled trades</v>
      </c>
      <c r="B24" s="68">
        <v>7.1122929700293047E-2</v>
      </c>
      <c r="C24" s="68">
        <v>6.9599664570484041E-2</v>
      </c>
      <c r="D24" s="68">
        <v>5.3012448264189181E-2</v>
      </c>
      <c r="E24" s="68">
        <v>6.5859056156147969E-2</v>
      </c>
      <c r="F24" s="68">
        <v>8.2581271834001754E-2</v>
      </c>
      <c r="G24" s="11"/>
      <c r="H24" s="68">
        <f t="shared" si="51"/>
        <v>2.9568823569812573E-2</v>
      </c>
      <c r="I24" s="68">
        <f>'RD T1'!E52</f>
        <v>4.1691455237716141E-2</v>
      </c>
      <c r="J24" s="68">
        <f t="shared" si="26"/>
        <v>7.1260278807528721E-2</v>
      </c>
      <c r="L24" t="str">
        <f t="shared" si="27"/>
        <v>54 Textiles, printing and other skilled trades</v>
      </c>
      <c r="M24" s="68">
        <v>0.47530683776364274</v>
      </c>
      <c r="N24" s="68">
        <v>0.56332704251858867</v>
      </c>
      <c r="O24" s="68">
        <v>0.55251932647405111</v>
      </c>
      <c r="P24" s="68">
        <v>0.68144385942735819</v>
      </c>
      <c r="Q24" s="68">
        <v>0.89794638271411242</v>
      </c>
      <c r="R24" s="11"/>
      <c r="S24" s="68">
        <f t="shared" si="28"/>
        <v>0.34542705624006131</v>
      </c>
      <c r="T24" s="68">
        <f>'RD T1'!E81</f>
        <v>0.45920046922724422</v>
      </c>
      <c r="U24" s="68">
        <f t="shared" si="29"/>
        <v>0.80462752546730554</v>
      </c>
      <c r="W24" t="str">
        <f t="shared" si="30"/>
        <v>54 Textiles, printing and other skilled trades</v>
      </c>
      <c r="X24" s="68">
        <v>1.8871102425343969</v>
      </c>
      <c r="Y24" s="68">
        <v>1.7393572687025685</v>
      </c>
      <c r="Z24" s="68">
        <v>1.6035220685378988</v>
      </c>
      <c r="AA24" s="68">
        <v>1.9859796217562109</v>
      </c>
      <c r="AB24" s="68">
        <v>2.4517437977763459</v>
      </c>
      <c r="AC24" s="68"/>
      <c r="AD24" s="68">
        <f t="shared" si="31"/>
        <v>0.84822172923844708</v>
      </c>
      <c r="AE24" s="68">
        <f>'RD T1'!E110</f>
        <v>1.2882673222867835</v>
      </c>
      <c r="AF24" s="68">
        <f t="shared" si="32"/>
        <v>2.1364890515252304</v>
      </c>
      <c r="AH24" t="str">
        <f t="shared" si="33"/>
        <v>54 Textiles, printing and other skilled trades</v>
      </c>
      <c r="AI24" s="68">
        <v>0.75404344244243493</v>
      </c>
      <c r="AJ24" s="68">
        <v>0.68158268542510914</v>
      </c>
      <c r="AK24" s="68">
        <v>0.79349437513100995</v>
      </c>
      <c r="AL24" s="68">
        <v>0.90434446815132308</v>
      </c>
      <c r="AM24" s="68">
        <v>1.2601341449004482</v>
      </c>
      <c r="AN24" s="68"/>
      <c r="AO24" s="68">
        <f t="shared" si="34"/>
        <v>0.46663976976943822</v>
      </c>
      <c r="AP24" s="68">
        <f>'RD T1'!E139</f>
        <v>0.63931761917218044</v>
      </c>
      <c r="AQ24" s="68">
        <f t="shared" si="35"/>
        <v>1.1059573889416185</v>
      </c>
      <c r="AS24" t="str">
        <f t="shared" si="36"/>
        <v>54 Textiles, printing and other skilled trades</v>
      </c>
      <c r="AT24" s="68">
        <v>0.77607070512848575</v>
      </c>
      <c r="AU24" s="68">
        <v>0.63948116728046833</v>
      </c>
      <c r="AV24" s="68">
        <v>0.65893525901041539</v>
      </c>
      <c r="AW24" s="68">
        <v>0.74366495220518447</v>
      </c>
      <c r="AX24" s="68">
        <v>0.80177282403003347</v>
      </c>
      <c r="AY24" s="68"/>
      <c r="AZ24" s="68">
        <f t="shared" si="37"/>
        <v>0.14283756501961808</v>
      </c>
      <c r="BA24" s="68">
        <f>'RD T1'!E168</f>
        <v>0.44106156428971333</v>
      </c>
      <c r="BB24" s="68">
        <f t="shared" si="38"/>
        <v>0.58389912930933141</v>
      </c>
      <c r="BD24" t="str">
        <f t="shared" si="39"/>
        <v>54 Textiles, printing and other skilled trades</v>
      </c>
      <c r="BE24" s="68">
        <v>6.6884475513848081</v>
      </c>
      <c r="BF24" s="68">
        <v>5.5757111034571851</v>
      </c>
      <c r="BG24" s="68">
        <v>5.8390323758596567</v>
      </c>
      <c r="BH24" s="68">
        <v>5.9653067694008488</v>
      </c>
      <c r="BI24" s="68">
        <v>6.4952715729288935</v>
      </c>
      <c r="BJ24" s="68"/>
      <c r="BK24" s="68">
        <f t="shared" si="40"/>
        <v>0.65623919706923672</v>
      </c>
      <c r="BL24" s="68">
        <f>'RD T1'!E197</f>
        <v>2.7259098439484051</v>
      </c>
      <c r="BM24" s="68">
        <f t="shared" si="41"/>
        <v>3.3821490410176418</v>
      </c>
      <c r="BO24" t="str">
        <f t="shared" si="42"/>
        <v>54 Textiles, printing and other skilled trades</v>
      </c>
      <c r="BP24" s="68">
        <v>7.4826604278026467</v>
      </c>
      <c r="BQ24" s="68">
        <v>6.2698086575243748</v>
      </c>
      <c r="BR24" s="68">
        <v>6.1806281704023673</v>
      </c>
      <c r="BS24" s="68">
        <v>5.2770161462306362</v>
      </c>
      <c r="BT24" s="68">
        <v>4.570855921261705</v>
      </c>
      <c r="BU24" s="68"/>
      <c r="BV24" s="68">
        <f t="shared" si="43"/>
        <v>-1.6097722491406623</v>
      </c>
      <c r="BW24" s="68">
        <f>'RD T1'!E226</f>
        <v>2.0053488770571852</v>
      </c>
      <c r="BX24" s="68">
        <f t="shared" si="44"/>
        <v>0.39557662791652293</v>
      </c>
      <c r="BZ24" t="str">
        <f t="shared" si="45"/>
        <v>54 Textiles, printing and other skilled trades</v>
      </c>
      <c r="CA24" s="68">
        <v>4.4844597223717564</v>
      </c>
      <c r="CB24" s="68">
        <v>4.563043999728996</v>
      </c>
      <c r="CC24" s="68">
        <v>3.6205818958702016</v>
      </c>
      <c r="CD24" s="68">
        <v>3.5292146863629226</v>
      </c>
      <c r="CE24" s="68">
        <v>2.2695115184306047</v>
      </c>
      <c r="CF24" s="68"/>
      <c r="CG24" s="68">
        <f t="shared" si="46"/>
        <v>-1.3510703774395969</v>
      </c>
      <c r="CH24" s="68">
        <f>'RD T1'!E255</f>
        <v>1.147329889746469</v>
      </c>
      <c r="CI24" s="68">
        <f t="shared" si="47"/>
        <v>-0.20374048769312791</v>
      </c>
      <c r="CK24" t="str">
        <f t="shared" si="48"/>
        <v>54 Textiles, printing and other skilled trades</v>
      </c>
      <c r="CL24" s="68">
        <v>2.7674195320062993</v>
      </c>
      <c r="CM24" s="68">
        <v>2.2491456641027607</v>
      </c>
      <c r="CN24" s="68">
        <v>1.7918770422764945</v>
      </c>
      <c r="CO24" s="68">
        <v>1.4963999336957476</v>
      </c>
      <c r="CP24" s="68">
        <v>1.1776376405645028</v>
      </c>
      <c r="CQ24" s="68"/>
      <c r="CR24" s="68">
        <f t="shared" si="49"/>
        <v>-0.61423940171199165</v>
      </c>
      <c r="CS24" s="68">
        <f>'RD T1'!E284</f>
        <v>0.49850933092253508</v>
      </c>
      <c r="CT24" s="68">
        <f t="shared" si="50"/>
        <v>-0.11573007078945657</v>
      </c>
    </row>
    <row r="25" spans="1:98" x14ac:dyDescent="0.2">
      <c r="A25" s="10" t="str">
        <f>name!D21</f>
        <v>61 Caring personal service occupations</v>
      </c>
      <c r="B25" s="68">
        <v>4.6571091176389294E-2</v>
      </c>
      <c r="C25" s="68">
        <v>5.5958658247945992E-2</v>
      </c>
      <c r="D25" s="68">
        <v>4.5692767854246565E-2</v>
      </c>
      <c r="E25" s="68">
        <v>5.8180974379158618E-2</v>
      </c>
      <c r="F25" s="68">
        <v>7.3624765334773995E-2</v>
      </c>
      <c r="G25" s="11"/>
      <c r="H25" s="68">
        <f t="shared" si="51"/>
        <v>2.793199748052743E-2</v>
      </c>
      <c r="I25" s="68">
        <f>'RD T1'!E53</f>
        <v>3.8039401745027478E-2</v>
      </c>
      <c r="J25" s="68">
        <f t="shared" si="26"/>
        <v>6.5971399225554908E-2</v>
      </c>
      <c r="L25" t="str">
        <f t="shared" si="27"/>
        <v>61 Caring personal service occupations</v>
      </c>
      <c r="M25" s="68">
        <v>2.3727099486627123</v>
      </c>
      <c r="N25" s="68">
        <v>3.1385645478290205</v>
      </c>
      <c r="O25" s="68">
        <v>2.5542324352182555</v>
      </c>
      <c r="P25" s="68">
        <v>3.1734792058317942</v>
      </c>
      <c r="Q25" s="68">
        <v>3.9001145946503644</v>
      </c>
      <c r="R25" s="11"/>
      <c r="S25" s="68">
        <f t="shared" si="28"/>
        <v>1.3458821594321089</v>
      </c>
      <c r="T25" s="68">
        <f>'RD T1'!E82</f>
        <v>2.1597081434729568</v>
      </c>
      <c r="U25" s="68">
        <f t="shared" si="29"/>
        <v>3.5055903029050657</v>
      </c>
      <c r="W25" t="str">
        <f t="shared" si="30"/>
        <v>61 Caring personal service occupations</v>
      </c>
      <c r="X25" s="68">
        <v>8.5523610725552679</v>
      </c>
      <c r="Y25" s="68">
        <v>9.0593577721308431</v>
      </c>
      <c r="Z25" s="68">
        <v>9.4430764351144312</v>
      </c>
      <c r="AA25" s="68">
        <v>11.21758774279534</v>
      </c>
      <c r="AB25" s="68">
        <v>14.298705487772583</v>
      </c>
      <c r="AC25" s="68"/>
      <c r="AD25" s="68">
        <f t="shared" si="31"/>
        <v>4.855629052658152</v>
      </c>
      <c r="AE25" s="68">
        <f>'RD T1'!E111</f>
        <v>7.9761980833458388</v>
      </c>
      <c r="AF25" s="68">
        <f t="shared" si="32"/>
        <v>12.831827136003991</v>
      </c>
      <c r="AH25" t="str">
        <f t="shared" si="33"/>
        <v>61 Caring personal service occupations</v>
      </c>
      <c r="AI25" s="68">
        <v>7.8653591286332043</v>
      </c>
      <c r="AJ25" s="68">
        <v>7.1008444571382006</v>
      </c>
      <c r="AK25" s="68">
        <v>7.8620290248956666</v>
      </c>
      <c r="AL25" s="68">
        <v>8.1432637139225683</v>
      </c>
      <c r="AM25" s="68">
        <v>8.8535047693325897</v>
      </c>
      <c r="AN25" s="68"/>
      <c r="AO25" s="68">
        <f t="shared" si="34"/>
        <v>0.9914757444369231</v>
      </c>
      <c r="AP25" s="68">
        <f>'RD T1'!E140</f>
        <v>4.9417634619921262</v>
      </c>
      <c r="AQ25" s="68">
        <f t="shared" si="35"/>
        <v>5.9332392064290493</v>
      </c>
      <c r="AS25" t="str">
        <f t="shared" si="36"/>
        <v>61 Caring personal service occupations</v>
      </c>
      <c r="AT25" s="68">
        <v>4.123904294568999</v>
      </c>
      <c r="AU25" s="68">
        <v>3.9959631071140502</v>
      </c>
      <c r="AV25" s="68">
        <v>4.3612505613393644</v>
      </c>
      <c r="AW25" s="68">
        <v>4.5972762960718088</v>
      </c>
      <c r="AX25" s="68">
        <v>5.0978433012891031</v>
      </c>
      <c r="AY25" s="68"/>
      <c r="AZ25" s="68">
        <f t="shared" si="37"/>
        <v>0.73659273994973873</v>
      </c>
      <c r="BA25" s="68">
        <f>'RD T1'!E169</f>
        <v>2.9070281780392091</v>
      </c>
      <c r="BB25" s="68">
        <f t="shared" si="38"/>
        <v>3.6436209179889478</v>
      </c>
      <c r="BD25" t="str">
        <f t="shared" si="39"/>
        <v>61 Caring personal service occupations</v>
      </c>
      <c r="BE25" s="68">
        <v>30.828500978961586</v>
      </c>
      <c r="BF25" s="68">
        <v>32.01481645488704</v>
      </c>
      <c r="BG25" s="68">
        <v>33.408529395312783</v>
      </c>
      <c r="BH25" s="68">
        <v>39.232281700873017</v>
      </c>
      <c r="BI25" s="68">
        <v>44.994284180842833</v>
      </c>
      <c r="BJ25" s="68"/>
      <c r="BK25" s="68">
        <f t="shared" si="40"/>
        <v>11.58575478553005</v>
      </c>
      <c r="BL25" s="68">
        <f>'RD T1'!E198</f>
        <v>23.587991945015954</v>
      </c>
      <c r="BM25" s="68">
        <f t="shared" si="41"/>
        <v>35.173746730546</v>
      </c>
      <c r="BO25" t="str">
        <f t="shared" si="42"/>
        <v>61 Caring personal service occupations</v>
      </c>
      <c r="BP25" s="68">
        <v>26.494238314627992</v>
      </c>
      <c r="BQ25" s="68">
        <v>22.693953281419159</v>
      </c>
      <c r="BR25" s="68">
        <v>23.622583714023992</v>
      </c>
      <c r="BS25" s="68">
        <v>21.794156989081419</v>
      </c>
      <c r="BT25" s="68">
        <v>16.015125970973038</v>
      </c>
      <c r="BU25" s="68"/>
      <c r="BV25" s="68">
        <f t="shared" si="43"/>
        <v>-7.6074577430509542</v>
      </c>
      <c r="BW25" s="68">
        <f>'RD T1'!E227</f>
        <v>9.726434461270717</v>
      </c>
      <c r="BX25" s="68">
        <f t="shared" si="44"/>
        <v>2.1189767182197627</v>
      </c>
      <c r="BZ25" t="str">
        <f t="shared" si="45"/>
        <v>61 Caring personal service occupations</v>
      </c>
      <c r="CA25" s="68">
        <v>7.1618067638391913</v>
      </c>
      <c r="CB25" s="68">
        <v>3.7568672844394397</v>
      </c>
      <c r="CC25" s="68">
        <v>3.0454727328640985</v>
      </c>
      <c r="CD25" s="68">
        <v>2.3242328192160375</v>
      </c>
      <c r="CE25" s="68">
        <v>1.8797815958205033</v>
      </c>
      <c r="CF25" s="68"/>
      <c r="CG25" s="68">
        <f t="shared" si="46"/>
        <v>-1.1656911370435952</v>
      </c>
      <c r="CH25" s="68">
        <f>'RD T1'!E256</f>
        <v>0.74224996916503838</v>
      </c>
      <c r="CI25" s="68">
        <f t="shared" si="47"/>
        <v>-0.42344116787855679</v>
      </c>
      <c r="CK25" t="str">
        <f t="shared" si="48"/>
        <v>61 Caring personal service occupations</v>
      </c>
      <c r="CL25" s="68">
        <v>1.2394595064870966</v>
      </c>
      <c r="CM25" s="68">
        <v>1.1248790906083543</v>
      </c>
      <c r="CN25" s="68">
        <v>0.92657072032669718</v>
      </c>
      <c r="CO25" s="68">
        <v>1.020620327884223</v>
      </c>
      <c r="CP25" s="68">
        <v>0.95759014820722776</v>
      </c>
      <c r="CQ25" s="68"/>
      <c r="CR25" s="68">
        <f t="shared" si="49"/>
        <v>3.1019427880530581E-2</v>
      </c>
      <c r="CS25" s="68">
        <f>'RD T1'!E285</f>
        <v>0.30468663424716202</v>
      </c>
      <c r="CT25" s="68">
        <f t="shared" si="50"/>
        <v>0.33570606212769261</v>
      </c>
    </row>
    <row r="26" spans="1:98" x14ac:dyDescent="0.2">
      <c r="A26" s="10" t="str">
        <f>name!D22</f>
        <v>62 Leisure, travel and related personal service occupations</v>
      </c>
      <c r="B26" s="68">
        <v>2.5530176068019304E-2</v>
      </c>
      <c r="C26" s="68">
        <v>2.3836539317634055E-2</v>
      </c>
      <c r="D26" s="68">
        <v>2.8020851120402198E-2</v>
      </c>
      <c r="E26" s="68">
        <v>3.6710387256326159E-2</v>
      </c>
      <c r="F26" s="68">
        <v>5.4397497479410445E-2</v>
      </c>
      <c r="G26" s="11"/>
      <c r="H26" s="68">
        <f t="shared" si="51"/>
        <v>2.6376646359008247E-2</v>
      </c>
      <c r="I26" s="68">
        <f>'RD T1'!E54</f>
        <v>2.4302653924350794E-2</v>
      </c>
      <c r="J26" s="68">
        <f t="shared" si="26"/>
        <v>5.0679300283359041E-2</v>
      </c>
      <c r="L26" t="str">
        <f t="shared" si="27"/>
        <v>62 Leisure, travel and related personal service occupations</v>
      </c>
      <c r="M26" s="68">
        <v>0.4478399568980318</v>
      </c>
      <c r="N26" s="68">
        <v>0.67259902778302938</v>
      </c>
      <c r="O26" s="68">
        <v>0.49292734036959007</v>
      </c>
      <c r="P26" s="68">
        <v>0.58732796945354981</v>
      </c>
      <c r="Q26" s="68">
        <v>0.73429912404928011</v>
      </c>
      <c r="R26" s="11"/>
      <c r="S26" s="68">
        <f t="shared" si="28"/>
        <v>0.24137178367969003</v>
      </c>
      <c r="T26" s="68">
        <f>'RD T1'!E83</f>
        <v>0.39128801847799555</v>
      </c>
      <c r="U26" s="68">
        <f t="shared" si="29"/>
        <v>0.63265980215768558</v>
      </c>
      <c r="W26" t="str">
        <f t="shared" si="30"/>
        <v>62 Leisure, travel and related personal service occupations</v>
      </c>
      <c r="X26" s="68">
        <v>2.0505533188147327</v>
      </c>
      <c r="Y26" s="68">
        <v>2.4239468840677194</v>
      </c>
      <c r="Z26" s="68">
        <v>2.4534037666850987</v>
      </c>
      <c r="AA26" s="68">
        <v>2.9849467326750418</v>
      </c>
      <c r="AB26" s="68">
        <v>4.1214934523087372</v>
      </c>
      <c r="AC26" s="68"/>
      <c r="AD26" s="68">
        <f t="shared" si="31"/>
        <v>1.6680896856236385</v>
      </c>
      <c r="AE26" s="68">
        <f>'RD T1'!E112</f>
        <v>2.1159101149152795</v>
      </c>
      <c r="AF26" s="68">
        <f t="shared" si="32"/>
        <v>3.7839998005389179</v>
      </c>
      <c r="AH26" t="str">
        <f t="shared" si="33"/>
        <v>62 Leisure, travel and related personal service occupations</v>
      </c>
      <c r="AI26" s="68">
        <v>1.3270532181970545</v>
      </c>
      <c r="AJ26" s="68">
        <v>1.5819413822418107</v>
      </c>
      <c r="AK26" s="68">
        <v>1.6660392157782009</v>
      </c>
      <c r="AL26" s="68">
        <v>1.928121317502232</v>
      </c>
      <c r="AM26" s="68">
        <v>2.8121182801978382</v>
      </c>
      <c r="AN26" s="68"/>
      <c r="AO26" s="68">
        <f t="shared" si="34"/>
        <v>1.1460790644196373</v>
      </c>
      <c r="AP26" s="68">
        <f>'RD T1'!E141</f>
        <v>1.4199020949728278</v>
      </c>
      <c r="AQ26" s="68">
        <f t="shared" si="35"/>
        <v>2.5659811593924653</v>
      </c>
      <c r="AS26" t="str">
        <f t="shared" si="36"/>
        <v>62 Leisure, travel and related personal service occupations</v>
      </c>
      <c r="AT26" s="68">
        <v>1.5819982320524297</v>
      </c>
      <c r="AU26" s="68">
        <v>1.9447058636172305</v>
      </c>
      <c r="AV26" s="68">
        <v>2.1333460165973266</v>
      </c>
      <c r="AW26" s="68">
        <v>2.4898689813106447</v>
      </c>
      <c r="AX26" s="68">
        <v>3.5874168696282873</v>
      </c>
      <c r="AY26" s="68"/>
      <c r="AZ26" s="68">
        <f t="shared" si="37"/>
        <v>1.4540708530309607</v>
      </c>
      <c r="BA26" s="68">
        <f>'RD T1'!E170</f>
        <v>1.7707593064091425</v>
      </c>
      <c r="BB26" s="68">
        <f t="shared" si="38"/>
        <v>3.2248301594401032</v>
      </c>
      <c r="BD26" t="str">
        <f t="shared" si="39"/>
        <v>62 Leisure, travel and related personal service occupations</v>
      </c>
      <c r="BE26" s="68">
        <v>7.0039965238866628</v>
      </c>
      <c r="BF26" s="68">
        <v>7.3877359638953219</v>
      </c>
      <c r="BG26" s="68">
        <v>7.1710502961785467</v>
      </c>
      <c r="BH26" s="68">
        <v>7.1943280022936777</v>
      </c>
      <c r="BI26" s="68">
        <v>7.6633451575638043</v>
      </c>
      <c r="BJ26" s="68"/>
      <c r="BK26" s="68">
        <f t="shared" si="40"/>
        <v>0.49229486138525758</v>
      </c>
      <c r="BL26" s="68">
        <f>'RD T1'!E199</f>
        <v>3.4568239550025428</v>
      </c>
      <c r="BM26" s="68">
        <f t="shared" si="41"/>
        <v>3.9491188163878004</v>
      </c>
      <c r="BO26" t="str">
        <f t="shared" si="42"/>
        <v>62 Leisure, travel and related personal service occupations</v>
      </c>
      <c r="BP26" s="68">
        <v>7.8158978586101897</v>
      </c>
      <c r="BQ26" s="68">
        <v>7.8150004969902032</v>
      </c>
      <c r="BR26" s="68">
        <v>7.210731438562453</v>
      </c>
      <c r="BS26" s="68">
        <v>6.2469385876683541</v>
      </c>
      <c r="BT26" s="68">
        <v>4.9881237778383873</v>
      </c>
      <c r="BU26" s="68"/>
      <c r="BV26" s="68">
        <f t="shared" si="43"/>
        <v>-2.2226076607240657</v>
      </c>
      <c r="BW26" s="68">
        <f>'RD T1'!E228</f>
        <v>2.7172134581428629</v>
      </c>
      <c r="BX26" s="68">
        <f t="shared" si="44"/>
        <v>0.49460579741879718</v>
      </c>
      <c r="BZ26" t="str">
        <f t="shared" si="45"/>
        <v>62 Leisure, travel and related personal service occupations</v>
      </c>
      <c r="CA26" s="68">
        <v>4.6234413302001283</v>
      </c>
      <c r="CB26" s="68">
        <v>4.764223795755985</v>
      </c>
      <c r="CC26" s="68">
        <v>4.0578096956496088</v>
      </c>
      <c r="CD26" s="68">
        <v>3.8650442430949452</v>
      </c>
      <c r="CE26" s="68">
        <v>2.5034374792574594</v>
      </c>
      <c r="CF26" s="68"/>
      <c r="CG26" s="68">
        <f t="shared" si="46"/>
        <v>-1.5543722163921494</v>
      </c>
      <c r="CH26" s="68">
        <f>'RD T1'!E257</f>
        <v>1.4130670816097417</v>
      </c>
      <c r="CI26" s="68">
        <f t="shared" si="47"/>
        <v>-0.14130513478240769</v>
      </c>
      <c r="CK26" t="str">
        <f t="shared" si="48"/>
        <v>62 Leisure, travel and related personal service occupations</v>
      </c>
      <c r="CL26" s="68">
        <v>2.5288621027182283</v>
      </c>
      <c r="CM26" s="68">
        <v>1.9531787977232529</v>
      </c>
      <c r="CN26" s="68">
        <v>1.3959053835322632</v>
      </c>
      <c r="CO26" s="68">
        <v>1.1605757217795762</v>
      </c>
      <c r="CP26" s="68">
        <v>0.88112702374737484</v>
      </c>
      <c r="CQ26" s="68"/>
      <c r="CR26" s="68">
        <f t="shared" si="49"/>
        <v>-0.5147783597848884</v>
      </c>
      <c r="CS26" s="68">
        <f>'RD T1'!E286</f>
        <v>0.36688047980792893</v>
      </c>
      <c r="CT26" s="68">
        <f t="shared" si="50"/>
        <v>-0.14789787997695947</v>
      </c>
    </row>
    <row r="27" spans="1:98" x14ac:dyDescent="0.2">
      <c r="A27" s="10" t="str">
        <f>name!D23</f>
        <v>63 Community and civil enforcement occupations</v>
      </c>
      <c r="B27" s="68">
        <v>1.9008094724573975E-3</v>
      </c>
      <c r="C27" s="68">
        <v>2.846625303209113E-3</v>
      </c>
      <c r="D27" s="68">
        <v>2.3552154527925451E-3</v>
      </c>
      <c r="E27" s="68">
        <v>2.9633241067512864E-3</v>
      </c>
      <c r="F27" s="68">
        <v>4.2202963783555458E-3</v>
      </c>
      <c r="G27" s="11"/>
      <c r="H27" s="68">
        <f t="shared" si="51"/>
        <v>1.8650809255630007E-3</v>
      </c>
      <c r="I27" s="68">
        <f>'RD T1'!E55</f>
        <v>1.9635521854936104E-3</v>
      </c>
      <c r="J27" s="68">
        <f t="shared" si="26"/>
        <v>3.8286331110566111E-3</v>
      </c>
      <c r="L27" t="str">
        <f t="shared" si="27"/>
        <v>63 Community and civil enforcement occupations</v>
      </c>
      <c r="M27" s="68">
        <v>3.2754976301189682E-2</v>
      </c>
      <c r="N27" s="68">
        <v>4.3223410552938317E-2</v>
      </c>
      <c r="O27" s="68">
        <v>4.4823491749154683E-2</v>
      </c>
      <c r="P27" s="68">
        <v>4.5530774711745166E-2</v>
      </c>
      <c r="Q27" s="68">
        <v>6.9230017407653582E-2</v>
      </c>
      <c r="R27" s="11"/>
      <c r="S27" s="68">
        <f t="shared" si="28"/>
        <v>2.44065256584989E-2</v>
      </c>
      <c r="T27" s="68">
        <f>'RD T1'!E84</f>
        <v>3.073105012962845E-2</v>
      </c>
      <c r="U27" s="68">
        <f t="shared" si="29"/>
        <v>5.5137575788127349E-2</v>
      </c>
      <c r="W27" t="str">
        <f t="shared" si="30"/>
        <v>63 Community and civil enforcement occupations</v>
      </c>
      <c r="X27" s="68">
        <v>0.20713038124201344</v>
      </c>
      <c r="Y27" s="68">
        <v>0.22056469474648899</v>
      </c>
      <c r="Z27" s="68">
        <v>0.23268879668861445</v>
      </c>
      <c r="AA27" s="68">
        <v>0.27675654390760196</v>
      </c>
      <c r="AB27" s="68">
        <v>0.35374681166481126</v>
      </c>
      <c r="AC27" s="68"/>
      <c r="AD27" s="68">
        <f t="shared" si="31"/>
        <v>0.12105801497619681</v>
      </c>
      <c r="AE27" s="68">
        <f>'RD T1'!E113</f>
        <v>0.20193110333375819</v>
      </c>
      <c r="AF27" s="68">
        <f t="shared" si="32"/>
        <v>0.32298911830995503</v>
      </c>
      <c r="AH27" t="str">
        <f t="shared" si="33"/>
        <v>63 Community and civil enforcement occupations</v>
      </c>
      <c r="AI27" s="68">
        <v>5.7442323135479291E-2</v>
      </c>
      <c r="AJ27" s="68">
        <v>5.4883989097363993E-2</v>
      </c>
      <c r="AK27" s="68">
        <v>6.7416024814009767E-2</v>
      </c>
      <c r="AL27" s="68">
        <v>6.6921665720065138E-2</v>
      </c>
      <c r="AM27" s="68">
        <v>8.2150009836262236E-2</v>
      </c>
      <c r="AN27" s="68"/>
      <c r="AO27" s="68">
        <f t="shared" si="34"/>
        <v>1.4733985022252469E-2</v>
      </c>
      <c r="AP27" s="68">
        <f>'RD T1'!E142</f>
        <v>4.3691437583193521E-2</v>
      </c>
      <c r="AQ27" s="68">
        <f t="shared" si="35"/>
        <v>5.842542260544599E-2</v>
      </c>
      <c r="AS27" t="str">
        <f t="shared" si="36"/>
        <v>63 Community and civil enforcement occupations</v>
      </c>
      <c r="AT27" s="68">
        <v>5.6754705075939625E-2</v>
      </c>
      <c r="AU27" s="68">
        <v>5.1359918557056246E-2</v>
      </c>
      <c r="AV27" s="68">
        <v>5.8401846643210797E-2</v>
      </c>
      <c r="AW27" s="68">
        <v>5.3088844795845407E-2</v>
      </c>
      <c r="AX27" s="68">
        <v>5.8333959285087791E-2</v>
      </c>
      <c r="AY27" s="68"/>
      <c r="AZ27" s="68">
        <f t="shared" si="37"/>
        <v>-6.7887358123006059E-5</v>
      </c>
      <c r="BA27" s="68">
        <f>'RD T1'!E171</f>
        <v>3.5524210323924416E-2</v>
      </c>
      <c r="BB27" s="68">
        <f t="shared" si="38"/>
        <v>3.545632296580141E-2</v>
      </c>
      <c r="BD27" t="str">
        <f t="shared" si="39"/>
        <v>63 Community and civil enforcement occupations</v>
      </c>
      <c r="BE27" s="68">
        <v>0.27951786819406288</v>
      </c>
      <c r="BF27" s="68">
        <v>0.18744739189424509</v>
      </c>
      <c r="BG27" s="68">
        <v>0.32953255265456582</v>
      </c>
      <c r="BH27" s="68">
        <v>0.18584047278703208</v>
      </c>
      <c r="BI27" s="68">
        <v>0.19275939025426092</v>
      </c>
      <c r="BJ27" s="68"/>
      <c r="BK27" s="68">
        <f t="shared" si="40"/>
        <v>-0.1367731624003049</v>
      </c>
      <c r="BL27" s="68">
        <f>'RD T1'!E200</f>
        <v>7.5540735275275467E-2</v>
      </c>
      <c r="BM27" s="68">
        <f t="shared" si="41"/>
        <v>-6.1232427125029437E-2</v>
      </c>
      <c r="BO27" t="str">
        <f t="shared" si="42"/>
        <v>63 Community and civil enforcement occupations</v>
      </c>
      <c r="BP27" s="68">
        <v>0.39902937845896042</v>
      </c>
      <c r="BQ27" s="68">
        <v>0.34502072832637615</v>
      </c>
      <c r="BR27" s="68">
        <v>0.45570756010098118</v>
      </c>
      <c r="BS27" s="68">
        <v>0.35108814517416148</v>
      </c>
      <c r="BT27" s="68">
        <v>0.37873329440508308</v>
      </c>
      <c r="BU27" s="68"/>
      <c r="BV27" s="68">
        <f t="shared" si="43"/>
        <v>-7.6974265695898103E-2</v>
      </c>
      <c r="BW27" s="68">
        <f>'RD T1'!E229</f>
        <v>0.1525540444078371</v>
      </c>
      <c r="BX27" s="68">
        <f t="shared" si="44"/>
        <v>7.5579778711938994E-2</v>
      </c>
      <c r="BZ27" t="str">
        <f t="shared" si="45"/>
        <v>63 Community and civil enforcement occupations</v>
      </c>
      <c r="CA27" s="68">
        <v>0.2462241240182689</v>
      </c>
      <c r="CB27" s="68">
        <v>0.28406353644852361</v>
      </c>
      <c r="CC27" s="68">
        <v>0.28276626385294845</v>
      </c>
      <c r="CD27" s="68">
        <v>0.25305571205919436</v>
      </c>
      <c r="CE27" s="68">
        <v>0.19320812211493202</v>
      </c>
      <c r="CF27" s="68"/>
      <c r="CG27" s="68">
        <f t="shared" si="46"/>
        <v>-8.9558141738016434E-2</v>
      </c>
      <c r="CH27" s="68">
        <f>'RD T1'!E258</f>
        <v>9.3963411303863306E-2</v>
      </c>
      <c r="CI27" s="68">
        <f t="shared" si="47"/>
        <v>4.4052695658468727E-3</v>
      </c>
      <c r="CK27" t="str">
        <f t="shared" si="48"/>
        <v>63 Community and civil enforcement occupations</v>
      </c>
      <c r="CL27" s="68">
        <v>9.9519923676296154E-2</v>
      </c>
      <c r="CM27" s="68">
        <v>6.601254423889677E-2</v>
      </c>
      <c r="CN27" s="68">
        <v>8.3132505487097066E-2</v>
      </c>
      <c r="CO27" s="68">
        <v>4.2004968915341473E-2</v>
      </c>
      <c r="CP27" s="68">
        <v>2.7902073514590398E-2</v>
      </c>
      <c r="CQ27" s="68"/>
      <c r="CR27" s="68">
        <f t="shared" si="49"/>
        <v>-5.5230431972506669E-2</v>
      </c>
      <c r="CS27" s="68">
        <f>'RD T1'!E287</f>
        <v>1.1486785515239384E-2</v>
      </c>
      <c r="CT27" s="68">
        <f t="shared" si="50"/>
        <v>-4.3743646457267284E-2</v>
      </c>
    </row>
    <row r="28" spans="1:98" x14ac:dyDescent="0.2">
      <c r="A28" s="10" t="str">
        <f>name!D24</f>
        <v>71 Sales occupations</v>
      </c>
      <c r="B28" s="68">
        <v>0.20033002659977128</v>
      </c>
      <c r="C28" s="68">
        <v>0.23933919221537486</v>
      </c>
      <c r="D28" s="68">
        <v>0.15873370827601505</v>
      </c>
      <c r="E28" s="68">
        <v>0.18150442318837615</v>
      </c>
      <c r="F28" s="68">
        <v>0.22541840842607128</v>
      </c>
      <c r="G28" s="11"/>
      <c r="H28" s="68">
        <f t="shared" si="51"/>
        <v>6.6684700150056231E-2</v>
      </c>
      <c r="I28" s="68">
        <f>'RD T1'!E56</f>
        <v>0.10460060230358956</v>
      </c>
      <c r="J28" s="68">
        <f t="shared" si="26"/>
        <v>0.17128530245364579</v>
      </c>
      <c r="L28" t="str">
        <f t="shared" si="27"/>
        <v>71 Sales occupations</v>
      </c>
      <c r="M28" s="68">
        <v>2.3928456376415022</v>
      </c>
      <c r="N28" s="68">
        <v>3.048851525523804</v>
      </c>
      <c r="O28" s="68">
        <v>2.4685016298542037</v>
      </c>
      <c r="P28" s="68">
        <v>2.9136384983769474</v>
      </c>
      <c r="Q28" s="68">
        <v>3.9647187956710153</v>
      </c>
      <c r="R28" s="11"/>
      <c r="S28" s="68">
        <f t="shared" si="28"/>
        <v>1.4962171658168115</v>
      </c>
      <c r="T28" s="68">
        <f>'RD T1'!E85</f>
        <v>1.8197301259424252</v>
      </c>
      <c r="U28" s="68">
        <f t="shared" si="29"/>
        <v>3.3159472917592367</v>
      </c>
      <c r="W28" t="str">
        <f t="shared" si="30"/>
        <v>71 Sales occupations</v>
      </c>
      <c r="X28" s="68">
        <v>11.016450270999808</v>
      </c>
      <c r="Y28" s="68">
        <v>10.675456874499108</v>
      </c>
      <c r="Z28" s="68">
        <v>11.552693178281261</v>
      </c>
      <c r="AA28" s="68">
        <v>12.823259673398629</v>
      </c>
      <c r="AB28" s="68">
        <v>17.485624918238262</v>
      </c>
      <c r="AC28" s="68"/>
      <c r="AD28" s="68">
        <f t="shared" si="31"/>
        <v>5.9329317399570005</v>
      </c>
      <c r="AE28" s="68">
        <f>'RD T1'!E114</f>
        <v>8.626405907047781</v>
      </c>
      <c r="AF28" s="68">
        <f t="shared" si="32"/>
        <v>14.559337647004782</v>
      </c>
      <c r="AH28" t="str">
        <f t="shared" si="33"/>
        <v>71 Sales occupations</v>
      </c>
      <c r="AI28" s="68">
        <v>4.1020405666594044</v>
      </c>
      <c r="AJ28" s="68">
        <v>3.9175732653359381</v>
      </c>
      <c r="AK28" s="68">
        <v>4.3981715777872346</v>
      </c>
      <c r="AL28" s="68">
        <v>4.6803594234188699</v>
      </c>
      <c r="AM28" s="68">
        <v>6.4813031889784867</v>
      </c>
      <c r="AN28" s="68"/>
      <c r="AO28" s="68">
        <f t="shared" si="34"/>
        <v>2.0831316111912521</v>
      </c>
      <c r="AP28" s="68">
        <f>'RD T1'!E143</f>
        <v>3.198082032979622</v>
      </c>
      <c r="AQ28" s="68">
        <f t="shared" si="35"/>
        <v>5.2812136441708741</v>
      </c>
      <c r="AS28" t="str">
        <f t="shared" si="36"/>
        <v>71 Sales occupations</v>
      </c>
      <c r="AT28" s="68">
        <v>3.2658654643734915</v>
      </c>
      <c r="AU28" s="68">
        <v>2.9091823109381596</v>
      </c>
      <c r="AV28" s="68">
        <v>3.1070368316498214</v>
      </c>
      <c r="AW28" s="68">
        <v>3.1571240974231731</v>
      </c>
      <c r="AX28" s="68">
        <v>4.0281170812042921</v>
      </c>
      <c r="AY28" s="68"/>
      <c r="AZ28" s="68">
        <f t="shared" si="37"/>
        <v>0.92108024955447076</v>
      </c>
      <c r="BA28" s="68">
        <f>'RD T1'!E172</f>
        <v>1.817545681655236</v>
      </c>
      <c r="BB28" s="68">
        <f t="shared" si="38"/>
        <v>2.7386259312097065</v>
      </c>
      <c r="BD28" t="str">
        <f t="shared" si="39"/>
        <v>71 Sales occupations</v>
      </c>
      <c r="BE28" s="68">
        <v>29.309155823042474</v>
      </c>
      <c r="BF28" s="68">
        <v>27.660189941617613</v>
      </c>
      <c r="BG28" s="68">
        <v>31.004301470749109</v>
      </c>
      <c r="BH28" s="68">
        <v>30.762358298118876</v>
      </c>
      <c r="BI28" s="68">
        <v>35.469221319077349</v>
      </c>
      <c r="BJ28" s="68"/>
      <c r="BK28" s="68">
        <f t="shared" si="40"/>
        <v>4.4649198483282397</v>
      </c>
      <c r="BL28" s="68">
        <f>'RD T1'!E201</f>
        <v>16.677117870497046</v>
      </c>
      <c r="BM28" s="68">
        <f t="shared" si="41"/>
        <v>21.142037718825286</v>
      </c>
      <c r="BO28" t="str">
        <f t="shared" si="42"/>
        <v>71 Sales occupations</v>
      </c>
      <c r="BP28" s="68">
        <v>32.500186896981816</v>
      </c>
      <c r="BQ28" s="68">
        <v>28.100674145783813</v>
      </c>
      <c r="BR28" s="68">
        <v>28.997148687495898</v>
      </c>
      <c r="BS28" s="68">
        <v>25.050582137260083</v>
      </c>
      <c r="BT28" s="68">
        <v>19.022980365218661</v>
      </c>
      <c r="BU28" s="68"/>
      <c r="BV28" s="68">
        <f t="shared" si="43"/>
        <v>-9.9741683222772366</v>
      </c>
      <c r="BW28" s="68">
        <f>'RD T1'!E230</f>
        <v>11.283917374201895</v>
      </c>
      <c r="BX28" s="68">
        <f t="shared" si="44"/>
        <v>1.3097490519246584</v>
      </c>
      <c r="BZ28" t="str">
        <f t="shared" si="45"/>
        <v>71 Sales occupations</v>
      </c>
      <c r="CA28" s="68">
        <v>20.169625957930165</v>
      </c>
      <c r="CB28" s="68">
        <v>17.884001058008042</v>
      </c>
      <c r="CC28" s="68">
        <v>15.948831024911621</v>
      </c>
      <c r="CD28" s="68">
        <v>13.588800407442351</v>
      </c>
      <c r="CE28" s="68">
        <v>6.078350626627655</v>
      </c>
      <c r="CF28" s="68"/>
      <c r="CG28" s="68">
        <f t="shared" si="46"/>
        <v>-9.8704803982839664</v>
      </c>
      <c r="CH28" s="68">
        <f>'RD T1'!E259</f>
        <v>4.4095354378045153</v>
      </c>
      <c r="CI28" s="68">
        <f t="shared" si="47"/>
        <v>-5.4609449604794511</v>
      </c>
      <c r="CK28" t="str">
        <f t="shared" si="48"/>
        <v>71 Sales occupations</v>
      </c>
      <c r="CL28" s="68">
        <v>12.163035178463772</v>
      </c>
      <c r="CM28" s="68">
        <v>8.9249469811515016</v>
      </c>
      <c r="CN28" s="68">
        <v>5.9929031945817757</v>
      </c>
      <c r="CO28" s="68">
        <v>4.6890857294920298</v>
      </c>
      <c r="CP28" s="68">
        <v>2.4173126189084995</v>
      </c>
      <c r="CQ28" s="68"/>
      <c r="CR28" s="68">
        <f t="shared" si="49"/>
        <v>-3.5755905756732762</v>
      </c>
      <c r="CS28" s="68">
        <f>'RD T1'!E288</f>
        <v>1.3001361728695502</v>
      </c>
      <c r="CT28" s="68">
        <f t="shared" si="50"/>
        <v>-2.2754544028037262</v>
      </c>
    </row>
    <row r="29" spans="1:98" x14ac:dyDescent="0.2">
      <c r="A29" s="10" t="str">
        <f>name!D25</f>
        <v>72 Customer service occupations</v>
      </c>
      <c r="B29" s="68">
        <v>5.6540277372102397E-2</v>
      </c>
      <c r="C29" s="68">
        <v>7.5058185844618402E-2</v>
      </c>
      <c r="D29" s="68">
        <v>6.7108360573777462E-2</v>
      </c>
      <c r="E29" s="68">
        <v>0.10564338981507482</v>
      </c>
      <c r="F29" s="68">
        <v>0.14848862984420555</v>
      </c>
      <c r="G29" s="11"/>
      <c r="H29" s="68">
        <f>F29-D29</f>
        <v>8.1380269270428088E-2</v>
      </c>
      <c r="I29" s="68">
        <f>'RD T1'!E57</f>
        <v>5.6607462572430746E-2</v>
      </c>
      <c r="J29" s="68">
        <f t="shared" si="26"/>
        <v>0.13798773184285884</v>
      </c>
      <c r="L29" t="str">
        <f t="shared" si="27"/>
        <v>72 Customer service occupations</v>
      </c>
      <c r="M29" s="68">
        <v>0.66161429759891233</v>
      </c>
      <c r="N29" s="68">
        <v>0.96139981001594799</v>
      </c>
      <c r="O29" s="68">
        <v>0.73434774355216914</v>
      </c>
      <c r="P29" s="68">
        <v>1.1413576396885126</v>
      </c>
      <c r="Q29" s="68">
        <v>1.5996123362597778</v>
      </c>
      <c r="R29" s="11"/>
      <c r="S29" s="68">
        <f t="shared" si="28"/>
        <v>0.86526459270760869</v>
      </c>
      <c r="T29" s="68">
        <f>'RD T1'!E86</f>
        <v>0.69806560964740805</v>
      </c>
      <c r="U29" s="68">
        <f t="shared" si="29"/>
        <v>1.5633302023550169</v>
      </c>
      <c r="W29" t="str">
        <f t="shared" si="30"/>
        <v>72 Customer service occupations</v>
      </c>
      <c r="X29" s="68">
        <v>2.9700701062608768</v>
      </c>
      <c r="Y29" s="68">
        <v>3.0362929934573279</v>
      </c>
      <c r="Z29" s="68">
        <v>3.4090135899040739</v>
      </c>
      <c r="AA29" s="68">
        <v>4.8094806391913565</v>
      </c>
      <c r="AB29" s="68">
        <v>6.6431463325131492</v>
      </c>
      <c r="AC29" s="68"/>
      <c r="AD29" s="68">
        <f t="shared" si="31"/>
        <v>3.2341327426090754</v>
      </c>
      <c r="AE29" s="68">
        <f>'RD T1'!E115</f>
        <v>2.8137524235379709</v>
      </c>
      <c r="AF29" s="68">
        <f t="shared" si="32"/>
        <v>6.0478851661470463</v>
      </c>
      <c r="AH29" t="str">
        <f t="shared" si="33"/>
        <v>72 Customer service occupations</v>
      </c>
      <c r="AI29" s="68">
        <v>0.8424782713503528</v>
      </c>
      <c r="AJ29" s="68">
        <v>0.90273532683539881</v>
      </c>
      <c r="AK29" s="68">
        <v>1.03743007859961</v>
      </c>
      <c r="AL29" s="68">
        <v>1.463470660435684</v>
      </c>
      <c r="AM29" s="68">
        <v>2.03033934882798</v>
      </c>
      <c r="AN29" s="68"/>
      <c r="AO29" s="68">
        <f t="shared" si="34"/>
        <v>0.99290927022836994</v>
      </c>
      <c r="AP29" s="68">
        <f>'RD T1'!E144</f>
        <v>0.88844645207668893</v>
      </c>
      <c r="AQ29" s="68">
        <f t="shared" si="35"/>
        <v>1.881355722305059</v>
      </c>
      <c r="AS29" t="str">
        <f t="shared" si="36"/>
        <v>72 Customer service occupations</v>
      </c>
      <c r="AT29" s="68">
        <v>1.2221183068317703</v>
      </c>
      <c r="AU29" s="68">
        <v>1.1930515003558217</v>
      </c>
      <c r="AV29" s="68">
        <v>1.3189030889607081</v>
      </c>
      <c r="AW29" s="68">
        <v>1.7890506241457595</v>
      </c>
      <c r="AX29" s="68">
        <v>2.2265310018634055</v>
      </c>
      <c r="AY29" s="68"/>
      <c r="AZ29" s="68">
        <f t="shared" si="37"/>
        <v>0.9076279129026974</v>
      </c>
      <c r="BA29" s="68">
        <f>'RD T1'!E173</f>
        <v>0.93611171507301361</v>
      </c>
      <c r="BB29" s="68">
        <f t="shared" si="38"/>
        <v>1.843739627975711</v>
      </c>
      <c r="BD29" t="str">
        <f t="shared" si="39"/>
        <v>72 Customer service occupations</v>
      </c>
      <c r="BE29" s="68">
        <v>5.3220832655276427</v>
      </c>
      <c r="BF29" s="68">
        <v>5.4354766077904735</v>
      </c>
      <c r="BG29" s="68">
        <v>6.2065353271172832</v>
      </c>
      <c r="BH29" s="68">
        <v>7.6681384563602126</v>
      </c>
      <c r="BI29" s="68">
        <v>9.0974675830050895</v>
      </c>
      <c r="BJ29" s="68"/>
      <c r="BK29" s="68">
        <f t="shared" si="40"/>
        <v>2.8909322558878063</v>
      </c>
      <c r="BL29" s="68">
        <f>'RD T1'!E202</f>
        <v>3.5536400965203416</v>
      </c>
      <c r="BM29" s="68">
        <f t="shared" si="41"/>
        <v>6.444572352408148</v>
      </c>
      <c r="BO29" t="str">
        <f t="shared" si="42"/>
        <v>72 Customer service occupations</v>
      </c>
      <c r="BP29" s="68">
        <v>6.0229283786894241</v>
      </c>
      <c r="BQ29" s="68">
        <v>6.1048582868849675</v>
      </c>
      <c r="BR29" s="68">
        <v>6.3977383976105724</v>
      </c>
      <c r="BS29" s="68">
        <v>7.73788678732409</v>
      </c>
      <c r="BT29" s="68">
        <v>7.7441303499668557</v>
      </c>
      <c r="BU29" s="68"/>
      <c r="BV29" s="68">
        <f t="shared" si="43"/>
        <v>1.3463919523562833</v>
      </c>
      <c r="BW29" s="68">
        <f>'RD T1'!E231</f>
        <v>3.3874521239430546</v>
      </c>
      <c r="BX29" s="68">
        <f t="shared" si="44"/>
        <v>4.7338440762993379</v>
      </c>
      <c r="BZ29" t="str">
        <f t="shared" si="45"/>
        <v>72 Customer service occupations</v>
      </c>
      <c r="CA29" s="68">
        <v>2.5613862996085874</v>
      </c>
      <c r="CB29" s="68">
        <v>2.5770385119623929</v>
      </c>
      <c r="CC29" s="68">
        <v>2.3002725938845612</v>
      </c>
      <c r="CD29" s="68">
        <v>2.6910027744608094</v>
      </c>
      <c r="CE29" s="68">
        <v>2.5415408548164322</v>
      </c>
      <c r="CF29" s="68"/>
      <c r="CG29" s="68">
        <f t="shared" si="46"/>
        <v>0.24126826093187104</v>
      </c>
      <c r="CH29" s="68">
        <f>'RD T1'!E260</f>
        <v>0.86640010506179443</v>
      </c>
      <c r="CI29" s="68">
        <f t="shared" si="47"/>
        <v>1.1076683659936655</v>
      </c>
      <c r="CK29" t="str">
        <f t="shared" si="48"/>
        <v>72 Customer service occupations</v>
      </c>
      <c r="CL29" s="68">
        <v>1.0106494053477018</v>
      </c>
      <c r="CM29" s="68">
        <v>1.14843810795732</v>
      </c>
      <c r="CN29" s="68">
        <v>0.8630531998564972</v>
      </c>
      <c r="CO29" s="68">
        <v>1.2747863839442795</v>
      </c>
      <c r="CP29" s="68">
        <v>1.4866989511732021</v>
      </c>
      <c r="CQ29" s="68"/>
      <c r="CR29" s="68">
        <f t="shared" si="49"/>
        <v>0.62364575131670485</v>
      </c>
      <c r="CS29" s="68">
        <f>'RD T1'!E289</f>
        <v>0.51905910350215345</v>
      </c>
      <c r="CT29" s="68">
        <f t="shared" si="50"/>
        <v>1.1427048548188583</v>
      </c>
    </row>
    <row r="30" spans="1:98" x14ac:dyDescent="0.2">
      <c r="A30" s="10" t="str">
        <f>name!D26</f>
        <v>81 Process, plant and machine operatives</v>
      </c>
      <c r="B30" s="68">
        <v>4.7519200118975279E-2</v>
      </c>
      <c r="C30" s="68">
        <v>8.2922976677996016E-2</v>
      </c>
      <c r="D30" s="68">
        <v>5.8938737460019784E-2</v>
      </c>
      <c r="E30" s="68">
        <v>9.3068821594857409E-2</v>
      </c>
      <c r="F30" s="68">
        <v>0.14201162620809793</v>
      </c>
      <c r="G30" s="11"/>
      <c r="H30" s="68">
        <f t="shared" si="51"/>
        <v>8.3072888748078139E-2</v>
      </c>
      <c r="I30" s="68">
        <f>'RD T1'!E58</f>
        <v>4.8396857703372688E-2</v>
      </c>
      <c r="J30" s="68">
        <f t="shared" si="26"/>
        <v>0.13146974645145082</v>
      </c>
      <c r="L30" t="str">
        <f t="shared" si="27"/>
        <v>81 Process, plant and machine operatives</v>
      </c>
      <c r="M30" s="68">
        <v>0.34986095055941385</v>
      </c>
      <c r="N30" s="68">
        <v>0.50694199023322117</v>
      </c>
      <c r="O30" s="68">
        <v>0.36009024832332875</v>
      </c>
      <c r="P30" s="68">
        <v>0.57269899036738037</v>
      </c>
      <c r="Q30" s="68">
        <v>0.87186413953300212</v>
      </c>
      <c r="R30" s="11"/>
      <c r="S30" s="68">
        <f t="shared" si="28"/>
        <v>0.51177389120967343</v>
      </c>
      <c r="T30" s="68">
        <f>'RD T1'!E87</f>
        <v>0.3479023433315977</v>
      </c>
      <c r="U30" s="68">
        <f t="shared" si="29"/>
        <v>0.85967623454127118</v>
      </c>
      <c r="W30" t="str">
        <f t="shared" si="30"/>
        <v>81 Process, plant and machine operatives</v>
      </c>
      <c r="X30" s="68">
        <v>1.3060900106958391</v>
      </c>
      <c r="Y30" s="68">
        <v>1.10354253084635</v>
      </c>
      <c r="Z30" s="68">
        <v>1.0009554321170493</v>
      </c>
      <c r="AA30" s="68">
        <v>1.541681331968219</v>
      </c>
      <c r="AB30" s="68">
        <v>2.3735701501830104</v>
      </c>
      <c r="AC30" s="68"/>
      <c r="AD30" s="68">
        <f t="shared" si="31"/>
        <v>1.3726147180659611</v>
      </c>
      <c r="AE30" s="68">
        <f>'RD T1'!E116</f>
        <v>0.91125216062423964</v>
      </c>
      <c r="AF30" s="68">
        <f t="shared" si="32"/>
        <v>2.2838668786902008</v>
      </c>
      <c r="AH30" t="str">
        <f t="shared" si="33"/>
        <v>81 Process, plant and machine operatives</v>
      </c>
      <c r="AI30" s="68">
        <v>0.67531914021750683</v>
      </c>
      <c r="AJ30" s="68">
        <v>0.61749944287728475</v>
      </c>
      <c r="AK30" s="68">
        <v>0.58673771919795781</v>
      </c>
      <c r="AL30" s="68">
        <v>0.87133558972714875</v>
      </c>
      <c r="AM30" s="68">
        <v>1.1687886487218477</v>
      </c>
      <c r="AN30" s="68"/>
      <c r="AO30" s="68">
        <f t="shared" si="34"/>
        <v>0.58205092952388993</v>
      </c>
      <c r="AP30" s="68">
        <f>'RD T1'!E145</f>
        <v>0.44988776332337072</v>
      </c>
      <c r="AQ30" s="68">
        <f t="shared" si="35"/>
        <v>1.0319386928472607</v>
      </c>
      <c r="AS30" t="str">
        <f t="shared" si="36"/>
        <v>81 Process, plant and machine operatives</v>
      </c>
      <c r="AT30" s="68">
        <v>1.280601611035866</v>
      </c>
      <c r="AU30" s="68">
        <v>0.98884120428348166</v>
      </c>
      <c r="AV30" s="68">
        <v>0.90725185490609195</v>
      </c>
      <c r="AW30" s="68">
        <v>1.3001290959215923</v>
      </c>
      <c r="AX30" s="68">
        <v>1.4910230721404398</v>
      </c>
      <c r="AY30" s="68"/>
      <c r="AZ30" s="68">
        <f t="shared" si="37"/>
        <v>0.58377121723434788</v>
      </c>
      <c r="BA30" s="68">
        <f>'RD T1'!E174</f>
        <v>0.58803372581390212</v>
      </c>
      <c r="BB30" s="68">
        <f t="shared" si="38"/>
        <v>1.17180494304825</v>
      </c>
      <c r="BD30" t="str">
        <f t="shared" si="39"/>
        <v>81 Process, plant and machine operatives</v>
      </c>
      <c r="BE30" s="68">
        <v>11.920216277612038</v>
      </c>
      <c r="BF30" s="68">
        <v>10.240026920215048</v>
      </c>
      <c r="BG30" s="68">
        <v>11.1580243574405</v>
      </c>
      <c r="BH30" s="68">
        <v>12.910908629922522</v>
      </c>
      <c r="BI30" s="68">
        <v>14.110566166467164</v>
      </c>
      <c r="BJ30" s="68"/>
      <c r="BK30" s="68">
        <f t="shared" si="40"/>
        <v>2.9525418090266644</v>
      </c>
      <c r="BL30" s="68">
        <f>'RD T1'!E203</f>
        <v>4.8814399630978755</v>
      </c>
      <c r="BM30" s="68">
        <f t="shared" si="41"/>
        <v>7.8339817721245399</v>
      </c>
      <c r="BO30" t="str">
        <f t="shared" si="42"/>
        <v>81 Process, plant and machine operatives</v>
      </c>
      <c r="BP30" s="68">
        <v>13.958906992545987</v>
      </c>
      <c r="BQ30" s="68">
        <v>12.672288219605878</v>
      </c>
      <c r="BR30" s="68">
        <v>11.430917226311445</v>
      </c>
      <c r="BS30" s="68">
        <v>14.718764613914376</v>
      </c>
      <c r="BT30" s="68">
        <v>15.001394660402719</v>
      </c>
      <c r="BU30" s="68"/>
      <c r="BV30" s="68">
        <f t="shared" si="43"/>
        <v>3.5704774340912735</v>
      </c>
      <c r="BW30" s="68">
        <f>'RD T1'!E232</f>
        <v>5.4311309209911931</v>
      </c>
      <c r="BX30" s="68">
        <f t="shared" si="44"/>
        <v>9.0016083550824675</v>
      </c>
      <c r="BZ30" t="str">
        <f t="shared" si="45"/>
        <v>81 Process, plant and machine operatives</v>
      </c>
      <c r="CA30" s="68">
        <v>8.4005943651138448</v>
      </c>
      <c r="CB30" s="68">
        <v>9.3674664575706323</v>
      </c>
      <c r="CC30" s="68">
        <v>6.1699581719401113</v>
      </c>
      <c r="CD30" s="68">
        <v>6.856786725787785</v>
      </c>
      <c r="CE30" s="68">
        <v>2.9126939943359456</v>
      </c>
      <c r="CF30" s="68"/>
      <c r="CG30" s="68">
        <f t="shared" si="46"/>
        <v>-3.2572641776041658</v>
      </c>
      <c r="CH30" s="68">
        <f>'RD T1'!E261</f>
        <v>1.8435642820684521</v>
      </c>
      <c r="CI30" s="68">
        <f t="shared" si="47"/>
        <v>-1.4136998955357136</v>
      </c>
      <c r="CK30" t="str">
        <f t="shared" si="48"/>
        <v>81 Process, plant and machine operatives</v>
      </c>
      <c r="CL30" s="68">
        <v>5.7692090527974624</v>
      </c>
      <c r="CM30" s="68">
        <v>4.3575759437613142</v>
      </c>
      <c r="CN30" s="68">
        <v>3.2043293662985737</v>
      </c>
      <c r="CO30" s="68">
        <v>1.9790706648108087</v>
      </c>
      <c r="CP30" s="68">
        <v>0.77206625968525266</v>
      </c>
      <c r="CQ30" s="68"/>
      <c r="CR30" s="68">
        <f t="shared" si="49"/>
        <v>-2.4322631066133211</v>
      </c>
      <c r="CS30" s="68">
        <f>'RD T1'!E290</f>
        <v>0.4733088069828873</v>
      </c>
      <c r="CT30" s="68">
        <f t="shared" si="50"/>
        <v>-1.9589542996304339</v>
      </c>
    </row>
    <row r="31" spans="1:98" x14ac:dyDescent="0.2">
      <c r="A31" s="10" t="str">
        <f>name!D27</f>
        <v>82 Transport and mobile machine drivers and operatives</v>
      </c>
      <c r="B31" s="68">
        <v>5.3239855200938713E-2</v>
      </c>
      <c r="C31" s="68">
        <v>0.10016192187077584</v>
      </c>
      <c r="D31" s="68">
        <v>7.6517245794771094E-2</v>
      </c>
      <c r="E31" s="68">
        <v>0.1148809021369267</v>
      </c>
      <c r="F31" s="68">
        <v>0.18204906439207463</v>
      </c>
      <c r="G31" s="11"/>
      <c r="H31" s="68">
        <f t="shared" si="51"/>
        <v>0.10553181859730354</v>
      </c>
      <c r="I31" s="68">
        <f>'RD T1'!E59</f>
        <v>9.1423924123327366E-2</v>
      </c>
      <c r="J31" s="68">
        <f t="shared" si="26"/>
        <v>0.19695574272063091</v>
      </c>
      <c r="L31" t="str">
        <f t="shared" si="27"/>
        <v>82 Transport and mobile machine drivers and operatives</v>
      </c>
      <c r="M31" s="68">
        <v>0.31020974464450618</v>
      </c>
      <c r="N31" s="68">
        <v>0.55899365448917393</v>
      </c>
      <c r="O31" s="68">
        <v>0.43432984073134573</v>
      </c>
      <c r="P31" s="68">
        <v>0.59824689661323194</v>
      </c>
      <c r="Q31" s="68">
        <v>0.95769136048898063</v>
      </c>
      <c r="R31" s="11"/>
      <c r="S31" s="68">
        <f t="shared" si="28"/>
        <v>0.5233615197576349</v>
      </c>
      <c r="T31" s="68">
        <f>'RD T1'!E88</f>
        <v>0.47149606724428939</v>
      </c>
      <c r="U31" s="68">
        <f t="shared" si="29"/>
        <v>0.99485758700192428</v>
      </c>
      <c r="W31" t="str">
        <f t="shared" si="30"/>
        <v>82 Transport and mobile machine drivers and operatives</v>
      </c>
      <c r="X31" s="68">
        <v>1.4473445069459483</v>
      </c>
      <c r="Y31" s="68">
        <v>1.6792658343941316</v>
      </c>
      <c r="Z31" s="68">
        <v>1.6443570211485443</v>
      </c>
      <c r="AA31" s="68">
        <v>1.9742766578748014</v>
      </c>
      <c r="AB31" s="68">
        <v>2.595154064523423</v>
      </c>
      <c r="AC31" s="68"/>
      <c r="AD31" s="68">
        <f t="shared" si="31"/>
        <v>0.95079704337487869</v>
      </c>
      <c r="AE31" s="68">
        <f>'RD T1'!E117</f>
        <v>1.4360211594057741</v>
      </c>
      <c r="AF31" s="68">
        <f t="shared" si="32"/>
        <v>2.3868182027806526</v>
      </c>
      <c r="AH31" t="str">
        <f t="shared" si="33"/>
        <v>82 Transport and mobile machine drivers and operatives</v>
      </c>
      <c r="AI31" s="68">
        <v>0.73944354719780869</v>
      </c>
      <c r="AJ31" s="68">
        <v>0.74132796146898028</v>
      </c>
      <c r="AK31" s="68">
        <v>0.76197166240611824</v>
      </c>
      <c r="AL31" s="68">
        <v>0.88316867557385381</v>
      </c>
      <c r="AM31" s="68">
        <v>0.96565460443554263</v>
      </c>
      <c r="AN31" s="68"/>
      <c r="AO31" s="68">
        <f t="shared" si="34"/>
        <v>0.20368294202942439</v>
      </c>
      <c r="AP31" s="68">
        <f>'RD T1'!E146</f>
        <v>0.5546121803420283</v>
      </c>
      <c r="AQ31" s="68">
        <f t="shared" si="35"/>
        <v>0.75829512237145269</v>
      </c>
      <c r="AS31" t="str">
        <f t="shared" si="36"/>
        <v>82 Transport and mobile machine drivers and operatives</v>
      </c>
      <c r="AT31" s="68">
        <v>1.1745292207333677</v>
      </c>
      <c r="AU31" s="68">
        <v>1.2126650103212255</v>
      </c>
      <c r="AV31" s="68">
        <v>1.2144396357328515</v>
      </c>
      <c r="AW31" s="68">
        <v>1.436248663963444</v>
      </c>
      <c r="AX31" s="68">
        <v>1.5758455464152163</v>
      </c>
      <c r="AY31" s="68"/>
      <c r="AZ31" s="68">
        <f t="shared" si="37"/>
        <v>0.36140591068236483</v>
      </c>
      <c r="BA31" s="68">
        <f>'RD T1'!E175</f>
        <v>0.98402512567085343</v>
      </c>
      <c r="BB31" s="68">
        <f t="shared" si="38"/>
        <v>1.3454310363532183</v>
      </c>
      <c r="BD31" t="str">
        <f t="shared" si="39"/>
        <v>82 Transport and mobile machine drivers and operatives</v>
      </c>
      <c r="BE31" s="68">
        <v>9.3446574970333263</v>
      </c>
      <c r="BF31" s="68">
        <v>9.8514672227221425</v>
      </c>
      <c r="BG31" s="68">
        <v>11.479892623343604</v>
      </c>
      <c r="BH31" s="68">
        <v>10.533562321183886</v>
      </c>
      <c r="BI31" s="68">
        <v>10.838240772834263</v>
      </c>
      <c r="BJ31" s="68"/>
      <c r="BK31" s="68">
        <f t="shared" si="40"/>
        <v>-0.6416518505093407</v>
      </c>
      <c r="BL31" s="68">
        <f>'RD T1'!E204</f>
        <v>5.464429797171535</v>
      </c>
      <c r="BM31" s="68">
        <f t="shared" si="41"/>
        <v>4.8227779466621943</v>
      </c>
      <c r="BO31" t="str">
        <f t="shared" si="42"/>
        <v>82 Transport and mobile machine drivers and operatives</v>
      </c>
      <c r="BP31" s="68">
        <v>14.370768923311436</v>
      </c>
      <c r="BQ31" s="68">
        <v>16.061006933117625</v>
      </c>
      <c r="BR31" s="68">
        <v>15.009239675703284</v>
      </c>
      <c r="BS31" s="68">
        <v>16.398351659946922</v>
      </c>
      <c r="BT31" s="68">
        <v>17.470856114265999</v>
      </c>
      <c r="BU31" s="68"/>
      <c r="BV31" s="68">
        <f t="shared" si="43"/>
        <v>2.4616164385627144</v>
      </c>
      <c r="BW31" s="68">
        <f>'RD T1'!E233</f>
        <v>8.5941973365595601</v>
      </c>
      <c r="BX31" s="68">
        <f t="shared" si="44"/>
        <v>11.055813775122274</v>
      </c>
      <c r="BZ31" t="str">
        <f t="shared" si="45"/>
        <v>82 Transport and mobile machine drivers and operatives</v>
      </c>
      <c r="CA31" s="68">
        <v>8.8283815759983622</v>
      </c>
      <c r="CB31" s="68">
        <v>13.764633755978897</v>
      </c>
      <c r="CC31" s="68">
        <v>8.592192444678874</v>
      </c>
      <c r="CD31" s="68">
        <v>8.713672514717242</v>
      </c>
      <c r="CE31" s="68">
        <v>5.7612626763940815</v>
      </c>
      <c r="CF31" s="68"/>
      <c r="CG31" s="68">
        <f t="shared" si="46"/>
        <v>-2.8309297682847925</v>
      </c>
      <c r="CH31" s="68">
        <f>'RD T1'!E262</f>
        <v>3.567788399372275</v>
      </c>
      <c r="CI31" s="68">
        <f t="shared" si="47"/>
        <v>0.73685863108748251</v>
      </c>
      <c r="CK31" t="str">
        <f t="shared" si="48"/>
        <v>82 Transport and mobile machine drivers and operatives</v>
      </c>
      <c r="CL31" s="68">
        <v>4.8403869390802292</v>
      </c>
      <c r="CM31" s="68">
        <v>5.0426780624968277</v>
      </c>
      <c r="CN31" s="68">
        <v>4.5443945404608055</v>
      </c>
      <c r="CO31" s="68">
        <v>3.287106856948911</v>
      </c>
      <c r="CP31" s="68">
        <v>1.2791938393199884</v>
      </c>
      <c r="CQ31" s="68"/>
      <c r="CR31" s="68">
        <f t="shared" si="49"/>
        <v>-3.2652007011408171</v>
      </c>
      <c r="CS31" s="68">
        <f>'RD T1'!E291</f>
        <v>1.1109832465162968</v>
      </c>
      <c r="CT31" s="68">
        <f t="shared" si="50"/>
        <v>-2.1542174546245203</v>
      </c>
    </row>
    <row r="32" spans="1:98" x14ac:dyDescent="0.2">
      <c r="A32" s="10" t="str">
        <f>name!D28</f>
        <v>91 Elementary trades and related occupations</v>
      </c>
      <c r="B32" s="68">
        <v>7.5440944271406088E-4</v>
      </c>
      <c r="C32" s="68">
        <v>8.076965538712078E-4</v>
      </c>
      <c r="D32" s="68">
        <v>6.6504475281356805E-4</v>
      </c>
      <c r="E32" s="68">
        <v>6.4833921093404166E-4</v>
      </c>
      <c r="F32" s="68">
        <v>7.9397589923341498E-4</v>
      </c>
      <c r="G32" s="11"/>
      <c r="H32" s="68">
        <f t="shared" si="51"/>
        <v>1.2893114641984694E-4</v>
      </c>
      <c r="I32" s="68">
        <f>'RD T1'!E60</f>
        <v>4.4718884982952045E-4</v>
      </c>
      <c r="J32" s="68">
        <f t="shared" si="26"/>
        <v>5.7611999624936744E-4</v>
      </c>
      <c r="L32" t="str">
        <f t="shared" si="27"/>
        <v>91 Elementary trades and related occupations</v>
      </c>
      <c r="M32" s="68">
        <v>0.1243958378949601</v>
      </c>
      <c r="N32" s="68">
        <v>0.21108791124078516</v>
      </c>
      <c r="O32" s="68">
        <v>0.10528127464294668</v>
      </c>
      <c r="P32" s="68">
        <v>0.12597663789425964</v>
      </c>
      <c r="Q32" s="68">
        <v>0.19444954079821145</v>
      </c>
      <c r="R32" s="11"/>
      <c r="S32" s="68">
        <f t="shared" si="28"/>
        <v>8.9168266155264769E-2</v>
      </c>
      <c r="T32" s="68">
        <f>'RD T1'!E89</f>
        <v>7.40686625210982E-2</v>
      </c>
      <c r="U32" s="68">
        <f t="shared" si="29"/>
        <v>0.16323692867636297</v>
      </c>
      <c r="W32" t="str">
        <f t="shared" si="30"/>
        <v>91 Elementary trades and related occupations</v>
      </c>
      <c r="X32" s="68">
        <v>0.68681980528381836</v>
      </c>
      <c r="Y32" s="68">
        <v>0.54302790362575082</v>
      </c>
      <c r="Z32" s="68">
        <v>0.49159029463600057</v>
      </c>
      <c r="AA32" s="68">
        <v>0.46027344731331626</v>
      </c>
      <c r="AB32" s="68">
        <v>0.5247321565990325</v>
      </c>
      <c r="AC32" s="68"/>
      <c r="AD32" s="68">
        <f t="shared" si="31"/>
        <v>3.3141861963031927E-2</v>
      </c>
      <c r="AE32" s="68">
        <f>'RD T1'!E118</f>
        <v>0.29005222318143187</v>
      </c>
      <c r="AF32" s="68">
        <f t="shared" si="32"/>
        <v>0.32319408514446379</v>
      </c>
      <c r="AH32" t="str">
        <f t="shared" si="33"/>
        <v>91 Elementary trades and related occupations</v>
      </c>
      <c r="AI32" s="68">
        <v>0.47518058942120955</v>
      </c>
      <c r="AJ32" s="68">
        <v>0.43164136554338667</v>
      </c>
      <c r="AK32" s="68">
        <v>0.36455281352391394</v>
      </c>
      <c r="AL32" s="68">
        <v>0.38807262184401625</v>
      </c>
      <c r="AM32" s="68">
        <v>0.54394974941681506</v>
      </c>
      <c r="AN32" s="68"/>
      <c r="AO32" s="68">
        <f t="shared" si="34"/>
        <v>0.17939693589290112</v>
      </c>
      <c r="AP32" s="68">
        <f>'RD T1'!E147</f>
        <v>0.26425748238169677</v>
      </c>
      <c r="AQ32" s="68">
        <f t="shared" si="35"/>
        <v>0.44365441827459789</v>
      </c>
      <c r="AS32" t="str">
        <f t="shared" si="36"/>
        <v>91 Elementary trades and related occupations</v>
      </c>
      <c r="AT32" s="68">
        <v>0.53147046688468425</v>
      </c>
      <c r="AU32" s="68">
        <v>0.40072838431312907</v>
      </c>
      <c r="AV32" s="68">
        <v>0.38552349277321724</v>
      </c>
      <c r="AW32" s="68">
        <v>0.35632903997452764</v>
      </c>
      <c r="AX32" s="68">
        <v>0.39601606812272133</v>
      </c>
      <c r="AY32" s="68"/>
      <c r="AZ32" s="68">
        <f t="shared" si="37"/>
        <v>1.0492575349504096E-2</v>
      </c>
      <c r="BA32" s="68">
        <f>'RD T1'!E176</f>
        <v>0.19299606988039467</v>
      </c>
      <c r="BB32" s="68">
        <f t="shared" si="38"/>
        <v>0.20348864522989876</v>
      </c>
      <c r="BD32" t="str">
        <f t="shared" si="39"/>
        <v>91 Elementary trades and related occupations</v>
      </c>
      <c r="BE32" s="68">
        <v>3.3722921524747873</v>
      </c>
      <c r="BF32" s="68">
        <v>2.6326160016590734</v>
      </c>
      <c r="BG32" s="68">
        <v>2.9109763264099593</v>
      </c>
      <c r="BH32" s="68">
        <v>2.152637528245803</v>
      </c>
      <c r="BI32" s="68">
        <v>2.2473634862974907</v>
      </c>
      <c r="BJ32" s="68"/>
      <c r="BK32" s="68">
        <f t="shared" si="40"/>
        <v>-0.66361284011246857</v>
      </c>
      <c r="BL32" s="68">
        <f>'RD T1'!E205</f>
        <v>0.84579486767740641</v>
      </c>
      <c r="BM32" s="68">
        <f t="shared" si="41"/>
        <v>0.18218202756493784</v>
      </c>
      <c r="BO32" t="str">
        <f t="shared" si="42"/>
        <v>91 Elementary trades and related occupations</v>
      </c>
      <c r="BP32" s="68">
        <v>6.2974349287603788</v>
      </c>
      <c r="BQ32" s="68">
        <v>5.1958613076214828</v>
      </c>
      <c r="BR32" s="68">
        <v>5.0673856004371052</v>
      </c>
      <c r="BS32" s="68">
        <v>4.3244277920560172</v>
      </c>
      <c r="BT32" s="68">
        <v>4.4523747468953667</v>
      </c>
      <c r="BU32" s="68"/>
      <c r="BV32" s="68">
        <f t="shared" si="43"/>
        <v>-0.61501085354173846</v>
      </c>
      <c r="BW32" s="68">
        <f>'RD T1'!E234</f>
        <v>1.5865228244947118</v>
      </c>
      <c r="BX32" s="68">
        <f t="shared" si="44"/>
        <v>0.97151197095297337</v>
      </c>
      <c r="BZ32" t="str">
        <f t="shared" si="45"/>
        <v>91 Elementary trades and related occupations</v>
      </c>
      <c r="CA32" s="68">
        <v>5.5089923998163668</v>
      </c>
      <c r="CB32" s="68">
        <v>5.7298462072977188</v>
      </c>
      <c r="CC32" s="68">
        <v>4.1542132663259235</v>
      </c>
      <c r="CD32" s="68">
        <v>3.3799442529154233</v>
      </c>
      <c r="CE32" s="68">
        <v>2.4311022934779016</v>
      </c>
      <c r="CF32" s="68"/>
      <c r="CG32" s="68">
        <f t="shared" si="46"/>
        <v>-1.7231109728480218</v>
      </c>
      <c r="CH32" s="68">
        <f>'RD T1'!E263</f>
        <v>1.1435760817642888</v>
      </c>
      <c r="CI32" s="68">
        <f t="shared" si="47"/>
        <v>-0.57953489108373302</v>
      </c>
      <c r="CK32" t="str">
        <f t="shared" si="48"/>
        <v>91 Elementary trades and related occupations</v>
      </c>
      <c r="CL32" s="68">
        <v>3.3201619669310549</v>
      </c>
      <c r="CM32" s="68">
        <v>2.7589236408487134</v>
      </c>
      <c r="CN32" s="68">
        <v>2.1577536274250257</v>
      </c>
      <c r="CO32" s="68">
        <v>1.4425747651089029</v>
      </c>
      <c r="CP32" s="68">
        <v>0.93775922682538626</v>
      </c>
      <c r="CQ32" s="68"/>
      <c r="CR32" s="68">
        <f t="shared" si="49"/>
        <v>-1.2199944005996395</v>
      </c>
      <c r="CS32" s="68">
        <f>'RD T1'!E292</f>
        <v>0.41029439637375975</v>
      </c>
      <c r="CT32" s="68">
        <f t="shared" si="50"/>
        <v>-0.80970000422587973</v>
      </c>
    </row>
    <row r="33" spans="1:98" x14ac:dyDescent="0.2">
      <c r="A33" s="10" t="str">
        <f>name!D29</f>
        <v>92 Elementary administration and service occupations</v>
      </c>
      <c r="B33" s="68">
        <v>6.6805411563003139E-2</v>
      </c>
      <c r="C33" s="68">
        <v>0.10008983668347561</v>
      </c>
      <c r="D33" s="68">
        <v>8.258450549229801E-2</v>
      </c>
      <c r="E33" s="68">
        <v>0.10952778837070468</v>
      </c>
      <c r="F33" s="68">
        <v>0.15117817692426605</v>
      </c>
      <c r="G33" s="11"/>
      <c r="H33" s="68">
        <f t="shared" ref="H33" si="52">F33-D33</f>
        <v>6.859367143196804E-2</v>
      </c>
      <c r="I33" s="68">
        <f>'RD T1'!E61</f>
        <v>7.1987849128205883E-2</v>
      </c>
      <c r="J33" s="68">
        <f>SUM(H33:I33)</f>
        <v>0.14058152056017392</v>
      </c>
      <c r="L33" t="str">
        <f t="shared" ref="L33" si="53">A33</f>
        <v>92 Elementary administration and service occupations</v>
      </c>
      <c r="M33" s="68">
        <v>1.6441496002497837</v>
      </c>
      <c r="N33" s="68">
        <v>2.5219485207917551</v>
      </c>
      <c r="O33" s="68">
        <v>2.164410175028177</v>
      </c>
      <c r="P33" s="68">
        <v>2.9384496404526788</v>
      </c>
      <c r="Q33" s="68">
        <v>4.5643997905568652</v>
      </c>
      <c r="R33" s="11"/>
      <c r="S33" s="68">
        <f t="shared" ref="S33" si="54">Q33-O33</f>
        <v>2.3999896155286882</v>
      </c>
      <c r="T33" s="68">
        <f>'RD T1'!E90</f>
        <v>2.0585091299502274</v>
      </c>
      <c r="U33" s="68">
        <f t="shared" ref="U33" si="55">SUM(S33:T33)</f>
        <v>4.4584987454789156</v>
      </c>
      <c r="W33" t="str">
        <f t="shared" ref="W33" si="56">A33</f>
        <v>92 Elementary administration and service occupations</v>
      </c>
      <c r="X33" s="68">
        <v>7.0212330655936732</v>
      </c>
      <c r="Y33" s="68">
        <v>7.3162630546262122</v>
      </c>
      <c r="Z33" s="68">
        <v>7.8552428295030694</v>
      </c>
      <c r="AA33" s="68">
        <v>9.6494800366126778</v>
      </c>
      <c r="AB33" s="68">
        <v>13.69964361374754</v>
      </c>
      <c r="AC33" s="68"/>
      <c r="AD33" s="68">
        <f t="shared" ref="AD33" si="57">AB33-Z33</f>
        <v>5.8444007842444705</v>
      </c>
      <c r="AE33" s="68">
        <f>'RD T1'!E119</f>
        <v>7.1291800334425899</v>
      </c>
      <c r="AF33" s="68">
        <f t="shared" ref="AF33" si="58">SUM(AD33:AE33)</f>
        <v>12.973580817687061</v>
      </c>
      <c r="AH33" t="str">
        <f t="shared" ref="AH33" si="59">L33</f>
        <v>92 Elementary administration and service occupations</v>
      </c>
      <c r="AI33" s="68">
        <v>3.3090307587754246</v>
      </c>
      <c r="AJ33" s="68">
        <v>3.5950358777957021</v>
      </c>
      <c r="AK33" s="68">
        <v>3.9637601671296028</v>
      </c>
      <c r="AL33" s="68">
        <v>4.7195253457369608</v>
      </c>
      <c r="AM33" s="68">
        <v>6.7681534015784051</v>
      </c>
      <c r="AN33" s="68"/>
      <c r="AO33" s="68">
        <f t="shared" ref="AO33" si="60">AM33-AK33</f>
        <v>2.8043932344488023</v>
      </c>
      <c r="AP33" s="68">
        <f>'RD T1'!E148</f>
        <v>3.2500826628054287</v>
      </c>
      <c r="AQ33" s="68">
        <f t="shared" ref="AQ33" si="61">SUM(AO33:AP33)</f>
        <v>6.054475897254231</v>
      </c>
      <c r="AS33" t="str">
        <f t="shared" ref="AS33" si="62">W33</f>
        <v>92 Elementary administration and service occupations</v>
      </c>
      <c r="AT33" s="68">
        <v>3.1387003440612826</v>
      </c>
      <c r="AU33" s="68">
        <v>3.1947749201253326</v>
      </c>
      <c r="AV33" s="68">
        <v>3.3575475350816597</v>
      </c>
      <c r="AW33" s="68">
        <v>3.903361315000669</v>
      </c>
      <c r="AX33" s="68">
        <v>5.4435382851932888</v>
      </c>
      <c r="AY33" s="68"/>
      <c r="AZ33" s="68">
        <f t="shared" ref="AZ33" si="63">AX33-AV33</f>
        <v>2.085990750111629</v>
      </c>
      <c r="BA33" s="68">
        <f>'RD T1'!E177</f>
        <v>2.7357436509380797</v>
      </c>
      <c r="BB33" s="68">
        <f t="shared" ref="BB33" si="64">SUM(AZ33:BA33)</f>
        <v>4.8217344010497083</v>
      </c>
      <c r="BD33" t="str">
        <f t="shared" ref="BD33" si="65">AH33</f>
        <v>92 Elementary administration and service occupations</v>
      </c>
      <c r="BE33" s="68">
        <v>24.016003143829579</v>
      </c>
      <c r="BF33" s="68">
        <v>21.51347296287468</v>
      </c>
      <c r="BG33" s="68">
        <v>24.365201339023812</v>
      </c>
      <c r="BH33" s="68">
        <v>22.638279264504771</v>
      </c>
      <c r="BI33" s="68">
        <v>23.422065351165074</v>
      </c>
      <c r="BJ33" s="68"/>
      <c r="BK33" s="68">
        <f t="shared" ref="BK33" si="66">BI33-BG33</f>
        <v>-0.94313598785873864</v>
      </c>
      <c r="BL33" s="68">
        <f>'RD T1'!E206</f>
        <v>11.573756623426174</v>
      </c>
      <c r="BM33" s="68">
        <f t="shared" ref="BM33" si="67">SUM(BK33:BL33)</f>
        <v>10.630620635567436</v>
      </c>
      <c r="BO33" t="str">
        <f t="shared" ref="BO33" si="68">AS33</f>
        <v>92 Elementary administration and service occupations</v>
      </c>
      <c r="BP33" s="68">
        <v>40.661392228505903</v>
      </c>
      <c r="BQ33" s="68">
        <v>40.215850733014761</v>
      </c>
      <c r="BR33" s="68">
        <v>40.283028913344971</v>
      </c>
      <c r="BS33" s="68">
        <v>40.731705247564662</v>
      </c>
      <c r="BT33" s="68">
        <v>40.66167490315528</v>
      </c>
      <c r="BU33" s="68"/>
      <c r="BV33" s="68">
        <f t="shared" ref="BV33" si="69">BT33-BR33</f>
        <v>0.37864598981030895</v>
      </c>
      <c r="BW33" s="68">
        <f>'RD T1'!E235</f>
        <v>18.755106727236655</v>
      </c>
      <c r="BX33" s="68">
        <f t="shared" ref="BX33" si="70">SUM(BV33:BW33)</f>
        <v>19.133752717046963</v>
      </c>
      <c r="BZ33" t="str">
        <f t="shared" ref="BZ33" si="71">BD33</f>
        <v>92 Elementary administration and service occupations</v>
      </c>
      <c r="CA33" s="68">
        <v>30.099815595751995</v>
      </c>
      <c r="CB33" s="68">
        <v>33.188656362202792</v>
      </c>
      <c r="CC33" s="68">
        <v>26.597907621703815</v>
      </c>
      <c r="CD33" s="68">
        <v>26.622664321709337</v>
      </c>
      <c r="CE33" s="68">
        <v>19.123883708184227</v>
      </c>
      <c r="CF33" s="68"/>
      <c r="CG33" s="68">
        <f t="shared" ref="CG33" si="72">CE33-CC33</f>
        <v>-7.4740239135195878</v>
      </c>
      <c r="CH33" s="68">
        <f>'RD T1'!E264</f>
        <v>9.6333204949713949</v>
      </c>
      <c r="CI33" s="68">
        <f t="shared" ref="CI33" si="73">SUM(CG33:CH33)</f>
        <v>2.159296581451807</v>
      </c>
      <c r="CK33" t="str">
        <f t="shared" ref="CK33" si="74">BO33</f>
        <v>92 Elementary administration and service occupations</v>
      </c>
      <c r="CL33" s="68">
        <v>19.369835000618103</v>
      </c>
      <c r="CM33" s="68">
        <v>13.625223551725082</v>
      </c>
      <c r="CN33" s="68">
        <v>9.511061668641732</v>
      </c>
      <c r="CO33" s="68">
        <v>7.2859423311813583</v>
      </c>
      <c r="CP33" s="68">
        <v>4.4906330280732227</v>
      </c>
      <c r="CQ33" s="68"/>
      <c r="CR33" s="68">
        <f t="shared" ref="CR33" si="75">CP33-CN33</f>
        <v>-5.0204286405685092</v>
      </c>
      <c r="CS33" s="68">
        <f>'RD T1'!E293</f>
        <v>1.9311927954999875</v>
      </c>
      <c r="CT33" s="68">
        <f t="shared" ref="CT33" si="76">SUM(CR33:CS33)</f>
        <v>-3.0892358450685218</v>
      </c>
    </row>
    <row r="34" spans="1:98" x14ac:dyDescent="0.2">
      <c r="B34" s="11"/>
      <c r="C34" s="11"/>
      <c r="D34" s="11"/>
      <c r="E34" s="11"/>
      <c r="F34" s="11"/>
      <c r="G34" s="11"/>
      <c r="H34" s="68"/>
      <c r="I34" s="68"/>
      <c r="J34" s="68"/>
      <c r="M34" s="68"/>
      <c r="N34" s="68"/>
      <c r="O34" s="68"/>
      <c r="P34" s="68"/>
      <c r="Q34" s="68"/>
      <c r="R34" s="11"/>
      <c r="S34" s="68"/>
      <c r="T34" s="68"/>
      <c r="U34" s="68"/>
      <c r="X34" s="68"/>
      <c r="Y34" s="68"/>
      <c r="Z34" s="68"/>
      <c r="AA34" s="68"/>
      <c r="AB34" s="68"/>
      <c r="AC34" s="68"/>
      <c r="AD34" s="68"/>
      <c r="AE34" s="68"/>
      <c r="AF34" s="68"/>
      <c r="AI34" s="68"/>
      <c r="AJ34" s="68"/>
      <c r="AK34" s="68"/>
      <c r="AL34" s="68"/>
      <c r="AM34" s="68"/>
      <c r="AN34" s="68"/>
      <c r="AO34" s="68"/>
      <c r="AP34" s="68"/>
      <c r="AQ34" s="68"/>
      <c r="AT34" s="68"/>
      <c r="AU34" s="68"/>
      <c r="AV34" s="68"/>
      <c r="AW34" s="68"/>
      <c r="AX34" s="68"/>
      <c r="AY34" s="68"/>
      <c r="AZ34" s="68"/>
      <c r="BA34" s="68"/>
      <c r="BB34" s="68"/>
      <c r="BE34" s="68"/>
      <c r="BF34" s="68"/>
      <c r="BG34" s="68"/>
      <c r="BH34" s="68"/>
      <c r="BI34" s="68"/>
      <c r="BJ34" s="68"/>
      <c r="BK34" s="68"/>
      <c r="BL34" s="68"/>
      <c r="BM34" s="68"/>
      <c r="BP34" s="68"/>
      <c r="BQ34" s="68"/>
      <c r="BR34" s="68"/>
      <c r="BS34" s="68"/>
      <c r="BT34" s="68"/>
      <c r="BU34" s="68"/>
      <c r="BV34" s="68"/>
      <c r="BW34" s="68"/>
      <c r="BX34" s="68"/>
      <c r="CA34" s="68"/>
      <c r="CB34" s="68"/>
      <c r="CC34" s="68"/>
      <c r="CD34" s="68"/>
      <c r="CE34" s="68"/>
      <c r="CF34" s="68"/>
      <c r="CG34" s="68"/>
      <c r="CH34" s="68"/>
      <c r="CI34" s="68"/>
      <c r="CL34" s="68"/>
      <c r="CM34" s="68"/>
      <c r="CN34" s="68"/>
      <c r="CO34" s="68"/>
      <c r="CP34" s="68"/>
      <c r="CQ34" s="68"/>
      <c r="CR34" s="68"/>
      <c r="CS34" s="68"/>
      <c r="CT34" s="68"/>
    </row>
    <row r="35" spans="1:98" x14ac:dyDescent="0.2">
      <c r="A35" s="231" t="str">
        <f>name!D3</f>
        <v>All occupations</v>
      </c>
      <c r="B35" s="66">
        <f>SUM(B8:B33)</f>
        <v>13.86615271138008</v>
      </c>
      <c r="C35" s="66">
        <f t="shared" ref="C35:F35" si="77">SUM(C8:C33)</f>
        <v>17.84815090974849</v>
      </c>
      <c r="D35" s="66">
        <f t="shared" si="77"/>
        <v>15.986184730114932</v>
      </c>
      <c r="E35" s="66">
        <f t="shared" si="77"/>
        <v>19.779309646202069</v>
      </c>
      <c r="F35" s="66">
        <f t="shared" si="77"/>
        <v>24.851070362877444</v>
      </c>
      <c r="G35" s="11"/>
      <c r="H35" s="66">
        <f>F35-D35</f>
        <v>8.8648856327625118</v>
      </c>
      <c r="I35" s="66">
        <f>SUM(I8:I33)</f>
        <v>10.831930507041491</v>
      </c>
      <c r="J35" s="66">
        <f>SUM(H35:I35)</f>
        <v>19.696816139804003</v>
      </c>
      <c r="L35" s="23" t="str">
        <f>A35</f>
        <v>All occupations</v>
      </c>
      <c r="M35" s="66">
        <f>SUM(M8:M33)</f>
        <v>87.509531338397906</v>
      </c>
      <c r="N35" s="66">
        <f t="shared" ref="N35:Q35" si="78">SUM(N8:N33)</f>
        <v>115.8817518504346</v>
      </c>
      <c r="O35" s="66">
        <f t="shared" si="78"/>
        <v>102.55492005222297</v>
      </c>
      <c r="P35" s="66">
        <f t="shared" si="78"/>
        <v>122.95921358435331</v>
      </c>
      <c r="Q35" s="66">
        <f t="shared" si="78"/>
        <v>150.57249059029533</v>
      </c>
      <c r="R35" s="11"/>
      <c r="S35" s="66">
        <f>Q35-O35</f>
        <v>48.017570538072363</v>
      </c>
      <c r="T35" s="66">
        <f>SUM(T8:T33)</f>
        <v>71.099418021952431</v>
      </c>
      <c r="U35" s="66">
        <f>SUM(S35:T35)</f>
        <v>119.11698856002479</v>
      </c>
      <c r="W35" s="23" t="str">
        <f>A35</f>
        <v>All occupations</v>
      </c>
      <c r="X35" s="66">
        <f>SUM(X8:X33)</f>
        <v>199.31135081178283</v>
      </c>
      <c r="Y35" s="66">
        <f t="shared" ref="Y35:AB35" si="79">SUM(Y8:Y33)</f>
        <v>193.38439549764797</v>
      </c>
      <c r="Z35" s="66">
        <f t="shared" si="79"/>
        <v>214.38336635414277</v>
      </c>
      <c r="AA35" s="66">
        <f t="shared" si="79"/>
        <v>241.18300428264561</v>
      </c>
      <c r="AB35" s="66">
        <f t="shared" si="79"/>
        <v>299.99815240348312</v>
      </c>
      <c r="AC35" s="11"/>
      <c r="AD35" s="66">
        <f>AB35-Z35</f>
        <v>85.614786049340353</v>
      </c>
      <c r="AE35" s="66">
        <f>SUM(AE8:AE33)</f>
        <v>145.63844439358235</v>
      </c>
      <c r="AF35" s="66">
        <f>SUM(AD35:AE35)</f>
        <v>231.2532304429227</v>
      </c>
      <c r="AH35" s="23" t="str">
        <f>L35</f>
        <v>All occupations</v>
      </c>
      <c r="AI35" s="66">
        <f>SUM(AI8:AI33)</f>
        <v>69.125685102589685</v>
      </c>
      <c r="AJ35" s="66">
        <f t="shared" ref="AJ35:AM35" si="80">SUM(AJ8:AJ33)</f>
        <v>59.690037229755092</v>
      </c>
      <c r="AK35" s="66">
        <f t="shared" si="80"/>
        <v>65.898160327441573</v>
      </c>
      <c r="AL35" s="66">
        <f t="shared" si="80"/>
        <v>64.189140787253692</v>
      </c>
      <c r="AM35" s="66">
        <f t="shared" si="80"/>
        <v>70.588657027486391</v>
      </c>
      <c r="AN35" s="11"/>
      <c r="AO35" s="66">
        <f>AM35-AK35</f>
        <v>4.6904967000448181</v>
      </c>
      <c r="AP35" s="66">
        <f>SUM(AP8:AP33)</f>
        <v>36.363459027783087</v>
      </c>
      <c r="AQ35" s="66">
        <f>SUM(AO35:AP35)</f>
        <v>41.053955727827905</v>
      </c>
      <c r="AS35" s="23" t="str">
        <f>W35</f>
        <v>All occupations</v>
      </c>
      <c r="AT35" s="66">
        <f>SUM(AT8:AT33)</f>
        <v>55.53036217836776</v>
      </c>
      <c r="AU35" s="66">
        <f t="shared" ref="AU35:AX35" si="81">SUM(AU8:AU33)</f>
        <v>51.638506550088664</v>
      </c>
      <c r="AV35" s="66">
        <f t="shared" si="81"/>
        <v>55.33952464892193</v>
      </c>
      <c r="AW35" s="66">
        <f t="shared" si="81"/>
        <v>59.005279782501454</v>
      </c>
      <c r="AX35" s="66">
        <f t="shared" si="81"/>
        <v>68.860847045772545</v>
      </c>
      <c r="AY35" s="11"/>
      <c r="AZ35" s="66">
        <f>AX35-AV35</f>
        <v>13.521322396850614</v>
      </c>
      <c r="BA35" s="66">
        <f>SUM(BA8:BA33)</f>
        <v>32.903276928623015</v>
      </c>
      <c r="BB35" s="66">
        <f>SUM(AZ35:BA35)</f>
        <v>46.424599325473629</v>
      </c>
      <c r="BD35" s="23" t="str">
        <f>AH35</f>
        <v>All occupations</v>
      </c>
      <c r="BE35" s="66">
        <f>SUM(BE8:BE33)</f>
        <v>272.73140733838932</v>
      </c>
      <c r="BF35" s="66">
        <f t="shared" ref="BF35:BI35" si="82">SUM(BF8:BF33)</f>
        <v>263.55000163439735</v>
      </c>
      <c r="BG35" s="66">
        <f t="shared" si="82"/>
        <v>294.47764990672732</v>
      </c>
      <c r="BH35" s="66">
        <f t="shared" si="82"/>
        <v>285.59868526465607</v>
      </c>
      <c r="BI35" s="66">
        <f t="shared" si="82"/>
        <v>300.53256546660708</v>
      </c>
      <c r="BJ35" s="11"/>
      <c r="BK35" s="66">
        <f>BI35-BG35</f>
        <v>6.0549155598797597</v>
      </c>
      <c r="BL35" s="66">
        <f>SUM(BL8:BL33)</f>
        <v>137.25613034131712</v>
      </c>
      <c r="BM35" s="66">
        <f>SUM(BK35:BL35)</f>
        <v>143.31104590119688</v>
      </c>
      <c r="BO35" s="23" t="str">
        <f>AS35</f>
        <v>All occupations</v>
      </c>
      <c r="BP35" s="66">
        <f>SUM(BP8:BP33)</f>
        <v>281.87826629551176</v>
      </c>
      <c r="BQ35" s="66">
        <f t="shared" ref="BQ35:BT35" si="83">SUM(BQ8:BQ33)</f>
        <v>268.05270595126598</v>
      </c>
      <c r="BR35" s="66">
        <f t="shared" si="83"/>
        <v>266.18535482351007</v>
      </c>
      <c r="BS35" s="66">
        <f t="shared" si="83"/>
        <v>256.26093408743213</v>
      </c>
      <c r="BT35" s="66">
        <f t="shared" si="83"/>
        <v>231.59459418621773</v>
      </c>
      <c r="BU35" s="11"/>
      <c r="BV35" s="66">
        <f>BT35-BR35</f>
        <v>-34.590760637292334</v>
      </c>
      <c r="BW35" s="66">
        <f>SUM(BW8:BW33)</f>
        <v>109.03994696700107</v>
      </c>
      <c r="BX35" s="66">
        <f>SUM(BV35:BW35)</f>
        <v>74.449186329708738</v>
      </c>
      <c r="BZ35" s="23" t="str">
        <f>BD35</f>
        <v>All occupations</v>
      </c>
      <c r="CA35" s="66">
        <f>SUM(CA8:CA33)</f>
        <v>152.67228098628652</v>
      </c>
      <c r="CB35" s="66">
        <f t="shared" ref="CB35:CE35" si="84">SUM(CB8:CB33)</f>
        <v>162.87965285309792</v>
      </c>
      <c r="CC35" s="66">
        <f t="shared" si="84"/>
        <v>127.62991797346673</v>
      </c>
      <c r="CD35" s="66">
        <f t="shared" si="84"/>
        <v>120.1088977292202</v>
      </c>
      <c r="CE35" s="66">
        <f t="shared" si="84"/>
        <v>75.233033924037855</v>
      </c>
      <c r="CF35" s="11"/>
      <c r="CG35" s="66">
        <f>CE35-CC35</f>
        <v>-52.396884049428877</v>
      </c>
      <c r="CH35" s="66">
        <f>SUM(CH8:CH33)</f>
        <v>41.238894217678052</v>
      </c>
      <c r="CI35" s="66">
        <f>SUM(CG35:CH35)</f>
        <v>-11.157989831750825</v>
      </c>
      <c r="CK35" s="23" t="str">
        <f>BO35</f>
        <v>All occupations</v>
      </c>
      <c r="CL35" s="66">
        <f>SUM(CL8:CL33)</f>
        <v>75.077963238946808</v>
      </c>
      <c r="CM35" s="66">
        <f t="shared" ref="CM35:CO35" si="85">SUM(CM8:CM33)</f>
        <v>61.942797524342097</v>
      </c>
      <c r="CN35" s="66">
        <f>SUM(CN8:CN33)</f>
        <v>46.883921183742004</v>
      </c>
      <c r="CO35" s="66">
        <f t="shared" si="85"/>
        <v>39.691534836167698</v>
      </c>
      <c r="CP35" s="66">
        <f>SUM(CP8:CP33)</f>
        <v>28.765588993435742</v>
      </c>
      <c r="CQ35" s="11"/>
      <c r="CR35" s="66">
        <f>CP35-CN35</f>
        <v>-18.118332190306262</v>
      </c>
      <c r="CS35" s="66">
        <f>SUM(CS8:CS33)</f>
        <v>12.688526896842721</v>
      </c>
      <c r="CT35" s="66">
        <f>SUM(CR35:CS35)</f>
        <v>-5.4298052934635415</v>
      </c>
    </row>
    <row r="38" spans="1:98" ht="52.5" customHeight="1" x14ac:dyDescent="0.2">
      <c r="A38" s="378" t="str">
        <f>CONCATENATE(A$1," (Continued)")</f>
        <v>Basic Table 2  Employment Change by Occupation and Replacement Demand, RQF8 Doctorate, 2015-2035, North East (Continued)</v>
      </c>
      <c r="B38" s="378"/>
      <c r="C38" s="378"/>
      <c r="D38" s="378"/>
      <c r="E38" s="378"/>
      <c r="F38" s="378"/>
      <c r="G38" s="378"/>
      <c r="H38" s="378"/>
      <c r="I38" s="378"/>
      <c r="J38" s="378"/>
      <c r="L38" s="378" t="str">
        <f>CONCATENATE(L$1," (Continued)")</f>
        <v>Basic Table 2.1  Employment Change by Occupation and Replacement Demand, RQF7 Other higher degree, 2015-2035, North East (Continued)</v>
      </c>
      <c r="M38" s="378"/>
      <c r="N38" s="378"/>
      <c r="O38" s="378"/>
      <c r="P38" s="378"/>
      <c r="Q38" s="378"/>
      <c r="R38" s="378"/>
      <c r="S38" s="378"/>
      <c r="T38" s="378"/>
      <c r="U38" s="378"/>
      <c r="W38" s="378" t="str">
        <f>CONCATENATE(W$1," (Continued)")</f>
        <v>Basic Table 2.2  Employment Change by Occupation and Replacement Demand, RQF6 First degree, 2015-2035, North East (Continued)</v>
      </c>
      <c r="X38" s="378"/>
      <c r="Y38" s="378"/>
      <c r="Z38" s="378"/>
      <c r="AA38" s="378"/>
      <c r="AB38" s="378"/>
      <c r="AC38" s="378"/>
      <c r="AD38" s="378"/>
      <c r="AE38" s="378"/>
      <c r="AF38" s="378"/>
      <c r="AH38" s="378" t="str">
        <f>CONCATENATE(AH$1," (Continued)")</f>
        <v>Basic Table 2.3  Employment Change by Occupation and Replacement Demand, RQF5 Foundation degree;Nursing;Teaching, 2015-2035, North East (Continued)</v>
      </c>
      <c r="AI38" s="378"/>
      <c r="AJ38" s="378"/>
      <c r="AK38" s="378"/>
      <c r="AL38" s="378"/>
      <c r="AM38" s="378"/>
      <c r="AN38" s="378"/>
      <c r="AO38" s="378"/>
      <c r="AP38" s="378"/>
      <c r="AQ38" s="378"/>
      <c r="AS38" s="378" t="str">
        <f>CONCATENATE(AS$1," (Continued)")</f>
        <v>Basic Table 2.4  Employment Change by Occupation and Replacement Demand, RQF4 HE below degree level, 2015-2035, North East (Continued)</v>
      </c>
      <c r="AT38" s="378"/>
      <c r="AU38" s="378"/>
      <c r="AV38" s="378"/>
      <c r="AW38" s="378"/>
      <c r="AX38" s="378"/>
      <c r="AY38" s="378"/>
      <c r="AZ38" s="378"/>
      <c r="BA38" s="378"/>
      <c r="BB38" s="378"/>
      <c r="BD38" s="378" t="str">
        <f>CONCATENATE(BD$1," (Continued)")</f>
        <v>Basic Table 2.5  Employment Change by Occupation and Replacement Demand, RQF3 A level &amp; equivalent, 2015-2035, North East (Continued)</v>
      </c>
      <c r="BE38" s="378"/>
      <c r="BF38" s="378"/>
      <c r="BG38" s="378"/>
      <c r="BH38" s="378"/>
      <c r="BI38" s="378"/>
      <c r="BJ38" s="378"/>
      <c r="BK38" s="378"/>
      <c r="BL38" s="378"/>
      <c r="BM38" s="378"/>
      <c r="BO38" s="378" t="str">
        <f>CONCATENATE(BO$1," (Continued)")</f>
        <v>Basic Table 2.6  Employment Change by Occupation and Replacement Demand, RQF2 GCSE(A-C) &amp; equivalent, 2015-2035, North East (Continued)</v>
      </c>
      <c r="BP38" s="378"/>
      <c r="BQ38" s="378"/>
      <c r="BR38" s="378"/>
      <c r="BS38" s="378"/>
      <c r="BT38" s="378"/>
      <c r="BU38" s="378"/>
      <c r="BV38" s="378"/>
      <c r="BW38" s="378"/>
      <c r="BX38" s="378"/>
      <c r="BZ38" s="378" t="str">
        <f>CONCATENATE(BZ$1," (Continued)")</f>
        <v>Basic Table 2.7  Employment Change by Occupation and Replacement Demand, RQF1 GCSE(below grade C) &amp; equivalent, 2015-2035, North East (Continued)</v>
      </c>
      <c r="CA38" s="378"/>
      <c r="CB38" s="378"/>
      <c r="CC38" s="378"/>
      <c r="CD38" s="378"/>
      <c r="CE38" s="378"/>
      <c r="CF38" s="378"/>
      <c r="CG38" s="378"/>
      <c r="CH38" s="378"/>
      <c r="CI38" s="378"/>
      <c r="CK38" s="378" t="str">
        <f>CONCATENATE(CK$1," (Continued)")</f>
        <v>Basic Table 2.8  Employment Change by Occupation and Replacement Demand, No Qualification, 2015-2035, North East (Continued)</v>
      </c>
      <c r="CL38" s="378"/>
      <c r="CM38" s="378"/>
      <c r="CN38" s="378"/>
      <c r="CO38" s="378"/>
      <c r="CP38" s="378"/>
      <c r="CQ38" s="378"/>
      <c r="CR38" s="378"/>
      <c r="CS38" s="378"/>
      <c r="CT38" s="378"/>
    </row>
    <row r="39" spans="1:98" ht="12.75" customHeight="1" x14ac:dyDescent="0.2"/>
    <row r="40" spans="1:98" ht="12.75" customHeight="1" x14ac:dyDescent="0.2">
      <c r="F40" s="15" t="s">
        <v>34</v>
      </c>
      <c r="J40" s="15" t="s">
        <v>34</v>
      </c>
      <c r="Q40" s="15" t="s">
        <v>34</v>
      </c>
      <c r="U40" s="15" t="s">
        <v>34</v>
      </c>
      <c r="AB40" s="15" t="s">
        <v>34</v>
      </c>
      <c r="AF40" s="15" t="s">
        <v>34</v>
      </c>
      <c r="AM40" s="15" t="s">
        <v>34</v>
      </c>
      <c r="AQ40" s="15" t="s">
        <v>34</v>
      </c>
      <c r="AX40" s="15" t="s">
        <v>34</v>
      </c>
      <c r="BB40" s="15" t="s">
        <v>34</v>
      </c>
      <c r="BI40" s="15" t="s">
        <v>34</v>
      </c>
      <c r="BM40" s="15" t="s">
        <v>34</v>
      </c>
      <c r="BT40" s="15" t="s">
        <v>34</v>
      </c>
      <c r="BX40" s="15" t="s">
        <v>34</v>
      </c>
      <c r="CE40" s="15" t="s">
        <v>34</v>
      </c>
      <c r="CI40" s="15" t="s">
        <v>34</v>
      </c>
      <c r="CP40" s="15" t="s">
        <v>34</v>
      </c>
      <c r="CT40" s="15" t="s">
        <v>34</v>
      </c>
    </row>
    <row r="41" spans="1:98" ht="12.75" customHeight="1" x14ac:dyDescent="0.2">
      <c r="A41" s="35"/>
      <c r="B41" s="35"/>
      <c r="C41" s="35"/>
      <c r="D41" s="35"/>
      <c r="E41" s="35"/>
      <c r="F41" s="35"/>
      <c r="H41" s="27" t="str">
        <f>$H$4</f>
        <v>2020-2035</v>
      </c>
      <c r="I41" s="35"/>
      <c r="J41" s="35"/>
      <c r="L41" s="35"/>
      <c r="M41" s="35"/>
      <c r="N41" s="35"/>
      <c r="O41" s="35"/>
      <c r="P41" s="35"/>
      <c r="Q41" s="35"/>
      <c r="S41" s="27" t="str">
        <f>$H$4</f>
        <v>2020-2035</v>
      </c>
      <c r="T41" s="35"/>
      <c r="U41" s="35"/>
      <c r="W41" s="35"/>
      <c r="X41" s="35"/>
      <c r="Y41" s="35"/>
      <c r="Z41" s="35"/>
      <c r="AA41" s="35"/>
      <c r="AB41" s="35"/>
      <c r="AD41" s="27" t="str">
        <f>$H$4</f>
        <v>2020-2035</v>
      </c>
      <c r="AE41" s="35"/>
      <c r="AF41" s="35"/>
      <c r="AH41" s="35"/>
      <c r="AI41" s="35"/>
      <c r="AJ41" s="35"/>
      <c r="AK41" s="35"/>
      <c r="AL41" s="35"/>
      <c r="AM41" s="35"/>
      <c r="AO41" s="27" t="str">
        <f>$H$4</f>
        <v>2020-2035</v>
      </c>
      <c r="AP41" s="35"/>
      <c r="AQ41" s="35"/>
      <c r="AS41" s="35"/>
      <c r="AT41" s="35"/>
      <c r="AU41" s="35"/>
      <c r="AV41" s="35"/>
      <c r="AW41" s="35"/>
      <c r="AX41" s="35"/>
      <c r="AZ41" s="27" t="str">
        <f>$H$4</f>
        <v>2020-2035</v>
      </c>
      <c r="BA41" s="35"/>
      <c r="BB41" s="35"/>
      <c r="BD41" s="35"/>
      <c r="BE41" s="35"/>
      <c r="BF41" s="35"/>
      <c r="BG41" s="35"/>
      <c r="BH41" s="35"/>
      <c r="BI41" s="35"/>
      <c r="BK41" s="27" t="str">
        <f>$H$4</f>
        <v>2020-2035</v>
      </c>
      <c r="BL41" s="35"/>
      <c r="BM41" s="35"/>
      <c r="BO41" s="35"/>
      <c r="BP41" s="35"/>
      <c r="BQ41" s="35"/>
      <c r="BR41" s="35"/>
      <c r="BS41" s="35"/>
      <c r="BT41" s="35"/>
      <c r="BV41" s="27" t="str">
        <f>$H$4</f>
        <v>2020-2035</v>
      </c>
      <c r="BW41" s="35"/>
      <c r="BX41" s="35"/>
      <c r="BZ41" s="35"/>
      <c r="CA41" s="35"/>
      <c r="CB41" s="35"/>
      <c r="CC41" s="35"/>
      <c r="CD41" s="35"/>
      <c r="CE41" s="35"/>
      <c r="CG41" s="27" t="str">
        <f>$H$4</f>
        <v>2020-2035</v>
      </c>
      <c r="CH41" s="35"/>
      <c r="CI41" s="35"/>
      <c r="CK41" s="35"/>
      <c r="CL41" s="35"/>
      <c r="CM41" s="35"/>
      <c r="CN41" s="35"/>
      <c r="CO41" s="35"/>
      <c r="CP41" s="35"/>
      <c r="CR41" s="27" t="str">
        <f>$H$4</f>
        <v>2020-2035</v>
      </c>
      <c r="CS41" s="35"/>
      <c r="CT41" s="35"/>
    </row>
    <row r="42" spans="1:98" ht="12.75" customHeight="1" x14ac:dyDescent="0.2">
      <c r="H42" s="15" t="str">
        <f t="shared" ref="H42:J43" si="86">H5</f>
        <v>Net</v>
      </c>
      <c r="I42" s="15" t="str">
        <f t="shared" si="86"/>
        <v>Replacement</v>
      </c>
      <c r="J42" s="15" t="str">
        <f t="shared" si="86"/>
        <v>Total</v>
      </c>
      <c r="S42" s="15" t="str">
        <f t="shared" ref="S42:U43" si="87">S5</f>
        <v>Net</v>
      </c>
      <c r="T42" s="15" t="str">
        <f t="shared" si="87"/>
        <v>Replacement</v>
      </c>
      <c r="U42" s="15" t="str">
        <f t="shared" si="87"/>
        <v>Total</v>
      </c>
      <c r="AD42" s="15" t="str">
        <f t="shared" ref="AD42:AF43" si="88">AD5</f>
        <v>Net</v>
      </c>
      <c r="AE42" s="15" t="str">
        <f t="shared" si="88"/>
        <v>Replacement</v>
      </c>
      <c r="AF42" s="15" t="str">
        <f t="shared" si="88"/>
        <v>Total</v>
      </c>
      <c r="AO42" s="15" t="str">
        <f t="shared" ref="AO42:AQ43" si="89">AO5</f>
        <v>Net</v>
      </c>
      <c r="AP42" s="15" t="str">
        <f t="shared" si="89"/>
        <v>Replacement</v>
      </c>
      <c r="AQ42" s="15" t="str">
        <f t="shared" si="89"/>
        <v>Total</v>
      </c>
      <c r="AZ42" s="15" t="str">
        <f t="shared" ref="AZ42:BB43" si="90">AZ5</f>
        <v>Net</v>
      </c>
      <c r="BA42" s="15" t="str">
        <f t="shared" si="90"/>
        <v>Replacement</v>
      </c>
      <c r="BB42" s="15" t="str">
        <f t="shared" si="90"/>
        <v>Total</v>
      </c>
      <c r="BK42" s="15" t="str">
        <f t="shared" ref="BK42:BM43" si="91">BK5</f>
        <v>Net</v>
      </c>
      <c r="BL42" s="15" t="str">
        <f t="shared" si="91"/>
        <v>Replacement</v>
      </c>
      <c r="BM42" s="15" t="str">
        <f t="shared" si="91"/>
        <v>Total</v>
      </c>
      <c r="BV42" s="15" t="str">
        <f t="shared" ref="BV42:BX43" si="92">BV5</f>
        <v>Net</v>
      </c>
      <c r="BW42" s="15" t="str">
        <f t="shared" si="92"/>
        <v>Replacement</v>
      </c>
      <c r="BX42" s="15" t="str">
        <f t="shared" si="92"/>
        <v>Total</v>
      </c>
      <c r="CG42" s="15" t="str">
        <f t="shared" ref="CG42:CI43" si="93">CG5</f>
        <v>Net</v>
      </c>
      <c r="CH42" s="15" t="str">
        <f t="shared" si="93"/>
        <v>Replacement</v>
      </c>
      <c r="CI42" s="15" t="str">
        <f t="shared" si="93"/>
        <v>Total</v>
      </c>
      <c r="CR42" s="15" t="str">
        <f t="shared" ref="CR42:CT43" si="94">CR5</f>
        <v>Net</v>
      </c>
      <c r="CS42" s="15" t="str">
        <f t="shared" si="94"/>
        <v>Replacement</v>
      </c>
      <c r="CT42" s="15" t="str">
        <f t="shared" si="94"/>
        <v>Total</v>
      </c>
    </row>
    <row r="43" spans="1:98" ht="12.75" customHeight="1" x14ac:dyDescent="0.2">
      <c r="A43" s="40" t="s">
        <v>463</v>
      </c>
      <c r="B43" s="34">
        <f>B$6</f>
        <v>2015</v>
      </c>
      <c r="C43" s="34">
        <f>C$6</f>
        <v>2019</v>
      </c>
      <c r="D43" s="34">
        <f>D$6</f>
        <v>2020</v>
      </c>
      <c r="E43" s="34">
        <f>E$6</f>
        <v>2025</v>
      </c>
      <c r="F43" s="34">
        <f>F$6</f>
        <v>2035</v>
      </c>
      <c r="H43" s="62" t="str">
        <f t="shared" si="86"/>
        <v>Change</v>
      </c>
      <c r="I43" s="62" t="str">
        <f t="shared" si="86"/>
        <v>Demand</v>
      </c>
      <c r="J43" s="62" t="str">
        <f t="shared" si="86"/>
        <v>Requirement</v>
      </c>
      <c r="L43" s="40" t="s">
        <v>463</v>
      </c>
      <c r="M43" s="34">
        <f>M$6</f>
        <v>2015</v>
      </c>
      <c r="N43" s="34">
        <f>N$6</f>
        <v>2019</v>
      </c>
      <c r="O43" s="34">
        <f>O$6</f>
        <v>2020</v>
      </c>
      <c r="P43" s="34">
        <f>P$6</f>
        <v>2025</v>
      </c>
      <c r="Q43" s="34">
        <f>Q$6</f>
        <v>2035</v>
      </c>
      <c r="S43" s="62" t="str">
        <f t="shared" si="87"/>
        <v>Change</v>
      </c>
      <c r="T43" s="62" t="str">
        <f t="shared" si="87"/>
        <v>Demand</v>
      </c>
      <c r="U43" s="62" t="str">
        <f t="shared" si="87"/>
        <v>Requirement</v>
      </c>
      <c r="W43" s="40" t="s">
        <v>463</v>
      </c>
      <c r="X43" s="34">
        <f>X$6</f>
        <v>2015</v>
      </c>
      <c r="Y43" s="34">
        <f>Y$6</f>
        <v>2019</v>
      </c>
      <c r="Z43" s="34">
        <f>Z$6</f>
        <v>2020</v>
      </c>
      <c r="AA43" s="34">
        <f>AA$6</f>
        <v>2025</v>
      </c>
      <c r="AB43" s="34">
        <f>AB$6</f>
        <v>2035</v>
      </c>
      <c r="AD43" s="62" t="str">
        <f t="shared" si="88"/>
        <v>Change</v>
      </c>
      <c r="AE43" s="62" t="str">
        <f t="shared" si="88"/>
        <v>Demand</v>
      </c>
      <c r="AF43" s="62" t="str">
        <f t="shared" si="88"/>
        <v>Requirement</v>
      </c>
      <c r="AH43" s="40" t="s">
        <v>463</v>
      </c>
      <c r="AI43" s="34">
        <f>AI$6</f>
        <v>2015</v>
      </c>
      <c r="AJ43" s="34">
        <f>AJ$6</f>
        <v>2019</v>
      </c>
      <c r="AK43" s="34">
        <f>AK$6</f>
        <v>2020</v>
      </c>
      <c r="AL43" s="34">
        <f>AL$6</f>
        <v>2025</v>
      </c>
      <c r="AM43" s="34">
        <f>AM$6</f>
        <v>2035</v>
      </c>
      <c r="AO43" s="62" t="str">
        <f t="shared" si="89"/>
        <v>Change</v>
      </c>
      <c r="AP43" s="62" t="str">
        <f t="shared" si="89"/>
        <v>Demand</v>
      </c>
      <c r="AQ43" s="62" t="str">
        <f t="shared" si="89"/>
        <v>Requirement</v>
      </c>
      <c r="AS43" s="40" t="s">
        <v>463</v>
      </c>
      <c r="AT43" s="34">
        <f>AT$6</f>
        <v>2015</v>
      </c>
      <c r="AU43" s="34">
        <f>AU$6</f>
        <v>2019</v>
      </c>
      <c r="AV43" s="34">
        <f>AV$6</f>
        <v>2020</v>
      </c>
      <c r="AW43" s="34">
        <f>AW$6</f>
        <v>2025</v>
      </c>
      <c r="AX43" s="34">
        <f>AX$6</f>
        <v>2035</v>
      </c>
      <c r="AZ43" s="62" t="str">
        <f t="shared" si="90"/>
        <v>Change</v>
      </c>
      <c r="BA43" s="62" t="str">
        <f t="shared" si="90"/>
        <v>Demand</v>
      </c>
      <c r="BB43" s="62" t="str">
        <f t="shared" si="90"/>
        <v>Requirement</v>
      </c>
      <c r="BD43" s="40" t="s">
        <v>463</v>
      </c>
      <c r="BE43" s="34">
        <f>BE$6</f>
        <v>2015</v>
      </c>
      <c r="BF43" s="34">
        <f>BF$6</f>
        <v>2019</v>
      </c>
      <c r="BG43" s="34">
        <f>BG$6</f>
        <v>2020</v>
      </c>
      <c r="BH43" s="34">
        <f>BH$6</f>
        <v>2025</v>
      </c>
      <c r="BI43" s="34">
        <f>BI$6</f>
        <v>2035</v>
      </c>
      <c r="BK43" s="62" t="str">
        <f t="shared" si="91"/>
        <v>Change</v>
      </c>
      <c r="BL43" s="62" t="str">
        <f t="shared" si="91"/>
        <v>Demand</v>
      </c>
      <c r="BM43" s="62" t="str">
        <f t="shared" si="91"/>
        <v>Requirement</v>
      </c>
      <c r="BO43" s="40" t="s">
        <v>463</v>
      </c>
      <c r="BP43" s="34">
        <f>BP$6</f>
        <v>2015</v>
      </c>
      <c r="BQ43" s="34">
        <f>BQ$6</f>
        <v>2019</v>
      </c>
      <c r="BR43" s="34">
        <f>BR$6</f>
        <v>2020</v>
      </c>
      <c r="BS43" s="34">
        <f>BS$6</f>
        <v>2025</v>
      </c>
      <c r="BT43" s="34">
        <f>BT$6</f>
        <v>2035</v>
      </c>
      <c r="BV43" s="62" t="str">
        <f t="shared" si="92"/>
        <v>Change</v>
      </c>
      <c r="BW43" s="62" t="str">
        <f t="shared" si="92"/>
        <v>Demand</v>
      </c>
      <c r="BX43" s="62" t="str">
        <f t="shared" si="92"/>
        <v>Requirement</v>
      </c>
      <c r="BZ43" s="40" t="s">
        <v>463</v>
      </c>
      <c r="CA43" s="34">
        <f>CA$6</f>
        <v>2015</v>
      </c>
      <c r="CB43" s="34">
        <f>CB$6</f>
        <v>2019</v>
      </c>
      <c r="CC43" s="34">
        <f>CC$6</f>
        <v>2020</v>
      </c>
      <c r="CD43" s="34">
        <f>CD$6</f>
        <v>2025</v>
      </c>
      <c r="CE43" s="34">
        <f>CE$6</f>
        <v>2035</v>
      </c>
      <c r="CG43" s="62" t="str">
        <f t="shared" si="93"/>
        <v>Change</v>
      </c>
      <c r="CH43" s="62" t="str">
        <f t="shared" si="93"/>
        <v>Demand</v>
      </c>
      <c r="CI43" s="62" t="str">
        <f t="shared" si="93"/>
        <v>Requirement</v>
      </c>
      <c r="CK43" s="40" t="s">
        <v>463</v>
      </c>
      <c r="CL43" s="34">
        <f>CL$6</f>
        <v>2015</v>
      </c>
      <c r="CM43" s="34">
        <f>CM$6</f>
        <v>2019</v>
      </c>
      <c r="CN43" s="34">
        <f>CN$6</f>
        <v>2020</v>
      </c>
      <c r="CO43" s="34">
        <f>CO$6</f>
        <v>2025</v>
      </c>
      <c r="CP43" s="34">
        <f>CP$6</f>
        <v>2035</v>
      </c>
      <c r="CR43" s="62" t="str">
        <f t="shared" si="94"/>
        <v>Change</v>
      </c>
      <c r="CS43" s="62" t="str">
        <f t="shared" si="94"/>
        <v>Demand</v>
      </c>
      <c r="CT43" s="62" t="str">
        <f t="shared" si="94"/>
        <v>Requirement</v>
      </c>
    </row>
    <row r="44" spans="1:98" x14ac:dyDescent="0.2">
      <c r="G44" s="11"/>
      <c r="R44" s="11"/>
      <c r="AC44" s="11"/>
      <c r="AN44" s="11"/>
      <c r="AY44" s="11"/>
      <c r="BJ44" s="11"/>
      <c r="BU44" s="11"/>
      <c r="CF44" s="11"/>
      <c r="CQ44" s="11"/>
    </row>
    <row r="45" spans="1:98" x14ac:dyDescent="0.2">
      <c r="A45" t="str">
        <f t="shared" ref="A45:A70" si="95">A8</f>
        <v>11 Corporate managers and directors</v>
      </c>
      <c r="B45" s="17">
        <f t="shared" ref="B45:F54" si="96">B8/B$35*100</f>
        <v>3.8561170328872576</v>
      </c>
      <c r="C45" s="17">
        <f t="shared" si="96"/>
        <v>4.372234920497573</v>
      </c>
      <c r="D45" s="17">
        <f t="shared" si="96"/>
        <v>4.1526199164016431</v>
      </c>
      <c r="E45" s="17">
        <f t="shared" si="96"/>
        <v>3.7791470739647526</v>
      </c>
      <c r="F45" s="17">
        <f t="shared" si="96"/>
        <v>3.9922287067346329</v>
      </c>
      <c r="H45" s="67">
        <f>IF(D8&gt;0,(H8/D8)*100,0)</f>
        <v>49.449168284584246</v>
      </c>
      <c r="I45" s="68">
        <f>IF(D8&gt;0,I8/D8*100,0)</f>
        <v>69.864087626569372</v>
      </c>
      <c r="J45" s="68">
        <f>IF(D8&gt;0,(J8/D8)*100,0)</f>
        <v>119.31325591115363</v>
      </c>
      <c r="L45" t="str">
        <f>A45</f>
        <v>11 Corporate managers and directors</v>
      </c>
      <c r="M45" s="17">
        <f t="shared" ref="M45:Q54" si="97">M8/M$35*100</f>
        <v>5.7246533688460381</v>
      </c>
      <c r="N45" s="17">
        <f t="shared" si="97"/>
        <v>6.6178507039808059</v>
      </c>
      <c r="O45" s="17">
        <f t="shared" si="97"/>
        <v>6.2416319235157349</v>
      </c>
      <c r="P45" s="17">
        <f t="shared" si="97"/>
        <v>5.5931913277987313</v>
      </c>
      <c r="Q45" s="17">
        <f t="shared" si="97"/>
        <v>5.6483920529536347</v>
      </c>
      <c r="S45" s="67">
        <f t="shared" ref="S45:S70" si="98">IF(O8&gt;0,(S8/O8)*100,0)</f>
        <v>32.866597249724656</v>
      </c>
      <c r="T45" s="68">
        <f t="shared" ref="T45:T70" si="99">IF(O8&gt;0,T8/O8*100,0)</f>
        <v>67.342677616525563</v>
      </c>
      <c r="U45" s="68">
        <f t="shared" ref="U45:U70" si="100">IF(O8&gt;0,(U8/O8)*100,0)</f>
        <v>100.20927486625023</v>
      </c>
      <c r="W45" t="str">
        <f>A45</f>
        <v>11 Corporate managers and directors</v>
      </c>
      <c r="X45" s="17">
        <f t="shared" ref="X45:AB54" si="101">X8/X$35*100</f>
        <v>7.1132708139988381</v>
      </c>
      <c r="Y45" s="17">
        <f t="shared" si="101"/>
        <v>7.774972108129961</v>
      </c>
      <c r="Z45" s="17">
        <f t="shared" si="101"/>
        <v>7.4675120212690889</v>
      </c>
      <c r="AA45" s="17">
        <f t="shared" si="101"/>
        <v>6.7149264437083573</v>
      </c>
      <c r="AB45" s="17">
        <f t="shared" si="101"/>
        <v>6.6004894979102255</v>
      </c>
      <c r="AD45" s="67">
        <f t="shared" ref="AD45:AD70" si="102">IF(Z8&gt;0,(AD8/Z8)*100,0)</f>
        <v>23.68804007493052</v>
      </c>
      <c r="AE45" s="68">
        <f t="shared" ref="AE45:AE70" si="103">IF(Z8&gt;0,AE8/Z8*100,0)</f>
        <v>64.070828845355564</v>
      </c>
      <c r="AF45" s="68">
        <f t="shared" ref="AF45:AF70" si="104">IF(Z8&gt;0,(AF8/Z8)*100,0)</f>
        <v>87.758868920286076</v>
      </c>
      <c r="AH45" t="str">
        <f>L45</f>
        <v>11 Corporate managers and directors</v>
      </c>
      <c r="AI45" s="17">
        <f t="shared" ref="AI45:AM54" si="105">AI8/AI$35*100</f>
        <v>4.9616448880184105</v>
      </c>
      <c r="AJ45" s="17">
        <f t="shared" si="105"/>
        <v>5.5609668779299062</v>
      </c>
      <c r="AK45" s="17">
        <f t="shared" si="105"/>
        <v>5.9028342900295296</v>
      </c>
      <c r="AL45" s="17">
        <f t="shared" si="105"/>
        <v>5.7276839180059786</v>
      </c>
      <c r="AM45" s="17">
        <f t="shared" si="105"/>
        <v>5.9472958274376682</v>
      </c>
      <c r="AO45" s="67">
        <f t="shared" ref="AO45:AO70" si="106">IF(AK8&gt;0,(AO8/AK8)*100,0)</f>
        <v>7.9246325777505024</v>
      </c>
      <c r="AP45" s="68">
        <f t="shared" ref="AP45:AP70" si="107">IF(AK8&gt;0,AP8/AK8*100,0)</f>
        <v>54.002081156854295</v>
      </c>
      <c r="AQ45" s="68">
        <f t="shared" ref="AQ45:AQ70" si="108">IF(AK8&gt;0,(AQ8/AK8)*100,0)</f>
        <v>61.926713734604796</v>
      </c>
      <c r="AS45" t="str">
        <f>W45</f>
        <v>11 Corporate managers and directors</v>
      </c>
      <c r="AT45" s="17">
        <f t="shared" ref="AT45:AX54" si="109">AT8/AT$35*100</f>
        <v>7.0662987559506396</v>
      </c>
      <c r="AU45" s="17">
        <f t="shared" si="109"/>
        <v>7.2835729787474417</v>
      </c>
      <c r="AV45" s="17">
        <f t="shared" si="109"/>
        <v>7.3111579782975857</v>
      </c>
      <c r="AW45" s="17">
        <f t="shared" si="109"/>
        <v>6.3068634089220437</v>
      </c>
      <c r="AX45" s="17">
        <f t="shared" si="109"/>
        <v>5.9423872795838006</v>
      </c>
      <c r="AZ45" s="67">
        <f t="shared" ref="AZ45:AZ70" si="110">IF(AV8&gt;0,(AZ8/AV8)*100,0)</f>
        <v>1.1373850242353767</v>
      </c>
      <c r="BA45" s="68">
        <f t="shared" ref="BA45:BA70" si="111">IF(AV8&gt;0,BA8/AV8*100,0)</f>
        <v>51.653468435627516</v>
      </c>
      <c r="BB45" s="68">
        <f t="shared" ref="BB45:BB70" si="112">IF(AV8&gt;0,(BB8/AV8)*100,0)</f>
        <v>52.790853459862895</v>
      </c>
      <c r="BD45" t="str">
        <f>AH45</f>
        <v>11 Corporate managers and directors</v>
      </c>
      <c r="BE45" s="17">
        <f t="shared" ref="BE45:BI54" si="113">BE8/BE$35*100</f>
        <v>4.0555594925268386</v>
      </c>
      <c r="BF45" s="17">
        <f t="shared" si="113"/>
        <v>4.609989265042735</v>
      </c>
      <c r="BG45" s="17">
        <f t="shared" si="113"/>
        <v>4.9990961170797057</v>
      </c>
      <c r="BH45" s="17">
        <f t="shared" si="113"/>
        <v>4.0679947570962787</v>
      </c>
      <c r="BI45" s="17">
        <f t="shared" si="113"/>
        <v>4.2280112055265251</v>
      </c>
      <c r="BK45" s="67">
        <f t="shared" ref="BK45:BK70" si="114">IF(BG8&gt;0,(BK8/BG8)*100,0)</f>
        <v>-13.685483361200518</v>
      </c>
      <c r="BL45" s="68">
        <f t="shared" ref="BL45:BL70" si="115">IF(BG8&gt;0,BL8/BG8*100,0)</f>
        <v>37.114750052128805</v>
      </c>
      <c r="BM45" s="68">
        <f t="shared" ref="BM45:BM70" si="116">IF(BG8&gt;0,(BM8/BG8)*100,0)</f>
        <v>23.429266690928287</v>
      </c>
      <c r="BO45" t="str">
        <f>AS45</f>
        <v>11 Corporate managers and directors</v>
      </c>
      <c r="BP45" s="17">
        <f t="shared" ref="BP45:BT54" si="117">BP8/BP$35*100</f>
        <v>3.2016729572778644</v>
      </c>
      <c r="BQ45" s="17">
        <f t="shared" si="117"/>
        <v>3.6723948295936455</v>
      </c>
      <c r="BR45" s="17">
        <f t="shared" si="117"/>
        <v>3.7237819941749963</v>
      </c>
      <c r="BS45" s="17">
        <f t="shared" si="117"/>
        <v>3.2735341797652771</v>
      </c>
      <c r="BT45" s="17">
        <f t="shared" si="117"/>
        <v>3.3665457923615034</v>
      </c>
      <c r="BV45" s="67">
        <f t="shared" ref="BV45:BV70" si="118">IF(BR8&gt;0,(BV8/BR8)*100,0)</f>
        <v>-21.341703062485674</v>
      </c>
      <c r="BW45" s="68">
        <f t="shared" ref="BW45:BW70" si="119">IF(BR8&gt;0,BW8/BR8*100,0)</f>
        <v>36.89523018294306</v>
      </c>
      <c r="BX45" s="68">
        <f t="shared" ref="BX45:BX70" si="120">IF(BR8&gt;0,(BX8/BR8)*100,0)</f>
        <v>15.553527120457389</v>
      </c>
      <c r="BZ45" t="str">
        <f>BD45</f>
        <v>11 Corporate managers and directors</v>
      </c>
      <c r="CA45" s="17">
        <f t="shared" ref="CA45:CE54" si="121">CA8/CA$35*100</f>
        <v>2.771151700586493</v>
      </c>
      <c r="CB45" s="17">
        <f t="shared" si="121"/>
        <v>3.7235346218250602</v>
      </c>
      <c r="CC45" s="17">
        <f t="shared" si="121"/>
        <v>3.7741500513128932</v>
      </c>
      <c r="CD45" s="17">
        <f t="shared" si="121"/>
        <v>3.7130179096786673</v>
      </c>
      <c r="CE45" s="17">
        <f t="shared" si="121"/>
        <v>4.2283639177535282</v>
      </c>
      <c r="CG45" s="67">
        <f t="shared" ref="CG45:CG70" si="122">IF(CC8&gt;0,(CG8/CC8)*100,0)</f>
        <v>-33.959662916271171</v>
      </c>
      <c r="CH45" s="68">
        <f t="shared" ref="CH45:CH70" si="123">IF(CC8&gt;0,CH8/CC8*100,0)</f>
        <v>36.153972676032659</v>
      </c>
      <c r="CI45" s="68">
        <f t="shared" ref="CI45:CI70" si="124">IF(CC8&gt;0,(CI8/CC8)*100,0)</f>
        <v>2.1943097597614853</v>
      </c>
      <c r="CK45" t="str">
        <f>BO45</f>
        <v>11 Corporate managers and directors</v>
      </c>
      <c r="CL45" s="17">
        <f t="shared" ref="CL45:CP54" si="125">CL8/CL$35*100</f>
        <v>1.8615522064661623</v>
      </c>
      <c r="CM45" s="17">
        <f t="shared" si="125"/>
        <v>2.7177970783192102</v>
      </c>
      <c r="CN45" s="17">
        <f t="shared" si="125"/>
        <v>2.7902795240294163</v>
      </c>
      <c r="CO45" s="17">
        <f t="shared" si="125"/>
        <v>2.8176035759555633</v>
      </c>
      <c r="CP45" s="17">
        <f t="shared" si="125"/>
        <v>4.4205726113761097</v>
      </c>
      <c r="CR45" s="67">
        <f t="shared" ref="CR45:CR70" si="126">IF(CN8&gt;0,(CR8/CN8)*100,0)</f>
        <v>-2.7968900315418601</v>
      </c>
      <c r="CS45" s="68">
        <f t="shared" ref="CS45:CS70" si="127">IF(CN8&gt;0,CS8/CN8*100,0)</f>
        <v>35.086254099915109</v>
      </c>
      <c r="CT45" s="68">
        <f t="shared" ref="CT45:CT70" si="128">IF(CN8&gt;0,(CT8/CN8)*100,0)</f>
        <v>32.289364068373253</v>
      </c>
    </row>
    <row r="46" spans="1:98" x14ac:dyDescent="0.2">
      <c r="A46" t="str">
        <f t="shared" si="95"/>
        <v>12 Other managers and proprietors</v>
      </c>
      <c r="B46" s="17">
        <f t="shared" si="96"/>
        <v>1.9328615402024325</v>
      </c>
      <c r="C46" s="17">
        <f t="shared" si="96"/>
        <v>2.5123357815505947</v>
      </c>
      <c r="D46" s="17">
        <f t="shared" si="96"/>
        <v>2.0561701774965435</v>
      </c>
      <c r="E46" s="17">
        <f t="shared" si="96"/>
        <v>2.4978082226990646</v>
      </c>
      <c r="F46" s="17">
        <f t="shared" si="96"/>
        <v>3.0950597078558082</v>
      </c>
      <c r="H46" s="67">
        <f t="shared" ref="H46:H70" si="129">IF(D9&gt;0,(H9/D9)*100,0)</f>
        <v>133.9969773617332</v>
      </c>
      <c r="I46" s="68">
        <f t="shared" ref="I46:I70" si="130">IF(D9&gt;0,I9/D9*100,0)</f>
        <v>112.27313512453658</v>
      </c>
      <c r="J46" s="68">
        <f t="shared" ref="J46:J70" si="131">IF(D9&gt;0,(J9/D9)*100,0)</f>
        <v>246.27011248626977</v>
      </c>
      <c r="L46" t="str">
        <f t="shared" ref="L46:L69" si="132">A46</f>
        <v>12 Other managers and proprietors</v>
      </c>
      <c r="M46" s="17">
        <f t="shared" si="97"/>
        <v>2.6615373220009491</v>
      </c>
      <c r="N46" s="17">
        <f t="shared" si="97"/>
        <v>3.0419045927872457</v>
      </c>
      <c r="O46" s="17">
        <f t="shared" si="97"/>
        <v>2.9306393066268925</v>
      </c>
      <c r="P46" s="17">
        <f t="shared" si="97"/>
        <v>3.5397408155015562</v>
      </c>
      <c r="Q46" s="17">
        <f t="shared" si="97"/>
        <v>4.4115348589812839</v>
      </c>
      <c r="S46" s="67">
        <f t="shared" si="98"/>
        <v>121.01231759037212</v>
      </c>
      <c r="T46" s="68">
        <f t="shared" si="99"/>
        <v>108.25767819781279</v>
      </c>
      <c r="U46" s="68">
        <f t="shared" si="100"/>
        <v>229.26999578818493</v>
      </c>
      <c r="W46" t="str">
        <f t="shared" ref="W46:W69" si="133">A46</f>
        <v>12 Other managers and proprietors</v>
      </c>
      <c r="X46" s="17">
        <f t="shared" si="101"/>
        <v>3.4745575612572388</v>
      </c>
      <c r="Y46" s="17">
        <f t="shared" si="101"/>
        <v>3.8730469887918098</v>
      </c>
      <c r="Z46" s="17">
        <f t="shared" si="101"/>
        <v>3.5783296580062394</v>
      </c>
      <c r="AA46" s="17">
        <f t="shared" si="101"/>
        <v>4.2618589272993654</v>
      </c>
      <c r="AB46" s="17">
        <f t="shared" si="101"/>
        <v>4.4942329065813036</v>
      </c>
      <c r="AD46" s="67">
        <f t="shared" si="102"/>
        <v>75.75298959961772</v>
      </c>
      <c r="AE46" s="68">
        <f t="shared" si="103"/>
        <v>97.437422059505934</v>
      </c>
      <c r="AF46" s="68">
        <f t="shared" si="104"/>
        <v>173.19041165912367</v>
      </c>
      <c r="AH46" t="str">
        <f t="shared" ref="AH46:AH69" si="134">L46</f>
        <v>12 Other managers and proprietors</v>
      </c>
      <c r="AI46" s="17">
        <f t="shared" si="105"/>
        <v>3.2731462119684376</v>
      </c>
      <c r="AJ46" s="17">
        <f t="shared" si="105"/>
        <v>3.9983373135000804</v>
      </c>
      <c r="AK46" s="17">
        <f t="shared" si="105"/>
        <v>4.1645089788685814</v>
      </c>
      <c r="AL46" s="17">
        <f t="shared" si="105"/>
        <v>5.2081585483075861</v>
      </c>
      <c r="AM46" s="17">
        <f t="shared" si="105"/>
        <v>6.3262847737361909</v>
      </c>
      <c r="AO46" s="67">
        <f t="shared" si="106"/>
        <v>62.72210866618564</v>
      </c>
      <c r="AP46" s="68">
        <f t="shared" si="107"/>
        <v>87.490524997082545</v>
      </c>
      <c r="AQ46" s="68">
        <f t="shared" si="108"/>
        <v>150.21263366326818</v>
      </c>
      <c r="AS46" t="str">
        <f t="shared" ref="AS46:AS69" si="135">W46</f>
        <v>12 Other managers and proprietors</v>
      </c>
      <c r="AT46" s="17">
        <f t="shared" si="109"/>
        <v>4.0402618345447925</v>
      </c>
      <c r="AU46" s="17">
        <f t="shared" si="109"/>
        <v>4.4664370747087219</v>
      </c>
      <c r="AV46" s="17">
        <f t="shared" si="109"/>
        <v>4.093267203227283</v>
      </c>
      <c r="AW46" s="17">
        <f t="shared" si="109"/>
        <v>4.8095563000273795</v>
      </c>
      <c r="AX46" s="17">
        <f t="shared" si="109"/>
        <v>4.8749200360795308</v>
      </c>
      <c r="AZ46" s="67">
        <f t="shared" si="110"/>
        <v>48.195268104847443</v>
      </c>
      <c r="BA46" s="68">
        <f t="shared" si="111"/>
        <v>79.740523652901487</v>
      </c>
      <c r="BB46" s="68">
        <f t="shared" si="112"/>
        <v>127.93579175774892</v>
      </c>
      <c r="BD46" t="str">
        <f t="shared" ref="BD46:BD69" si="136">AH46</f>
        <v>12 Other managers and proprietors</v>
      </c>
      <c r="BE46" s="17">
        <f t="shared" si="113"/>
        <v>2.8230262295116773</v>
      </c>
      <c r="BF46" s="17">
        <f t="shared" si="113"/>
        <v>2.734810103196859</v>
      </c>
      <c r="BG46" s="17">
        <f t="shared" si="113"/>
        <v>2.7348428985058044</v>
      </c>
      <c r="BH46" s="17">
        <f t="shared" si="113"/>
        <v>2.8842009178098627</v>
      </c>
      <c r="BI46" s="17">
        <f t="shared" si="113"/>
        <v>3.1482465669637918</v>
      </c>
      <c r="BK46" s="67">
        <f t="shared" si="114"/>
        <v>17.483142572873597</v>
      </c>
      <c r="BL46" s="68">
        <f t="shared" si="115"/>
        <v>51.945522845226492</v>
      </c>
      <c r="BM46" s="68">
        <f t="shared" si="116"/>
        <v>69.428665418100081</v>
      </c>
      <c r="BO46" t="str">
        <f t="shared" ref="BO46:BO69" si="137">AS46</f>
        <v>12 Other managers and proprietors</v>
      </c>
      <c r="BP46" s="17">
        <f t="shared" si="117"/>
        <v>2.7620194218873886</v>
      </c>
      <c r="BQ46" s="17">
        <f t="shared" si="117"/>
        <v>3.1411094927783498</v>
      </c>
      <c r="BR46" s="17">
        <f t="shared" si="117"/>
        <v>3.0641235436724812</v>
      </c>
      <c r="BS46" s="17">
        <f t="shared" si="117"/>
        <v>3.6343277534934666</v>
      </c>
      <c r="BT46" s="17">
        <f t="shared" si="117"/>
        <v>4.3389638765719365</v>
      </c>
      <c r="BV46" s="67">
        <f t="shared" si="118"/>
        <v>23.203777342469554</v>
      </c>
      <c r="BW46" s="68">
        <f t="shared" si="119"/>
        <v>59.64371930595015</v>
      </c>
      <c r="BX46" s="68">
        <f t="shared" si="120"/>
        <v>82.847496648419693</v>
      </c>
      <c r="BZ46" t="str">
        <f t="shared" ref="BZ46:BZ69" si="138">BD46</f>
        <v>12 Other managers and proprietors</v>
      </c>
      <c r="CA46" s="17">
        <f t="shared" si="121"/>
        <v>2.8404822170145989</v>
      </c>
      <c r="CB46" s="17">
        <f t="shared" si="121"/>
        <v>3.5493163806030061</v>
      </c>
      <c r="CC46" s="17">
        <f t="shared" si="121"/>
        <v>3.3959078929526854</v>
      </c>
      <c r="CD46" s="17">
        <f t="shared" si="121"/>
        <v>4.0870498331716618</v>
      </c>
      <c r="CE46" s="17">
        <f t="shared" si="121"/>
        <v>5.045815687838731</v>
      </c>
      <c r="CG46" s="67">
        <f t="shared" si="122"/>
        <v>-12.414630567212653</v>
      </c>
      <c r="CH46" s="68">
        <f t="shared" si="123"/>
        <v>48.686904340031468</v>
      </c>
      <c r="CI46" s="68">
        <f t="shared" si="124"/>
        <v>36.272273772818814</v>
      </c>
      <c r="CK46" t="str">
        <f t="shared" ref="CK46:CK69" si="139">BO46</f>
        <v>12 Other managers and proprietors</v>
      </c>
      <c r="CL46" s="17">
        <f t="shared" si="125"/>
        <v>2.5801367727252953</v>
      </c>
      <c r="CM46" s="17">
        <f t="shared" si="125"/>
        <v>2.9518873246148458</v>
      </c>
      <c r="CN46" s="17">
        <f t="shared" si="125"/>
        <v>2.9867899617232365</v>
      </c>
      <c r="CO46" s="17">
        <f t="shared" si="125"/>
        <v>4.108232161468985</v>
      </c>
      <c r="CP46" s="17">
        <f t="shared" si="125"/>
        <v>5.3608361679106276</v>
      </c>
      <c r="CR46" s="67">
        <f t="shared" si="126"/>
        <v>10.122787414030702</v>
      </c>
      <c r="CS46" s="68">
        <f t="shared" si="127"/>
        <v>40.666238391432394</v>
      </c>
      <c r="CT46" s="68">
        <f t="shared" si="128"/>
        <v>50.789025805463105</v>
      </c>
    </row>
    <row r="47" spans="1:98" x14ac:dyDescent="0.2">
      <c r="A47" t="str">
        <f t="shared" si="95"/>
        <v>21 Science, research, engineering and technology professionals</v>
      </c>
      <c r="B47" s="17">
        <f t="shared" si="96"/>
        <v>14.912511246277948</v>
      </c>
      <c r="C47" s="17">
        <f t="shared" si="96"/>
        <v>15.753025386418503</v>
      </c>
      <c r="D47" s="17">
        <f t="shared" si="96"/>
        <v>15.317131365296428</v>
      </c>
      <c r="E47" s="17">
        <f t="shared" si="96"/>
        <v>15.256795787524879</v>
      </c>
      <c r="F47" s="17">
        <f t="shared" si="96"/>
        <v>15.83103929118084</v>
      </c>
      <c r="H47" s="67">
        <f t="shared" si="129"/>
        <v>60.669063222625837</v>
      </c>
      <c r="I47" s="68">
        <f t="shared" si="130"/>
        <v>53.02242031785358</v>
      </c>
      <c r="J47" s="68">
        <f t="shared" si="131"/>
        <v>113.69148354047942</v>
      </c>
      <c r="L47" t="str">
        <f t="shared" si="132"/>
        <v>21 Science, research, engineering and technology professionals</v>
      </c>
      <c r="M47" s="17">
        <f t="shared" si="97"/>
        <v>8.5410976015398816</v>
      </c>
      <c r="N47" s="17">
        <f t="shared" si="97"/>
        <v>9.5354625583512362</v>
      </c>
      <c r="O47" s="17">
        <f t="shared" si="97"/>
        <v>9.4881417137969581</v>
      </c>
      <c r="P47" s="17">
        <f t="shared" si="97"/>
        <v>10.16369075263335</v>
      </c>
      <c r="Q47" s="17">
        <f t="shared" si="97"/>
        <v>11.398452318664544</v>
      </c>
      <c r="S47" s="67">
        <f t="shared" si="98"/>
        <v>76.381835550872097</v>
      </c>
      <c r="T47" s="68">
        <f t="shared" si="99"/>
        <v>59.872189597481082</v>
      </c>
      <c r="U47" s="68">
        <f t="shared" si="100"/>
        <v>136.25402514835321</v>
      </c>
      <c r="W47" t="str">
        <f t="shared" si="133"/>
        <v>21 Science, research, engineering and technology professionals</v>
      </c>
      <c r="X47" s="17">
        <f t="shared" si="101"/>
        <v>9.0549604821293705</v>
      </c>
      <c r="Y47" s="17">
        <f t="shared" si="101"/>
        <v>8.2995932988124501</v>
      </c>
      <c r="Z47" s="17">
        <f t="shared" si="101"/>
        <v>8.0566958313868042</v>
      </c>
      <c r="AA47" s="17">
        <f t="shared" si="101"/>
        <v>7.723223978183273</v>
      </c>
      <c r="AB47" s="17">
        <f t="shared" si="101"/>
        <v>6.7009293436365649</v>
      </c>
      <c r="AD47" s="67">
        <f t="shared" si="102"/>
        <v>16.387292326005522</v>
      </c>
      <c r="AE47" s="68">
        <f t="shared" si="103"/>
        <v>43.287706155513277</v>
      </c>
      <c r="AF47" s="68">
        <f t="shared" si="104"/>
        <v>59.674998481518806</v>
      </c>
      <c r="AH47" t="str">
        <f t="shared" si="134"/>
        <v>21 Science, research, engineering and technology professionals</v>
      </c>
      <c r="AI47" s="17">
        <f t="shared" si="105"/>
        <v>2.5910232477380308</v>
      </c>
      <c r="AJ47" s="17">
        <f t="shared" si="105"/>
        <v>2.7428780407328333</v>
      </c>
      <c r="AK47" s="17">
        <f t="shared" si="105"/>
        <v>2.8463615452593944</v>
      </c>
      <c r="AL47" s="17">
        <f t="shared" si="105"/>
        <v>3.1743522566224853</v>
      </c>
      <c r="AM47" s="17">
        <f t="shared" si="105"/>
        <v>3.292838642439416</v>
      </c>
      <c r="AO47" s="67">
        <f t="shared" si="106"/>
        <v>23.920174142975657</v>
      </c>
      <c r="AP47" s="68">
        <f t="shared" si="107"/>
        <v>43.161077210327072</v>
      </c>
      <c r="AQ47" s="68">
        <f t="shared" si="108"/>
        <v>67.081251353302733</v>
      </c>
      <c r="AS47" t="str">
        <f t="shared" si="135"/>
        <v>21 Science, research, engineering and technology professionals</v>
      </c>
      <c r="AT47" s="17">
        <f t="shared" si="109"/>
        <v>9.8468987199013593</v>
      </c>
      <c r="AU47" s="17">
        <f t="shared" si="109"/>
        <v>9.2860214385729147</v>
      </c>
      <c r="AV47" s="17">
        <f t="shared" si="109"/>
        <v>9.1848036169597762</v>
      </c>
      <c r="AW47" s="17">
        <f t="shared" si="109"/>
        <v>8.498054621812944</v>
      </c>
      <c r="AX47" s="17">
        <f t="shared" si="109"/>
        <v>7.241966320483435</v>
      </c>
      <c r="AZ47" s="67">
        <f t="shared" si="110"/>
        <v>-1.8876762261763311</v>
      </c>
      <c r="BA47" s="68">
        <f t="shared" si="111"/>
        <v>34.28264026394195</v>
      </c>
      <c r="BB47" s="68">
        <f t="shared" si="112"/>
        <v>32.394964037765625</v>
      </c>
      <c r="BD47" t="str">
        <f t="shared" si="136"/>
        <v>21 Science, research, engineering and technology professionals</v>
      </c>
      <c r="BE47" s="17">
        <f t="shared" si="113"/>
        <v>3.231556141711462</v>
      </c>
      <c r="BF47" s="17">
        <f t="shared" si="113"/>
        <v>3.2124958958651613</v>
      </c>
      <c r="BG47" s="17">
        <f t="shared" si="113"/>
        <v>3.7191428672915903</v>
      </c>
      <c r="BH47" s="17">
        <f t="shared" si="113"/>
        <v>3.0194124968580569</v>
      </c>
      <c r="BI47" s="17">
        <f t="shared" si="113"/>
        <v>2.7389486914578036</v>
      </c>
      <c r="BK47" s="67">
        <f t="shared" si="114"/>
        <v>-24.841131169369881</v>
      </c>
      <c r="BL47" s="68">
        <f t="shared" si="115"/>
        <v>23.237841917391613</v>
      </c>
      <c r="BM47" s="68">
        <f t="shared" si="116"/>
        <v>-1.6032892519782664</v>
      </c>
      <c r="BO47" t="str">
        <f t="shared" si="137"/>
        <v>21 Science, research, engineering and technology professionals</v>
      </c>
      <c r="BP47" s="17">
        <f t="shared" si="117"/>
        <v>2.1666702813620717</v>
      </c>
      <c r="BQ47" s="17">
        <f t="shared" si="117"/>
        <v>2.246403008713846</v>
      </c>
      <c r="BR47" s="17">
        <f t="shared" si="117"/>
        <v>2.4592091815984598</v>
      </c>
      <c r="BS47" s="17">
        <f t="shared" si="117"/>
        <v>2.3953926416381104</v>
      </c>
      <c r="BT47" s="17">
        <f t="shared" si="117"/>
        <v>2.6062502106750234</v>
      </c>
      <c r="BV47" s="67">
        <f t="shared" si="118"/>
        <v>-7.7927868231757955</v>
      </c>
      <c r="BW47" s="68">
        <f t="shared" si="119"/>
        <v>29.532676780915697</v>
      </c>
      <c r="BX47" s="68">
        <f t="shared" si="120"/>
        <v>21.739889957739898</v>
      </c>
      <c r="BZ47" t="str">
        <f t="shared" si="138"/>
        <v>21 Science, research, engineering and technology professionals</v>
      </c>
      <c r="CA47" s="17">
        <f t="shared" si="121"/>
        <v>1.7396325765100078</v>
      </c>
      <c r="CB47" s="17">
        <f t="shared" si="121"/>
        <v>2.5045983921936461</v>
      </c>
      <c r="CC47" s="17">
        <f t="shared" si="121"/>
        <v>2.4056060390480565</v>
      </c>
      <c r="CD47" s="17">
        <f t="shared" si="121"/>
        <v>2.77610129476375</v>
      </c>
      <c r="CE47" s="17">
        <f t="shared" si="121"/>
        <v>3.6778601348708002</v>
      </c>
      <c r="CG47" s="67">
        <f t="shared" si="122"/>
        <v>-9.8788365084490248</v>
      </c>
      <c r="CH47" s="68">
        <f t="shared" si="123"/>
        <v>29.93641302328907</v>
      </c>
      <c r="CI47" s="68">
        <f t="shared" si="124"/>
        <v>20.057576514840044</v>
      </c>
      <c r="CK47" t="str">
        <f t="shared" si="139"/>
        <v>21 Science, research, engineering and technology professionals</v>
      </c>
      <c r="CL47" s="17">
        <f t="shared" si="125"/>
        <v>0.87836190309259787</v>
      </c>
      <c r="CM47" s="17">
        <f t="shared" si="125"/>
        <v>1.2519784350066721</v>
      </c>
      <c r="CN47" s="17">
        <f t="shared" si="125"/>
        <v>1.5259303362628085</v>
      </c>
      <c r="CO47" s="17">
        <f t="shared" si="125"/>
        <v>2.0612614384860088</v>
      </c>
      <c r="CP47" s="17">
        <f t="shared" si="125"/>
        <v>2.7367567176519882</v>
      </c>
      <c r="CR47" s="67">
        <f t="shared" si="126"/>
        <v>10.040062756503742</v>
      </c>
      <c r="CS47" s="68">
        <f t="shared" si="127"/>
        <v>36.556240058744002</v>
      </c>
      <c r="CT47" s="68">
        <f t="shared" si="128"/>
        <v>46.596302815247746</v>
      </c>
    </row>
    <row r="48" spans="1:98" x14ac:dyDescent="0.2">
      <c r="A48" t="str">
        <f t="shared" si="95"/>
        <v>22 Health professionals</v>
      </c>
      <c r="B48" s="17">
        <f t="shared" si="96"/>
        <v>26.746018765538849</v>
      </c>
      <c r="C48" s="17">
        <f t="shared" si="96"/>
        <v>27.715190367816078</v>
      </c>
      <c r="D48" s="17">
        <f t="shared" si="96"/>
        <v>28.435667214632375</v>
      </c>
      <c r="E48" s="17">
        <f t="shared" si="96"/>
        <v>29.510088016945847</v>
      </c>
      <c r="F48" s="17">
        <f t="shared" si="96"/>
        <v>29.706669974886573</v>
      </c>
      <c r="H48" s="67">
        <f t="shared" si="129"/>
        <v>62.401793195412246</v>
      </c>
      <c r="I48" s="68">
        <f t="shared" si="130"/>
        <v>73.427376048675001</v>
      </c>
      <c r="J48" s="68">
        <f t="shared" si="131"/>
        <v>135.82916924408724</v>
      </c>
      <c r="L48" t="str">
        <f t="shared" si="132"/>
        <v>22 Health professionals</v>
      </c>
      <c r="M48" s="17">
        <f t="shared" si="97"/>
        <v>12.654022694024276</v>
      </c>
      <c r="N48" s="17">
        <f t="shared" si="97"/>
        <v>12.286590629059004</v>
      </c>
      <c r="O48" s="17">
        <f t="shared" si="97"/>
        <v>12.515803278233909</v>
      </c>
      <c r="P48" s="17">
        <f t="shared" si="97"/>
        <v>12.544713076686746</v>
      </c>
      <c r="Q48" s="17">
        <f t="shared" si="97"/>
        <v>11.578895483925283</v>
      </c>
      <c r="S48" s="67">
        <f t="shared" si="98"/>
        <v>35.830574988523466</v>
      </c>
      <c r="T48" s="68">
        <f t="shared" si="99"/>
        <v>69.45022247872943</v>
      </c>
      <c r="U48" s="68">
        <f t="shared" si="100"/>
        <v>105.2807974672529</v>
      </c>
      <c r="W48" t="str">
        <f t="shared" si="133"/>
        <v>22 Health professionals</v>
      </c>
      <c r="X48" s="17">
        <f t="shared" si="101"/>
        <v>13.465579153030635</v>
      </c>
      <c r="Y48" s="17">
        <f t="shared" si="101"/>
        <v>14.010556651690518</v>
      </c>
      <c r="Z48" s="17">
        <f t="shared" si="101"/>
        <v>14.593397577051878</v>
      </c>
      <c r="AA48" s="17">
        <f t="shared" si="101"/>
        <v>15.653712798223774</v>
      </c>
      <c r="AB48" s="17">
        <f t="shared" si="101"/>
        <v>16.087813835089758</v>
      </c>
      <c r="AD48" s="67">
        <f t="shared" si="102"/>
        <v>54.265251506994552</v>
      </c>
      <c r="AE48" s="68">
        <f t="shared" si="103"/>
        <v>76.575535704939199</v>
      </c>
      <c r="AF48" s="68">
        <f t="shared" si="104"/>
        <v>130.84078721193379</v>
      </c>
      <c r="AH48" t="str">
        <f t="shared" si="134"/>
        <v>22 Health professionals</v>
      </c>
      <c r="AI48" s="17">
        <f t="shared" si="105"/>
        <v>21.373360659897088</v>
      </c>
      <c r="AJ48" s="17">
        <f t="shared" si="105"/>
        <v>16.430260362621944</v>
      </c>
      <c r="AK48" s="17">
        <f t="shared" si="105"/>
        <v>15.725347076814172</v>
      </c>
      <c r="AL48" s="17">
        <f t="shared" si="105"/>
        <v>9.63893624088346</v>
      </c>
      <c r="AM48" s="17">
        <f t="shared" si="105"/>
        <v>2.4420955662807611</v>
      </c>
      <c r="AO48" s="67">
        <f t="shared" si="106"/>
        <v>-83.364952538044932</v>
      </c>
      <c r="AP48" s="68">
        <f t="shared" si="107"/>
        <v>19.467817438837791</v>
      </c>
      <c r="AQ48" s="68">
        <f t="shared" si="108"/>
        <v>-63.897135099207148</v>
      </c>
      <c r="AS48" t="str">
        <f t="shared" si="135"/>
        <v>22 Health professionals</v>
      </c>
      <c r="AT48" s="17">
        <f t="shared" si="109"/>
        <v>2.891970831342904</v>
      </c>
      <c r="AU48" s="17">
        <f t="shared" si="109"/>
        <v>3.1415972805126748</v>
      </c>
      <c r="AV48" s="17">
        <f t="shared" si="109"/>
        <v>3.7394926138704423</v>
      </c>
      <c r="AW48" s="17">
        <f t="shared" si="109"/>
        <v>3.9921380198125309</v>
      </c>
      <c r="AX48" s="17">
        <f t="shared" si="109"/>
        <v>4.1011651618119318</v>
      </c>
      <c r="AZ48" s="67">
        <f t="shared" si="110"/>
        <v>36.468216559549681</v>
      </c>
      <c r="BA48" s="68">
        <f t="shared" si="111"/>
        <v>60.960970860965489</v>
      </c>
      <c r="BB48" s="68">
        <f t="shared" si="112"/>
        <v>97.429187420515177</v>
      </c>
      <c r="BD48" t="str">
        <f t="shared" si="136"/>
        <v>22 Health professionals</v>
      </c>
      <c r="BE48" s="17">
        <f t="shared" si="113"/>
        <v>2.6506659466623619</v>
      </c>
      <c r="BF48" s="17">
        <f t="shared" si="113"/>
        <v>3.1624656117864767</v>
      </c>
      <c r="BG48" s="17">
        <f t="shared" si="113"/>
        <v>3.2869706400497209</v>
      </c>
      <c r="BH48" s="17">
        <f t="shared" si="113"/>
        <v>4.0155281991330023</v>
      </c>
      <c r="BI48" s="17">
        <f t="shared" si="113"/>
        <v>4.5064678133299081</v>
      </c>
      <c r="BK48" s="67">
        <f t="shared" si="114"/>
        <v>39.919952423910431</v>
      </c>
      <c r="BL48" s="68">
        <f t="shared" si="115"/>
        <v>69.604530735303911</v>
      </c>
      <c r="BM48" s="68">
        <f t="shared" si="116"/>
        <v>109.52448315921434</v>
      </c>
      <c r="BO48" t="str">
        <f t="shared" si="137"/>
        <v>22 Health professionals</v>
      </c>
      <c r="BP48" s="17">
        <f t="shared" si="117"/>
        <v>2.0314422445744489</v>
      </c>
      <c r="BQ48" s="17">
        <f t="shared" si="117"/>
        <v>2.2850796079665781</v>
      </c>
      <c r="BR48" s="17">
        <f t="shared" si="117"/>
        <v>2.5331817668682746</v>
      </c>
      <c r="BS48" s="17">
        <f t="shared" si="117"/>
        <v>2.6710587197564264</v>
      </c>
      <c r="BT48" s="17">
        <f t="shared" si="117"/>
        <v>2.6044025463840517</v>
      </c>
      <c r="BV48" s="67">
        <f t="shared" si="118"/>
        <v>-10.548831446725718</v>
      </c>
      <c r="BW48" s="68">
        <f t="shared" si="119"/>
        <v>42.697856277661103</v>
      </c>
      <c r="BX48" s="68">
        <f t="shared" si="120"/>
        <v>32.149024830935389</v>
      </c>
      <c r="BZ48" t="str">
        <f t="shared" si="138"/>
        <v>22 Health professionals</v>
      </c>
      <c r="CA48" s="17">
        <f t="shared" si="121"/>
        <v>2.0174768589049212</v>
      </c>
      <c r="CB48" s="17">
        <f t="shared" si="121"/>
        <v>1.704649055376569</v>
      </c>
      <c r="CC48" s="17">
        <f t="shared" si="121"/>
        <v>2.1142698693808981</v>
      </c>
      <c r="CD48" s="17">
        <f t="shared" si="121"/>
        <v>2.0510658220218669</v>
      </c>
      <c r="CE48" s="17">
        <f t="shared" si="121"/>
        <v>1.5776966094367177</v>
      </c>
      <c r="CG48" s="67">
        <f t="shared" si="122"/>
        <v>-56.013525240320917</v>
      </c>
      <c r="CH48" s="68">
        <f t="shared" si="123"/>
        <v>29.741225489986086</v>
      </c>
      <c r="CI48" s="68">
        <f t="shared" si="124"/>
        <v>-26.272299750334831</v>
      </c>
      <c r="CK48" t="str">
        <f t="shared" si="139"/>
        <v>22 Health professionals</v>
      </c>
      <c r="CL48" s="17">
        <f t="shared" si="125"/>
        <v>0.54469518828700314</v>
      </c>
      <c r="CM48" s="17">
        <f t="shared" si="125"/>
        <v>0.71082178828551545</v>
      </c>
      <c r="CN48" s="17">
        <f t="shared" si="125"/>
        <v>0.8115428776719863</v>
      </c>
      <c r="CO48" s="17">
        <f t="shared" si="125"/>
        <v>1.1250151437798377</v>
      </c>
      <c r="CP48" s="17">
        <f t="shared" si="125"/>
        <v>1.7309357628752302</v>
      </c>
      <c r="CR48" s="67">
        <f t="shared" si="126"/>
        <v>30.863588161271355</v>
      </c>
      <c r="CS48" s="68">
        <f t="shared" si="127"/>
        <v>45.993658780783854</v>
      </c>
      <c r="CT48" s="68">
        <f t="shared" si="128"/>
        <v>76.857246942055212</v>
      </c>
    </row>
    <row r="49" spans="1:98" x14ac:dyDescent="0.2">
      <c r="A49" t="str">
        <f t="shared" si="95"/>
        <v>23 Teaching and other educational professionals</v>
      </c>
      <c r="B49" s="17">
        <f t="shared" si="96"/>
        <v>31.558426374013592</v>
      </c>
      <c r="C49" s="17">
        <f t="shared" si="96"/>
        <v>27.619903096518261</v>
      </c>
      <c r="D49" s="17">
        <f t="shared" si="96"/>
        <v>28.921285605119014</v>
      </c>
      <c r="E49" s="17">
        <f t="shared" si="96"/>
        <v>28.097630018010104</v>
      </c>
      <c r="F49" s="17">
        <f t="shared" si="96"/>
        <v>25.236590984133766</v>
      </c>
      <c r="H49" s="67">
        <f t="shared" si="129"/>
        <v>35.647991168144024</v>
      </c>
      <c r="I49" s="68">
        <f t="shared" si="130"/>
        <v>62.680314126271995</v>
      </c>
      <c r="J49" s="68">
        <f t="shared" si="131"/>
        <v>98.328305294416026</v>
      </c>
      <c r="L49" t="str">
        <f t="shared" si="132"/>
        <v>23 Teaching and other educational professionals</v>
      </c>
      <c r="M49" s="17">
        <f t="shared" si="97"/>
        <v>26.592269558680531</v>
      </c>
      <c r="N49" s="17">
        <f t="shared" si="97"/>
        <v>23.939637256642634</v>
      </c>
      <c r="O49" s="17">
        <f t="shared" si="97"/>
        <v>25.564241284925348</v>
      </c>
      <c r="P49" s="17">
        <f t="shared" si="97"/>
        <v>25.255395281969061</v>
      </c>
      <c r="Q49" s="17">
        <f t="shared" si="97"/>
        <v>22.854648397712143</v>
      </c>
      <c r="S49" s="67">
        <f t="shared" si="98"/>
        <v>31.25950740322569</v>
      </c>
      <c r="T49" s="68">
        <f t="shared" si="99"/>
        <v>63.653569550295771</v>
      </c>
      <c r="U49" s="68">
        <f t="shared" si="100"/>
        <v>94.913076953521454</v>
      </c>
      <c r="W49" t="str">
        <f t="shared" si="133"/>
        <v>23 Teaching and other educational professionals</v>
      </c>
      <c r="X49" s="17">
        <f t="shared" si="101"/>
        <v>7.8229075206870169</v>
      </c>
      <c r="Y49" s="17">
        <f t="shared" si="101"/>
        <v>6.2845411625975443</v>
      </c>
      <c r="Z49" s="17">
        <f t="shared" si="101"/>
        <v>7.0759516087119527</v>
      </c>
      <c r="AA49" s="17">
        <f t="shared" si="101"/>
        <v>6.1566422230025708</v>
      </c>
      <c r="AB49" s="17">
        <f t="shared" si="101"/>
        <v>5.172035474724086</v>
      </c>
      <c r="AD49" s="67">
        <f t="shared" si="102"/>
        <v>2.2831594843869483</v>
      </c>
      <c r="AE49" s="68">
        <f t="shared" si="103"/>
        <v>48.372058053291987</v>
      </c>
      <c r="AF49" s="68">
        <f t="shared" si="104"/>
        <v>50.655217537678944</v>
      </c>
      <c r="AH49" t="str">
        <f t="shared" si="134"/>
        <v>23 Teaching and other educational professionals</v>
      </c>
      <c r="AI49" s="17">
        <f t="shared" si="105"/>
        <v>3.0480711013948865</v>
      </c>
      <c r="AJ49" s="17">
        <f t="shared" si="105"/>
        <v>1.4192341962722426</v>
      </c>
      <c r="AK49" s="17">
        <f t="shared" si="105"/>
        <v>1.2572361611364828</v>
      </c>
      <c r="AL49" s="17">
        <f t="shared" si="105"/>
        <v>0.71384334252989534</v>
      </c>
      <c r="AM49" s="17">
        <f t="shared" si="105"/>
        <v>0.66895655490407435</v>
      </c>
      <c r="AO49" s="67">
        <f t="shared" si="106"/>
        <v>-43.004223011131771</v>
      </c>
      <c r="AP49" s="68">
        <f t="shared" si="107"/>
        <v>15.841900890134195</v>
      </c>
      <c r="AQ49" s="68">
        <f t="shared" si="108"/>
        <v>-27.162322120997572</v>
      </c>
      <c r="AS49" t="str">
        <f t="shared" si="135"/>
        <v>23 Teaching and other educational professionals</v>
      </c>
      <c r="AT49" s="17">
        <f t="shared" si="109"/>
        <v>0.96128661191982823</v>
      </c>
      <c r="AU49" s="17">
        <f t="shared" si="109"/>
        <v>0.65713443494867541</v>
      </c>
      <c r="AV49" s="17">
        <f t="shared" si="109"/>
        <v>0.68930370982576827</v>
      </c>
      <c r="AW49" s="17">
        <f t="shared" si="109"/>
        <v>0.54691745502417155</v>
      </c>
      <c r="AX49" s="17">
        <f t="shared" si="109"/>
        <v>0.38890073908011724</v>
      </c>
      <c r="AZ49" s="67">
        <f t="shared" si="110"/>
        <v>-29.79547765445994</v>
      </c>
      <c r="BA49" s="68">
        <f t="shared" si="111"/>
        <v>32.399034182948853</v>
      </c>
      <c r="BB49" s="68">
        <f t="shared" si="112"/>
        <v>2.6035565284889071</v>
      </c>
      <c r="BD49" t="str">
        <f t="shared" si="136"/>
        <v>23 Teaching and other educational professionals</v>
      </c>
      <c r="BE49" s="17">
        <f t="shared" si="113"/>
        <v>0.86235302982972883</v>
      </c>
      <c r="BF49" s="17">
        <f t="shared" si="113"/>
        <v>0.75913216296969954</v>
      </c>
      <c r="BG49" s="17">
        <f t="shared" si="113"/>
        <v>0.95986156490466401</v>
      </c>
      <c r="BH49" s="17">
        <f t="shared" si="113"/>
        <v>1.0192639100798213</v>
      </c>
      <c r="BI49" s="17">
        <f t="shared" si="113"/>
        <v>1.0861941218340629</v>
      </c>
      <c r="BK49" s="67">
        <f t="shared" si="114"/>
        <v>15.48831540765967</v>
      </c>
      <c r="BL49" s="68">
        <f t="shared" si="115"/>
        <v>42.284596538769456</v>
      </c>
      <c r="BM49" s="68">
        <f t="shared" si="116"/>
        <v>57.772911946429126</v>
      </c>
      <c r="BO49" t="str">
        <f t="shared" si="137"/>
        <v>23 Teaching and other educational professionals</v>
      </c>
      <c r="BP49" s="17">
        <f t="shared" si="117"/>
        <v>0.66652395028278977</v>
      </c>
      <c r="BQ49" s="17">
        <f t="shared" si="117"/>
        <v>0.62380936568608991</v>
      </c>
      <c r="BR49" s="17">
        <f t="shared" si="117"/>
        <v>0.78101384173543664</v>
      </c>
      <c r="BS49" s="17">
        <f t="shared" si="117"/>
        <v>0.76695030385349605</v>
      </c>
      <c r="BT49" s="17">
        <f t="shared" si="117"/>
        <v>0.73379794781428398</v>
      </c>
      <c r="BV49" s="67">
        <f t="shared" si="118"/>
        <v>-18.254844835540503</v>
      </c>
      <c r="BW49" s="68">
        <f t="shared" si="119"/>
        <v>40.028114333514985</v>
      </c>
      <c r="BX49" s="68">
        <f t="shared" si="120"/>
        <v>21.773269497974486</v>
      </c>
      <c r="BZ49" t="str">
        <f t="shared" si="138"/>
        <v>23 Teaching and other educational professionals</v>
      </c>
      <c r="CA49" s="17">
        <f t="shared" si="121"/>
        <v>0.87263255769309511</v>
      </c>
      <c r="CB49" s="17">
        <f t="shared" si="121"/>
        <v>0.76389484104769356</v>
      </c>
      <c r="CC49" s="17">
        <f t="shared" si="121"/>
        <v>0.99472902592850387</v>
      </c>
      <c r="CD49" s="17">
        <f t="shared" si="121"/>
        <v>1.0212787938386756</v>
      </c>
      <c r="CE49" s="17">
        <f t="shared" si="121"/>
        <v>1.125830136447161</v>
      </c>
      <c r="CG49" s="67">
        <f t="shared" si="122"/>
        <v>-33.284896380510169</v>
      </c>
      <c r="CH49" s="68">
        <f t="shared" si="123"/>
        <v>34.968053450019312</v>
      </c>
      <c r="CI49" s="68">
        <f t="shared" si="124"/>
        <v>1.6831570695091416</v>
      </c>
      <c r="CK49" t="str">
        <f t="shared" si="139"/>
        <v>23 Teaching and other educational professionals</v>
      </c>
      <c r="CL49" s="17">
        <f t="shared" si="125"/>
        <v>0.39641312453494942</v>
      </c>
      <c r="CM49" s="17">
        <f t="shared" si="125"/>
        <v>0.52690630721560283</v>
      </c>
      <c r="CN49" s="17">
        <f t="shared" si="125"/>
        <v>0.66775045840158787</v>
      </c>
      <c r="CO49" s="17">
        <f t="shared" si="125"/>
        <v>0.93627689251121382</v>
      </c>
      <c r="CP49" s="17">
        <f t="shared" si="125"/>
        <v>1.3423523164872968</v>
      </c>
      <c r="CR49" s="67">
        <f t="shared" si="126"/>
        <v>23.33935287629734</v>
      </c>
      <c r="CS49" s="68">
        <f t="shared" si="127"/>
        <v>45.752530118353299</v>
      </c>
      <c r="CT49" s="68">
        <f t="shared" si="128"/>
        <v>69.091882994650646</v>
      </c>
    </row>
    <row r="50" spans="1:98" x14ac:dyDescent="0.2">
      <c r="A50" t="str">
        <f t="shared" si="95"/>
        <v>24 Business, media and public service professionals</v>
      </c>
      <c r="B50" s="17">
        <f t="shared" si="96"/>
        <v>5.1771189159797979</v>
      </c>
      <c r="C50" s="17">
        <f t="shared" si="96"/>
        <v>5.6316792564742553</v>
      </c>
      <c r="D50" s="17">
        <f t="shared" si="96"/>
        <v>5.8192435597516825</v>
      </c>
      <c r="E50" s="17">
        <f t="shared" si="96"/>
        <v>6.1104325569401974</v>
      </c>
      <c r="F50" s="17">
        <f t="shared" si="96"/>
        <v>6.5948550147374441</v>
      </c>
      <c r="H50" s="67">
        <f t="shared" si="129"/>
        <v>76.17285376578063</v>
      </c>
      <c r="I50" s="68">
        <f t="shared" si="130"/>
        <v>77.030099296365577</v>
      </c>
      <c r="J50" s="68">
        <f t="shared" si="131"/>
        <v>153.20295306214621</v>
      </c>
      <c r="L50" t="str">
        <f t="shared" si="132"/>
        <v>24 Business, media and public service professionals</v>
      </c>
      <c r="M50" s="17">
        <f t="shared" si="97"/>
        <v>11.118879922632882</v>
      </c>
      <c r="N50" s="17">
        <f t="shared" si="97"/>
        <v>11.287484270007523</v>
      </c>
      <c r="O50" s="17">
        <f t="shared" si="97"/>
        <v>11.791795845509814</v>
      </c>
      <c r="P50" s="17">
        <f t="shared" si="97"/>
        <v>11.840604997060639</v>
      </c>
      <c r="Q50" s="17">
        <f t="shared" si="97"/>
        <v>11.567832259513574</v>
      </c>
      <c r="S50" s="67">
        <f t="shared" si="98"/>
        <v>44.032720777294223</v>
      </c>
      <c r="T50" s="68">
        <f t="shared" si="99"/>
        <v>69.049036930922597</v>
      </c>
      <c r="U50" s="68">
        <f t="shared" si="100"/>
        <v>113.08175770821684</v>
      </c>
      <c r="W50" t="str">
        <f t="shared" si="133"/>
        <v>24 Business, media and public service professionals</v>
      </c>
      <c r="X50" s="17">
        <f t="shared" si="101"/>
        <v>9.506562783726185</v>
      </c>
      <c r="Y50" s="17">
        <f t="shared" si="101"/>
        <v>9.4482483450714003</v>
      </c>
      <c r="Z50" s="17">
        <f t="shared" si="101"/>
        <v>10.519590476282605</v>
      </c>
      <c r="AA50" s="17">
        <f t="shared" si="101"/>
        <v>10.575557506685449</v>
      </c>
      <c r="AB50" s="17">
        <f t="shared" si="101"/>
        <v>10.358153548711506</v>
      </c>
      <c r="AD50" s="67">
        <f t="shared" si="102"/>
        <v>37.787875941759822</v>
      </c>
      <c r="AE50" s="68">
        <f t="shared" si="103"/>
        <v>64.004888500518859</v>
      </c>
      <c r="AF50" s="68">
        <f t="shared" si="104"/>
        <v>101.7927644422787</v>
      </c>
      <c r="AH50" t="str">
        <f t="shared" si="134"/>
        <v>24 Business, media and public service professionals</v>
      </c>
      <c r="AI50" s="17">
        <f t="shared" si="105"/>
        <v>3.1583697499588315</v>
      </c>
      <c r="AJ50" s="17">
        <f t="shared" si="105"/>
        <v>3.0242230846705129</v>
      </c>
      <c r="AK50" s="17">
        <f t="shared" si="105"/>
        <v>3.2594478038496084</v>
      </c>
      <c r="AL50" s="17">
        <f t="shared" si="105"/>
        <v>3.1314965817423239</v>
      </c>
      <c r="AM50" s="17">
        <f t="shared" si="105"/>
        <v>3.1593642387516221</v>
      </c>
      <c r="AO50" s="67">
        <f t="shared" si="106"/>
        <v>3.8286712249301393</v>
      </c>
      <c r="AP50" s="68">
        <f t="shared" si="107"/>
        <v>37.422483433969418</v>
      </c>
      <c r="AQ50" s="68">
        <f t="shared" si="108"/>
        <v>41.251154658899559</v>
      </c>
      <c r="AS50" t="str">
        <f t="shared" si="135"/>
        <v>24 Business, media and public service professionals</v>
      </c>
      <c r="AT50" s="17">
        <f t="shared" si="109"/>
        <v>5.366011458882757</v>
      </c>
      <c r="AU50" s="17">
        <f t="shared" si="109"/>
        <v>5.1431719711746364</v>
      </c>
      <c r="AV50" s="17">
        <f t="shared" si="109"/>
        <v>5.7029025869903975</v>
      </c>
      <c r="AW50" s="17">
        <f t="shared" si="109"/>
        <v>6.0454527484401144</v>
      </c>
      <c r="AX50" s="17">
        <f t="shared" si="109"/>
        <v>6.1043614048868191</v>
      </c>
      <c r="AZ50" s="67">
        <f t="shared" si="110"/>
        <v>33.192944731587126</v>
      </c>
      <c r="BA50" s="68">
        <f t="shared" si="111"/>
        <v>56.925820272208441</v>
      </c>
      <c r="BB50" s="68">
        <f t="shared" si="112"/>
        <v>90.118765003795559</v>
      </c>
      <c r="BD50" t="str">
        <f t="shared" si="136"/>
        <v>24 Business, media and public service professionals</v>
      </c>
      <c r="BE50" s="17">
        <f t="shared" si="113"/>
        <v>3.0043108717751972</v>
      </c>
      <c r="BF50" s="17">
        <f t="shared" si="113"/>
        <v>3.1841527163598093</v>
      </c>
      <c r="BG50" s="17">
        <f t="shared" si="113"/>
        <v>3.8036506652382562</v>
      </c>
      <c r="BH50" s="17">
        <f t="shared" si="113"/>
        <v>3.8768543262426789</v>
      </c>
      <c r="BI50" s="17">
        <f t="shared" si="113"/>
        <v>4.0900859867813502</v>
      </c>
      <c r="BK50" s="67">
        <f t="shared" si="114"/>
        <v>9.7415310382189304</v>
      </c>
      <c r="BL50" s="68">
        <f t="shared" si="115"/>
        <v>43.688239299073679</v>
      </c>
      <c r="BM50" s="68">
        <f t="shared" si="116"/>
        <v>53.429770337292616</v>
      </c>
      <c r="BO50" t="str">
        <f t="shared" si="137"/>
        <v>24 Business, media and public service professionals</v>
      </c>
      <c r="BP50" s="17">
        <f t="shared" si="117"/>
        <v>2.096416528538565</v>
      </c>
      <c r="BQ50" s="17">
        <f t="shared" si="117"/>
        <v>2.1557508611946297</v>
      </c>
      <c r="BR50" s="17">
        <f t="shared" si="117"/>
        <v>2.5076910517696649</v>
      </c>
      <c r="BS50" s="17">
        <f t="shared" si="117"/>
        <v>2.5977463897855109</v>
      </c>
      <c r="BT50" s="17">
        <f t="shared" si="117"/>
        <v>2.7729695080316477</v>
      </c>
      <c r="BV50" s="67">
        <f t="shared" si="118"/>
        <v>-3.7910833582684109</v>
      </c>
      <c r="BW50" s="68">
        <f t="shared" si="119"/>
        <v>39.324831064507507</v>
      </c>
      <c r="BX50" s="68">
        <f t="shared" si="120"/>
        <v>35.533747706239097</v>
      </c>
      <c r="BZ50" t="str">
        <f t="shared" si="138"/>
        <v>24 Business, media and public service professionals</v>
      </c>
      <c r="CA50" s="17">
        <f t="shared" si="121"/>
        <v>1.7579105228182523</v>
      </c>
      <c r="CB50" s="17">
        <f t="shared" si="121"/>
        <v>2.0483937219753412</v>
      </c>
      <c r="CC50" s="17">
        <f t="shared" si="121"/>
        <v>2.3906200955633503</v>
      </c>
      <c r="CD50" s="17">
        <f t="shared" si="121"/>
        <v>2.5780425726314324</v>
      </c>
      <c r="CE50" s="17">
        <f t="shared" si="121"/>
        <v>2.6008556151054849</v>
      </c>
      <c r="CG50" s="67">
        <f t="shared" si="122"/>
        <v>-35.869922720045466</v>
      </c>
      <c r="CH50" s="68">
        <f t="shared" si="123"/>
        <v>33.610279680359</v>
      </c>
      <c r="CI50" s="68">
        <f t="shared" si="124"/>
        <v>-2.2596430396864693</v>
      </c>
      <c r="CK50" t="str">
        <f t="shared" si="139"/>
        <v>24 Business, media and public service professionals</v>
      </c>
      <c r="CL50" s="17">
        <f t="shared" si="125"/>
        <v>1.1652188190914576</v>
      </c>
      <c r="CM50" s="17">
        <f t="shared" si="125"/>
        <v>1.6494068294255113</v>
      </c>
      <c r="CN50" s="17">
        <f t="shared" si="125"/>
        <v>2.0150855729529353</v>
      </c>
      <c r="CO50" s="17">
        <f t="shared" si="125"/>
        <v>2.6598589298983391</v>
      </c>
      <c r="CP50" s="17">
        <f t="shared" si="125"/>
        <v>4.1490897859635494</v>
      </c>
      <c r="CR50" s="67">
        <f t="shared" si="126"/>
        <v>26.330636144841019</v>
      </c>
      <c r="CS50" s="68">
        <f t="shared" si="127"/>
        <v>44.795122108963248</v>
      </c>
      <c r="CT50" s="68">
        <f t="shared" si="128"/>
        <v>71.125758253804264</v>
      </c>
    </row>
    <row r="51" spans="1:98" x14ac:dyDescent="0.2">
      <c r="A51" t="str">
        <f t="shared" si="95"/>
        <v>31 Science, engineering and technology associate professionals</v>
      </c>
      <c r="B51" s="17">
        <f t="shared" si="96"/>
        <v>2.0898124174349055</v>
      </c>
      <c r="C51" s="17">
        <f t="shared" si="96"/>
        <v>2.2709701990762672</v>
      </c>
      <c r="D51" s="17">
        <f t="shared" si="96"/>
        <v>2.2676198148299993</v>
      </c>
      <c r="E51" s="17">
        <f t="shared" si="96"/>
        <v>2.103539567560432</v>
      </c>
      <c r="F51" s="17">
        <f t="shared" si="96"/>
        <v>2.4171691936924127</v>
      </c>
      <c r="H51" s="67">
        <f t="shared" si="129"/>
        <v>65.705559390137083</v>
      </c>
      <c r="I51" s="68">
        <f t="shared" si="130"/>
        <v>65.192090647385854</v>
      </c>
      <c r="J51" s="68">
        <f t="shared" si="131"/>
        <v>130.89765003752294</v>
      </c>
      <c r="L51" t="str">
        <f t="shared" si="132"/>
        <v>31 Science, engineering and technology associate professionals</v>
      </c>
      <c r="M51" s="17">
        <f t="shared" si="97"/>
        <v>1.8898315679282525</v>
      </c>
      <c r="N51" s="17">
        <f t="shared" si="97"/>
        <v>2.1073796441351278</v>
      </c>
      <c r="O51" s="17">
        <f t="shared" si="97"/>
        <v>2.1971537699784376</v>
      </c>
      <c r="P51" s="17">
        <f t="shared" si="97"/>
        <v>1.943748500611445</v>
      </c>
      <c r="Q51" s="17">
        <f t="shared" si="97"/>
        <v>2.1452460767211043</v>
      </c>
      <c r="S51" s="67">
        <f t="shared" si="98"/>
        <v>43.352673718110815</v>
      </c>
      <c r="T51" s="68">
        <f t="shared" si="99"/>
        <v>55.338999964992844</v>
      </c>
      <c r="U51" s="68">
        <f t="shared" si="100"/>
        <v>98.691673683103673</v>
      </c>
      <c r="W51" t="str">
        <f t="shared" si="133"/>
        <v>31 Science, engineering and technology associate professionals</v>
      </c>
      <c r="X51" s="17">
        <f t="shared" si="101"/>
        <v>2.6716499149929236</v>
      </c>
      <c r="Y51" s="17">
        <f t="shared" si="101"/>
        <v>2.6586982721039085</v>
      </c>
      <c r="Z51" s="17">
        <f t="shared" si="101"/>
        <v>2.6806385043904291</v>
      </c>
      <c r="AA51" s="17">
        <f t="shared" si="101"/>
        <v>2.2710288512706125</v>
      </c>
      <c r="AB51" s="17">
        <f t="shared" si="101"/>
        <v>2.0399717865682456</v>
      </c>
      <c r="AD51" s="67">
        <f t="shared" si="102"/>
        <v>6.4911221606017584</v>
      </c>
      <c r="AE51" s="68">
        <f t="shared" si="103"/>
        <v>44.395861101082509</v>
      </c>
      <c r="AF51" s="68">
        <f t="shared" si="104"/>
        <v>50.886983261684271</v>
      </c>
      <c r="AH51" t="str">
        <f t="shared" si="134"/>
        <v>31 Science, engineering and technology associate professionals</v>
      </c>
      <c r="AI51" s="17">
        <f t="shared" si="105"/>
        <v>1.3714116503505862</v>
      </c>
      <c r="AJ51" s="17">
        <f t="shared" si="105"/>
        <v>1.5835505211417891</v>
      </c>
      <c r="AK51" s="17">
        <f t="shared" si="105"/>
        <v>1.6627467718751316</v>
      </c>
      <c r="AL51" s="17">
        <f t="shared" si="105"/>
        <v>1.7667705290770139</v>
      </c>
      <c r="AM51" s="17">
        <f t="shared" si="105"/>
        <v>2.0917928203881271</v>
      </c>
      <c r="AO51" s="67">
        <f t="shared" si="106"/>
        <v>34.757884154807115</v>
      </c>
      <c r="AP51" s="68">
        <f t="shared" si="107"/>
        <v>53.002561078366519</v>
      </c>
      <c r="AQ51" s="68">
        <f t="shared" si="108"/>
        <v>87.760445233173641</v>
      </c>
      <c r="AS51" t="str">
        <f t="shared" si="135"/>
        <v>31 Science, engineering and technology associate professionals</v>
      </c>
      <c r="AT51" s="17">
        <f t="shared" si="109"/>
        <v>4.7557283259397698</v>
      </c>
      <c r="AU51" s="17">
        <f t="shared" si="109"/>
        <v>4.2062189380663781</v>
      </c>
      <c r="AV51" s="17">
        <f t="shared" si="109"/>
        <v>4.2282952526244886</v>
      </c>
      <c r="AW51" s="17">
        <f t="shared" si="109"/>
        <v>3.3252834247592054</v>
      </c>
      <c r="AX51" s="17">
        <f t="shared" si="109"/>
        <v>2.7561091103376572</v>
      </c>
      <c r="AZ51" s="67">
        <f t="shared" si="110"/>
        <v>-18.891188555865678</v>
      </c>
      <c r="BA51" s="68">
        <f t="shared" si="111"/>
        <v>32.0158489249132</v>
      </c>
      <c r="BB51" s="68">
        <f t="shared" si="112"/>
        <v>13.12466036904752</v>
      </c>
      <c r="BD51" t="str">
        <f t="shared" si="136"/>
        <v>31 Science, engineering and technology associate professionals</v>
      </c>
      <c r="BE51" s="17">
        <f t="shared" si="113"/>
        <v>1.8691256263166287</v>
      </c>
      <c r="BF51" s="17">
        <f t="shared" si="113"/>
        <v>1.9241183177985226</v>
      </c>
      <c r="BG51" s="17">
        <f t="shared" si="113"/>
        <v>2.2113809186445539</v>
      </c>
      <c r="BH51" s="17">
        <f t="shared" si="113"/>
        <v>1.5734548983933248</v>
      </c>
      <c r="BI51" s="17">
        <f t="shared" si="113"/>
        <v>1.3067036199164852</v>
      </c>
      <c r="BK51" s="67">
        <f t="shared" si="114"/>
        <v>-39.695081275106162</v>
      </c>
      <c r="BL51" s="68">
        <f t="shared" si="115"/>
        <v>23.308030562236105</v>
      </c>
      <c r="BM51" s="68">
        <f t="shared" si="116"/>
        <v>-16.38705071287006</v>
      </c>
      <c r="BO51" t="str">
        <f t="shared" si="137"/>
        <v>31 Science, engineering and technology associate professionals</v>
      </c>
      <c r="BP51" s="17">
        <f t="shared" si="117"/>
        <v>1.3588010964623605</v>
      </c>
      <c r="BQ51" s="17">
        <f t="shared" si="117"/>
        <v>1.4856848151949948</v>
      </c>
      <c r="BR51" s="17">
        <f t="shared" si="117"/>
        <v>1.6564399796586389</v>
      </c>
      <c r="BS51" s="17">
        <f t="shared" si="117"/>
        <v>1.390712271741297</v>
      </c>
      <c r="BT51" s="17">
        <f t="shared" si="117"/>
        <v>1.5041955421720705</v>
      </c>
      <c r="BV51" s="67">
        <f t="shared" si="118"/>
        <v>-20.991675175855057</v>
      </c>
      <c r="BW51" s="68">
        <f t="shared" si="119"/>
        <v>28.30553610531944</v>
      </c>
      <c r="BX51" s="68">
        <f t="shared" si="120"/>
        <v>7.3138609294643819</v>
      </c>
      <c r="BZ51" t="str">
        <f t="shared" si="138"/>
        <v>31 Science, engineering and technology associate professionals</v>
      </c>
      <c r="CA51" s="17">
        <f t="shared" si="121"/>
        <v>1.2898550694270883</v>
      </c>
      <c r="CB51" s="17">
        <f t="shared" si="121"/>
        <v>1.9047307032967837</v>
      </c>
      <c r="CC51" s="17">
        <f t="shared" si="121"/>
        <v>1.9307041851911007</v>
      </c>
      <c r="CD51" s="17">
        <f t="shared" si="121"/>
        <v>1.8512044815523396</v>
      </c>
      <c r="CE51" s="17">
        <f t="shared" si="121"/>
        <v>2.4488776774195307</v>
      </c>
      <c r="CG51" s="67">
        <f t="shared" si="122"/>
        <v>-25.233432936030809</v>
      </c>
      <c r="CH51" s="68">
        <f t="shared" si="123"/>
        <v>29.76399841288616</v>
      </c>
      <c r="CI51" s="68">
        <f t="shared" si="124"/>
        <v>4.5305654768553527</v>
      </c>
      <c r="CK51" t="str">
        <f t="shared" si="139"/>
        <v>31 Science, engineering and technology associate professionals</v>
      </c>
      <c r="CL51" s="17">
        <f t="shared" si="125"/>
        <v>0.55843266752427934</v>
      </c>
      <c r="CM51" s="17">
        <f t="shared" si="125"/>
        <v>0.8560162476604114</v>
      </c>
      <c r="CN51" s="17">
        <f t="shared" si="125"/>
        <v>1.0471735695490541</v>
      </c>
      <c r="CO51" s="17">
        <f t="shared" si="125"/>
        <v>1.2483596883879902</v>
      </c>
      <c r="CP51" s="17">
        <f t="shared" si="125"/>
        <v>2.0334213363768039</v>
      </c>
      <c r="CR51" s="67">
        <f t="shared" si="126"/>
        <v>19.140124000593001</v>
      </c>
      <c r="CS51" s="68">
        <f t="shared" si="127"/>
        <v>41.300455989662922</v>
      </c>
      <c r="CT51" s="68">
        <f t="shared" si="128"/>
        <v>60.440579990255912</v>
      </c>
    </row>
    <row r="52" spans="1:98" x14ac:dyDescent="0.2">
      <c r="A52" t="str">
        <f t="shared" si="95"/>
        <v>32 Health and social care associate professionals</v>
      </c>
      <c r="B52" s="17">
        <f t="shared" si="96"/>
        <v>0.54275515766573657</v>
      </c>
      <c r="C52" s="17">
        <f t="shared" si="96"/>
        <v>0.6620910480412211</v>
      </c>
      <c r="D52" s="17">
        <f t="shared" si="96"/>
        <v>0.5236875949875498</v>
      </c>
      <c r="E52" s="17">
        <f t="shared" si="96"/>
        <v>0.50542299451444617</v>
      </c>
      <c r="F52" s="17">
        <f t="shared" si="96"/>
        <v>0.50082243880696686</v>
      </c>
      <c r="H52" s="67">
        <f t="shared" si="129"/>
        <v>48.666036808133619</v>
      </c>
      <c r="I52" s="68">
        <f t="shared" si="130"/>
        <v>85.112721633803631</v>
      </c>
      <c r="J52" s="68">
        <f t="shared" si="131"/>
        <v>133.77875844193724</v>
      </c>
      <c r="L52" t="str">
        <f t="shared" si="132"/>
        <v>32 Health and social care associate professionals</v>
      </c>
      <c r="M52" s="17">
        <f t="shared" si="97"/>
        <v>2.6501458643082292</v>
      </c>
      <c r="N52" s="17">
        <f t="shared" si="97"/>
        <v>2.6885042520185198</v>
      </c>
      <c r="O52" s="17">
        <f t="shared" si="97"/>
        <v>2.6328459597030509</v>
      </c>
      <c r="P52" s="17">
        <f t="shared" si="97"/>
        <v>2.5302047985592599</v>
      </c>
      <c r="Q52" s="17">
        <f t="shared" si="97"/>
        <v>2.4664634554559219</v>
      </c>
      <c r="S52" s="67">
        <f t="shared" si="98"/>
        <v>37.542960586325606</v>
      </c>
      <c r="T52" s="68">
        <f t="shared" si="99"/>
        <v>77.980606426738191</v>
      </c>
      <c r="U52" s="68">
        <f t="shared" si="100"/>
        <v>115.52356701306378</v>
      </c>
      <c r="W52" t="str">
        <f t="shared" si="133"/>
        <v>32 Health and social care associate professionals</v>
      </c>
      <c r="X52" s="17">
        <f t="shared" si="101"/>
        <v>3.7646502221352254</v>
      </c>
      <c r="Y52" s="17">
        <f t="shared" si="101"/>
        <v>4.0516937740311532</v>
      </c>
      <c r="Z52" s="17">
        <f t="shared" si="101"/>
        <v>4.2211872320558008</v>
      </c>
      <c r="AA52" s="17">
        <f t="shared" si="101"/>
        <v>4.3489633265441645</v>
      </c>
      <c r="AB52" s="17">
        <f t="shared" si="101"/>
        <v>4.6536456827528196</v>
      </c>
      <c r="AD52" s="67">
        <f t="shared" si="102"/>
        <v>54.271674021531801</v>
      </c>
      <c r="AE52" s="68">
        <f t="shared" si="103"/>
        <v>81.932898203426419</v>
      </c>
      <c r="AF52" s="68">
        <f t="shared" si="104"/>
        <v>136.20457222495821</v>
      </c>
      <c r="AH52" t="str">
        <f t="shared" si="134"/>
        <v>32 Health and social care associate professionals</v>
      </c>
      <c r="AI52" s="17">
        <f t="shared" si="105"/>
        <v>8.1529670432070578</v>
      </c>
      <c r="AJ52" s="17">
        <f t="shared" si="105"/>
        <v>6.9945918766314623</v>
      </c>
      <c r="AK52" s="17">
        <f t="shared" si="105"/>
        <v>6.9944246199385871</v>
      </c>
      <c r="AL52" s="17">
        <f t="shared" si="105"/>
        <v>5.3297018583262012</v>
      </c>
      <c r="AM52" s="17">
        <f t="shared" si="105"/>
        <v>2.584473117545282</v>
      </c>
      <c r="AO52" s="67">
        <f t="shared" si="106"/>
        <v>-60.419465570048857</v>
      </c>
      <c r="AP52" s="68">
        <f t="shared" si="107"/>
        <v>29.128251795044292</v>
      </c>
      <c r="AQ52" s="68">
        <f t="shared" si="108"/>
        <v>-31.291213775004568</v>
      </c>
      <c r="AS52" t="str">
        <f t="shared" si="135"/>
        <v>32 Health and social care associate professionals</v>
      </c>
      <c r="AT52" s="17">
        <f t="shared" si="109"/>
        <v>1.7380361995588109</v>
      </c>
      <c r="AU52" s="17">
        <f t="shared" si="109"/>
        <v>1.9314552822832107</v>
      </c>
      <c r="AV52" s="17">
        <f t="shared" si="109"/>
        <v>2.1832119276763566</v>
      </c>
      <c r="AW52" s="17">
        <f t="shared" si="109"/>
        <v>2.0322984157557578</v>
      </c>
      <c r="AX52" s="17">
        <f t="shared" si="109"/>
        <v>2.0062281202290828</v>
      </c>
      <c r="AZ52" s="67">
        <f t="shared" si="110"/>
        <v>14.346099348683708</v>
      </c>
      <c r="BA52" s="68">
        <f t="shared" si="111"/>
        <v>59.716885238974605</v>
      </c>
      <c r="BB52" s="68">
        <f t="shared" si="112"/>
        <v>74.062984587658306</v>
      </c>
      <c r="BD52" t="str">
        <f t="shared" si="136"/>
        <v>32 Health and social care associate professionals</v>
      </c>
      <c r="BE52" s="17">
        <f t="shared" si="113"/>
        <v>1.5695763046576396</v>
      </c>
      <c r="BF52" s="17">
        <f t="shared" si="113"/>
        <v>1.8707585549144539</v>
      </c>
      <c r="BG52" s="17">
        <f t="shared" si="113"/>
        <v>1.9410330637998674</v>
      </c>
      <c r="BH52" s="17">
        <f t="shared" si="113"/>
        <v>2.1486452740074369</v>
      </c>
      <c r="BI52" s="17">
        <f t="shared" si="113"/>
        <v>2.4153785083631489</v>
      </c>
      <c r="BK52" s="67">
        <f t="shared" si="114"/>
        <v>26.996415935853996</v>
      </c>
      <c r="BL52" s="68">
        <f t="shared" si="115"/>
        <v>67.267606018420182</v>
      </c>
      <c r="BM52" s="68">
        <f t="shared" si="116"/>
        <v>94.264021954274185</v>
      </c>
      <c r="BO52" t="str">
        <f t="shared" si="137"/>
        <v>32 Health and social care associate professionals</v>
      </c>
      <c r="BP52" s="17">
        <f t="shared" si="117"/>
        <v>1.2716225839525068</v>
      </c>
      <c r="BQ52" s="17">
        <f t="shared" si="117"/>
        <v>1.3947801953588017</v>
      </c>
      <c r="BR52" s="17">
        <f t="shared" si="117"/>
        <v>1.5346984378632986</v>
      </c>
      <c r="BS52" s="17">
        <f t="shared" si="117"/>
        <v>1.4336747792644715</v>
      </c>
      <c r="BT52" s="17">
        <f t="shared" si="117"/>
        <v>1.2992430086039688</v>
      </c>
      <c r="BV52" s="67">
        <f t="shared" si="118"/>
        <v>-26.343411856296772</v>
      </c>
      <c r="BW52" s="68">
        <f t="shared" si="119"/>
        <v>42.134880294676016</v>
      </c>
      <c r="BX52" s="68">
        <f t="shared" si="120"/>
        <v>15.791468438379241</v>
      </c>
      <c r="BZ52" t="str">
        <f t="shared" si="138"/>
        <v>32 Health and social care associate professionals</v>
      </c>
      <c r="CA52" s="17">
        <f t="shared" si="121"/>
        <v>0.90624022490185097</v>
      </c>
      <c r="CB52" s="17">
        <f t="shared" si="121"/>
        <v>0.68563820170686918</v>
      </c>
      <c r="CC52" s="17">
        <f t="shared" si="121"/>
        <v>0.83301095986205265</v>
      </c>
      <c r="CD52" s="17">
        <f t="shared" si="121"/>
        <v>0.70859426000714476</v>
      </c>
      <c r="CE52" s="17">
        <f t="shared" si="121"/>
        <v>0.54255552713220501</v>
      </c>
      <c r="CG52" s="67">
        <f t="shared" si="122"/>
        <v>-61.607219801646252</v>
      </c>
      <c r="CH52" s="68">
        <f t="shared" si="123"/>
        <v>27.63791033898028</v>
      </c>
      <c r="CI52" s="68">
        <f t="shared" si="124"/>
        <v>-33.969309462665969</v>
      </c>
      <c r="CK52" t="str">
        <f t="shared" si="139"/>
        <v>32 Health and social care associate professionals</v>
      </c>
      <c r="CL52" s="17">
        <f t="shared" si="125"/>
        <v>0.28527687805574287</v>
      </c>
      <c r="CM52" s="17">
        <f t="shared" si="125"/>
        <v>0.33405864967953597</v>
      </c>
      <c r="CN52" s="17">
        <f t="shared" si="125"/>
        <v>0.38726349724827419</v>
      </c>
      <c r="CO52" s="17">
        <f t="shared" si="125"/>
        <v>0.4745788895161327</v>
      </c>
      <c r="CP52" s="17">
        <f t="shared" si="125"/>
        <v>0.70225140885040549</v>
      </c>
      <c r="CR52" s="67">
        <f t="shared" si="126"/>
        <v>11.259063430120499</v>
      </c>
      <c r="CS52" s="68">
        <f t="shared" si="127"/>
        <v>42.357290414479131</v>
      </c>
      <c r="CT52" s="68">
        <f t="shared" si="128"/>
        <v>53.616353844599629</v>
      </c>
    </row>
    <row r="53" spans="1:98" x14ac:dyDescent="0.2">
      <c r="A53" t="str">
        <f t="shared" si="95"/>
        <v>33 Protective service occupations</v>
      </c>
      <c r="B53" s="17">
        <f t="shared" si="96"/>
        <v>0.20727940238412126</v>
      </c>
      <c r="C53" s="17">
        <f t="shared" si="96"/>
        <v>0.25990007292395989</v>
      </c>
      <c r="D53" s="17">
        <f t="shared" si="96"/>
        <v>0.23086485630700962</v>
      </c>
      <c r="E53" s="17">
        <f t="shared" si="96"/>
        <v>0.28828865647001595</v>
      </c>
      <c r="F53" s="17">
        <f t="shared" si="96"/>
        <v>0.35804411913247758</v>
      </c>
      <c r="H53" s="67">
        <f t="shared" si="129"/>
        <v>141.08988495994566</v>
      </c>
      <c r="I53" s="68">
        <f t="shared" si="130"/>
        <v>71.212227073989027</v>
      </c>
      <c r="J53" s="68">
        <f t="shared" si="131"/>
        <v>212.30211203393469</v>
      </c>
      <c r="L53" t="str">
        <f t="shared" si="132"/>
        <v>33 Protective service occupations</v>
      </c>
      <c r="M53" s="17">
        <f t="shared" si="97"/>
        <v>0.55613284824450082</v>
      </c>
      <c r="N53" s="17">
        <f t="shared" si="97"/>
        <v>0.69908266712794065</v>
      </c>
      <c r="O53" s="17">
        <f t="shared" si="97"/>
        <v>0.65505494296855038</v>
      </c>
      <c r="P53" s="17">
        <f t="shared" si="97"/>
        <v>0.82283332014291211</v>
      </c>
      <c r="Q53" s="17">
        <f t="shared" si="97"/>
        <v>1.08319543185935</v>
      </c>
      <c r="S53" s="67">
        <f t="shared" si="98"/>
        <v>142.78297302804378</v>
      </c>
      <c r="T53" s="68">
        <f t="shared" si="99"/>
        <v>63.925073219482663</v>
      </c>
      <c r="U53" s="68">
        <f t="shared" si="100"/>
        <v>206.70804624752645</v>
      </c>
      <c r="W53" t="str">
        <f t="shared" si="133"/>
        <v>33 Protective service occupations</v>
      </c>
      <c r="X53" s="17">
        <f t="shared" si="101"/>
        <v>1.5464439012309843</v>
      </c>
      <c r="Y53" s="17">
        <f t="shared" si="101"/>
        <v>1.7428380945413853</v>
      </c>
      <c r="Z53" s="17">
        <f t="shared" si="101"/>
        <v>1.7446740213415652</v>
      </c>
      <c r="AA53" s="17">
        <f t="shared" si="101"/>
        <v>2.0573353326497466</v>
      </c>
      <c r="AB53" s="17">
        <f t="shared" si="101"/>
        <v>2.446208376847558</v>
      </c>
      <c r="AD53" s="67">
        <f t="shared" si="102"/>
        <v>96.203454034071939</v>
      </c>
      <c r="AE53" s="68">
        <f t="shared" si="103"/>
        <v>68.802718624716135</v>
      </c>
      <c r="AF53" s="68">
        <f t="shared" si="104"/>
        <v>165.00617265878807</v>
      </c>
      <c r="AH53" t="str">
        <f t="shared" si="134"/>
        <v>33 Protective service occupations</v>
      </c>
      <c r="AI53" s="17">
        <f t="shared" si="105"/>
        <v>1.202987788355607</v>
      </c>
      <c r="AJ53" s="17">
        <f t="shared" si="105"/>
        <v>1.4548125944798784</v>
      </c>
      <c r="AK53" s="17">
        <f t="shared" si="105"/>
        <v>1.4609836754903243</v>
      </c>
      <c r="AL53" s="17">
        <f t="shared" si="105"/>
        <v>1.9429039543158013</v>
      </c>
      <c r="AM53" s="17">
        <f t="shared" si="105"/>
        <v>2.4201401085740906</v>
      </c>
      <c r="AO53" s="67">
        <f t="shared" si="106"/>
        <v>77.442143321098172</v>
      </c>
      <c r="AP53" s="68">
        <f t="shared" si="107"/>
        <v>57.128473468524845</v>
      </c>
      <c r="AQ53" s="68">
        <f t="shared" si="108"/>
        <v>134.57061678962302</v>
      </c>
      <c r="AS53" t="str">
        <f t="shared" si="135"/>
        <v>33 Protective service occupations</v>
      </c>
      <c r="AT53" s="17">
        <f t="shared" si="109"/>
        <v>1.3677499879208872</v>
      </c>
      <c r="AU53" s="17">
        <f t="shared" si="109"/>
        <v>1.396409626091172</v>
      </c>
      <c r="AV53" s="17">
        <f t="shared" si="109"/>
        <v>1.3958831454157141</v>
      </c>
      <c r="AW53" s="17">
        <f t="shared" si="109"/>
        <v>1.4761424896195772</v>
      </c>
      <c r="AX53" s="17">
        <f t="shared" si="109"/>
        <v>1.539476865021647</v>
      </c>
      <c r="AZ53" s="67">
        <f t="shared" si="110"/>
        <v>37.233784363433415</v>
      </c>
      <c r="BA53" s="68">
        <f t="shared" si="111"/>
        <v>52.801902173112495</v>
      </c>
      <c r="BB53" s="68">
        <f t="shared" si="112"/>
        <v>90.035686536545896</v>
      </c>
      <c r="BD53" t="str">
        <f t="shared" si="136"/>
        <v>33 Protective service occupations</v>
      </c>
      <c r="BE53" s="17">
        <f t="shared" si="113"/>
        <v>1.2895321226921346</v>
      </c>
      <c r="BF53" s="17">
        <f t="shared" si="113"/>
        <v>1.2490323020704168</v>
      </c>
      <c r="BG53" s="17">
        <f t="shared" si="113"/>
        <v>1.3927283361487761</v>
      </c>
      <c r="BH53" s="17">
        <f t="shared" si="113"/>
        <v>1.3597272035124444</v>
      </c>
      <c r="BI53" s="17">
        <f t="shared" si="113"/>
        <v>1.2836186842278183</v>
      </c>
      <c r="BK53" s="67">
        <f t="shared" si="114"/>
        <v>-5.9391674569040038</v>
      </c>
      <c r="BL53" s="68">
        <f t="shared" si="115"/>
        <v>24.122375041651495</v>
      </c>
      <c r="BM53" s="68">
        <f t="shared" si="116"/>
        <v>18.183207584747489</v>
      </c>
      <c r="BO53" t="str">
        <f t="shared" si="137"/>
        <v>33 Protective service occupations</v>
      </c>
      <c r="BP53" s="17">
        <f t="shared" si="117"/>
        <v>1.407747295427253</v>
      </c>
      <c r="BQ53" s="17">
        <f t="shared" si="117"/>
        <v>1.5342982761977351</v>
      </c>
      <c r="BR53" s="17">
        <f t="shared" si="117"/>
        <v>1.5706185542933466</v>
      </c>
      <c r="BS53" s="17">
        <f t="shared" si="117"/>
        <v>1.8056964441429593</v>
      </c>
      <c r="BT53" s="17">
        <f t="shared" si="117"/>
        <v>1.9284375777375538</v>
      </c>
      <c r="BV53" s="67">
        <f t="shared" si="118"/>
        <v>6.8265302160897754</v>
      </c>
      <c r="BW53" s="68">
        <f t="shared" si="119"/>
        <v>30.974423063923812</v>
      </c>
      <c r="BX53" s="68">
        <f t="shared" si="120"/>
        <v>37.80095328001358</v>
      </c>
      <c r="BZ53" t="str">
        <f t="shared" si="138"/>
        <v>33 Protective service occupations</v>
      </c>
      <c r="CA53" s="17">
        <f t="shared" si="121"/>
        <v>1.0950987955800988</v>
      </c>
      <c r="CB53" s="17">
        <f t="shared" si="121"/>
        <v>1.2961062078285974</v>
      </c>
      <c r="CC53" s="17">
        <f t="shared" si="121"/>
        <v>1.3822343122645491</v>
      </c>
      <c r="CD53" s="17">
        <f t="shared" si="121"/>
        <v>1.7016536395674218</v>
      </c>
      <c r="CE53" s="17">
        <f t="shared" si="121"/>
        <v>1.601596543033857</v>
      </c>
      <c r="CG53" s="67">
        <f t="shared" si="122"/>
        <v>-31.698925025264053</v>
      </c>
      <c r="CH53" s="68">
        <f t="shared" si="123"/>
        <v>35.217962182369931</v>
      </c>
      <c r="CI53" s="68">
        <f t="shared" si="124"/>
        <v>3.5190371571058714</v>
      </c>
      <c r="CK53" t="str">
        <f t="shared" si="139"/>
        <v>33 Protective service occupations</v>
      </c>
      <c r="CL53" s="17">
        <f t="shared" si="125"/>
        <v>0.45511042853292433</v>
      </c>
      <c r="CM53" s="17">
        <f t="shared" si="125"/>
        <v>0.49316197133059958</v>
      </c>
      <c r="CN53" s="17">
        <f t="shared" si="125"/>
        <v>0.55563843347514719</v>
      </c>
      <c r="CO53" s="17">
        <f t="shared" si="125"/>
        <v>0.55941757390037039</v>
      </c>
      <c r="CP53" s="17">
        <f t="shared" si="125"/>
        <v>0.71797754675658876</v>
      </c>
      <c r="CR53" s="67">
        <f t="shared" si="126"/>
        <v>-20.719217441355873</v>
      </c>
      <c r="CS53" s="68">
        <f t="shared" si="127"/>
        <v>20.84307164724148</v>
      </c>
      <c r="CT53" s="68">
        <f t="shared" si="128"/>
        <v>0.12385420588560445</v>
      </c>
    </row>
    <row r="54" spans="1:98" x14ac:dyDescent="0.2">
      <c r="A54" t="str">
        <f t="shared" si="95"/>
        <v>34 Culture, media and sports occupations</v>
      </c>
      <c r="B54" s="17">
        <f t="shared" si="96"/>
        <v>1.1550152732778185</v>
      </c>
      <c r="C54" s="17">
        <f t="shared" si="96"/>
        <v>1.2642150295005739</v>
      </c>
      <c r="D54" s="17">
        <f t="shared" si="96"/>
        <v>1.4644309795893156</v>
      </c>
      <c r="E54" s="17">
        <f t="shared" si="96"/>
        <v>1.208193933440987</v>
      </c>
      <c r="F54" s="17">
        <f t="shared" si="96"/>
        <v>1.143652618543689</v>
      </c>
      <c r="H54" s="67">
        <f t="shared" si="129"/>
        <v>21.401902546440017</v>
      </c>
      <c r="I54" s="68">
        <f t="shared" si="130"/>
        <v>64.846631857440173</v>
      </c>
      <c r="J54" s="68">
        <f t="shared" si="131"/>
        <v>86.2485344038802</v>
      </c>
      <c r="L54" t="str">
        <f t="shared" si="132"/>
        <v>34 Culture, media and sports occupations</v>
      </c>
      <c r="M54" s="17">
        <f t="shared" si="97"/>
        <v>3.015795272734858</v>
      </c>
      <c r="N54" s="17">
        <f t="shared" si="97"/>
        <v>2.756787158591063</v>
      </c>
      <c r="O54" s="17">
        <f t="shared" si="97"/>
        <v>2.6884753532004182</v>
      </c>
      <c r="P54" s="17">
        <f t="shared" si="97"/>
        <v>2.2846832866762083</v>
      </c>
      <c r="Q54" s="17">
        <f t="shared" si="97"/>
        <v>2.1352452381493294</v>
      </c>
      <c r="S54" s="67">
        <f t="shared" si="98"/>
        <v>16.608668467495349</v>
      </c>
      <c r="T54" s="68">
        <f t="shared" si="99"/>
        <v>63.641644805814082</v>
      </c>
      <c r="U54" s="68">
        <f t="shared" si="100"/>
        <v>80.25031327330943</v>
      </c>
      <c r="W54" t="str">
        <f t="shared" si="133"/>
        <v>34 Culture, media and sports occupations</v>
      </c>
      <c r="X54" s="17">
        <f t="shared" si="101"/>
        <v>2.9187247121035242</v>
      </c>
      <c r="Y54" s="17">
        <f t="shared" si="101"/>
        <v>2.9049565263558983</v>
      </c>
      <c r="Z54" s="17">
        <f t="shared" si="101"/>
        <v>2.5497451531443653</v>
      </c>
      <c r="AA54" s="17">
        <f t="shared" si="101"/>
        <v>2.1886150017719519</v>
      </c>
      <c r="AB54" s="17">
        <f t="shared" si="101"/>
        <v>2.0130829712056322</v>
      </c>
      <c r="AD54" s="67">
        <f t="shared" si="102"/>
        <v>10.482220476879114</v>
      </c>
      <c r="AE54" s="68">
        <f t="shared" si="103"/>
        <v>51.757707852144343</v>
      </c>
      <c r="AF54" s="68">
        <f t="shared" si="104"/>
        <v>62.239928329023456</v>
      </c>
      <c r="AH54" t="str">
        <f t="shared" si="134"/>
        <v>34 Culture, media and sports occupations</v>
      </c>
      <c r="AI54" s="17">
        <f t="shared" si="105"/>
        <v>0.86056773235865502</v>
      </c>
      <c r="AJ54" s="17">
        <f t="shared" si="105"/>
        <v>0.82571553088548566</v>
      </c>
      <c r="AK54" s="17">
        <f t="shared" si="105"/>
        <v>1.1111588608212042</v>
      </c>
      <c r="AL54" s="17">
        <f t="shared" si="105"/>
        <v>1.1329481865125339</v>
      </c>
      <c r="AM54" s="17">
        <f t="shared" si="105"/>
        <v>1.3824035972520581</v>
      </c>
      <c r="AO54" s="67">
        <f t="shared" si="106"/>
        <v>33.266296935150706</v>
      </c>
      <c r="AP54" s="68">
        <f t="shared" si="107"/>
        <v>55.673631271625077</v>
      </c>
      <c r="AQ54" s="68">
        <f t="shared" si="108"/>
        <v>88.939928206775789</v>
      </c>
      <c r="AS54" t="str">
        <f t="shared" si="135"/>
        <v>34 Culture, media and sports occupations</v>
      </c>
      <c r="AT54" s="17">
        <f t="shared" si="109"/>
        <v>1.5942497536214375</v>
      </c>
      <c r="AU54" s="17">
        <f t="shared" si="109"/>
        <v>1.5548174443285441</v>
      </c>
      <c r="AV54" s="17">
        <f t="shared" si="109"/>
        <v>1.5240233138387018</v>
      </c>
      <c r="AW54" s="17">
        <f t="shared" si="109"/>
        <v>1.3786216077489679</v>
      </c>
      <c r="AX54" s="17">
        <f t="shared" si="109"/>
        <v>1.4056086438270166</v>
      </c>
      <c r="AZ54" s="67">
        <f t="shared" si="110"/>
        <v>14.765074973051384</v>
      </c>
      <c r="BA54" s="68">
        <f t="shared" si="111"/>
        <v>50.681536571805871</v>
      </c>
      <c r="BB54" s="68">
        <f t="shared" si="112"/>
        <v>65.446611544857262</v>
      </c>
      <c r="BD54" t="str">
        <f t="shared" si="136"/>
        <v>34 Culture, media and sports occupations</v>
      </c>
      <c r="BE54" s="17">
        <f t="shared" si="113"/>
        <v>0.96894625057362549</v>
      </c>
      <c r="BF54" s="17">
        <f t="shared" si="113"/>
        <v>1.0081142988401102</v>
      </c>
      <c r="BG54" s="17">
        <f t="shared" si="113"/>
        <v>0.907050679356042</v>
      </c>
      <c r="BH54" s="17">
        <f t="shared" si="113"/>
        <v>0.82721469390559643</v>
      </c>
      <c r="BI54" s="17">
        <f t="shared" si="113"/>
        <v>0.95093020224840208</v>
      </c>
      <c r="BK54" s="67">
        <f t="shared" si="114"/>
        <v>6.9932274828835395</v>
      </c>
      <c r="BL54" s="68">
        <f t="shared" si="115"/>
        <v>39.526241079670164</v>
      </c>
      <c r="BM54" s="68">
        <f t="shared" si="116"/>
        <v>46.519468562553705</v>
      </c>
      <c r="BO54" t="str">
        <f t="shared" si="137"/>
        <v>34 Culture, media and sports occupations</v>
      </c>
      <c r="BP54" s="17">
        <f t="shared" si="117"/>
        <v>0.55830641141759674</v>
      </c>
      <c r="BQ54" s="17">
        <f t="shared" si="117"/>
        <v>0.50732705595260552</v>
      </c>
      <c r="BR54" s="17">
        <f t="shared" si="117"/>
        <v>0.40111328537912316</v>
      </c>
      <c r="BS54" s="17">
        <f t="shared" si="117"/>
        <v>0.32348083535351752</v>
      </c>
      <c r="BT54" s="17">
        <f t="shared" si="117"/>
        <v>0.23760554502052772</v>
      </c>
      <c r="BV54" s="67">
        <f t="shared" si="118"/>
        <v>-48.461261347569305</v>
      </c>
      <c r="BW54" s="68">
        <f t="shared" si="119"/>
        <v>26.874557470857958</v>
      </c>
      <c r="BX54" s="68">
        <f t="shared" si="120"/>
        <v>-21.586703876711351</v>
      </c>
      <c r="BZ54" t="str">
        <f t="shared" si="138"/>
        <v>34 Culture, media and sports occupations</v>
      </c>
      <c r="CA54" s="17">
        <f t="shared" si="121"/>
        <v>0.62400688146507488</v>
      </c>
      <c r="CB54" s="17">
        <f t="shared" si="121"/>
        <v>0.62794725619449765</v>
      </c>
      <c r="CC54" s="17">
        <f t="shared" si="121"/>
        <v>0.60665160499868687</v>
      </c>
      <c r="CD54" s="17">
        <f t="shared" si="121"/>
        <v>0.50331200219859362</v>
      </c>
      <c r="CE54" s="17">
        <f t="shared" si="121"/>
        <v>0.42529713594202612</v>
      </c>
      <c r="CG54" s="67">
        <f t="shared" si="122"/>
        <v>-58.675349143414081</v>
      </c>
      <c r="CH54" s="68">
        <f t="shared" si="123"/>
        <v>23.367272658212396</v>
      </c>
      <c r="CI54" s="68">
        <f t="shared" si="124"/>
        <v>-35.308076485201681</v>
      </c>
      <c r="CK54" t="str">
        <f t="shared" si="139"/>
        <v>34 Culture, media and sports occupations</v>
      </c>
      <c r="CL54" s="17">
        <f t="shared" si="125"/>
        <v>0.42417108635841999</v>
      </c>
      <c r="CM54" s="17">
        <f t="shared" si="125"/>
        <v>0.64626533697086819</v>
      </c>
      <c r="CN54" s="17">
        <f t="shared" si="125"/>
        <v>0.6941377581596424</v>
      </c>
      <c r="CO54" s="17">
        <f t="shared" si="125"/>
        <v>0.86551429450413209</v>
      </c>
      <c r="CP54" s="17">
        <f t="shared" si="125"/>
        <v>1.8558144599698745</v>
      </c>
      <c r="CR54" s="67">
        <f t="shared" si="126"/>
        <v>64.035644452797257</v>
      </c>
      <c r="CS54" s="68">
        <f t="shared" si="127"/>
        <v>43.584078173452227</v>
      </c>
      <c r="CT54" s="68">
        <f t="shared" si="128"/>
        <v>107.6197226262495</v>
      </c>
    </row>
    <row r="55" spans="1:98" x14ac:dyDescent="0.2">
      <c r="A55" t="str">
        <f t="shared" si="95"/>
        <v>35 Business and public service associate professionals</v>
      </c>
      <c r="B55" s="17">
        <f t="shared" ref="B55:F64" si="140">B18/B$35*100</f>
        <v>3.391598926078526</v>
      </c>
      <c r="C55" s="17">
        <f t="shared" si="140"/>
        <v>3.616603527047952</v>
      </c>
      <c r="D55" s="17">
        <f t="shared" si="140"/>
        <v>3.3231478116999384</v>
      </c>
      <c r="E55" s="17">
        <f t="shared" si="140"/>
        <v>3.1203290757846696</v>
      </c>
      <c r="F55" s="17">
        <f t="shared" si="140"/>
        <v>3.2297892533118926</v>
      </c>
      <c r="H55" s="67">
        <f t="shared" si="129"/>
        <v>51.086199921461883</v>
      </c>
      <c r="I55" s="68">
        <f t="shared" si="130"/>
        <v>65.658032537229801</v>
      </c>
      <c r="J55" s="68">
        <f t="shared" si="131"/>
        <v>116.7442324586917</v>
      </c>
      <c r="L55" t="str">
        <f t="shared" si="132"/>
        <v>35 Business and public service associate professionals</v>
      </c>
      <c r="M55" s="17">
        <f t="shared" ref="M55:Q64" si="141">M18/M$35*100</f>
        <v>6.0535285808309611</v>
      </c>
      <c r="N55" s="17">
        <f t="shared" si="141"/>
        <v>6.2301691947249296</v>
      </c>
      <c r="O55" s="17">
        <f t="shared" si="141"/>
        <v>6.0104693319909286</v>
      </c>
      <c r="P55" s="17">
        <f t="shared" si="141"/>
        <v>5.4983806519833003</v>
      </c>
      <c r="Q55" s="17">
        <f t="shared" si="141"/>
        <v>5.319083476527882</v>
      </c>
      <c r="S55" s="67">
        <f t="shared" si="98"/>
        <v>29.932428052847687</v>
      </c>
      <c r="T55" s="68">
        <f t="shared" si="99"/>
        <v>63.103221268163701</v>
      </c>
      <c r="U55" s="68">
        <f t="shared" si="100"/>
        <v>93.035649321011391</v>
      </c>
      <c r="W55" t="str">
        <f t="shared" si="133"/>
        <v>35 Business and public service associate professionals</v>
      </c>
      <c r="X55" s="17">
        <f t="shared" ref="X55:AB64" si="142">X18/X$35*100</f>
        <v>6.2260830074254088</v>
      </c>
      <c r="Y55" s="17">
        <f t="shared" si="142"/>
        <v>6.200958329400005</v>
      </c>
      <c r="Z55" s="17">
        <f t="shared" si="142"/>
        <v>6.1063961129730346</v>
      </c>
      <c r="AA55" s="17">
        <f t="shared" si="142"/>
        <v>5.4848336991121327</v>
      </c>
      <c r="AB55" s="17">
        <f t="shared" si="142"/>
        <v>5.0591151878692706</v>
      </c>
      <c r="AD55" s="67">
        <f t="shared" si="102"/>
        <v>15.935673336083472</v>
      </c>
      <c r="AE55" s="68">
        <f t="shared" si="103"/>
        <v>55.44066345441577</v>
      </c>
      <c r="AF55" s="68">
        <f t="shared" si="104"/>
        <v>71.376336790499252</v>
      </c>
      <c r="AH55" t="str">
        <f t="shared" si="134"/>
        <v>35 Business and public service associate professionals</v>
      </c>
      <c r="AI55" s="17">
        <f t="shared" ref="AI55:AM64" si="143">AI18/AI$35*100</f>
        <v>5.3089791225588687</v>
      </c>
      <c r="AJ55" s="17">
        <f t="shared" si="143"/>
        <v>5.8238347908404782</v>
      </c>
      <c r="AK55" s="17">
        <f t="shared" si="143"/>
        <v>5.9911440344736997</v>
      </c>
      <c r="AL55" s="17">
        <f t="shared" si="143"/>
        <v>6.1356626211961123</v>
      </c>
      <c r="AM55" s="17">
        <f t="shared" si="143"/>
        <v>6.4020705630726686</v>
      </c>
      <c r="AO55" s="67">
        <f t="shared" si="106"/>
        <v>14.464897753383296</v>
      </c>
      <c r="AP55" s="68">
        <f t="shared" si="107"/>
        <v>51.785887552950058</v>
      </c>
      <c r="AQ55" s="68">
        <f t="shared" si="108"/>
        <v>66.250785306333341</v>
      </c>
      <c r="AS55" t="str">
        <f t="shared" si="135"/>
        <v>35 Business and public service associate professionals</v>
      </c>
      <c r="AT55" s="17">
        <f t="shared" ref="AT55:AX64" si="144">AT18/AT$35*100</f>
        <v>5.3750166517231728</v>
      </c>
      <c r="AU55" s="17">
        <f t="shared" si="144"/>
        <v>5.396665345192833</v>
      </c>
      <c r="AV55" s="17">
        <f t="shared" si="144"/>
        <v>5.6831347596408053</v>
      </c>
      <c r="AW55" s="17">
        <f t="shared" si="144"/>
        <v>5.2828361657465832</v>
      </c>
      <c r="AX55" s="17">
        <f t="shared" si="144"/>
        <v>5.2713134389773488</v>
      </c>
      <c r="AZ55" s="67">
        <f t="shared" si="110"/>
        <v>15.416479392752056</v>
      </c>
      <c r="BA55" s="68">
        <f t="shared" si="111"/>
        <v>51.615460316563208</v>
      </c>
      <c r="BB55" s="68">
        <f t="shared" si="112"/>
        <v>67.031939709315267</v>
      </c>
      <c r="BD55" t="str">
        <f t="shared" si="136"/>
        <v>35 Business and public service associate professionals</v>
      </c>
      <c r="BE55" s="17">
        <f t="shared" ref="BE55:BI64" si="145">BE18/BE$35*100</f>
        <v>4.1733256891241748</v>
      </c>
      <c r="BF55" s="17">
        <f t="shared" si="145"/>
        <v>4.203398011919842</v>
      </c>
      <c r="BG55" s="17">
        <f t="shared" si="145"/>
        <v>4.5504709005554052</v>
      </c>
      <c r="BH55" s="17">
        <f t="shared" si="145"/>
        <v>4.0929033653331945</v>
      </c>
      <c r="BI55" s="17">
        <f t="shared" si="145"/>
        <v>4.0104224781862392</v>
      </c>
      <c r="BK55" s="67">
        <f t="shared" si="114"/>
        <v>-10.055837046740622</v>
      </c>
      <c r="BL55" s="68">
        <f t="shared" si="115"/>
        <v>38.781784917967052</v>
      </c>
      <c r="BM55" s="68">
        <f t="shared" si="116"/>
        <v>28.725947871226438</v>
      </c>
      <c r="BO55" t="str">
        <f t="shared" si="137"/>
        <v>35 Business and public service associate professionals</v>
      </c>
      <c r="BP55" s="17">
        <f t="shared" ref="BP55:BT64" si="146">BP18/BP$35*100</f>
        <v>3.1589221473653248</v>
      </c>
      <c r="BQ55" s="17">
        <f t="shared" si="146"/>
        <v>3.1930508629283469</v>
      </c>
      <c r="BR55" s="17">
        <f t="shared" si="146"/>
        <v>3.4302772207843368</v>
      </c>
      <c r="BS55" s="17">
        <f t="shared" si="146"/>
        <v>3.0876668252465458</v>
      </c>
      <c r="BT55" s="17">
        <f t="shared" si="146"/>
        <v>3.0683233378752077</v>
      </c>
      <c r="BV55" s="67">
        <f t="shared" si="118"/>
        <v>-22.175531289286194</v>
      </c>
      <c r="BW55" s="68">
        <f t="shared" si="119"/>
        <v>32.487031114640502</v>
      </c>
      <c r="BX55" s="68">
        <f t="shared" si="120"/>
        <v>10.311499825354307</v>
      </c>
      <c r="BZ55" t="str">
        <f t="shared" si="138"/>
        <v>35 Business and public service associate professionals</v>
      </c>
      <c r="CA55" s="17">
        <f t="shared" ref="CA55:CE64" si="147">CA18/CA$35*100</f>
        <v>2.7889371848723412</v>
      </c>
      <c r="CB55" s="17">
        <f t="shared" si="147"/>
        <v>2.9603109170835848</v>
      </c>
      <c r="CC55" s="17">
        <f t="shared" si="147"/>
        <v>3.1887091347821266</v>
      </c>
      <c r="CD55" s="17">
        <f t="shared" si="147"/>
        <v>2.8525455818587622</v>
      </c>
      <c r="CE55" s="17">
        <f t="shared" si="147"/>
        <v>2.7201629065566277</v>
      </c>
      <c r="CG55" s="67">
        <f t="shared" si="122"/>
        <v>-49.715273304960441</v>
      </c>
      <c r="CH55" s="68">
        <f t="shared" si="123"/>
        <v>26.1309363536589</v>
      </c>
      <c r="CI55" s="68">
        <f t="shared" si="124"/>
        <v>-23.584336951301538</v>
      </c>
      <c r="CK55" t="str">
        <f t="shared" si="139"/>
        <v>35 Business and public service associate professionals</v>
      </c>
      <c r="CL55" s="17">
        <f t="shared" ref="CL55:CP64" si="148">CL18/CL$35*100</f>
        <v>1.7105944169467973</v>
      </c>
      <c r="CM55" s="17">
        <f t="shared" si="148"/>
        <v>2.1827669858950758</v>
      </c>
      <c r="CN55" s="17">
        <f t="shared" si="148"/>
        <v>2.2573082053035902</v>
      </c>
      <c r="CO55" s="17">
        <f t="shared" si="148"/>
        <v>2.549355835201589</v>
      </c>
      <c r="CP55" s="17">
        <f t="shared" si="148"/>
        <v>4.0404783881724757</v>
      </c>
      <c r="CR55" s="67">
        <f t="shared" si="126"/>
        <v>9.822486307613902</v>
      </c>
      <c r="CS55" s="68">
        <f t="shared" si="127"/>
        <v>36.74939124579614</v>
      </c>
      <c r="CT55" s="68">
        <f t="shared" si="128"/>
        <v>46.571877553410047</v>
      </c>
    </row>
    <row r="56" spans="1:98" x14ac:dyDescent="0.2">
      <c r="A56" t="str">
        <f t="shared" si="95"/>
        <v>41 Administrative occupations</v>
      </c>
      <c r="B56" s="17">
        <f t="shared" si="140"/>
        <v>3.7787478916721566</v>
      </c>
      <c r="C56" s="17">
        <f t="shared" si="140"/>
        <v>3.514379664927672</v>
      </c>
      <c r="D56" s="17">
        <f t="shared" si="140"/>
        <v>3.3139027886248043</v>
      </c>
      <c r="E56" s="17">
        <f t="shared" si="140"/>
        <v>2.9995692181705684</v>
      </c>
      <c r="F56" s="17">
        <f t="shared" si="140"/>
        <v>2.9100275588824798</v>
      </c>
      <c r="H56" s="67">
        <f t="shared" si="129"/>
        <v>36.50784454847475</v>
      </c>
      <c r="I56" s="68">
        <f t="shared" si="130"/>
        <v>66.21332977955251</v>
      </c>
      <c r="J56" s="68">
        <f t="shared" si="131"/>
        <v>102.72117432802726</v>
      </c>
      <c r="L56" t="str">
        <f t="shared" si="132"/>
        <v>41 Administrative occupations</v>
      </c>
      <c r="M56" s="17">
        <f t="shared" si="141"/>
        <v>6.4535120911190775</v>
      </c>
      <c r="N56" s="17">
        <f t="shared" si="141"/>
        <v>6.2201891621991487</v>
      </c>
      <c r="O56" s="17">
        <f t="shared" si="141"/>
        <v>5.9288833617527859</v>
      </c>
      <c r="P56" s="17">
        <f t="shared" si="141"/>
        <v>5.5746471317718074</v>
      </c>
      <c r="Q56" s="17">
        <f t="shared" si="141"/>
        <v>5.4844038443630039</v>
      </c>
      <c r="S56" s="67">
        <f t="shared" si="98"/>
        <v>35.814348177055592</v>
      </c>
      <c r="T56" s="68">
        <f t="shared" si="99"/>
        <v>70.261805975420828</v>
      </c>
      <c r="U56" s="68">
        <f t="shared" si="100"/>
        <v>106.07615415247642</v>
      </c>
      <c r="W56" t="str">
        <f t="shared" si="133"/>
        <v>41 Administrative occupations</v>
      </c>
      <c r="X56" s="17">
        <f t="shared" si="142"/>
        <v>9.9702769613527007</v>
      </c>
      <c r="Y56" s="17">
        <f t="shared" si="142"/>
        <v>9.6773355926237237</v>
      </c>
      <c r="Z56" s="17">
        <f t="shared" si="142"/>
        <v>9.7914378539046716</v>
      </c>
      <c r="AA56" s="17">
        <f t="shared" si="142"/>
        <v>9.1345070077370902</v>
      </c>
      <c r="AB56" s="17">
        <f t="shared" si="142"/>
        <v>8.6453172475877338</v>
      </c>
      <c r="AD56" s="67">
        <f t="shared" si="102"/>
        <v>23.555464235308783</v>
      </c>
      <c r="AE56" s="68">
        <f t="shared" si="103"/>
        <v>64.284206139717796</v>
      </c>
      <c r="AF56" s="68">
        <f t="shared" si="104"/>
        <v>87.839670375026586</v>
      </c>
      <c r="AH56" t="str">
        <f t="shared" si="134"/>
        <v>41 Administrative occupations</v>
      </c>
      <c r="AI56" s="17">
        <f t="shared" si="143"/>
        <v>10.346759071373359</v>
      </c>
      <c r="AJ56" s="17">
        <f t="shared" si="143"/>
        <v>11.846874710069386</v>
      </c>
      <c r="AK56" s="17">
        <f t="shared" si="143"/>
        <v>12.062965191491132</v>
      </c>
      <c r="AL56" s="17">
        <f t="shared" si="143"/>
        <v>12.541417714313377</v>
      </c>
      <c r="AM56" s="17">
        <f t="shared" si="143"/>
        <v>13.32083180934961</v>
      </c>
      <c r="AO56" s="67">
        <f t="shared" si="106"/>
        <v>18.287512504105376</v>
      </c>
      <c r="AP56" s="68">
        <f t="shared" si="107"/>
        <v>64.697978196267485</v>
      </c>
      <c r="AQ56" s="68">
        <f t="shared" si="108"/>
        <v>82.985490700372864</v>
      </c>
      <c r="AS56" t="str">
        <f t="shared" si="135"/>
        <v>41 Administrative occupations</v>
      </c>
      <c r="AT56" s="17">
        <f t="shared" si="144"/>
        <v>12.114188611277116</v>
      </c>
      <c r="AU56" s="17">
        <f t="shared" si="144"/>
        <v>12.32578618610227</v>
      </c>
      <c r="AV56" s="17">
        <f t="shared" si="144"/>
        <v>13.117997602056386</v>
      </c>
      <c r="AW56" s="17">
        <f t="shared" si="144"/>
        <v>12.345864410647112</v>
      </c>
      <c r="AX56" s="17">
        <f t="shared" si="144"/>
        <v>12.343929330913134</v>
      </c>
      <c r="AZ56" s="67">
        <f t="shared" si="110"/>
        <v>17.090811467892561</v>
      </c>
      <c r="BA56" s="68">
        <f t="shared" si="111"/>
        <v>61.015838165548509</v>
      </c>
      <c r="BB56" s="68">
        <f t="shared" si="112"/>
        <v>78.106649633441066</v>
      </c>
      <c r="BD56" t="str">
        <f t="shared" si="136"/>
        <v>41 Administrative occupations</v>
      </c>
      <c r="BE56" s="17">
        <f t="shared" si="145"/>
        <v>9.2716065676352617</v>
      </c>
      <c r="BF56" s="17">
        <f t="shared" si="145"/>
        <v>8.9489287361462679</v>
      </c>
      <c r="BG56" s="17">
        <f t="shared" si="145"/>
        <v>9.1249068045874804</v>
      </c>
      <c r="BH56" s="17">
        <f t="shared" si="145"/>
        <v>8.332605097133456</v>
      </c>
      <c r="BI56" s="17">
        <f t="shared" si="145"/>
        <v>7.2437357275917424</v>
      </c>
      <c r="BK56" s="67">
        <f t="shared" si="114"/>
        <v>-18.983521840379403</v>
      </c>
      <c r="BL56" s="68">
        <f t="shared" si="115"/>
        <v>42.200049119678475</v>
      </c>
      <c r="BM56" s="68">
        <f t="shared" si="116"/>
        <v>23.216527279299072</v>
      </c>
      <c r="BO56" t="str">
        <f t="shared" si="137"/>
        <v>41 Administrative occupations</v>
      </c>
      <c r="BP56" s="17">
        <f t="shared" si="146"/>
        <v>10.645200756990977</v>
      </c>
      <c r="BQ56" s="17">
        <f t="shared" si="146"/>
        <v>9.963719413040149</v>
      </c>
      <c r="BR56" s="17">
        <f t="shared" si="146"/>
        <v>10.492123950517627</v>
      </c>
      <c r="BS56" s="17">
        <f t="shared" si="146"/>
        <v>8.9359709821829529</v>
      </c>
      <c r="BT56" s="17">
        <f t="shared" si="146"/>
        <v>7.312449070780322</v>
      </c>
      <c r="BV56" s="67">
        <f t="shared" si="118"/>
        <v>-39.362162852920342</v>
      </c>
      <c r="BW56" s="68">
        <f t="shared" si="119"/>
        <v>31.351681094211624</v>
      </c>
      <c r="BX56" s="68">
        <f t="shared" si="120"/>
        <v>-8.010481758708714</v>
      </c>
      <c r="BZ56" t="str">
        <f t="shared" si="138"/>
        <v>41 Administrative occupations</v>
      </c>
      <c r="CA56" s="17">
        <f t="shared" si="147"/>
        <v>9.507458001495289</v>
      </c>
      <c r="CB56" s="17">
        <f t="shared" si="147"/>
        <v>6.948953291148328</v>
      </c>
      <c r="CC56" s="17">
        <f t="shared" si="147"/>
        <v>7.9930792116864229</v>
      </c>
      <c r="CD56" s="17">
        <f t="shared" si="147"/>
        <v>5.9854218485583797</v>
      </c>
      <c r="CE56" s="17">
        <f t="shared" si="147"/>
        <v>3.5490559275555174</v>
      </c>
      <c r="CG56" s="67">
        <f t="shared" si="122"/>
        <v>-73.826921231407738</v>
      </c>
      <c r="CH56" s="68">
        <f t="shared" si="123"/>
        <v>20.511913826998889</v>
      </c>
      <c r="CI56" s="68">
        <f t="shared" si="124"/>
        <v>-53.315007404408846</v>
      </c>
      <c r="CK56" t="str">
        <f t="shared" si="139"/>
        <v>41 Administrative occupations</v>
      </c>
      <c r="CL56" s="17">
        <f t="shared" si="148"/>
        <v>6.44588816980038</v>
      </c>
      <c r="CM56" s="17">
        <f t="shared" si="148"/>
        <v>6.3646250444916435</v>
      </c>
      <c r="CN56" s="17">
        <f t="shared" si="148"/>
        <v>6.6285628543228476</v>
      </c>
      <c r="CO56" s="17">
        <f t="shared" si="148"/>
        <v>7.5835352629688506</v>
      </c>
      <c r="CP56" s="17">
        <f t="shared" si="148"/>
        <v>9.9430132973848053</v>
      </c>
      <c r="CR56" s="67">
        <f t="shared" si="126"/>
        <v>-7.9660662564258526</v>
      </c>
      <c r="CS56" s="68">
        <f t="shared" si="127"/>
        <v>33.71475274665022</v>
      </c>
      <c r="CT56" s="68">
        <f t="shared" si="128"/>
        <v>25.748686490224365</v>
      </c>
    </row>
    <row r="57" spans="1:98" x14ac:dyDescent="0.2">
      <c r="A57" t="str">
        <f t="shared" si="95"/>
        <v>42 Secretarial and related occupations</v>
      </c>
      <c r="B57" s="17">
        <f t="shared" si="140"/>
        <v>0.19857581336836186</v>
      </c>
      <c r="C57" s="17">
        <f t="shared" si="140"/>
        <v>0.2057629273631314</v>
      </c>
      <c r="D57" s="17">
        <f t="shared" si="140"/>
        <v>0.20507444150441079</v>
      </c>
      <c r="E57" s="17">
        <f t="shared" si="140"/>
        <v>0.25412914146101601</v>
      </c>
      <c r="F57" s="17">
        <f t="shared" si="140"/>
        <v>0.30666782640392387</v>
      </c>
      <c r="H57" s="67">
        <f t="shared" si="129"/>
        <v>132.46466530209813</v>
      </c>
      <c r="I57" s="68">
        <f t="shared" si="130"/>
        <v>118.4397353570395</v>
      </c>
      <c r="J57" s="68">
        <f t="shared" si="131"/>
        <v>250.90440065913762</v>
      </c>
      <c r="L57" t="str">
        <f t="shared" si="132"/>
        <v>42 Secretarial and related occupations</v>
      </c>
      <c r="M57" s="17">
        <f t="shared" si="141"/>
        <v>0.96740293290816426</v>
      </c>
      <c r="N57" s="17">
        <f t="shared" si="141"/>
        <v>0.87165081009571432</v>
      </c>
      <c r="O57" s="17">
        <f t="shared" si="141"/>
        <v>0.82572651205767111</v>
      </c>
      <c r="P57" s="17">
        <f t="shared" si="141"/>
        <v>0.99716610390469151</v>
      </c>
      <c r="Q57" s="17">
        <f t="shared" si="141"/>
        <v>0.95806591565180421</v>
      </c>
      <c r="S57" s="67">
        <f t="shared" si="98"/>
        <v>70.352414946260652</v>
      </c>
      <c r="T57" s="68">
        <f t="shared" si="99"/>
        <v>96.516588717692542</v>
      </c>
      <c r="U57" s="68">
        <f t="shared" si="100"/>
        <v>166.86900366395321</v>
      </c>
      <c r="W57" t="str">
        <f t="shared" si="133"/>
        <v>42 Secretarial and related occupations</v>
      </c>
      <c r="X57" s="17">
        <f t="shared" si="142"/>
        <v>1.4806203462375251</v>
      </c>
      <c r="Y57" s="17">
        <f t="shared" si="142"/>
        <v>1.4922938781921828</v>
      </c>
      <c r="Z57" s="17">
        <f t="shared" si="142"/>
        <v>1.4839820762672353</v>
      </c>
      <c r="AA57" s="17">
        <f t="shared" si="142"/>
        <v>1.8875177924643098</v>
      </c>
      <c r="AB57" s="17">
        <f t="shared" si="142"/>
        <v>2.5441800615312493</v>
      </c>
      <c r="AD57" s="67">
        <f t="shared" si="102"/>
        <v>139.90907881132063</v>
      </c>
      <c r="AE57" s="68">
        <f t="shared" si="103"/>
        <v>103.61613686739494</v>
      </c>
      <c r="AF57" s="68">
        <f t="shared" si="104"/>
        <v>243.5252156787156</v>
      </c>
      <c r="AH57" t="str">
        <f t="shared" si="134"/>
        <v>42 Secretarial and related occupations</v>
      </c>
      <c r="AI57" s="17">
        <f t="shared" si="143"/>
        <v>1.9178266716011423</v>
      </c>
      <c r="AJ57" s="17">
        <f t="shared" si="143"/>
        <v>2.0897400757884497</v>
      </c>
      <c r="AK57" s="17">
        <f t="shared" si="143"/>
        <v>2.1617142704712546</v>
      </c>
      <c r="AL57" s="17">
        <f t="shared" si="143"/>
        <v>2.8144807336610862</v>
      </c>
      <c r="AM57" s="17">
        <f t="shared" si="143"/>
        <v>2.6070406915723288</v>
      </c>
      <c r="AO57" s="67">
        <f t="shared" si="106"/>
        <v>29.184720245145211</v>
      </c>
      <c r="AP57" s="68">
        <f t="shared" si="107"/>
        <v>78.705337615984064</v>
      </c>
      <c r="AQ57" s="68">
        <f t="shared" si="108"/>
        <v>107.89005786112926</v>
      </c>
      <c r="AS57" t="str">
        <f t="shared" si="135"/>
        <v>42 Secretarial and related occupations</v>
      </c>
      <c r="AT57" s="17">
        <f t="shared" si="144"/>
        <v>2.0654573083619421</v>
      </c>
      <c r="AU57" s="17">
        <f t="shared" si="144"/>
        <v>2.0589347794185788</v>
      </c>
      <c r="AV57" s="17">
        <f t="shared" si="144"/>
        <v>2.1142162063823706</v>
      </c>
      <c r="AW57" s="17">
        <f t="shared" si="144"/>
        <v>2.4928974014426206</v>
      </c>
      <c r="AX57" s="17">
        <f t="shared" si="144"/>
        <v>2.7961558308820282</v>
      </c>
      <c r="AZ57" s="67">
        <f t="shared" si="110"/>
        <v>64.569333333984147</v>
      </c>
      <c r="BA57" s="68">
        <f t="shared" si="111"/>
        <v>76.888976063054827</v>
      </c>
      <c r="BB57" s="68">
        <f t="shared" si="112"/>
        <v>141.45830939703896</v>
      </c>
      <c r="BD57" t="str">
        <f t="shared" si="136"/>
        <v>42 Secretarial and related occupations</v>
      </c>
      <c r="BE57" s="17">
        <f t="shared" si="145"/>
        <v>1.8207762407687567</v>
      </c>
      <c r="BF57" s="17">
        <f t="shared" si="145"/>
        <v>1.7652165637956865</v>
      </c>
      <c r="BG57" s="17">
        <f t="shared" si="145"/>
        <v>1.6466229652484639</v>
      </c>
      <c r="BH57" s="17">
        <f t="shared" si="145"/>
        <v>2.2079953212001708</v>
      </c>
      <c r="BI57" s="17">
        <f t="shared" si="145"/>
        <v>1.4154164652846044</v>
      </c>
      <c r="BK57" s="67">
        <f t="shared" si="114"/>
        <v>-12.273808537632021</v>
      </c>
      <c r="BL57" s="68">
        <f t="shared" si="115"/>
        <v>61.823789277472571</v>
      </c>
      <c r="BM57" s="68">
        <f t="shared" si="116"/>
        <v>49.549980739840557</v>
      </c>
      <c r="BO57" t="str">
        <f t="shared" si="137"/>
        <v>42 Secretarial and related occupations</v>
      </c>
      <c r="BP57" s="17">
        <f t="shared" si="146"/>
        <v>2.2297948851303246</v>
      </c>
      <c r="BQ57" s="17">
        <f t="shared" si="146"/>
        <v>1.800710145232761</v>
      </c>
      <c r="BR57" s="17">
        <f t="shared" si="146"/>
        <v>1.8405980763715051</v>
      </c>
      <c r="BS57" s="17">
        <f t="shared" si="146"/>
        <v>1.4541737454067851</v>
      </c>
      <c r="BT57" s="17">
        <f t="shared" si="146"/>
        <v>0.41907958055067607</v>
      </c>
      <c r="BV57" s="67">
        <f t="shared" si="118"/>
        <v>-80.190122166127196</v>
      </c>
      <c r="BW57" s="68">
        <f t="shared" si="119"/>
        <v>25.52803383148607</v>
      </c>
      <c r="BX57" s="68">
        <f t="shared" si="120"/>
        <v>-54.662088334641126</v>
      </c>
      <c r="BZ57" t="str">
        <f t="shared" si="138"/>
        <v>42 Secretarial and related occupations</v>
      </c>
      <c r="CA57" s="17">
        <f t="shared" si="147"/>
        <v>3.7664064287973136</v>
      </c>
      <c r="CB57" s="17">
        <f t="shared" si="147"/>
        <v>2.5176443715541605</v>
      </c>
      <c r="CC57" s="17">
        <f t="shared" si="147"/>
        <v>3.2772670240930952</v>
      </c>
      <c r="CD57" s="17">
        <f t="shared" si="147"/>
        <v>2.4037702662747171</v>
      </c>
      <c r="CE57" s="17">
        <f t="shared" si="147"/>
        <v>0.77716668714560611</v>
      </c>
      <c r="CG57" s="67">
        <f t="shared" si="122"/>
        <v>-86.021568768234431</v>
      </c>
      <c r="CH57" s="68">
        <f t="shared" si="123"/>
        <v>21.841422140657883</v>
      </c>
      <c r="CI57" s="68">
        <f t="shared" si="124"/>
        <v>-64.180146627576548</v>
      </c>
      <c r="CK57" t="str">
        <f t="shared" si="139"/>
        <v>42 Secretarial and related occupations</v>
      </c>
      <c r="CL57" s="17">
        <f t="shared" si="148"/>
        <v>2.5056226024329504</v>
      </c>
      <c r="CM57" s="17">
        <f t="shared" si="148"/>
        <v>2.6655980414666174</v>
      </c>
      <c r="CN57" s="17">
        <f t="shared" si="148"/>
        <v>2.5291956959907198</v>
      </c>
      <c r="CO57" s="17">
        <f t="shared" si="148"/>
        <v>4.2005286469152958</v>
      </c>
      <c r="CP57" s="17">
        <f t="shared" si="148"/>
        <v>5.0122161579920403</v>
      </c>
      <c r="CR57" s="67">
        <f t="shared" si="126"/>
        <v>21.589676179892329</v>
      </c>
      <c r="CS57" s="68">
        <f t="shared" si="127"/>
        <v>60.135301548682129</v>
      </c>
      <c r="CT57" s="68">
        <f t="shared" si="128"/>
        <v>81.724977728574459</v>
      </c>
    </row>
    <row r="58" spans="1:98" x14ac:dyDescent="0.2">
      <c r="A58" t="str">
        <f t="shared" si="95"/>
        <v>51 Skilled agricultural and related trades</v>
      </c>
      <c r="B58" s="17">
        <f t="shared" si="140"/>
        <v>4.1399243928910985E-2</v>
      </c>
      <c r="C58" s="17">
        <f t="shared" si="140"/>
        <v>7.4319999677993465E-2</v>
      </c>
      <c r="D58" s="17">
        <f t="shared" si="140"/>
        <v>0.12957526671138481</v>
      </c>
      <c r="E58" s="17">
        <f t="shared" si="140"/>
        <v>0.11286808335247639</v>
      </c>
      <c r="F58" s="17">
        <f t="shared" si="140"/>
        <v>0.10805285754976815</v>
      </c>
      <c r="H58" s="67">
        <f t="shared" si="129"/>
        <v>29.632655340647101</v>
      </c>
      <c r="I58" s="68">
        <f t="shared" si="130"/>
        <v>78.655333148017021</v>
      </c>
      <c r="J58" s="68">
        <f t="shared" si="131"/>
        <v>108.2879884886641</v>
      </c>
      <c r="L58" t="str">
        <f t="shared" si="132"/>
        <v>51 Skilled agricultural and related trades</v>
      </c>
      <c r="M58" s="17">
        <f t="shared" si="141"/>
        <v>0.13017140791634443</v>
      </c>
      <c r="N58" s="17">
        <f t="shared" si="141"/>
        <v>0.10380531218852417</v>
      </c>
      <c r="O58" s="17">
        <f t="shared" si="141"/>
        <v>0.11265243853619047</v>
      </c>
      <c r="P58" s="17">
        <f t="shared" si="141"/>
        <v>0.10135708736972912</v>
      </c>
      <c r="Q58" s="17">
        <f t="shared" si="141"/>
        <v>0.11266806434810037</v>
      </c>
      <c r="S58" s="67">
        <f t="shared" si="98"/>
        <v>46.841688478699517</v>
      </c>
      <c r="T58" s="68">
        <f t="shared" si="99"/>
        <v>71.410498209990607</v>
      </c>
      <c r="U58" s="68">
        <f t="shared" si="100"/>
        <v>118.25218668869013</v>
      </c>
      <c r="W58" t="str">
        <f t="shared" si="133"/>
        <v>51 Skilled agricultural and related trades</v>
      </c>
      <c r="X58" s="17">
        <f t="shared" si="142"/>
        <v>0.58672303132391557</v>
      </c>
      <c r="Y58" s="17">
        <f t="shared" si="142"/>
        <v>0.4463694649124616</v>
      </c>
      <c r="Z58" s="17">
        <f t="shared" si="142"/>
        <v>0.51635754279072466</v>
      </c>
      <c r="AA58" s="17">
        <f t="shared" si="142"/>
        <v>0.53568613947682264</v>
      </c>
      <c r="AB58" s="17">
        <f t="shared" si="142"/>
        <v>0.58142201298941987</v>
      </c>
      <c r="AD58" s="67">
        <f t="shared" si="102"/>
        <v>57.568151028682969</v>
      </c>
      <c r="AE58" s="68">
        <f t="shared" si="103"/>
        <v>90.546902994025274</v>
      </c>
      <c r="AF58" s="68">
        <f t="shared" si="104"/>
        <v>148.11505402270825</v>
      </c>
      <c r="AH58" t="str">
        <f t="shared" si="134"/>
        <v>51 Skilled agricultural and related trades</v>
      </c>
      <c r="AI58" s="17">
        <f t="shared" si="143"/>
        <v>0.9848261165870299</v>
      </c>
      <c r="AJ58" s="17">
        <f t="shared" si="143"/>
        <v>0.96519614530657227</v>
      </c>
      <c r="AK58" s="17">
        <f t="shared" si="143"/>
        <v>0.97466594379200711</v>
      </c>
      <c r="AL58" s="17">
        <f t="shared" si="143"/>
        <v>1.1359672974132808</v>
      </c>
      <c r="AM58" s="17">
        <f t="shared" si="143"/>
        <v>1.2437246985912633</v>
      </c>
      <c r="AO58" s="67">
        <f t="shared" si="106"/>
        <v>36.687907835247422</v>
      </c>
      <c r="AP58" s="68">
        <f t="shared" si="107"/>
        <v>85.302891619772865</v>
      </c>
      <c r="AQ58" s="68">
        <f t="shared" si="108"/>
        <v>121.99079945502029</v>
      </c>
      <c r="AS58" t="str">
        <f t="shared" si="135"/>
        <v>51 Skilled agricultural and related trades</v>
      </c>
      <c r="AT58" s="17">
        <f t="shared" si="144"/>
        <v>1.6274303467418083</v>
      </c>
      <c r="AU58" s="17">
        <f t="shared" si="144"/>
        <v>1.3476607546977464</v>
      </c>
      <c r="AV58" s="17">
        <f t="shared" si="144"/>
        <v>1.5221929388566713</v>
      </c>
      <c r="AW58" s="17">
        <f t="shared" si="144"/>
        <v>1.5927620026341338</v>
      </c>
      <c r="AX58" s="17">
        <f t="shared" si="144"/>
        <v>1.8036487932933185</v>
      </c>
      <c r="AZ58" s="67">
        <f t="shared" si="110"/>
        <v>47.441319473430795</v>
      </c>
      <c r="BA58" s="68">
        <f t="shared" si="111"/>
        <v>79.882122762181041</v>
      </c>
      <c r="BB58" s="68">
        <f t="shared" si="112"/>
        <v>127.32344223561182</v>
      </c>
      <c r="BD58" t="str">
        <f t="shared" si="136"/>
        <v>51 Skilled agricultural and related trades</v>
      </c>
      <c r="BE58" s="17">
        <f t="shared" si="145"/>
        <v>0.82523480105222702</v>
      </c>
      <c r="BF58" s="17">
        <f t="shared" si="145"/>
        <v>0.59279410323576665</v>
      </c>
      <c r="BG58" s="17">
        <f t="shared" si="145"/>
        <v>0.63288993084163592</v>
      </c>
      <c r="BH58" s="17">
        <f t="shared" si="145"/>
        <v>0.58342284645554443</v>
      </c>
      <c r="BI58" s="17">
        <f t="shared" si="145"/>
        <v>0.61121412956845744</v>
      </c>
      <c r="BK58" s="67">
        <f t="shared" si="114"/>
        <v>-1.4391592868842051</v>
      </c>
      <c r="BL58" s="68">
        <f t="shared" si="115"/>
        <v>50.501094161463556</v>
      </c>
      <c r="BM58" s="68">
        <f t="shared" si="116"/>
        <v>49.061934874579357</v>
      </c>
      <c r="BO58" t="str">
        <f t="shared" si="137"/>
        <v>51 Skilled agricultural and related trades</v>
      </c>
      <c r="BP58" s="17">
        <f t="shared" si="146"/>
        <v>1.2780627845747901</v>
      </c>
      <c r="BQ58" s="17">
        <f t="shared" si="146"/>
        <v>1.1012097701766725</v>
      </c>
      <c r="BR58" s="17">
        <f t="shared" si="146"/>
        <v>1.0733811807393345</v>
      </c>
      <c r="BS58" s="17">
        <f t="shared" si="146"/>
        <v>1.1457548615293349</v>
      </c>
      <c r="BT58" s="17">
        <f t="shared" si="146"/>
        <v>1.4148657651830343</v>
      </c>
      <c r="BV58" s="67">
        <f t="shared" si="118"/>
        <v>14.684710377404983</v>
      </c>
      <c r="BW58" s="68">
        <f t="shared" si="119"/>
        <v>56.292038069043194</v>
      </c>
      <c r="BX58" s="68">
        <f t="shared" si="120"/>
        <v>70.97674844644817</v>
      </c>
      <c r="BZ58" t="str">
        <f t="shared" si="138"/>
        <v>51 Skilled agricultural and related trades</v>
      </c>
      <c r="CA58" s="17">
        <f t="shared" si="147"/>
        <v>1.257467961736829</v>
      </c>
      <c r="CB58" s="17">
        <f t="shared" si="147"/>
        <v>1.3434099638370522</v>
      </c>
      <c r="CC58" s="17">
        <f t="shared" si="147"/>
        <v>1.2700335475545725</v>
      </c>
      <c r="CD58" s="17">
        <f t="shared" si="147"/>
        <v>1.4081404513204789</v>
      </c>
      <c r="CE58" s="17">
        <f t="shared" si="147"/>
        <v>2.5149839398210467</v>
      </c>
      <c r="CG58" s="67">
        <f t="shared" si="122"/>
        <v>16.728286145308598</v>
      </c>
      <c r="CH58" s="68">
        <f t="shared" si="123"/>
        <v>50.990452710464076</v>
      </c>
      <c r="CI58" s="68">
        <f t="shared" si="124"/>
        <v>67.718738855772671</v>
      </c>
      <c r="CK58" t="str">
        <f t="shared" si="139"/>
        <v>51 Skilled agricultural and related trades</v>
      </c>
      <c r="CL58" s="17">
        <f t="shared" si="148"/>
        <v>2.5264600611714085</v>
      </c>
      <c r="CM58" s="17">
        <f t="shared" si="148"/>
        <v>2.0888054357632493</v>
      </c>
      <c r="CN58" s="17">
        <f t="shared" si="148"/>
        <v>2.6280480594234366</v>
      </c>
      <c r="CO58" s="17">
        <f t="shared" si="148"/>
        <v>2.6792770412194464</v>
      </c>
      <c r="CP58" s="17">
        <f t="shared" si="148"/>
        <v>1.806550837815776</v>
      </c>
      <c r="CR58" s="67">
        <f t="shared" si="126"/>
        <v>-57.823918456798708</v>
      </c>
      <c r="CS58" s="68">
        <f t="shared" si="127"/>
        <v>29.110863590579903</v>
      </c>
      <c r="CT58" s="68">
        <f t="shared" si="128"/>
        <v>-28.713054866218794</v>
      </c>
    </row>
    <row r="59" spans="1:98" x14ac:dyDescent="0.2">
      <c r="A59" t="str">
        <f t="shared" si="95"/>
        <v>52 Skilled metal, electrical and electronic trades</v>
      </c>
      <c r="B59" s="17">
        <f t="shared" si="140"/>
        <v>0.22280956645843408</v>
      </c>
      <c r="C59" s="17">
        <f t="shared" si="140"/>
        <v>0.25895960748859431</v>
      </c>
      <c r="D59" s="17">
        <f t="shared" si="140"/>
        <v>0.20950476469380688</v>
      </c>
      <c r="E59" s="17">
        <f t="shared" si="140"/>
        <v>0.20941286405118492</v>
      </c>
      <c r="F59" s="17">
        <f t="shared" si="140"/>
        <v>0.23246004522923619</v>
      </c>
      <c r="H59" s="67">
        <f t="shared" si="129"/>
        <v>72.486331419948101</v>
      </c>
      <c r="I59" s="68">
        <f t="shared" si="130"/>
        <v>68.443739062374718</v>
      </c>
      <c r="J59" s="68">
        <f t="shared" si="131"/>
        <v>140.93007048232283</v>
      </c>
      <c r="L59" t="str">
        <f t="shared" si="132"/>
        <v>52 Skilled metal, electrical and electronic trades</v>
      </c>
      <c r="M59" s="17">
        <f t="shared" si="141"/>
        <v>0.59630864161087116</v>
      </c>
      <c r="N59" s="17">
        <f t="shared" si="141"/>
        <v>0.74777151547470255</v>
      </c>
      <c r="O59" s="17">
        <f t="shared" si="141"/>
        <v>0.5276819801703494</v>
      </c>
      <c r="P59" s="17">
        <f t="shared" si="141"/>
        <v>0.66103120730018006</v>
      </c>
      <c r="Q59" s="17">
        <f t="shared" si="141"/>
        <v>0.76860906467142653</v>
      </c>
      <c r="S59" s="67">
        <f t="shared" si="98"/>
        <v>113.85645921498488</v>
      </c>
      <c r="T59" s="68">
        <f t="shared" si="99"/>
        <v>85.160752527997275</v>
      </c>
      <c r="U59" s="68">
        <f t="shared" si="100"/>
        <v>199.01721174298214</v>
      </c>
      <c r="W59" t="str">
        <f t="shared" si="133"/>
        <v>52 Skilled metal, electrical and electronic trades</v>
      </c>
      <c r="X59" s="17">
        <f t="shared" si="142"/>
        <v>1.2104644629244481</v>
      </c>
      <c r="Y59" s="17">
        <f t="shared" si="142"/>
        <v>1.0884322731407212</v>
      </c>
      <c r="Z59" s="17">
        <f t="shared" si="142"/>
        <v>0.75468535300462136</v>
      </c>
      <c r="AA59" s="17">
        <f t="shared" si="142"/>
        <v>0.83689746851723301</v>
      </c>
      <c r="AB59" s="17">
        <f t="shared" si="142"/>
        <v>0.774883683248622</v>
      </c>
      <c r="AD59" s="67">
        <f t="shared" si="102"/>
        <v>43.680585367073213</v>
      </c>
      <c r="AE59" s="68">
        <f t="shared" si="103"/>
        <v>62.985823312015569</v>
      </c>
      <c r="AF59" s="68">
        <f t="shared" si="104"/>
        <v>106.66640867908879</v>
      </c>
      <c r="AH59" t="str">
        <f t="shared" si="134"/>
        <v>52 Skilled metal, electrical and electronic trades</v>
      </c>
      <c r="AI59" s="17">
        <f t="shared" si="143"/>
        <v>1.2520572292654055</v>
      </c>
      <c r="AJ59" s="17">
        <f t="shared" si="143"/>
        <v>1.2005707917707904</v>
      </c>
      <c r="AK59" s="17">
        <f t="shared" si="143"/>
        <v>0.93385964202147753</v>
      </c>
      <c r="AL59" s="17">
        <f t="shared" si="143"/>
        <v>1.0944642664749518</v>
      </c>
      <c r="AM59" s="17">
        <f t="shared" si="143"/>
        <v>1.2199898908650832</v>
      </c>
      <c r="AO59" s="67">
        <f t="shared" si="106"/>
        <v>39.938190408693721</v>
      </c>
      <c r="AP59" s="68">
        <f t="shared" si="107"/>
        <v>55.239146870437374</v>
      </c>
      <c r="AQ59" s="68">
        <f t="shared" si="108"/>
        <v>95.177337279131109</v>
      </c>
      <c r="AS59" t="str">
        <f t="shared" si="135"/>
        <v>52 Skilled metal, electrical and electronic trades</v>
      </c>
      <c r="AT59" s="17">
        <f t="shared" si="144"/>
        <v>6.4752609284490488</v>
      </c>
      <c r="AU59" s="17">
        <f t="shared" si="144"/>
        <v>5.8823547428807244</v>
      </c>
      <c r="AV59" s="17">
        <f t="shared" si="144"/>
        <v>4.4140888754893357</v>
      </c>
      <c r="AW59" s="17">
        <f t="shared" si="144"/>
        <v>4.5340001883511967</v>
      </c>
      <c r="AX59" s="17">
        <f t="shared" si="144"/>
        <v>3.9442952474192361</v>
      </c>
      <c r="AZ59" s="67">
        <f t="shared" si="110"/>
        <v>11.189884552370675</v>
      </c>
      <c r="BA59" s="68">
        <f t="shared" si="111"/>
        <v>48.106008708891338</v>
      </c>
      <c r="BB59" s="68">
        <f t="shared" si="112"/>
        <v>59.295893261262009</v>
      </c>
      <c r="BD59" t="str">
        <f t="shared" si="136"/>
        <v>52 Skilled metal, electrical and electronic trades</v>
      </c>
      <c r="BE59" s="17">
        <f t="shared" si="145"/>
        <v>8.6758879064304448</v>
      </c>
      <c r="BF59" s="17">
        <f t="shared" si="145"/>
        <v>8.2996332749874586</v>
      </c>
      <c r="BG59" s="17">
        <f t="shared" si="145"/>
        <v>7.4532803132584675</v>
      </c>
      <c r="BH59" s="17">
        <f t="shared" si="145"/>
        <v>6.658987420330102</v>
      </c>
      <c r="BI59" s="17">
        <f t="shared" si="145"/>
        <v>5.8192168211112696</v>
      </c>
      <c r="BK59" s="67">
        <f t="shared" si="114"/>
        <v>-20.318723270757395</v>
      </c>
      <c r="BL59" s="68">
        <f t="shared" si="115"/>
        <v>30.144831603030525</v>
      </c>
      <c r="BM59" s="68">
        <f t="shared" si="116"/>
        <v>9.8261083322731313</v>
      </c>
      <c r="BO59" t="str">
        <f t="shared" si="137"/>
        <v>52 Skilled metal, electrical and electronic trades</v>
      </c>
      <c r="BP59" s="17">
        <f t="shared" si="146"/>
        <v>4.8256162249684555</v>
      </c>
      <c r="BQ59" s="17">
        <f t="shared" si="146"/>
        <v>4.8370917784249654</v>
      </c>
      <c r="BR59" s="17">
        <f t="shared" si="146"/>
        <v>3.9150155199525321</v>
      </c>
      <c r="BS59" s="17">
        <f t="shared" si="146"/>
        <v>4.0114554894773464</v>
      </c>
      <c r="BT59" s="17">
        <f t="shared" si="146"/>
        <v>3.9548298374224911</v>
      </c>
      <c r="BV59" s="67">
        <f t="shared" si="118"/>
        <v>-12.110180097498496</v>
      </c>
      <c r="BW59" s="68">
        <f t="shared" si="119"/>
        <v>33.707479010154479</v>
      </c>
      <c r="BX59" s="68">
        <f t="shared" si="120"/>
        <v>21.597298912655983</v>
      </c>
      <c r="BZ59" t="str">
        <f t="shared" si="138"/>
        <v>52 Skilled metal, electrical and electronic trades</v>
      </c>
      <c r="CA59" s="17">
        <f t="shared" si="147"/>
        <v>3.1767179204450677</v>
      </c>
      <c r="CB59" s="17">
        <f t="shared" si="147"/>
        <v>4.0255327600458921</v>
      </c>
      <c r="CC59" s="17">
        <f t="shared" si="147"/>
        <v>2.7862811632306488</v>
      </c>
      <c r="CD59" s="17">
        <f t="shared" si="147"/>
        <v>3.0331543476436749</v>
      </c>
      <c r="CE59" s="17">
        <f t="shared" si="147"/>
        <v>2.4442962352987037</v>
      </c>
      <c r="CG59" s="67">
        <f t="shared" si="122"/>
        <v>-48.28875596937732</v>
      </c>
      <c r="CH59" s="68">
        <f t="shared" si="123"/>
        <v>30.713498311431508</v>
      </c>
      <c r="CI59" s="68">
        <f t="shared" si="124"/>
        <v>-17.575257657945805</v>
      </c>
      <c r="CK59" t="str">
        <f t="shared" si="139"/>
        <v>52 Skilled metal, electrical and electronic trades</v>
      </c>
      <c r="CL59" s="17">
        <f t="shared" si="148"/>
        <v>2.9386455501111648</v>
      </c>
      <c r="CM59" s="17">
        <f t="shared" si="148"/>
        <v>3.1889094347439659</v>
      </c>
      <c r="CN59" s="17">
        <f t="shared" si="148"/>
        <v>3.0532249473070712</v>
      </c>
      <c r="CO59" s="17">
        <f t="shared" si="148"/>
        <v>3.0398981989962119</v>
      </c>
      <c r="CP59" s="17">
        <f t="shared" si="148"/>
        <v>3.0221744762932481</v>
      </c>
      <c r="CR59" s="67">
        <f t="shared" si="126"/>
        <v>-39.269049978902409</v>
      </c>
      <c r="CS59" s="68">
        <f t="shared" si="127"/>
        <v>29.162488575470775</v>
      </c>
      <c r="CT59" s="68">
        <f t="shared" si="128"/>
        <v>-10.106561403431636</v>
      </c>
    </row>
    <row r="60" spans="1:98" x14ac:dyDescent="0.2">
      <c r="A60" t="str">
        <f t="shared" si="95"/>
        <v>53 Skilled construction and building trades</v>
      </c>
      <c r="B60" s="17">
        <f t="shared" si="140"/>
        <v>7.595729578351762E-2</v>
      </c>
      <c r="C60" s="17">
        <f t="shared" si="140"/>
        <v>6.2832125493452642E-2</v>
      </c>
      <c r="D60" s="17">
        <f t="shared" si="140"/>
        <v>4.1794995802816835E-2</v>
      </c>
      <c r="E60" s="17">
        <f t="shared" si="140"/>
        <v>5.8507347002686894E-2</v>
      </c>
      <c r="F60" s="17">
        <f t="shared" si="140"/>
        <v>5.2291526911280264E-2</v>
      </c>
      <c r="H60" s="67">
        <f t="shared" si="129"/>
        <v>94.49449310032152</v>
      </c>
      <c r="I60" s="68">
        <f t="shared" si="130"/>
        <v>83.989854070407674</v>
      </c>
      <c r="J60" s="68">
        <f t="shared" si="131"/>
        <v>178.48434717072919</v>
      </c>
      <c r="L60" t="str">
        <f t="shared" si="132"/>
        <v>53 Skilled construction and building trades</v>
      </c>
      <c r="M60" s="17">
        <f t="shared" si="141"/>
        <v>0.32530685119420838</v>
      </c>
      <c r="N60" s="17">
        <f t="shared" si="141"/>
        <v>0.31451125345638559</v>
      </c>
      <c r="O60" s="17">
        <f t="shared" si="141"/>
        <v>0.22426081719786528</v>
      </c>
      <c r="P60" s="17">
        <f t="shared" si="141"/>
        <v>0.25642571452471502</v>
      </c>
      <c r="Q60" s="17">
        <f t="shared" si="141"/>
        <v>0.2760490699503611</v>
      </c>
      <c r="S60" s="67">
        <f t="shared" si="98"/>
        <v>80.726576379594732</v>
      </c>
      <c r="T60" s="68">
        <f t="shared" si="99"/>
        <v>81.067142168373238</v>
      </c>
      <c r="U60" s="68">
        <f t="shared" si="100"/>
        <v>161.79371854796796</v>
      </c>
      <c r="W60" t="str">
        <f t="shared" si="133"/>
        <v>53 Skilled construction and building trades</v>
      </c>
      <c r="X60" s="17">
        <f t="shared" si="142"/>
        <v>0.54977281322680316</v>
      </c>
      <c r="Y60" s="17">
        <f t="shared" si="142"/>
        <v>0.50041574694494417</v>
      </c>
      <c r="Z60" s="17">
        <f t="shared" si="142"/>
        <v>0.34746812622406192</v>
      </c>
      <c r="AA60" s="17">
        <f t="shared" si="142"/>
        <v>0.3813446520364337</v>
      </c>
      <c r="AB60" s="17">
        <f t="shared" si="142"/>
        <v>0.31253227810043038</v>
      </c>
      <c r="AD60" s="67">
        <f t="shared" si="102"/>
        <v>25.865701089962066</v>
      </c>
      <c r="AE60" s="68">
        <f t="shared" si="103"/>
        <v>63.484219096913684</v>
      </c>
      <c r="AF60" s="68">
        <f t="shared" si="104"/>
        <v>89.34992018687575</v>
      </c>
      <c r="AH60" t="str">
        <f t="shared" si="134"/>
        <v>53 Skilled construction and building trades</v>
      </c>
      <c r="AI60" s="17">
        <f t="shared" si="143"/>
        <v>1.0499745098075492</v>
      </c>
      <c r="AJ60" s="17">
        <f t="shared" si="143"/>
        <v>1.1609193811244165</v>
      </c>
      <c r="AK60" s="17">
        <f t="shared" si="143"/>
        <v>0.86206863378587606</v>
      </c>
      <c r="AL60" s="17">
        <f t="shared" si="143"/>
        <v>1.0460220647795408</v>
      </c>
      <c r="AM60" s="17">
        <f t="shared" si="143"/>
        <v>1.0223229861462342</v>
      </c>
      <c r="AO60" s="67">
        <f t="shared" si="106"/>
        <v>27.030471714992522</v>
      </c>
      <c r="AP60" s="68">
        <f t="shared" si="107"/>
        <v>65.51555708511863</v>
      </c>
      <c r="AQ60" s="68">
        <f t="shared" si="108"/>
        <v>92.546028800111159</v>
      </c>
      <c r="AS60" t="str">
        <f t="shared" si="135"/>
        <v>53 Skilled construction and building trades</v>
      </c>
      <c r="AT60" s="17">
        <f t="shared" si="144"/>
        <v>1.8265226952420937</v>
      </c>
      <c r="AU60" s="17">
        <f t="shared" si="144"/>
        <v>1.9093072744064823</v>
      </c>
      <c r="AV60" s="17">
        <f t="shared" si="144"/>
        <v>1.4682970338351511</v>
      </c>
      <c r="AW60" s="17">
        <f t="shared" si="144"/>
        <v>1.7396878291333371</v>
      </c>
      <c r="AX60" s="17">
        <f t="shared" si="144"/>
        <v>1.6007446858778269</v>
      </c>
      <c r="AZ60" s="67">
        <f t="shared" si="110"/>
        <v>35.657898019689313</v>
      </c>
      <c r="BA60" s="68">
        <f t="shared" si="111"/>
        <v>69.878483417349543</v>
      </c>
      <c r="BB60" s="68">
        <f t="shared" si="112"/>
        <v>105.53638143703886</v>
      </c>
      <c r="BD60" t="str">
        <f t="shared" si="136"/>
        <v>53 Skilled construction and building trades</v>
      </c>
      <c r="BE60" s="17">
        <f t="shared" si="145"/>
        <v>5.9447760303013846</v>
      </c>
      <c r="BF60" s="17">
        <f t="shared" si="145"/>
        <v>5.9946110727841768</v>
      </c>
      <c r="BG60" s="17">
        <f t="shared" si="145"/>
        <v>5.174870422809934</v>
      </c>
      <c r="BH60" s="17">
        <f t="shared" si="145"/>
        <v>4.5767884171453002</v>
      </c>
      <c r="BI60" s="17">
        <f t="shared" si="145"/>
        <v>3.7264937793462849</v>
      </c>
      <c r="BK60" s="67">
        <f t="shared" si="114"/>
        <v>-26.507990741007021</v>
      </c>
      <c r="BL60" s="68">
        <f t="shared" si="115"/>
        <v>32.128939662531714</v>
      </c>
      <c r="BM60" s="68">
        <f t="shared" si="116"/>
        <v>5.6209489215246968</v>
      </c>
      <c r="BO60" t="str">
        <f t="shared" si="137"/>
        <v>53 Skilled construction and building trades</v>
      </c>
      <c r="BP60" s="17">
        <f t="shared" si="146"/>
        <v>4.996919100768765</v>
      </c>
      <c r="BQ60" s="17">
        <f t="shared" si="146"/>
        <v>5.786789904457482</v>
      </c>
      <c r="BR60" s="17">
        <f t="shared" si="146"/>
        <v>4.6729803025243344</v>
      </c>
      <c r="BS60" s="17">
        <f t="shared" si="146"/>
        <v>5.4139326123595168</v>
      </c>
      <c r="BT60" s="17">
        <f t="shared" si="146"/>
        <v>6.1732344300854516</v>
      </c>
      <c r="BV60" s="67">
        <f t="shared" si="118"/>
        <v>14.937852854251391</v>
      </c>
      <c r="BW60" s="68">
        <f t="shared" si="119"/>
        <v>47.941627831092205</v>
      </c>
      <c r="BX60" s="68">
        <f t="shared" si="120"/>
        <v>62.879480685343594</v>
      </c>
      <c r="BZ60" t="str">
        <f t="shared" si="138"/>
        <v>53 Skilled construction and building trades</v>
      </c>
      <c r="CA60" s="17">
        <f t="shared" si="147"/>
        <v>3.273235681908087</v>
      </c>
      <c r="CB60" s="17">
        <f t="shared" si="147"/>
        <v>4.5298890938873981</v>
      </c>
      <c r="CC60" s="17">
        <f t="shared" si="147"/>
        <v>3.0732986004355274</v>
      </c>
      <c r="CD60" s="17">
        <f t="shared" si="147"/>
        <v>3.5262316844833301</v>
      </c>
      <c r="CE60" s="17">
        <f t="shared" si="147"/>
        <v>3.9819405818937761</v>
      </c>
      <c r="CG60" s="67">
        <f t="shared" si="122"/>
        <v>-23.625900456420712</v>
      </c>
      <c r="CH60" s="68">
        <f t="shared" si="123"/>
        <v>38.686825846904085</v>
      </c>
      <c r="CI60" s="68">
        <f t="shared" si="124"/>
        <v>15.060925390483368</v>
      </c>
      <c r="CK60" t="str">
        <f t="shared" si="139"/>
        <v>53 Skilled construction and building trades</v>
      </c>
      <c r="CL60" s="17">
        <f t="shared" si="148"/>
        <v>3.9855680082621725</v>
      </c>
      <c r="CM60" s="17">
        <f t="shared" si="148"/>
        <v>4.7756780655439925</v>
      </c>
      <c r="CN60" s="17">
        <f t="shared" si="148"/>
        <v>4.4296775104909401</v>
      </c>
      <c r="CO60" s="17">
        <f t="shared" si="148"/>
        <v>3.4358264359014234</v>
      </c>
      <c r="CP60" s="17">
        <f t="shared" si="148"/>
        <v>0.96868270061797568</v>
      </c>
      <c r="CR60" s="67">
        <f t="shared" si="126"/>
        <v>-86.582896259009743</v>
      </c>
      <c r="CS60" s="68">
        <f t="shared" si="127"/>
        <v>15.834779464670278</v>
      </c>
      <c r="CT60" s="68">
        <f t="shared" si="128"/>
        <v>-70.748116794339452</v>
      </c>
    </row>
    <row r="61" spans="1:98" x14ac:dyDescent="0.2">
      <c r="A61" t="str">
        <f t="shared" si="95"/>
        <v>54 Textiles, printing and other skilled trades</v>
      </c>
      <c r="B61" s="17">
        <f t="shared" si="140"/>
        <v>0.51292475411670457</v>
      </c>
      <c r="C61" s="17">
        <f t="shared" si="140"/>
        <v>0.38995448280566347</v>
      </c>
      <c r="D61" s="17">
        <f t="shared" si="140"/>
        <v>0.33161413532475836</v>
      </c>
      <c r="E61" s="17">
        <f t="shared" si="140"/>
        <v>0.33296943793381545</v>
      </c>
      <c r="F61" s="17">
        <f t="shared" si="140"/>
        <v>0.33230468799992513</v>
      </c>
      <c r="H61" s="67">
        <f t="shared" si="129"/>
        <v>55.777132613184399</v>
      </c>
      <c r="I61" s="68">
        <f t="shared" si="130"/>
        <v>78.644651591915689</v>
      </c>
      <c r="J61" s="68">
        <f t="shared" si="131"/>
        <v>134.42178420510012</v>
      </c>
      <c r="L61" t="str">
        <f t="shared" si="132"/>
        <v>54 Textiles, printing and other skilled trades</v>
      </c>
      <c r="M61" s="17">
        <f t="shared" si="141"/>
        <v>0.54314864963182019</v>
      </c>
      <c r="N61" s="17">
        <f t="shared" si="141"/>
        <v>0.48612230443811327</v>
      </c>
      <c r="O61" s="17">
        <f t="shared" si="141"/>
        <v>0.53875457773522462</v>
      </c>
      <c r="P61" s="17">
        <f t="shared" si="141"/>
        <v>0.55420316994778884</v>
      </c>
      <c r="Q61" s="17">
        <f t="shared" si="141"/>
        <v>0.59635487146015675</v>
      </c>
      <c r="S61" s="67">
        <f t="shared" si="98"/>
        <v>62.518547259592403</v>
      </c>
      <c r="T61" s="68">
        <f t="shared" si="99"/>
        <v>83.110299898045355</v>
      </c>
      <c r="U61" s="68">
        <f t="shared" si="100"/>
        <v>145.62884715763778</v>
      </c>
      <c r="W61" t="str">
        <f t="shared" si="133"/>
        <v>54 Textiles, printing and other skilled trades</v>
      </c>
      <c r="X61" s="17">
        <f t="shared" si="142"/>
        <v>0.94681523899582898</v>
      </c>
      <c r="Y61" s="17">
        <f t="shared" si="142"/>
        <v>0.89943000014379293</v>
      </c>
      <c r="Z61" s="17">
        <f t="shared" si="142"/>
        <v>0.7479694417565117</v>
      </c>
      <c r="AA61" s="17">
        <f t="shared" si="142"/>
        <v>0.82343265756355477</v>
      </c>
      <c r="AB61" s="17">
        <f t="shared" si="142"/>
        <v>0.81725296577122519</v>
      </c>
      <c r="AD61" s="67">
        <f t="shared" si="102"/>
        <v>52.897415375883213</v>
      </c>
      <c r="AE61" s="68">
        <f t="shared" si="103"/>
        <v>80.339856093245629</v>
      </c>
      <c r="AF61" s="68">
        <f t="shared" si="104"/>
        <v>133.23727146912881</v>
      </c>
      <c r="AH61" t="str">
        <f t="shared" si="134"/>
        <v>54 Textiles, printing and other skilled trades</v>
      </c>
      <c r="AI61" s="17">
        <f t="shared" si="143"/>
        <v>1.0908296117765144</v>
      </c>
      <c r="AJ61" s="17">
        <f t="shared" si="143"/>
        <v>1.1418700960121777</v>
      </c>
      <c r="AK61" s="17">
        <f t="shared" si="143"/>
        <v>1.2041221958067012</v>
      </c>
      <c r="AL61" s="17">
        <f t="shared" si="143"/>
        <v>1.4088745495887718</v>
      </c>
      <c r="AM61" s="17">
        <f t="shared" si="143"/>
        <v>1.7851793729547323</v>
      </c>
      <c r="AO61" s="67">
        <f t="shared" si="106"/>
        <v>58.808201342623711</v>
      </c>
      <c r="AP61" s="68">
        <f t="shared" si="107"/>
        <v>80.56989932242756</v>
      </c>
      <c r="AQ61" s="68">
        <f t="shared" si="108"/>
        <v>139.37810066505125</v>
      </c>
      <c r="AS61" t="str">
        <f t="shared" si="135"/>
        <v>54 Textiles, printing and other skilled trades</v>
      </c>
      <c r="AT61" s="17">
        <f t="shared" si="144"/>
        <v>1.3975610363132289</v>
      </c>
      <c r="AU61" s="17">
        <f t="shared" si="144"/>
        <v>1.2383804451435483</v>
      </c>
      <c r="AV61" s="17">
        <f t="shared" si="144"/>
        <v>1.1907136232028552</v>
      </c>
      <c r="AW61" s="17">
        <f t="shared" si="144"/>
        <v>1.2603362867634855</v>
      </c>
      <c r="AX61" s="17">
        <f t="shared" si="144"/>
        <v>1.1643377309853398</v>
      </c>
      <c r="AZ61" s="67">
        <f t="shared" si="110"/>
        <v>21.677025635891848</v>
      </c>
      <c r="BA61" s="68">
        <f t="shared" si="111"/>
        <v>66.935493018251393</v>
      </c>
      <c r="BB61" s="68">
        <f t="shared" si="112"/>
        <v>88.61251865414323</v>
      </c>
      <c r="BD61" t="str">
        <f t="shared" si="136"/>
        <v>54 Textiles, printing and other skilled trades</v>
      </c>
      <c r="BE61" s="17">
        <f t="shared" si="145"/>
        <v>2.4523935899638323</v>
      </c>
      <c r="BF61" s="17">
        <f t="shared" si="145"/>
        <v>2.1156179354504201</v>
      </c>
      <c r="BG61" s="17">
        <f t="shared" si="145"/>
        <v>1.9828439875518935</v>
      </c>
      <c r="BH61" s="17">
        <f t="shared" si="145"/>
        <v>2.0887024615932566</v>
      </c>
      <c r="BI61" s="17">
        <f t="shared" si="145"/>
        <v>2.1612538271332857</v>
      </c>
      <c r="BK61" s="67">
        <f t="shared" si="114"/>
        <v>11.238834704570744</v>
      </c>
      <c r="BL61" s="68">
        <f t="shared" si="115"/>
        <v>46.684273497405989</v>
      </c>
      <c r="BM61" s="68">
        <f t="shared" si="116"/>
        <v>57.923108201976738</v>
      </c>
      <c r="BO61" t="str">
        <f t="shared" si="137"/>
        <v>54 Textiles, printing and other skilled trades</v>
      </c>
      <c r="BP61" s="17">
        <f t="shared" si="146"/>
        <v>2.6545716085673932</v>
      </c>
      <c r="BQ61" s="17">
        <f t="shared" si="146"/>
        <v>2.3390208411715392</v>
      </c>
      <c r="BR61" s="17">
        <f t="shared" si="146"/>
        <v>2.3219264540306259</v>
      </c>
      <c r="BS61" s="17">
        <f t="shared" si="146"/>
        <v>2.0592355073638351</v>
      </c>
      <c r="BT61" s="17">
        <f t="shared" si="146"/>
        <v>1.9736453423374933</v>
      </c>
      <c r="BV61" s="67">
        <f t="shared" si="118"/>
        <v>-26.045447238672249</v>
      </c>
      <c r="BW61" s="68">
        <f t="shared" si="119"/>
        <v>32.445712988533238</v>
      </c>
      <c r="BX61" s="68">
        <f t="shared" si="120"/>
        <v>6.4002657498609947</v>
      </c>
      <c r="BZ61" t="str">
        <f t="shared" si="138"/>
        <v>54 Textiles, printing and other skilled trades</v>
      </c>
      <c r="CA61" s="17">
        <f t="shared" si="147"/>
        <v>2.9373110124519353</v>
      </c>
      <c r="CB61" s="17">
        <f t="shared" si="147"/>
        <v>2.8014819038473955</v>
      </c>
      <c r="CC61" s="17">
        <f t="shared" si="147"/>
        <v>2.8367814955603845</v>
      </c>
      <c r="CD61" s="17">
        <f t="shared" si="147"/>
        <v>2.9383457454745523</v>
      </c>
      <c r="CE61" s="17">
        <f t="shared" si="147"/>
        <v>3.0166422913664639</v>
      </c>
      <c r="CG61" s="67">
        <f t="shared" si="122"/>
        <v>-37.316387704989864</v>
      </c>
      <c r="CH61" s="68">
        <f t="shared" si="123"/>
        <v>31.68910199366475</v>
      </c>
      <c r="CI61" s="68">
        <f t="shared" si="124"/>
        <v>-5.6272857113251185</v>
      </c>
      <c r="CK61" t="str">
        <f t="shared" si="139"/>
        <v>54 Textiles, printing and other skilled trades</v>
      </c>
      <c r="CL61" s="17">
        <f t="shared" si="148"/>
        <v>3.6860610126017592</v>
      </c>
      <c r="CM61" s="17">
        <f t="shared" si="148"/>
        <v>3.631004336248937</v>
      </c>
      <c r="CN61" s="17">
        <f t="shared" si="148"/>
        <v>3.8219436366126005</v>
      </c>
      <c r="CO61" s="17">
        <f t="shared" si="148"/>
        <v>3.7700732407359543</v>
      </c>
      <c r="CP61" s="17">
        <f t="shared" si="148"/>
        <v>4.0939110992416587</v>
      </c>
      <c r="CR61" s="67">
        <f t="shared" si="126"/>
        <v>-34.279104381605876</v>
      </c>
      <c r="CS61" s="68">
        <f t="shared" si="127"/>
        <v>27.820509954701063</v>
      </c>
      <c r="CT61" s="68">
        <f t="shared" si="128"/>
        <v>-6.4585944269048197</v>
      </c>
    </row>
    <row r="62" spans="1:98" x14ac:dyDescent="0.2">
      <c r="A62" t="str">
        <f t="shared" si="95"/>
        <v>61 Caring personal service occupations</v>
      </c>
      <c r="B62" s="17">
        <f t="shared" si="140"/>
        <v>0.33586166361897896</v>
      </c>
      <c r="C62" s="17">
        <f t="shared" si="140"/>
        <v>0.31352636209155932</v>
      </c>
      <c r="D62" s="17">
        <f t="shared" si="140"/>
        <v>0.28582659731292909</v>
      </c>
      <c r="E62" s="17">
        <f t="shared" si="140"/>
        <v>0.29415068280874129</v>
      </c>
      <c r="F62" s="17">
        <f t="shared" si="140"/>
        <v>0.29626396070551048</v>
      </c>
      <c r="H62" s="67">
        <f t="shared" si="129"/>
        <v>61.130018583305201</v>
      </c>
      <c r="I62" s="68">
        <f t="shared" si="130"/>
        <v>83.250377535385383</v>
      </c>
      <c r="J62" s="68">
        <f t="shared" si="131"/>
        <v>144.38039611869058</v>
      </c>
      <c r="L62" t="str">
        <f t="shared" si="132"/>
        <v>61 Caring personal service occupations</v>
      </c>
      <c r="M62" s="17">
        <f t="shared" si="141"/>
        <v>2.7113731640128229</v>
      </c>
      <c r="N62" s="17">
        <f t="shared" si="141"/>
        <v>2.7084200037637332</v>
      </c>
      <c r="O62" s="17">
        <f t="shared" si="141"/>
        <v>2.4905996064524163</v>
      </c>
      <c r="P62" s="17">
        <f t="shared" si="141"/>
        <v>2.5809202200652517</v>
      </c>
      <c r="Q62" s="17">
        <f t="shared" si="141"/>
        <v>2.5901906645500716</v>
      </c>
      <c r="S62" s="67">
        <f t="shared" si="98"/>
        <v>52.692235086941295</v>
      </c>
      <c r="T62" s="68">
        <f t="shared" si="99"/>
        <v>84.554095926998627</v>
      </c>
      <c r="U62" s="68">
        <f t="shared" si="100"/>
        <v>137.24633101393994</v>
      </c>
      <c r="W62" t="str">
        <f t="shared" si="133"/>
        <v>61 Caring personal service occupations</v>
      </c>
      <c r="X62" s="17">
        <f t="shared" si="142"/>
        <v>4.2909553508729079</v>
      </c>
      <c r="Y62" s="17">
        <f t="shared" si="142"/>
        <v>4.684637428380837</v>
      </c>
      <c r="Z62" s="17">
        <f t="shared" si="142"/>
        <v>4.4047617106241752</v>
      </c>
      <c r="AA62" s="17">
        <f t="shared" si="142"/>
        <v>4.6510689159710852</v>
      </c>
      <c r="AB62" s="17">
        <f t="shared" si="142"/>
        <v>4.7662645163699242</v>
      </c>
      <c r="AD62" s="67">
        <f t="shared" si="102"/>
        <v>51.419990995755526</v>
      </c>
      <c r="AE62" s="68">
        <f t="shared" si="103"/>
        <v>84.466096808091578</v>
      </c>
      <c r="AF62" s="68">
        <f t="shared" si="104"/>
        <v>135.88608780384709</v>
      </c>
      <c r="AH62" t="str">
        <f t="shared" si="134"/>
        <v>61 Caring personal service occupations</v>
      </c>
      <c r="AI62" s="17">
        <f t="shared" si="143"/>
        <v>11.378345280716127</v>
      </c>
      <c r="AJ62" s="17">
        <f t="shared" si="143"/>
        <v>11.896197065192107</v>
      </c>
      <c r="AK62" s="17">
        <f t="shared" si="143"/>
        <v>11.930574367827578</v>
      </c>
      <c r="AL62" s="17">
        <f t="shared" si="143"/>
        <v>12.686357246800242</v>
      </c>
      <c r="AM62" s="17">
        <f t="shared" si="143"/>
        <v>12.542390154674765</v>
      </c>
      <c r="AO62" s="67">
        <f t="shared" si="106"/>
        <v>12.610939762462662</v>
      </c>
      <c r="AP62" s="68">
        <f t="shared" si="107"/>
        <v>62.856082651738951</v>
      </c>
      <c r="AQ62" s="68">
        <f t="shared" si="108"/>
        <v>75.467022414201608</v>
      </c>
      <c r="AS62" t="str">
        <f t="shared" si="135"/>
        <v>61 Caring personal service occupations</v>
      </c>
      <c r="AT62" s="17">
        <f t="shared" si="144"/>
        <v>7.4263954578986962</v>
      </c>
      <c r="AU62" s="17">
        <f t="shared" si="144"/>
        <v>7.738339805079411</v>
      </c>
      <c r="AV62" s="17">
        <f t="shared" si="144"/>
        <v>7.880896319597003</v>
      </c>
      <c r="AW62" s="17">
        <f t="shared" si="144"/>
        <v>7.7912964958691253</v>
      </c>
      <c r="AX62" s="17">
        <f t="shared" si="144"/>
        <v>7.4031086168610623</v>
      </c>
      <c r="AZ62" s="67">
        <f t="shared" si="110"/>
        <v>16.889484554712833</v>
      </c>
      <c r="BA62" s="68">
        <f t="shared" si="111"/>
        <v>66.655839584379322</v>
      </c>
      <c r="BB62" s="68">
        <f t="shared" si="112"/>
        <v>83.545324139092145</v>
      </c>
      <c r="BD62" t="str">
        <f t="shared" si="136"/>
        <v>61 Caring personal service occupations</v>
      </c>
      <c r="BE62" s="17">
        <f t="shared" si="145"/>
        <v>11.303612326801574</v>
      </c>
      <c r="BF62" s="17">
        <f t="shared" si="145"/>
        <v>12.14753035718009</v>
      </c>
      <c r="BG62" s="17">
        <f t="shared" si="145"/>
        <v>11.345013587922406</v>
      </c>
      <c r="BH62" s="17">
        <f t="shared" si="145"/>
        <v>13.736856549083058</v>
      </c>
      <c r="BI62" s="17">
        <f t="shared" si="145"/>
        <v>14.97151701712747</v>
      </c>
      <c r="BK62" s="67">
        <f t="shared" si="114"/>
        <v>34.679032556145771</v>
      </c>
      <c r="BL62" s="68">
        <f t="shared" si="115"/>
        <v>70.604699973191117</v>
      </c>
      <c r="BM62" s="68">
        <f t="shared" si="116"/>
        <v>105.28373252933689</v>
      </c>
      <c r="BO62" t="str">
        <f t="shared" si="137"/>
        <v>61 Caring personal service occupations</v>
      </c>
      <c r="BP62" s="17">
        <f t="shared" si="146"/>
        <v>9.3991774047781025</v>
      </c>
      <c r="BQ62" s="17">
        <f t="shared" si="146"/>
        <v>8.4662280132121062</v>
      </c>
      <c r="BR62" s="17">
        <f t="shared" si="146"/>
        <v>8.8744866259402464</v>
      </c>
      <c r="BS62" s="17">
        <f t="shared" si="146"/>
        <v>8.5046739826701803</v>
      </c>
      <c r="BT62" s="17">
        <f t="shared" si="146"/>
        <v>6.9151553503428467</v>
      </c>
      <c r="BV62" s="67">
        <f t="shared" si="118"/>
        <v>-32.204173070766359</v>
      </c>
      <c r="BW62" s="68">
        <f t="shared" si="119"/>
        <v>41.174304127860644</v>
      </c>
      <c r="BX62" s="68">
        <f t="shared" si="120"/>
        <v>8.9701310570942852</v>
      </c>
      <c r="BZ62" t="str">
        <f t="shared" si="138"/>
        <v>61 Caring personal service occupations</v>
      </c>
      <c r="CA62" s="17">
        <f t="shared" si="147"/>
        <v>4.6909672912285139</v>
      </c>
      <c r="CB62" s="17">
        <f t="shared" si="147"/>
        <v>2.3065295257153942</v>
      </c>
      <c r="CC62" s="17">
        <f t="shared" si="147"/>
        <v>2.3861746377500834</v>
      </c>
      <c r="CD62" s="17">
        <f t="shared" si="147"/>
        <v>1.9351046118630693</v>
      </c>
      <c r="CE62" s="17">
        <f t="shared" si="147"/>
        <v>2.498611976380618</v>
      </c>
      <c r="CG62" s="67">
        <f t="shared" si="122"/>
        <v>-38.276196810579464</v>
      </c>
      <c r="CH62" s="68">
        <f t="shared" si="123"/>
        <v>24.372241496544063</v>
      </c>
      <c r="CI62" s="68">
        <f t="shared" si="124"/>
        <v>-13.903955314035397</v>
      </c>
      <c r="CK62" t="str">
        <f t="shared" si="139"/>
        <v>61 Caring personal service occupations</v>
      </c>
      <c r="CL62" s="17">
        <f t="shared" si="148"/>
        <v>1.6508965520845738</v>
      </c>
      <c r="CM62" s="17">
        <f t="shared" si="148"/>
        <v>1.8159965897024632</v>
      </c>
      <c r="CN62" s="17">
        <f t="shared" si="148"/>
        <v>1.976308075204267</v>
      </c>
      <c r="CO62" s="17">
        <f t="shared" si="148"/>
        <v>2.5713803512435955</v>
      </c>
      <c r="CP62" s="17">
        <f t="shared" si="148"/>
        <v>3.3289433024498409</v>
      </c>
      <c r="CR62" s="67">
        <f t="shared" si="126"/>
        <v>3.347766900036893</v>
      </c>
      <c r="CS62" s="68">
        <f t="shared" si="127"/>
        <v>32.88325732327624</v>
      </c>
      <c r="CT62" s="68">
        <f t="shared" si="128"/>
        <v>36.231024223313128</v>
      </c>
    </row>
    <row r="63" spans="1:98" x14ac:dyDescent="0.2">
      <c r="A63" t="str">
        <f t="shared" si="95"/>
        <v>62 Leisure, travel and related personal service occupations</v>
      </c>
      <c r="B63" s="17">
        <f t="shared" si="140"/>
        <v>0.18411867083409841</v>
      </c>
      <c r="C63" s="17">
        <f t="shared" si="140"/>
        <v>0.13355187009660907</v>
      </c>
      <c r="D63" s="17">
        <f t="shared" si="140"/>
        <v>0.17528166722367622</v>
      </c>
      <c r="E63" s="17">
        <f t="shared" si="140"/>
        <v>0.18559994212626685</v>
      </c>
      <c r="F63" s="17">
        <f t="shared" si="140"/>
        <v>0.21889398196976453</v>
      </c>
      <c r="H63" s="67">
        <f t="shared" si="129"/>
        <v>94.132209780748624</v>
      </c>
      <c r="I63" s="68">
        <f t="shared" si="130"/>
        <v>86.730605790399579</v>
      </c>
      <c r="J63" s="68">
        <f t="shared" si="131"/>
        <v>180.86281557114822</v>
      </c>
      <c r="L63" t="str">
        <f t="shared" si="132"/>
        <v>62 Leisure, travel and related personal service occupations</v>
      </c>
      <c r="M63" s="17">
        <f t="shared" si="141"/>
        <v>0.51176134764822601</v>
      </c>
      <c r="N63" s="17">
        <f t="shared" si="141"/>
        <v>0.58041841536114724</v>
      </c>
      <c r="O63" s="17">
        <f t="shared" si="141"/>
        <v>0.48064718895844472</v>
      </c>
      <c r="P63" s="17">
        <f t="shared" si="141"/>
        <v>0.47766080502021685</v>
      </c>
      <c r="Q63" s="17">
        <f t="shared" si="141"/>
        <v>0.48767150039863061</v>
      </c>
      <c r="S63" s="67">
        <f t="shared" si="98"/>
        <v>48.967010736047392</v>
      </c>
      <c r="T63" s="68">
        <f t="shared" si="99"/>
        <v>79.380465726371199</v>
      </c>
      <c r="U63" s="68">
        <f t="shared" si="100"/>
        <v>128.3474764624186</v>
      </c>
      <c r="W63" t="str">
        <f t="shared" si="133"/>
        <v>62 Leisure, travel and related personal service occupations</v>
      </c>
      <c r="X63" s="17">
        <f t="shared" si="142"/>
        <v>1.0288191367240027</v>
      </c>
      <c r="Y63" s="17">
        <f t="shared" si="142"/>
        <v>1.2534345792637651</v>
      </c>
      <c r="Z63" s="17">
        <f t="shared" si="142"/>
        <v>1.1444002435488807</v>
      </c>
      <c r="AA63" s="17">
        <f t="shared" si="142"/>
        <v>1.2376273119050059</v>
      </c>
      <c r="AB63" s="17">
        <f t="shared" si="142"/>
        <v>1.3738396117738507</v>
      </c>
      <c r="AD63" s="67">
        <f t="shared" si="102"/>
        <v>67.990834133162977</v>
      </c>
      <c r="AE63" s="68">
        <f t="shared" si="103"/>
        <v>86.243860209531604</v>
      </c>
      <c r="AF63" s="68">
        <f t="shared" si="104"/>
        <v>154.23469434269458</v>
      </c>
      <c r="AH63" t="str">
        <f t="shared" si="134"/>
        <v>62 Leisure, travel and related personal service occupations</v>
      </c>
      <c r="AI63" s="17">
        <f t="shared" si="143"/>
        <v>1.9197686304700918</v>
      </c>
      <c r="AJ63" s="17">
        <f t="shared" si="143"/>
        <v>2.6502603376719347</v>
      </c>
      <c r="AK63" s="17">
        <f t="shared" si="143"/>
        <v>2.5282029232679841</v>
      </c>
      <c r="AL63" s="17">
        <f t="shared" si="143"/>
        <v>3.0038123175580926</v>
      </c>
      <c r="AM63" s="17">
        <f t="shared" si="143"/>
        <v>3.9838104287815423</v>
      </c>
      <c r="AO63" s="67">
        <f t="shared" si="106"/>
        <v>68.790641514660138</v>
      </c>
      <c r="AP63" s="68">
        <f t="shared" si="107"/>
        <v>85.226210855402741</v>
      </c>
      <c r="AQ63" s="68">
        <f t="shared" si="108"/>
        <v>154.01685237006288</v>
      </c>
      <c r="AS63" t="str">
        <f t="shared" si="135"/>
        <v>62 Leisure, travel and related personal service occupations</v>
      </c>
      <c r="AT63" s="17">
        <f t="shared" si="144"/>
        <v>2.8488887340063274</v>
      </c>
      <c r="AU63" s="17">
        <f t="shared" si="144"/>
        <v>3.7659994324795041</v>
      </c>
      <c r="AV63" s="17">
        <f t="shared" si="144"/>
        <v>3.8550132660723642</v>
      </c>
      <c r="AW63" s="17">
        <f t="shared" si="144"/>
        <v>4.2197393021243457</v>
      </c>
      <c r="AX63" s="17">
        <f t="shared" si="144"/>
        <v>5.2096612567714899</v>
      </c>
      <c r="AZ63" s="67">
        <f t="shared" si="110"/>
        <v>68.159166010500002</v>
      </c>
      <c r="BA63" s="68">
        <f t="shared" si="111"/>
        <v>83.003849006805396</v>
      </c>
      <c r="BB63" s="68">
        <f t="shared" si="112"/>
        <v>151.16301501730541</v>
      </c>
      <c r="BD63" t="str">
        <f t="shared" si="136"/>
        <v>62 Leisure, travel and related personal service occupations</v>
      </c>
      <c r="BE63" s="17">
        <f t="shared" si="145"/>
        <v>2.568093125848359</v>
      </c>
      <c r="BF63" s="17">
        <f t="shared" si="145"/>
        <v>2.8031629360958079</v>
      </c>
      <c r="BG63" s="17">
        <f t="shared" si="145"/>
        <v>2.4351764211816755</v>
      </c>
      <c r="BH63" s="17">
        <f t="shared" si="145"/>
        <v>2.5190340059257981</v>
      </c>
      <c r="BI63" s="17">
        <f t="shared" si="145"/>
        <v>2.549921718355443</v>
      </c>
      <c r="BK63" s="67">
        <f t="shared" si="114"/>
        <v>6.8650314954226657</v>
      </c>
      <c r="BL63" s="68">
        <f t="shared" si="115"/>
        <v>48.205267181638433</v>
      </c>
      <c r="BM63" s="68">
        <f t="shared" si="116"/>
        <v>55.070298677061103</v>
      </c>
      <c r="BO63" t="str">
        <f t="shared" si="137"/>
        <v>62 Leisure, travel and related personal service occupations</v>
      </c>
      <c r="BP63" s="17">
        <f t="shared" si="146"/>
        <v>2.7727919436031523</v>
      </c>
      <c r="BQ63" s="17">
        <f t="shared" si="146"/>
        <v>2.915471593266076</v>
      </c>
      <c r="BR63" s="17">
        <f t="shared" si="146"/>
        <v>2.7089136603114068</v>
      </c>
      <c r="BS63" s="17">
        <f t="shared" si="146"/>
        <v>2.4377256759459867</v>
      </c>
      <c r="BT63" s="17">
        <f t="shared" si="146"/>
        <v>2.1538170160515917</v>
      </c>
      <c r="BV63" s="67">
        <f t="shared" si="118"/>
        <v>-30.82360894538002</v>
      </c>
      <c r="BW63" s="68">
        <f t="shared" si="119"/>
        <v>37.682910274697072</v>
      </c>
      <c r="BX63" s="68">
        <f t="shared" si="120"/>
        <v>6.8593013293170548</v>
      </c>
      <c r="BZ63" t="str">
        <f t="shared" si="138"/>
        <v>62 Leisure, travel and related personal service occupations</v>
      </c>
      <c r="CA63" s="17">
        <f t="shared" si="147"/>
        <v>3.0283436523853466</v>
      </c>
      <c r="CB63" s="17">
        <f t="shared" si="147"/>
        <v>2.9249962854800931</v>
      </c>
      <c r="CC63" s="17">
        <f t="shared" si="147"/>
        <v>3.179356188643164</v>
      </c>
      <c r="CD63" s="17">
        <f t="shared" si="147"/>
        <v>3.2179499738716313</v>
      </c>
      <c r="CE63" s="17">
        <f t="shared" si="147"/>
        <v>3.3275774599029981</v>
      </c>
      <c r="CG63" s="67">
        <f t="shared" si="122"/>
        <v>-38.305695263594963</v>
      </c>
      <c r="CH63" s="68">
        <f t="shared" si="123"/>
        <v>34.823394579708747</v>
      </c>
      <c r="CI63" s="68">
        <f t="shared" si="124"/>
        <v>-3.4823006838862205</v>
      </c>
      <c r="CK63" t="str">
        <f t="shared" si="139"/>
        <v>62 Leisure, travel and related personal service occupations</v>
      </c>
      <c r="CL63" s="17">
        <f t="shared" si="148"/>
        <v>3.3683147405980467</v>
      </c>
      <c r="CM63" s="17">
        <f t="shared" si="148"/>
        <v>3.1531975883970991</v>
      </c>
      <c r="CN63" s="17">
        <f t="shared" si="148"/>
        <v>2.9773648370015673</v>
      </c>
      <c r="CO63" s="17">
        <f t="shared" si="148"/>
        <v>2.9239880155051026</v>
      </c>
      <c r="CP63" s="17">
        <f t="shared" si="148"/>
        <v>3.0631287402056899</v>
      </c>
      <c r="CR63" s="67">
        <f t="shared" si="126"/>
        <v>-36.877740128938363</v>
      </c>
      <c r="CS63" s="68">
        <f t="shared" si="127"/>
        <v>26.282618015238086</v>
      </c>
      <c r="CT63" s="68">
        <f t="shared" si="128"/>
        <v>-10.595122113700276</v>
      </c>
    </row>
    <row r="64" spans="1:98" x14ac:dyDescent="0.2">
      <c r="A64" t="str">
        <f t="shared" si="95"/>
        <v>63 Community and civil enforcement occupations</v>
      </c>
      <c r="B64" s="17">
        <f t="shared" si="140"/>
        <v>1.3708268703094446E-2</v>
      </c>
      <c r="C64" s="17">
        <f t="shared" si="140"/>
        <v>1.5949132868740556E-2</v>
      </c>
      <c r="D64" s="17">
        <f t="shared" si="140"/>
        <v>1.4732817695743044E-2</v>
      </c>
      <c r="E64" s="17">
        <f t="shared" si="140"/>
        <v>1.4981939004733111E-2</v>
      </c>
      <c r="F64" s="17">
        <f t="shared" si="140"/>
        <v>1.698235253745782E-2</v>
      </c>
      <c r="H64" s="67">
        <f t="shared" si="129"/>
        <v>79.189397443516313</v>
      </c>
      <c r="I64" s="68">
        <f t="shared" si="130"/>
        <v>83.370384784349767</v>
      </c>
      <c r="J64" s="68">
        <f t="shared" si="131"/>
        <v>162.55978222786607</v>
      </c>
      <c r="L64" t="str">
        <f t="shared" si="132"/>
        <v>63 Community and civil enforcement occupations</v>
      </c>
      <c r="M64" s="17">
        <f t="shared" si="141"/>
        <v>3.7430181375931189E-2</v>
      </c>
      <c r="N64" s="17">
        <f t="shared" si="141"/>
        <v>3.7299583293084478E-2</v>
      </c>
      <c r="O64" s="17">
        <f t="shared" si="141"/>
        <v>4.3706817504542625E-2</v>
      </c>
      <c r="P64" s="17">
        <f t="shared" si="141"/>
        <v>3.7029168766202165E-2</v>
      </c>
      <c r="Q64" s="17">
        <f t="shared" si="141"/>
        <v>4.5977865635514419E-2</v>
      </c>
      <c r="S64" s="67">
        <f t="shared" si="98"/>
        <v>54.450299845190386</v>
      </c>
      <c r="T64" s="68">
        <f t="shared" si="99"/>
        <v>68.560143198143422</v>
      </c>
      <c r="U64" s="68">
        <f t="shared" si="100"/>
        <v>123.01044304333382</v>
      </c>
      <c r="W64" t="str">
        <f t="shared" si="133"/>
        <v>63 Community and civil enforcement occupations</v>
      </c>
      <c r="X64" s="17">
        <f t="shared" si="142"/>
        <v>0.10392302314864868</v>
      </c>
      <c r="Y64" s="17">
        <f t="shared" si="142"/>
        <v>0.11405506332550579</v>
      </c>
      <c r="Z64" s="17">
        <f t="shared" si="142"/>
        <v>0.1085386430140446</v>
      </c>
      <c r="AA64" s="17">
        <f t="shared" si="142"/>
        <v>0.11474960465425964</v>
      </c>
      <c r="AB64" s="17">
        <f t="shared" si="142"/>
        <v>0.11791633009427298</v>
      </c>
      <c r="AD64" s="67">
        <f t="shared" si="102"/>
        <v>52.025717051688304</v>
      </c>
      <c r="AE64" s="68">
        <f t="shared" si="103"/>
        <v>86.781618284778702</v>
      </c>
      <c r="AF64" s="68">
        <f t="shared" si="104"/>
        <v>138.80733533646702</v>
      </c>
      <c r="AH64" t="str">
        <f t="shared" si="134"/>
        <v>63 Community and civil enforcement occupations</v>
      </c>
      <c r="AI64" s="17">
        <f t="shared" si="143"/>
        <v>8.3098378048953772E-2</v>
      </c>
      <c r="AJ64" s="17">
        <f t="shared" si="143"/>
        <v>9.1948324451713831E-2</v>
      </c>
      <c r="AK64" s="17">
        <f t="shared" si="143"/>
        <v>0.10230334880219125</v>
      </c>
      <c r="AL64" s="17">
        <f t="shared" si="143"/>
        <v>0.10425698942110478</v>
      </c>
      <c r="AM64" s="17">
        <f t="shared" si="143"/>
        <v>0.11637848529158726</v>
      </c>
      <c r="AO64" s="67">
        <f t="shared" si="106"/>
        <v>21.855315650694653</v>
      </c>
      <c r="AP64" s="68">
        <f t="shared" si="107"/>
        <v>64.808682659251033</v>
      </c>
      <c r="AQ64" s="68">
        <f t="shared" si="108"/>
        <v>86.663998309945683</v>
      </c>
      <c r="AS64" t="str">
        <f t="shared" si="135"/>
        <v>63 Community and civil enforcement occupations</v>
      </c>
      <c r="AT64" s="17">
        <f t="shared" si="144"/>
        <v>0.10220481705780918</v>
      </c>
      <c r="AU64" s="17">
        <f t="shared" si="144"/>
        <v>9.9460503388566837E-2</v>
      </c>
      <c r="AV64" s="17">
        <f t="shared" si="144"/>
        <v>0.10553369768482196</v>
      </c>
      <c r="AW64" s="17">
        <f t="shared" si="144"/>
        <v>8.9973041381272087E-2</v>
      </c>
      <c r="AX64" s="17">
        <f t="shared" si="144"/>
        <v>8.4712811107758496E-2</v>
      </c>
      <c r="AZ64" s="67">
        <f t="shared" si="110"/>
        <v>-0.116241800602204</v>
      </c>
      <c r="BA64" s="68">
        <f t="shared" si="111"/>
        <v>60.82720387413314</v>
      </c>
      <c r="BB64" s="68">
        <f t="shared" si="112"/>
        <v>60.710962073530936</v>
      </c>
      <c r="BD64" t="str">
        <f t="shared" si="136"/>
        <v>63 Community and civil enforcement occupations</v>
      </c>
      <c r="BE64" s="17">
        <f t="shared" si="145"/>
        <v>0.10248833125671269</v>
      </c>
      <c r="BF64" s="17">
        <f t="shared" si="145"/>
        <v>7.1124033667917197E-2</v>
      </c>
      <c r="BG64" s="17">
        <f t="shared" si="145"/>
        <v>0.11190409620524402</v>
      </c>
      <c r="BH64" s="17">
        <f t="shared" si="145"/>
        <v>6.5070493099370907E-2</v>
      </c>
      <c r="BI64" s="17">
        <f t="shared" si="145"/>
        <v>6.413926888588016E-2</v>
      </c>
      <c r="BK64" s="67">
        <f t="shared" si="114"/>
        <v>-41.505205266830821</v>
      </c>
      <c r="BL64" s="68">
        <f t="shared" si="115"/>
        <v>22.923603348668689</v>
      </c>
      <c r="BM64" s="68">
        <f t="shared" si="116"/>
        <v>-18.581601918162129</v>
      </c>
      <c r="BO64" t="str">
        <f t="shared" si="137"/>
        <v>63 Community and civil enforcement occupations</v>
      </c>
      <c r="BP64" s="17">
        <f t="shared" si="146"/>
        <v>0.14156088857188845</v>
      </c>
      <c r="BQ64" s="17">
        <f t="shared" si="146"/>
        <v>0.12871376437031884</v>
      </c>
      <c r="BR64" s="17">
        <f t="shared" si="146"/>
        <v>0.1711993360427852</v>
      </c>
      <c r="BS64" s="17">
        <f t="shared" si="146"/>
        <v>0.13700416195875406</v>
      </c>
      <c r="BT64" s="17">
        <f t="shared" si="146"/>
        <v>0.16353287335392461</v>
      </c>
      <c r="BV64" s="67">
        <f t="shared" si="118"/>
        <v>-16.891153984551234</v>
      </c>
      <c r="BW64" s="68">
        <f t="shared" si="119"/>
        <v>33.476303174349873</v>
      </c>
      <c r="BX64" s="68">
        <f t="shared" si="120"/>
        <v>16.585149189798631</v>
      </c>
      <c r="BZ64" t="str">
        <f t="shared" si="138"/>
        <v>63 Community and civil enforcement occupations</v>
      </c>
      <c r="CA64" s="17">
        <f t="shared" si="147"/>
        <v>0.16127624636746307</v>
      </c>
      <c r="CB64" s="17">
        <f t="shared" si="147"/>
        <v>0.1744008729590811</v>
      </c>
      <c r="CC64" s="17">
        <f t="shared" si="147"/>
        <v>0.22155170852004571</v>
      </c>
      <c r="CD64" s="17">
        <f t="shared" si="147"/>
        <v>0.21068856416424403</v>
      </c>
      <c r="CE64" s="17">
        <f t="shared" si="147"/>
        <v>0.25681288130691715</v>
      </c>
      <c r="CG64" s="67">
        <f t="shared" si="122"/>
        <v>-31.672145226133065</v>
      </c>
      <c r="CH64" s="68">
        <f t="shared" si="123"/>
        <v>33.230064302412202</v>
      </c>
      <c r="CI64" s="68">
        <f t="shared" si="124"/>
        <v>1.557919076279134</v>
      </c>
      <c r="CK64" t="str">
        <f t="shared" si="139"/>
        <v>63 Community and civil enforcement occupations</v>
      </c>
      <c r="CL64" s="17">
        <f t="shared" si="148"/>
        <v>0.1325554388836564</v>
      </c>
      <c r="CM64" s="17">
        <f t="shared" si="148"/>
        <v>0.10657016937757026</v>
      </c>
      <c r="CN64" s="17">
        <f t="shared" si="148"/>
        <v>0.177315598585054</v>
      </c>
      <c r="CO64" s="17">
        <f t="shared" si="148"/>
        <v>0.10582853268013644</v>
      </c>
      <c r="CP64" s="17">
        <f t="shared" si="148"/>
        <v>9.6998095609853854E-2</v>
      </c>
      <c r="CR64" s="67">
        <f t="shared" si="126"/>
        <v>-66.436626261768268</v>
      </c>
      <c r="CS64" s="68">
        <f t="shared" si="127"/>
        <v>13.817441743076344</v>
      </c>
      <c r="CT64" s="68">
        <f t="shared" si="128"/>
        <v>-52.61918451869191</v>
      </c>
    </row>
    <row r="65" spans="1:98" x14ac:dyDescent="0.2">
      <c r="A65" t="str">
        <f t="shared" si="95"/>
        <v>71 Sales occupations</v>
      </c>
      <c r="B65" s="17">
        <f t="shared" ref="B65:F70" si="149">B28/B$35*100</f>
        <v>1.4447412398347423</v>
      </c>
      <c r="C65" s="17">
        <f t="shared" si="149"/>
        <v>1.3409747229593967</v>
      </c>
      <c r="D65" s="17">
        <f t="shared" si="149"/>
        <v>0.99294303772801351</v>
      </c>
      <c r="E65" s="17">
        <f t="shared" si="149"/>
        <v>0.91764791812755597</v>
      </c>
      <c r="F65" s="17">
        <f t="shared" si="149"/>
        <v>0.90707726119838106</v>
      </c>
      <c r="H65" s="67">
        <f t="shared" si="129"/>
        <v>42.010421651651427</v>
      </c>
      <c r="I65" s="68">
        <f t="shared" si="130"/>
        <v>65.896905855499938</v>
      </c>
      <c r="J65" s="68">
        <f t="shared" si="131"/>
        <v>107.90732750715138</v>
      </c>
      <c r="L65" t="str">
        <f t="shared" si="132"/>
        <v>71 Sales occupations</v>
      </c>
      <c r="M65" s="17">
        <f t="shared" ref="M65:Q70" si="150">M28/M$35*100</f>
        <v>2.7343828735505484</v>
      </c>
      <c r="N65" s="17">
        <f t="shared" si="150"/>
        <v>2.6310022732991412</v>
      </c>
      <c r="O65" s="17">
        <f t="shared" si="150"/>
        <v>2.4070045870029388</v>
      </c>
      <c r="P65" s="17">
        <f t="shared" si="150"/>
        <v>2.3695975384375028</v>
      </c>
      <c r="Q65" s="17">
        <f t="shared" si="150"/>
        <v>2.6330963777831995</v>
      </c>
      <c r="S65" s="67">
        <f t="shared" si="98"/>
        <v>60.612362889352525</v>
      </c>
      <c r="T65" s="68">
        <f t="shared" si="99"/>
        <v>73.718003826066067</v>
      </c>
      <c r="U65" s="68">
        <f t="shared" si="100"/>
        <v>134.33036671541859</v>
      </c>
      <c r="W65" t="str">
        <f t="shared" si="133"/>
        <v>71 Sales occupations</v>
      </c>
      <c r="X65" s="17">
        <f t="shared" ref="X65:AB70" si="151">X28/X$35*100</f>
        <v>5.5272568401801934</v>
      </c>
      <c r="Y65" s="17">
        <f t="shared" si="151"/>
        <v>5.5203300385366134</v>
      </c>
      <c r="Z65" s="17">
        <f t="shared" si="151"/>
        <v>5.3888010878592194</v>
      </c>
      <c r="AA65" s="17">
        <f t="shared" si="151"/>
        <v>5.3168172904799205</v>
      </c>
      <c r="AB65" s="17">
        <f t="shared" si="151"/>
        <v>5.8285775356112648</v>
      </c>
      <c r="AD65" s="67">
        <f t="shared" si="102"/>
        <v>51.355399545369607</v>
      </c>
      <c r="AE65" s="68">
        <f t="shared" si="103"/>
        <v>74.670085788006404</v>
      </c>
      <c r="AF65" s="68">
        <f t="shared" si="104"/>
        <v>126.02548533337601</v>
      </c>
      <c r="AH65" t="str">
        <f t="shared" si="134"/>
        <v>71 Sales occupations</v>
      </c>
      <c r="AI65" s="17">
        <f t="shared" ref="AI65:AM70" si="152">AI28/AI$35*100</f>
        <v>5.9341770871009096</v>
      </c>
      <c r="AJ65" s="17">
        <f t="shared" si="152"/>
        <v>6.5631945415893513</v>
      </c>
      <c r="AK65" s="17">
        <f t="shared" si="152"/>
        <v>6.6741947816648386</v>
      </c>
      <c r="AL65" s="17">
        <f t="shared" si="152"/>
        <v>7.2915128104476343</v>
      </c>
      <c r="AM65" s="17">
        <f t="shared" si="152"/>
        <v>9.1817913272591998</v>
      </c>
      <c r="AO65" s="67">
        <f t="shared" si="106"/>
        <v>47.363582214755183</v>
      </c>
      <c r="AP65" s="68">
        <f t="shared" si="107"/>
        <v>72.71389886495993</v>
      </c>
      <c r="AQ65" s="68">
        <f t="shared" si="108"/>
        <v>120.07748107971511</v>
      </c>
      <c r="AS65" t="str">
        <f t="shared" si="135"/>
        <v>71 Sales occupations</v>
      </c>
      <c r="AT65" s="17">
        <f t="shared" ref="AT65:AX70" si="153">AT28/AT$35*100</f>
        <v>5.881224858363578</v>
      </c>
      <c r="AU65" s="17">
        <f t="shared" si="153"/>
        <v>5.6337460265553796</v>
      </c>
      <c r="AV65" s="17">
        <f t="shared" si="153"/>
        <v>5.614498590945793</v>
      </c>
      <c r="AW65" s="17">
        <f t="shared" si="153"/>
        <v>5.3505789804922621</v>
      </c>
      <c r="AX65" s="17">
        <f t="shared" si="153"/>
        <v>5.8496478826738212</v>
      </c>
      <c r="AZ65" s="67">
        <f t="shared" si="110"/>
        <v>29.644973634425238</v>
      </c>
      <c r="BA65" s="68">
        <f t="shared" si="111"/>
        <v>58.497719214037389</v>
      </c>
      <c r="BB65" s="68">
        <f t="shared" si="112"/>
        <v>88.142692848462616</v>
      </c>
      <c r="BD65" t="str">
        <f t="shared" si="136"/>
        <v>71 Sales occupations</v>
      </c>
      <c r="BE65" s="17">
        <f t="shared" ref="BE65:BI70" si="154">BE28/BE$35*100</f>
        <v>10.746527548503929</v>
      </c>
      <c r="BF65" s="17">
        <f t="shared" si="154"/>
        <v>10.495234213653495</v>
      </c>
      <c r="BG65" s="17">
        <f t="shared" si="154"/>
        <v>10.528575421791567</v>
      </c>
      <c r="BH65" s="17">
        <f t="shared" si="154"/>
        <v>10.771183442112937</v>
      </c>
      <c r="BI65" s="17">
        <f t="shared" si="154"/>
        <v>11.802122430229087</v>
      </c>
      <c r="BK65" s="67">
        <f t="shared" si="114"/>
        <v>14.400969015672393</v>
      </c>
      <c r="BL65" s="68">
        <f t="shared" si="115"/>
        <v>53.789690718337937</v>
      </c>
      <c r="BM65" s="68">
        <f t="shared" si="116"/>
        <v>68.190659734010325</v>
      </c>
      <c r="BO65" t="str">
        <f t="shared" si="137"/>
        <v>71 Sales occupations</v>
      </c>
      <c r="BP65" s="17">
        <f t="shared" ref="BP65:BT70" si="155">BP28/BP$35*100</f>
        <v>11.529866180924252</v>
      </c>
      <c r="BQ65" s="17">
        <f t="shared" si="155"/>
        <v>10.483264493100371</v>
      </c>
      <c r="BR65" s="17">
        <f t="shared" si="155"/>
        <v>10.89359281494731</v>
      </c>
      <c r="BS65" s="17">
        <f t="shared" si="155"/>
        <v>9.7754198182674319</v>
      </c>
      <c r="BT65" s="17">
        <f t="shared" si="155"/>
        <v>8.2139138143798363</v>
      </c>
      <c r="BV65" s="67">
        <f t="shared" si="118"/>
        <v>-34.397065827987014</v>
      </c>
      <c r="BW65" s="68">
        <f t="shared" si="119"/>
        <v>38.913885967925275</v>
      </c>
      <c r="BX65" s="68">
        <f t="shared" si="120"/>
        <v>4.5168201399382628</v>
      </c>
      <c r="BZ65" t="str">
        <f t="shared" si="138"/>
        <v>71 Sales occupations</v>
      </c>
      <c r="CA65" s="17">
        <f t="shared" ref="CA65:CE70" si="156">CA28/CA$35*100</f>
        <v>13.211059550319984</v>
      </c>
      <c r="CB65" s="17">
        <f t="shared" si="156"/>
        <v>10.979886526488194</v>
      </c>
      <c r="CC65" s="17">
        <f t="shared" si="156"/>
        <v>12.496153941137266</v>
      </c>
      <c r="CD65" s="17">
        <f t="shared" si="156"/>
        <v>11.313733340620322</v>
      </c>
      <c r="CE65" s="17">
        <f t="shared" si="156"/>
        <v>8.0793639570150972</v>
      </c>
      <c r="CG65" s="67">
        <f t="shared" si="122"/>
        <v>-61.888425445517328</v>
      </c>
      <c r="CH65" s="68">
        <f t="shared" si="123"/>
        <v>27.648016528088775</v>
      </c>
      <c r="CI65" s="68">
        <f t="shared" si="124"/>
        <v>-34.240408917428553</v>
      </c>
      <c r="CK65" t="str">
        <f t="shared" si="139"/>
        <v>71 Sales occupations</v>
      </c>
      <c r="CL65" s="17">
        <f t="shared" ref="CL65:CP70" si="157">CL28/CL$35*100</f>
        <v>16.200539617401581</v>
      </c>
      <c r="CM65" s="17">
        <f t="shared" si="157"/>
        <v>14.408369233960094</v>
      </c>
      <c r="CN65" s="17">
        <f t="shared" si="157"/>
        <v>12.782427414923525</v>
      </c>
      <c r="CO65" s="17">
        <f t="shared" si="157"/>
        <v>11.813818107177966</v>
      </c>
      <c r="CP65" s="17">
        <f t="shared" si="157"/>
        <v>8.403487303736858</v>
      </c>
      <c r="CR65" s="67">
        <f t="shared" si="126"/>
        <v>-59.663746594571919</v>
      </c>
      <c r="CS65" s="68">
        <f t="shared" si="127"/>
        <v>21.694596602945499</v>
      </c>
      <c r="CT65" s="68">
        <f t="shared" si="128"/>
        <v>-37.969149991626431</v>
      </c>
    </row>
    <row r="66" spans="1:98" x14ac:dyDescent="0.2">
      <c r="A66" t="str">
        <f t="shared" si="95"/>
        <v>72 Customer service occupations</v>
      </c>
      <c r="B66" s="17">
        <f t="shared" si="149"/>
        <v>0.4077574980527891</v>
      </c>
      <c r="C66" s="17">
        <f t="shared" si="149"/>
        <v>0.42053760204157803</v>
      </c>
      <c r="D66" s="17">
        <f t="shared" si="149"/>
        <v>0.41978972285587363</v>
      </c>
      <c r="E66" s="17">
        <f t="shared" si="149"/>
        <v>0.53411060196107485</v>
      </c>
      <c r="F66" s="17">
        <f t="shared" si="149"/>
        <v>0.59751402123112585</v>
      </c>
      <c r="H66" s="67">
        <f t="shared" si="129"/>
        <v>121.26696074024994</v>
      </c>
      <c r="I66" s="68">
        <f t="shared" si="130"/>
        <v>84.352325237028765</v>
      </c>
      <c r="J66" s="68">
        <f t="shared" si="131"/>
        <v>205.61928597727871</v>
      </c>
      <c r="L66" t="str">
        <f t="shared" si="132"/>
        <v>72 Customer service occupations</v>
      </c>
      <c r="M66" s="17">
        <f t="shared" si="150"/>
        <v>0.75604826980556072</v>
      </c>
      <c r="N66" s="17">
        <f t="shared" si="150"/>
        <v>0.82963865722085417</v>
      </c>
      <c r="O66" s="17">
        <f t="shared" si="150"/>
        <v>0.71605315783799051</v>
      </c>
      <c r="P66" s="17">
        <f t="shared" si="150"/>
        <v>0.92824084215983593</v>
      </c>
      <c r="Q66" s="17">
        <f t="shared" si="150"/>
        <v>1.062353641085934</v>
      </c>
      <c r="S66" s="67">
        <f t="shared" si="98"/>
        <v>117.82763687979372</v>
      </c>
      <c r="T66" s="68">
        <f t="shared" si="99"/>
        <v>95.059270730613534</v>
      </c>
      <c r="U66" s="68">
        <f t="shared" si="100"/>
        <v>212.88690761040726</v>
      </c>
      <c r="W66" t="str">
        <f t="shared" si="133"/>
        <v>72 Customer service occupations</v>
      </c>
      <c r="X66" s="17">
        <f t="shared" si="151"/>
        <v>1.4901660613728041</v>
      </c>
      <c r="Y66" s="17">
        <f t="shared" si="151"/>
        <v>1.5700816943600069</v>
      </c>
      <c r="Z66" s="17">
        <f t="shared" si="151"/>
        <v>1.5901483626638637</v>
      </c>
      <c r="AA66" s="17">
        <f t="shared" si="151"/>
        <v>1.9941208765917275</v>
      </c>
      <c r="AB66" s="17">
        <f t="shared" si="151"/>
        <v>2.2143957485372896</v>
      </c>
      <c r="AD66" s="67">
        <f t="shared" si="102"/>
        <v>94.870045463798817</v>
      </c>
      <c r="AE66" s="68">
        <f t="shared" si="103"/>
        <v>82.538609757115893</v>
      </c>
      <c r="AF66" s="68">
        <f t="shared" si="104"/>
        <v>177.40865522091474</v>
      </c>
      <c r="AH66" t="str">
        <f t="shared" si="134"/>
        <v>72 Customer service occupations</v>
      </c>
      <c r="AI66" s="17">
        <f t="shared" si="152"/>
        <v>1.2187629968513551</v>
      </c>
      <c r="AJ66" s="17">
        <f t="shared" si="152"/>
        <v>1.5123718609198507</v>
      </c>
      <c r="AK66" s="17">
        <f t="shared" si="152"/>
        <v>1.5742929293393326</v>
      </c>
      <c r="AL66" s="17">
        <f t="shared" si="152"/>
        <v>2.2799349586032962</v>
      </c>
      <c r="AM66" s="17">
        <f t="shared" si="152"/>
        <v>2.8762968929092811</v>
      </c>
      <c r="AO66" s="67">
        <f t="shared" si="106"/>
        <v>95.708548528751251</v>
      </c>
      <c r="AP66" s="68">
        <f t="shared" si="107"/>
        <v>85.639164547452793</v>
      </c>
      <c r="AQ66" s="68">
        <f t="shared" si="108"/>
        <v>181.34771307620406</v>
      </c>
      <c r="AS66" t="str">
        <f t="shared" si="135"/>
        <v>72 Customer service occupations</v>
      </c>
      <c r="AT66" s="17">
        <f t="shared" si="153"/>
        <v>2.2008109777966745</v>
      </c>
      <c r="AU66" s="17">
        <f t="shared" si="153"/>
        <v>2.3103911791069667</v>
      </c>
      <c r="AV66" s="17">
        <f t="shared" si="153"/>
        <v>2.3832931296897248</v>
      </c>
      <c r="AW66" s="17">
        <f t="shared" si="153"/>
        <v>3.0320178647408409</v>
      </c>
      <c r="AX66" s="17">
        <f t="shared" si="153"/>
        <v>3.2333773071124243</v>
      </c>
      <c r="AZ66" s="67">
        <f t="shared" si="110"/>
        <v>68.816876728820588</v>
      </c>
      <c r="BA66" s="68">
        <f t="shared" si="111"/>
        <v>70.976535191123631</v>
      </c>
      <c r="BB66" s="68">
        <f t="shared" si="112"/>
        <v>139.79341191994422</v>
      </c>
      <c r="BD66" t="str">
        <f t="shared" si="136"/>
        <v>72 Customer service occupations</v>
      </c>
      <c r="BE66" s="17">
        <f t="shared" si="154"/>
        <v>1.951400946985292</v>
      </c>
      <c r="BF66" s="17">
        <f t="shared" si="154"/>
        <v>2.062408110067361</v>
      </c>
      <c r="BG66" s="17">
        <f t="shared" si="154"/>
        <v>2.1076422367141063</v>
      </c>
      <c r="BH66" s="17">
        <f t="shared" si="154"/>
        <v>2.6849347885668204</v>
      </c>
      <c r="BI66" s="17">
        <f t="shared" si="154"/>
        <v>3.0271154039098405</v>
      </c>
      <c r="BK66" s="67">
        <f t="shared" si="114"/>
        <v>46.578841552015184</v>
      </c>
      <c r="BL66" s="68">
        <f t="shared" si="115"/>
        <v>57.256422613014955</v>
      </c>
      <c r="BM66" s="68">
        <f t="shared" si="116"/>
        <v>103.83526416503013</v>
      </c>
      <c r="BO66" t="str">
        <f t="shared" si="137"/>
        <v>72 Customer service occupations</v>
      </c>
      <c r="BP66" s="17">
        <f t="shared" si="155"/>
        <v>2.1367125808753156</v>
      </c>
      <c r="BQ66" s="17">
        <f t="shared" si="155"/>
        <v>2.2774842974332357</v>
      </c>
      <c r="BR66" s="17">
        <f t="shared" si="155"/>
        <v>2.4034900048699113</v>
      </c>
      <c r="BS66" s="17">
        <f t="shared" si="155"/>
        <v>3.0195342941675403</v>
      </c>
      <c r="BT66" s="17">
        <f t="shared" si="155"/>
        <v>3.3438303588986411</v>
      </c>
      <c r="BV66" s="67">
        <f t="shared" si="118"/>
        <v>21.044810973501725</v>
      </c>
      <c r="BW66" s="68">
        <f t="shared" si="119"/>
        <v>52.947649832137564</v>
      </c>
      <c r="BX66" s="68">
        <f t="shared" si="120"/>
        <v>73.992460805639297</v>
      </c>
      <c r="BZ66" t="str">
        <f t="shared" si="138"/>
        <v>72 Customer service occupations</v>
      </c>
      <c r="CA66" s="17">
        <f t="shared" si="156"/>
        <v>1.6777022541758306</v>
      </c>
      <c r="CB66" s="17">
        <f t="shared" si="156"/>
        <v>1.5821733818935864</v>
      </c>
      <c r="CC66" s="17">
        <f t="shared" si="156"/>
        <v>1.8022988891701472</v>
      </c>
      <c r="CD66" s="17">
        <f t="shared" si="156"/>
        <v>2.2404691287131344</v>
      </c>
      <c r="CE66" s="17">
        <f t="shared" si="156"/>
        <v>3.3782245939763693</v>
      </c>
      <c r="CG66" s="67">
        <f t="shared" si="122"/>
        <v>10.488681279484002</v>
      </c>
      <c r="CH66" s="68">
        <f t="shared" si="123"/>
        <v>37.665105751604436</v>
      </c>
      <c r="CI66" s="68">
        <f t="shared" si="124"/>
        <v>48.153787031088441</v>
      </c>
      <c r="CK66" t="str">
        <f t="shared" si="139"/>
        <v>72 Customer service occupations</v>
      </c>
      <c r="CL66" s="17">
        <f t="shared" si="157"/>
        <v>1.3461332217166833</v>
      </c>
      <c r="CM66" s="17">
        <f t="shared" si="157"/>
        <v>1.8540300952762268</v>
      </c>
      <c r="CN66" s="17">
        <f t="shared" si="157"/>
        <v>1.8408298155653824</v>
      </c>
      <c r="CO66" s="17">
        <f t="shared" si="157"/>
        <v>3.2117336585902678</v>
      </c>
      <c r="CP66" s="17">
        <f t="shared" si="157"/>
        <v>5.1683243875606513</v>
      </c>
      <c r="CR66" s="67">
        <f t="shared" si="126"/>
        <v>72.260406591436137</v>
      </c>
      <c r="CS66" s="68">
        <f t="shared" si="127"/>
        <v>60.142190955141487</v>
      </c>
      <c r="CT66" s="68">
        <f t="shared" si="128"/>
        <v>132.40259754657762</v>
      </c>
    </row>
    <row r="67" spans="1:98" x14ac:dyDescent="0.2">
      <c r="A67" t="str">
        <f t="shared" si="95"/>
        <v>81 Process, plant and machine operatives</v>
      </c>
      <c r="B67" s="17">
        <f t="shared" si="149"/>
        <v>0.34269924115270872</v>
      </c>
      <c r="C67" s="17">
        <f t="shared" si="149"/>
        <v>0.46460261960640564</v>
      </c>
      <c r="D67" s="17">
        <f t="shared" si="149"/>
        <v>0.36868545218916693</v>
      </c>
      <c r="E67" s="17">
        <f t="shared" si="149"/>
        <v>0.47053624853245596</v>
      </c>
      <c r="F67" s="17">
        <f t="shared" si="149"/>
        <v>0.57145074290335218</v>
      </c>
      <c r="H67" s="67">
        <f t="shared" si="129"/>
        <v>140.9478592995471</v>
      </c>
      <c r="I67" s="68">
        <f t="shared" si="130"/>
        <v>82.113835126179922</v>
      </c>
      <c r="J67" s="68">
        <f t="shared" si="131"/>
        <v>223.06169442572701</v>
      </c>
      <c r="L67" t="str">
        <f t="shared" si="132"/>
        <v>81 Process, plant and machine operatives</v>
      </c>
      <c r="M67" s="17">
        <f t="shared" si="150"/>
        <v>0.39979753657519584</v>
      </c>
      <c r="N67" s="17">
        <f t="shared" si="150"/>
        <v>0.43746490033005136</v>
      </c>
      <c r="O67" s="17">
        <f t="shared" si="150"/>
        <v>0.35111942765882298</v>
      </c>
      <c r="P67" s="17">
        <f t="shared" si="150"/>
        <v>0.46576338093972397</v>
      </c>
      <c r="Q67" s="17">
        <f t="shared" si="150"/>
        <v>0.57903282074633855</v>
      </c>
      <c r="S67" s="67">
        <f t="shared" si="98"/>
        <v>142.1237852434555</v>
      </c>
      <c r="T67" s="68">
        <f t="shared" si="99"/>
        <v>96.61531934050393</v>
      </c>
      <c r="U67" s="68">
        <f t="shared" si="100"/>
        <v>238.73910458395949</v>
      </c>
      <c r="W67" t="str">
        <f t="shared" si="133"/>
        <v>81 Process, plant and machine operatives</v>
      </c>
      <c r="X67" s="17">
        <f t="shared" si="151"/>
        <v>0.65530136912735526</v>
      </c>
      <c r="Y67" s="17">
        <f t="shared" si="151"/>
        <v>0.57064714451573828</v>
      </c>
      <c r="Z67" s="17">
        <f t="shared" si="151"/>
        <v>0.46689976425855612</v>
      </c>
      <c r="AA67" s="17">
        <f t="shared" si="151"/>
        <v>0.63921640604555285</v>
      </c>
      <c r="AB67" s="17">
        <f t="shared" si="151"/>
        <v>0.79119492275761505</v>
      </c>
      <c r="AD67" s="67">
        <f t="shared" si="102"/>
        <v>137.13045296760535</v>
      </c>
      <c r="AE67" s="68">
        <f t="shared" si="103"/>
        <v>91.038235208626148</v>
      </c>
      <c r="AF67" s="68">
        <f t="shared" si="104"/>
        <v>228.16868817623148</v>
      </c>
      <c r="AH67" t="str">
        <f t="shared" si="134"/>
        <v>81 Process, plant and machine operatives</v>
      </c>
      <c r="AI67" s="17">
        <f t="shared" si="152"/>
        <v>0.97694386567780589</v>
      </c>
      <c r="AJ67" s="17">
        <f t="shared" si="152"/>
        <v>1.034510064888124</v>
      </c>
      <c r="AK67" s="17">
        <f t="shared" si="152"/>
        <v>0.89037040834298709</v>
      </c>
      <c r="AL67" s="17">
        <f t="shared" si="152"/>
        <v>1.3574501528460614</v>
      </c>
      <c r="AM67" s="17">
        <f t="shared" si="152"/>
        <v>1.6557740265078784</v>
      </c>
      <c r="AO67" s="67">
        <f t="shared" si="106"/>
        <v>99.201212139476141</v>
      </c>
      <c r="AP67" s="68">
        <f t="shared" si="107"/>
        <v>76.676127783014465</v>
      </c>
      <c r="AQ67" s="68">
        <f t="shared" si="108"/>
        <v>175.87733992249062</v>
      </c>
      <c r="AS67" t="str">
        <f t="shared" si="135"/>
        <v>81 Process, plant and machine operatives</v>
      </c>
      <c r="AT67" s="17">
        <f t="shared" si="153"/>
        <v>2.3061286849210094</v>
      </c>
      <c r="AU67" s="17">
        <f t="shared" si="153"/>
        <v>1.9149299047297559</v>
      </c>
      <c r="AV67" s="17">
        <f t="shared" si="153"/>
        <v>1.6394283482949399</v>
      </c>
      <c r="AW67" s="17">
        <f t="shared" si="153"/>
        <v>2.2034114586253639</v>
      </c>
      <c r="AX67" s="17">
        <f t="shared" si="153"/>
        <v>2.1652697230827567</v>
      </c>
      <c r="AZ67" s="67">
        <f t="shared" si="110"/>
        <v>64.345001233948764</v>
      </c>
      <c r="BA67" s="68">
        <f t="shared" si="111"/>
        <v>64.814827617494203</v>
      </c>
      <c r="BB67" s="68">
        <f t="shared" si="112"/>
        <v>129.15982885144297</v>
      </c>
      <c r="BD67" t="str">
        <f t="shared" si="136"/>
        <v>81 Process, plant and machine operatives</v>
      </c>
      <c r="BE67" s="17">
        <f t="shared" si="154"/>
        <v>4.3706797079010871</v>
      </c>
      <c r="BF67" s="17">
        <f t="shared" si="154"/>
        <v>3.8854209283672287</v>
      </c>
      <c r="BG67" s="17">
        <f t="shared" si="154"/>
        <v>3.7890903981931006</v>
      </c>
      <c r="BH67" s="17">
        <f t="shared" si="154"/>
        <v>4.5206470813961754</v>
      </c>
      <c r="BI67" s="17">
        <f t="shared" si="154"/>
        <v>4.6951870738397652</v>
      </c>
      <c r="BK67" s="67">
        <f t="shared" si="114"/>
        <v>26.461152211572497</v>
      </c>
      <c r="BL67" s="68">
        <f t="shared" si="115"/>
        <v>43.748246165485263</v>
      </c>
      <c r="BM67" s="68">
        <f t="shared" si="116"/>
        <v>70.209398377057767</v>
      </c>
      <c r="BO67" t="str">
        <f t="shared" si="137"/>
        <v>81 Process, plant and machine operatives</v>
      </c>
      <c r="BP67" s="17">
        <f t="shared" si="155"/>
        <v>4.9521047422336331</v>
      </c>
      <c r="BQ67" s="17">
        <f t="shared" si="155"/>
        <v>4.727536017453895</v>
      </c>
      <c r="BR67" s="17">
        <f t="shared" si="155"/>
        <v>4.2943449063493864</v>
      </c>
      <c r="BS67" s="17">
        <f t="shared" si="155"/>
        <v>5.7436630621554547</v>
      </c>
      <c r="BT67" s="17">
        <f t="shared" si="155"/>
        <v>6.4774373137313308</v>
      </c>
      <c r="BV67" s="67">
        <f t="shared" si="118"/>
        <v>31.235266281806535</v>
      </c>
      <c r="BW67" s="68">
        <f t="shared" si="119"/>
        <v>47.512643241698314</v>
      </c>
      <c r="BX67" s="68">
        <f t="shared" si="120"/>
        <v>78.747909523504859</v>
      </c>
      <c r="BZ67" t="str">
        <f t="shared" si="138"/>
        <v>81 Process, plant and machine operatives</v>
      </c>
      <c r="CA67" s="17">
        <f t="shared" si="156"/>
        <v>5.5023703784634037</v>
      </c>
      <c r="CB67" s="17">
        <f t="shared" si="156"/>
        <v>5.7511581670788576</v>
      </c>
      <c r="CC67" s="17">
        <f t="shared" si="156"/>
        <v>4.8342569437542044</v>
      </c>
      <c r="CD67" s="17">
        <f t="shared" si="156"/>
        <v>5.7088083026505529</v>
      </c>
      <c r="CE67" s="17">
        <f t="shared" si="156"/>
        <v>3.8715625868243828</v>
      </c>
      <c r="CG67" s="67">
        <f t="shared" si="122"/>
        <v>-52.792321873714357</v>
      </c>
      <c r="CH67" s="68">
        <f t="shared" si="123"/>
        <v>29.879688495339558</v>
      </c>
      <c r="CI67" s="68">
        <f t="shared" si="124"/>
        <v>-22.9126333783748</v>
      </c>
      <c r="CK67" t="str">
        <f t="shared" si="139"/>
        <v>81 Process, plant and machine operatives</v>
      </c>
      <c r="CL67" s="17">
        <f t="shared" si="157"/>
        <v>7.6842908410236097</v>
      </c>
      <c r="CM67" s="17">
        <f t="shared" si="157"/>
        <v>7.0348387833934796</v>
      </c>
      <c r="CN67" s="17">
        <f t="shared" si="157"/>
        <v>6.834601896331451</v>
      </c>
      <c r="CO67" s="17">
        <f t="shared" si="157"/>
        <v>4.9861278304799663</v>
      </c>
      <c r="CP67" s="17">
        <f t="shared" si="157"/>
        <v>2.6839925296208498</v>
      </c>
      <c r="CR67" s="67">
        <f t="shared" si="126"/>
        <v>-75.905527446540503</v>
      </c>
      <c r="CS67" s="68">
        <f t="shared" si="127"/>
        <v>14.770916247277722</v>
      </c>
      <c r="CT67" s="68">
        <f t="shared" si="128"/>
        <v>-61.134611199262778</v>
      </c>
    </row>
    <row r="68" spans="1:98" x14ac:dyDescent="0.2">
      <c r="A68" t="str">
        <f t="shared" si="95"/>
        <v>82 Transport and mobile machine drivers and operatives</v>
      </c>
      <c r="B68" s="17">
        <f t="shared" si="149"/>
        <v>0.38395549442668603</v>
      </c>
      <c r="C68" s="17">
        <f t="shared" si="149"/>
        <v>0.56118934884211658</v>
      </c>
      <c r="D68" s="17">
        <f t="shared" si="149"/>
        <v>0.47864607526164232</v>
      </c>
      <c r="E68" s="17">
        <f t="shared" si="149"/>
        <v>0.5808135076088744</v>
      </c>
      <c r="F68" s="17">
        <f t="shared" si="149"/>
        <v>0.73256025488551879</v>
      </c>
      <c r="H68" s="67">
        <f t="shared" si="129"/>
        <v>137.91899786925578</v>
      </c>
      <c r="I68" s="68">
        <f t="shared" si="130"/>
        <v>119.48146221642355</v>
      </c>
      <c r="J68" s="68">
        <f t="shared" si="131"/>
        <v>257.4004600856793</v>
      </c>
      <c r="L68" t="str">
        <f t="shared" si="132"/>
        <v>82 Transport and mobile machine drivers and operatives</v>
      </c>
      <c r="M68" s="17">
        <f t="shared" si="150"/>
        <v>0.35448680835111579</v>
      </c>
      <c r="N68" s="17">
        <f t="shared" si="150"/>
        <v>0.48238281313752635</v>
      </c>
      <c r="O68" s="17">
        <f t="shared" si="150"/>
        <v>0.42350951130396908</v>
      </c>
      <c r="P68" s="17">
        <f t="shared" si="150"/>
        <v>0.48654092619323608</v>
      </c>
      <c r="Q68" s="17">
        <f t="shared" si="150"/>
        <v>0.63603341934141155</v>
      </c>
      <c r="S68" s="67">
        <f t="shared" si="98"/>
        <v>120.49863276176771</v>
      </c>
      <c r="T68" s="68">
        <f t="shared" si="99"/>
        <v>108.55714321870249</v>
      </c>
      <c r="U68" s="68">
        <f t="shared" si="100"/>
        <v>229.0557759804702</v>
      </c>
      <c r="W68" t="str">
        <f t="shared" si="133"/>
        <v>82 Transport and mobile machine drivers and operatives</v>
      </c>
      <c r="X68" s="17">
        <f t="shared" si="151"/>
        <v>0.72617264448361996</v>
      </c>
      <c r="Y68" s="17">
        <f t="shared" si="151"/>
        <v>0.86835643076204438</v>
      </c>
      <c r="Z68" s="17">
        <f t="shared" si="151"/>
        <v>0.76701707278549247</v>
      </c>
      <c r="AA68" s="17">
        <f t="shared" si="151"/>
        <v>0.81858034057869178</v>
      </c>
      <c r="AB68" s="17">
        <f t="shared" si="151"/>
        <v>0.86505668242685219</v>
      </c>
      <c r="AD68" s="67">
        <f t="shared" si="102"/>
        <v>57.82181309450484</v>
      </c>
      <c r="AE68" s="68">
        <f t="shared" si="103"/>
        <v>87.330253767077153</v>
      </c>
      <c r="AF68" s="68">
        <f t="shared" si="104"/>
        <v>145.15206686158197</v>
      </c>
      <c r="AH68" t="str">
        <f t="shared" si="134"/>
        <v>82 Transport and mobile machine drivers and operatives</v>
      </c>
      <c r="AI68" s="17">
        <f t="shared" si="152"/>
        <v>1.0697088153273242</v>
      </c>
      <c r="AJ68" s="17">
        <f t="shared" si="152"/>
        <v>1.2419626387825959</v>
      </c>
      <c r="AK68" s="17">
        <f t="shared" si="152"/>
        <v>1.156286698475276</v>
      </c>
      <c r="AL68" s="17">
        <f t="shared" si="152"/>
        <v>1.3758848689079637</v>
      </c>
      <c r="AM68" s="17">
        <f t="shared" si="152"/>
        <v>1.3680025164092982</v>
      </c>
      <c r="AO68" s="67">
        <f t="shared" si="106"/>
        <v>26.731038971481428</v>
      </c>
      <c r="AP68" s="68">
        <f t="shared" si="107"/>
        <v>72.786457516110261</v>
      </c>
      <c r="AQ68" s="68">
        <f t="shared" si="108"/>
        <v>99.517496487591686</v>
      </c>
      <c r="AS68" t="str">
        <f t="shared" si="135"/>
        <v>82 Transport and mobile machine drivers and operatives</v>
      </c>
      <c r="AT68" s="17">
        <f t="shared" si="153"/>
        <v>2.115111759870556</v>
      </c>
      <c r="AU68" s="17">
        <f t="shared" si="153"/>
        <v>2.3483735129809702</v>
      </c>
      <c r="AV68" s="17">
        <f t="shared" si="153"/>
        <v>2.1945248779011872</v>
      </c>
      <c r="AW68" s="17">
        <f t="shared" si="153"/>
        <v>2.4341019469064129</v>
      </c>
      <c r="AX68" s="17">
        <f t="shared" si="153"/>
        <v>2.2884492625653223</v>
      </c>
      <c r="AZ68" s="67">
        <f t="shared" si="110"/>
        <v>29.75906747841568</v>
      </c>
      <c r="BA68" s="68">
        <f t="shared" si="111"/>
        <v>81.027092390396589</v>
      </c>
      <c r="BB68" s="68">
        <f t="shared" si="112"/>
        <v>110.78615986881226</v>
      </c>
      <c r="BD68" t="str">
        <f t="shared" si="136"/>
        <v>82 Transport and mobile machine drivers and operatives</v>
      </c>
      <c r="BE68" s="17">
        <f t="shared" si="154"/>
        <v>3.4263224717052911</v>
      </c>
      <c r="BF68" s="17">
        <f t="shared" si="154"/>
        <v>3.7379879194189209</v>
      </c>
      <c r="BG68" s="17">
        <f t="shared" si="154"/>
        <v>3.8983918225983323</v>
      </c>
      <c r="BH68" s="17">
        <f t="shared" si="154"/>
        <v>3.6882390797502231</v>
      </c>
      <c r="BI68" s="17">
        <f t="shared" si="154"/>
        <v>3.6063448751408362</v>
      </c>
      <c r="BK68" s="67">
        <f t="shared" si="114"/>
        <v>-5.5893541129869462</v>
      </c>
      <c r="BL68" s="68">
        <f t="shared" si="115"/>
        <v>47.600007913488476</v>
      </c>
      <c r="BM68" s="68">
        <f t="shared" si="116"/>
        <v>42.01065380050153</v>
      </c>
      <c r="BO68" t="str">
        <f t="shared" si="137"/>
        <v>82 Transport and mobile machine drivers and operatives</v>
      </c>
      <c r="BP68" s="17">
        <f t="shared" si="155"/>
        <v>5.0982181464978931</v>
      </c>
      <c r="BQ68" s="17">
        <f t="shared" si="155"/>
        <v>5.9917346762534223</v>
      </c>
      <c r="BR68" s="17">
        <f t="shared" si="155"/>
        <v>5.6386421731033698</v>
      </c>
      <c r="BS68" s="17">
        <f t="shared" si="155"/>
        <v>6.3990836989426052</v>
      </c>
      <c r="BT68" s="17">
        <f t="shared" si="155"/>
        <v>7.5437236243166579</v>
      </c>
      <c r="BV68" s="67">
        <f t="shared" si="118"/>
        <v>16.40067379660503</v>
      </c>
      <c r="BW68" s="68">
        <f t="shared" si="119"/>
        <v>57.2593783712556</v>
      </c>
      <c r="BX68" s="68">
        <f t="shared" si="120"/>
        <v>73.660052167860627</v>
      </c>
      <c r="BZ68" t="str">
        <f t="shared" si="138"/>
        <v>82 Transport and mobile machine drivers and operatives</v>
      </c>
      <c r="CA68" s="17">
        <f t="shared" si="156"/>
        <v>5.7825700375769937</v>
      </c>
      <c r="CB68" s="17">
        <f t="shared" si="156"/>
        <v>8.4508000323363284</v>
      </c>
      <c r="CC68" s="17">
        <f t="shared" si="156"/>
        <v>6.7321146805603398</v>
      </c>
      <c r="CD68" s="17">
        <f t="shared" si="156"/>
        <v>7.2548101593287466</v>
      </c>
      <c r="CE68" s="17">
        <f t="shared" si="156"/>
        <v>7.6578895943651277</v>
      </c>
      <c r="CG68" s="67">
        <f t="shared" si="122"/>
        <v>-32.947699746157113</v>
      </c>
      <c r="CH68" s="68">
        <f t="shared" si="123"/>
        <v>41.523609047907186</v>
      </c>
      <c r="CI68" s="68">
        <f t="shared" si="124"/>
        <v>8.5759093017500732</v>
      </c>
      <c r="CK68" t="str">
        <f t="shared" si="139"/>
        <v>82 Transport and mobile machine drivers and operatives</v>
      </c>
      <c r="CL68" s="17">
        <f t="shared" si="157"/>
        <v>6.4471473788853011</v>
      </c>
      <c r="CM68" s="17">
        <f t="shared" si="157"/>
        <v>8.1408626410765041</v>
      </c>
      <c r="CN68" s="17">
        <f t="shared" si="157"/>
        <v>9.6928636208796277</v>
      </c>
      <c r="CO68" s="17">
        <f t="shared" si="157"/>
        <v>8.2816320167937558</v>
      </c>
      <c r="CP68" s="17">
        <f t="shared" si="157"/>
        <v>4.4469586199396032</v>
      </c>
      <c r="CR68" s="67">
        <f t="shared" si="126"/>
        <v>-71.851171197158493</v>
      </c>
      <c r="CS68" s="68">
        <f t="shared" si="127"/>
        <v>24.447332568171824</v>
      </c>
      <c r="CT68" s="68">
        <f t="shared" si="128"/>
        <v>-47.403838628986669</v>
      </c>
    </row>
    <row r="69" spans="1:98" x14ac:dyDescent="0.2">
      <c r="A69" t="str">
        <f t="shared" si="95"/>
        <v>91 Elementary trades and related occupations</v>
      </c>
      <c r="B69" s="17">
        <f t="shared" si="149"/>
        <v>5.4406543647461062E-3</v>
      </c>
      <c r="C69" s="17">
        <f t="shared" si="149"/>
        <v>4.5253794522213033E-3</v>
      </c>
      <c r="D69" s="17">
        <f t="shared" si="149"/>
        <v>4.160121780406742E-3</v>
      </c>
      <c r="E69" s="17">
        <f t="shared" si="149"/>
        <v>3.2778657219643295E-3</v>
      </c>
      <c r="F69" s="17">
        <f t="shared" si="149"/>
        <v>3.1949364258348286E-3</v>
      </c>
      <c r="H69" s="67">
        <f t="shared" si="129"/>
        <v>19.38683763376601</v>
      </c>
      <c r="I69" s="68">
        <f t="shared" si="130"/>
        <v>67.241918372804733</v>
      </c>
      <c r="J69" s="68">
        <f t="shared" si="131"/>
        <v>86.628756006570754</v>
      </c>
      <c r="L69" t="str">
        <f t="shared" si="132"/>
        <v>91 Elementary trades and related occupations</v>
      </c>
      <c r="M69" s="17">
        <f t="shared" si="150"/>
        <v>0.14215118741057298</v>
      </c>
      <c r="N69" s="17">
        <f t="shared" si="150"/>
        <v>0.18215802563395014</v>
      </c>
      <c r="O69" s="17">
        <f t="shared" si="150"/>
        <v>0.10265843373417423</v>
      </c>
      <c r="P69" s="17">
        <f t="shared" si="150"/>
        <v>0.10245400423599513</v>
      </c>
      <c r="Q69" s="17">
        <f t="shared" si="150"/>
        <v>0.12914015039261367</v>
      </c>
      <c r="S69" s="67">
        <f t="shared" si="98"/>
        <v>84.695276019094621</v>
      </c>
      <c r="T69" s="68">
        <f t="shared" si="99"/>
        <v>70.353120982146493</v>
      </c>
      <c r="U69" s="68">
        <f t="shared" si="100"/>
        <v>155.04839700124114</v>
      </c>
      <c r="W69" t="str">
        <f t="shared" si="133"/>
        <v>91 Elementary trades and related occupations</v>
      </c>
      <c r="X69" s="17">
        <f t="shared" si="151"/>
        <v>0.34459643291084213</v>
      </c>
      <c r="Y69" s="17">
        <f t="shared" si="151"/>
        <v>0.28080233786616737</v>
      </c>
      <c r="Z69" s="17">
        <f t="shared" si="151"/>
        <v>0.22930430797692389</v>
      </c>
      <c r="AA69" s="17">
        <f t="shared" si="151"/>
        <v>0.19083991787991644</v>
      </c>
      <c r="AB69" s="17">
        <f t="shared" si="151"/>
        <v>0.17491179608776156</v>
      </c>
      <c r="AD69" s="67">
        <f t="shared" si="102"/>
        <v>6.7417649055850282</v>
      </c>
      <c r="AE69" s="68">
        <f t="shared" si="103"/>
        <v>59.002837595929726</v>
      </c>
      <c r="AF69" s="68">
        <f t="shared" si="104"/>
        <v>65.744602501514763</v>
      </c>
      <c r="AH69" t="str">
        <f t="shared" si="134"/>
        <v>91 Elementary trades and related occupations</v>
      </c>
      <c r="AI69" s="17">
        <f t="shared" si="152"/>
        <v>0.68741537782373119</v>
      </c>
      <c r="AJ69" s="17">
        <f t="shared" si="152"/>
        <v>0.72313804041022833</v>
      </c>
      <c r="AK69" s="17">
        <f t="shared" si="152"/>
        <v>0.55320635919498562</v>
      </c>
      <c r="AL69" s="17">
        <f t="shared" si="152"/>
        <v>0.60457675096513752</v>
      </c>
      <c r="AM69" s="17">
        <f t="shared" si="152"/>
        <v>0.77059087440211171</v>
      </c>
      <c r="AO69" s="67">
        <f t="shared" si="106"/>
        <v>49.210136155246822</v>
      </c>
      <c r="AP69" s="68">
        <f t="shared" si="107"/>
        <v>72.48812039805091</v>
      </c>
      <c r="AQ69" s="68">
        <f t="shared" si="108"/>
        <v>121.69825655329774</v>
      </c>
      <c r="AS69" t="str">
        <f t="shared" si="135"/>
        <v>91 Elementary trades and related occupations</v>
      </c>
      <c r="AT69" s="17">
        <f t="shared" si="153"/>
        <v>0.95708085817549793</v>
      </c>
      <c r="AU69" s="17">
        <f t="shared" si="153"/>
        <v>0.77602628558676046</v>
      </c>
      <c r="AV69" s="17">
        <f t="shared" si="153"/>
        <v>0.69665125463040567</v>
      </c>
      <c r="AW69" s="17">
        <f t="shared" si="153"/>
        <v>0.60389348425765821</v>
      </c>
      <c r="AX69" s="17">
        <f t="shared" si="153"/>
        <v>0.57509613243572966</v>
      </c>
      <c r="AZ69" s="67">
        <f t="shared" si="110"/>
        <v>2.721643569378096</v>
      </c>
      <c r="BA69" s="68">
        <f t="shared" si="111"/>
        <v>50.060780600450691</v>
      </c>
      <c r="BB69" s="68">
        <f t="shared" si="112"/>
        <v>52.782424169828786</v>
      </c>
      <c r="BD69" t="str">
        <f t="shared" si="136"/>
        <v>91 Elementary trades and related occupations</v>
      </c>
      <c r="BE69" s="17">
        <f t="shared" si="154"/>
        <v>1.2364883771125939</v>
      </c>
      <c r="BF69" s="17">
        <f t="shared" si="154"/>
        <v>0.99890570492619424</v>
      </c>
      <c r="BG69" s="17">
        <f t="shared" si="154"/>
        <v>0.98852199049129197</v>
      </c>
      <c r="BH69" s="17">
        <f t="shared" si="154"/>
        <v>0.75372809445919398</v>
      </c>
      <c r="BI69" s="17">
        <f t="shared" si="154"/>
        <v>0.74779366515846046</v>
      </c>
      <c r="BK69" s="67">
        <f t="shared" si="114"/>
        <v>-22.79691641913444</v>
      </c>
      <c r="BL69" s="68">
        <f t="shared" si="115"/>
        <v>29.055367438199191</v>
      </c>
      <c r="BM69" s="68">
        <f t="shared" si="116"/>
        <v>6.2584510190647533</v>
      </c>
      <c r="BO69" t="str">
        <f t="shared" si="137"/>
        <v>91 Elementary trades and related occupations</v>
      </c>
      <c r="BP69" s="17">
        <f t="shared" si="155"/>
        <v>2.2340973681732375</v>
      </c>
      <c r="BQ69" s="17">
        <f t="shared" si="155"/>
        <v>1.9383730110772057</v>
      </c>
      <c r="BR69" s="17">
        <f t="shared" si="155"/>
        <v>1.9037056354197075</v>
      </c>
      <c r="BS69" s="17">
        <f t="shared" si="155"/>
        <v>1.6875095720132633</v>
      </c>
      <c r="BT69" s="17">
        <f t="shared" si="155"/>
        <v>1.92248647363304</v>
      </c>
      <c r="BV69" s="67">
        <f t="shared" si="118"/>
        <v>-12.136649981574099</v>
      </c>
      <c r="BW69" s="68">
        <f t="shared" si="119"/>
        <v>31.308507968248179</v>
      </c>
      <c r="BX69" s="68">
        <f t="shared" si="120"/>
        <v>19.17185798667408</v>
      </c>
      <c r="BZ69" t="str">
        <f t="shared" si="138"/>
        <v>91 Elementary trades and related occupations</v>
      </c>
      <c r="CA69" s="17">
        <f t="shared" si="156"/>
        <v>3.6083776074002594</v>
      </c>
      <c r="CB69" s="17">
        <f t="shared" si="156"/>
        <v>3.5178403851741384</v>
      </c>
      <c r="CC69" s="17">
        <f t="shared" si="156"/>
        <v>3.2548898661750703</v>
      </c>
      <c r="CD69" s="17">
        <f t="shared" si="156"/>
        <v>2.8140664986663575</v>
      </c>
      <c r="CE69" s="17">
        <f t="shared" si="156"/>
        <v>3.231429289336603</v>
      </c>
      <c r="CG69" s="67">
        <f t="shared" si="122"/>
        <v>-41.478635360769012</v>
      </c>
      <c r="CH69" s="68">
        <f t="shared" si="123"/>
        <v>27.528102397489391</v>
      </c>
      <c r="CI69" s="68">
        <f t="shared" si="124"/>
        <v>-13.950532963279622</v>
      </c>
      <c r="CK69" t="str">
        <f t="shared" si="139"/>
        <v>91 Elementary trades and related occupations</v>
      </c>
      <c r="CL69" s="17">
        <f t="shared" si="157"/>
        <v>4.4222856131087962</v>
      </c>
      <c r="CM69" s="17">
        <f t="shared" si="157"/>
        <v>4.4539861793689894</v>
      </c>
      <c r="CN69" s="17">
        <f t="shared" si="157"/>
        <v>4.6023318292183983</v>
      </c>
      <c r="CO69" s="17">
        <f t="shared" si="157"/>
        <v>3.6344645553852475</v>
      </c>
      <c r="CP69" s="17">
        <f t="shared" si="157"/>
        <v>3.2600035655080148</v>
      </c>
      <c r="CR69" s="67">
        <f t="shared" si="126"/>
        <v>-56.54002315619001</v>
      </c>
      <c r="CS69" s="68">
        <f t="shared" si="127"/>
        <v>19.014886183432729</v>
      </c>
      <c r="CT69" s="68">
        <f t="shared" si="128"/>
        <v>-37.525136972757281</v>
      </c>
    </row>
    <row r="70" spans="1:98" x14ac:dyDescent="0.2">
      <c r="A70" t="str">
        <f t="shared" si="95"/>
        <v>92 Elementary administration and service occupations</v>
      </c>
      <c r="B70" s="17">
        <f t="shared" si="149"/>
        <v>0.48178765194310402</v>
      </c>
      <c r="C70" s="17">
        <f t="shared" si="149"/>
        <v>0.5607854684196304</v>
      </c>
      <c r="D70" s="17">
        <f t="shared" si="149"/>
        <v>0.51659921917907348</v>
      </c>
      <c r="E70" s="17">
        <f t="shared" si="149"/>
        <v>0.55374929828117481</v>
      </c>
      <c r="F70" s="17">
        <f t="shared" si="149"/>
        <v>0.60833668214990122</v>
      </c>
      <c r="H70" s="67">
        <f t="shared" si="129"/>
        <v>83.058766318295895</v>
      </c>
      <c r="I70" s="68">
        <f t="shared" si="130"/>
        <v>87.168711248043508</v>
      </c>
      <c r="J70" s="68">
        <f t="shared" si="131"/>
        <v>170.22747756633942</v>
      </c>
      <c r="L70" t="str">
        <f t="shared" ref="L70" si="158">A70</f>
        <v>92 Elementary administration and service occupations</v>
      </c>
      <c r="M70" s="17">
        <f t="shared" si="150"/>
        <v>1.8788234551181453</v>
      </c>
      <c r="N70" s="17">
        <f t="shared" si="150"/>
        <v>2.1763120426818929</v>
      </c>
      <c r="O70" s="17">
        <f t="shared" si="150"/>
        <v>2.1104888716465453</v>
      </c>
      <c r="P70" s="17">
        <f t="shared" si="150"/>
        <v>2.3897758897399126</v>
      </c>
      <c r="Q70" s="17">
        <f t="shared" si="150"/>
        <v>3.0313636791573724</v>
      </c>
      <c r="S70" s="67">
        <f t="shared" si="98"/>
        <v>110.884232721621</v>
      </c>
      <c r="T70" s="68">
        <f t="shared" si="99"/>
        <v>95.107163776081819</v>
      </c>
      <c r="U70" s="68">
        <f t="shared" si="100"/>
        <v>205.99139649770279</v>
      </c>
      <c r="W70" t="str">
        <f t="shared" ref="W70" si="159">A70</f>
        <v>92 Elementary administration and service occupations</v>
      </c>
      <c r="X70" s="17">
        <f t="shared" si="151"/>
        <v>3.5227462144010486</v>
      </c>
      <c r="Y70" s="17">
        <f t="shared" si="151"/>
        <v>3.7832747755054497</v>
      </c>
      <c r="Z70" s="17">
        <f t="shared" si="151"/>
        <v>3.6641102167072463</v>
      </c>
      <c r="AA70" s="17">
        <f t="shared" si="151"/>
        <v>4.0008955296469901</v>
      </c>
      <c r="AB70" s="17">
        <f t="shared" si="151"/>
        <v>4.5665759952155227</v>
      </c>
      <c r="AD70" s="67">
        <f t="shared" si="102"/>
        <v>74.401274551231069</v>
      </c>
      <c r="AE70" s="68">
        <f t="shared" si="103"/>
        <v>90.756965611126617</v>
      </c>
      <c r="AF70" s="68">
        <f t="shared" si="104"/>
        <v>165.15824016235769</v>
      </c>
      <c r="AH70" t="str">
        <f t="shared" ref="AH70" si="160">L70</f>
        <v>92 Elementary administration and service occupations</v>
      </c>
      <c r="AI70" s="17">
        <f t="shared" si="152"/>
        <v>4.7869771617662522</v>
      </c>
      <c r="AJ70" s="17">
        <f t="shared" si="152"/>
        <v>6.0228407363157084</v>
      </c>
      <c r="AK70" s="17">
        <f t="shared" si="152"/>
        <v>6.0149784871596754</v>
      </c>
      <c r="AL70" s="17">
        <f t="shared" si="152"/>
        <v>7.3525292407000675</v>
      </c>
      <c r="AM70" s="17">
        <f t="shared" si="152"/>
        <v>9.588160033903133</v>
      </c>
      <c r="AO70" s="67">
        <f t="shared" si="106"/>
        <v>70.750830428765127</v>
      </c>
      <c r="AP70" s="68">
        <f t="shared" si="107"/>
        <v>81.994937275910146</v>
      </c>
      <c r="AQ70" s="68">
        <f t="shared" si="108"/>
        <v>152.74576770467525</v>
      </c>
      <c r="AS70" t="str">
        <f t="shared" ref="AS70" si="161">W70</f>
        <v>92 Elementary administration and service occupations</v>
      </c>
      <c r="AT70" s="17">
        <f t="shared" si="153"/>
        <v>5.6522237942182647</v>
      </c>
      <c r="AU70" s="17">
        <f t="shared" si="153"/>
        <v>6.186807352816146</v>
      </c>
      <c r="AV70" s="17">
        <f t="shared" si="153"/>
        <v>6.0671781269936655</v>
      </c>
      <c r="AW70" s="17">
        <f t="shared" si="153"/>
        <v>6.6152746489615764</v>
      </c>
      <c r="AX70" s="17">
        <f t="shared" si="153"/>
        <v>7.9051282677003814</v>
      </c>
      <c r="AZ70" s="67">
        <f t="shared" si="110"/>
        <v>62.128405579249538</v>
      </c>
      <c r="BA70" s="68">
        <f t="shared" si="111"/>
        <v>81.480414569068586</v>
      </c>
      <c r="BB70" s="68">
        <f t="shared" si="112"/>
        <v>143.6088201483181</v>
      </c>
      <c r="BD70" t="str">
        <f t="shared" ref="BD70" si="162">AH70</f>
        <v>92 Elementary administration and service occupations</v>
      </c>
      <c r="BE70" s="17">
        <f t="shared" si="154"/>
        <v>8.8057343223517748</v>
      </c>
      <c r="BF70" s="17">
        <f t="shared" si="154"/>
        <v>8.1629568694591281</v>
      </c>
      <c r="BG70" s="17">
        <f t="shared" si="154"/>
        <v>8.2740409490299971</v>
      </c>
      <c r="BH70" s="17">
        <f t="shared" si="154"/>
        <v>7.9266048593769014</v>
      </c>
      <c r="BI70" s="17">
        <f t="shared" si="154"/>
        <v>7.7935199184820307</v>
      </c>
      <c r="BK70" s="67">
        <f t="shared" si="114"/>
        <v>-3.8708319079152962</v>
      </c>
      <c r="BL70" s="68">
        <f t="shared" si="115"/>
        <v>47.501173753444036</v>
      </c>
      <c r="BM70" s="68">
        <f t="shared" si="116"/>
        <v>43.63034184552874</v>
      </c>
      <c r="BO70" t="str">
        <f t="shared" ref="BO70" si="163">AS70</f>
        <v>92 Elementary administration and service occupations</v>
      </c>
      <c r="BP70" s="17">
        <f t="shared" si="155"/>
        <v>14.42516046479364</v>
      </c>
      <c r="BQ70" s="17">
        <f t="shared" si="155"/>
        <v>15.002963909764189</v>
      </c>
      <c r="BR70" s="17">
        <f t="shared" si="155"/>
        <v>15.133450501081844</v>
      </c>
      <c r="BS70" s="17">
        <f t="shared" si="155"/>
        <v>15.894621391517935</v>
      </c>
      <c r="BT70" s="17">
        <f t="shared" si="155"/>
        <v>17.557264255684892</v>
      </c>
      <c r="BV70" s="67">
        <f t="shared" si="118"/>
        <v>0.9399640494383753</v>
      </c>
      <c r="BW70" s="68">
        <f t="shared" si="119"/>
        <v>46.558332958481827</v>
      </c>
      <c r="BX70" s="68">
        <f t="shared" si="120"/>
        <v>47.4982970079202</v>
      </c>
      <c r="BZ70" t="str">
        <f t="shared" ref="BZ70" si="164">BD70</f>
        <v>92 Elementary administration and service occupations</v>
      </c>
      <c r="CA70" s="17">
        <f t="shared" si="156"/>
        <v>19.715311385473864</v>
      </c>
      <c r="CB70" s="17">
        <f t="shared" si="156"/>
        <v>20.376183139422473</v>
      </c>
      <c r="CC70" s="17">
        <f t="shared" si="156"/>
        <v>20.839868930444126</v>
      </c>
      <c r="CD70" s="17">
        <f t="shared" si="156"/>
        <v>22.165438885076497</v>
      </c>
      <c r="CE70" s="17">
        <f t="shared" si="156"/>
        <v>25.419530106274124</v>
      </c>
      <c r="CG70" s="67">
        <f t="shared" si="122"/>
        <v>-28.100044634416303</v>
      </c>
      <c r="CH70" s="68">
        <f t="shared" si="123"/>
        <v>36.218339547546343</v>
      </c>
      <c r="CI70" s="68">
        <f t="shared" si="124"/>
        <v>8.1182949131300362</v>
      </c>
      <c r="CK70" t="str">
        <f t="shared" ref="CK70" si="165">BO70</f>
        <v>92 Elementary administration and service occupations</v>
      </c>
      <c r="CL70" s="17">
        <f t="shared" si="157"/>
        <v>25.79962770030231</v>
      </c>
      <c r="CM70" s="17">
        <f t="shared" si="157"/>
        <v>21.996461406785318</v>
      </c>
      <c r="CN70" s="17">
        <f t="shared" si="157"/>
        <v>20.286404013365448</v>
      </c>
      <c r="CO70" s="17">
        <f t="shared" si="157"/>
        <v>18.356413681796617</v>
      </c>
      <c r="CP70" s="17">
        <f t="shared" si="157"/>
        <v>15.611128383632183</v>
      </c>
      <c r="CR70" s="67">
        <f t="shared" si="126"/>
        <v>-52.78515496457161</v>
      </c>
      <c r="CS70" s="68">
        <f t="shared" si="127"/>
        <v>20.304702700721524</v>
      </c>
      <c r="CT70" s="68">
        <f t="shared" si="128"/>
        <v>-32.48045226385009</v>
      </c>
    </row>
    <row r="71" spans="1:98" x14ac:dyDescent="0.2">
      <c r="B71" s="17"/>
      <c r="C71" s="17"/>
      <c r="D71" s="17"/>
      <c r="E71" s="17"/>
      <c r="F71" s="17"/>
      <c r="H71" s="67"/>
      <c r="I71" s="68"/>
      <c r="J71" s="68"/>
      <c r="M71" s="17"/>
      <c r="N71" s="17"/>
      <c r="O71" s="17"/>
      <c r="P71" s="17"/>
      <c r="Q71" s="17"/>
      <c r="S71" s="67"/>
      <c r="T71" s="68"/>
      <c r="U71" s="68"/>
      <c r="X71" s="17"/>
      <c r="Y71" s="17"/>
      <c r="Z71" s="17"/>
      <c r="AA71" s="17"/>
      <c r="AB71" s="17"/>
      <c r="AD71" s="67"/>
      <c r="AE71" s="68"/>
      <c r="AF71" s="68"/>
      <c r="AI71" s="17"/>
      <c r="AJ71" s="17"/>
      <c r="AK71" s="17"/>
      <c r="AL71" s="17"/>
      <c r="AM71" s="17"/>
      <c r="AO71" s="67"/>
      <c r="AP71" s="68"/>
      <c r="AQ71" s="68"/>
      <c r="AT71" s="17"/>
      <c r="AU71" s="17"/>
      <c r="AV71" s="17"/>
      <c r="AW71" s="17"/>
      <c r="AX71" s="17"/>
      <c r="AZ71" s="67"/>
      <c r="BA71" s="68"/>
      <c r="BB71" s="68"/>
      <c r="BE71" s="17"/>
      <c r="BF71" s="17"/>
      <c r="BG71" s="17"/>
      <c r="BH71" s="17"/>
      <c r="BI71" s="17"/>
      <c r="BK71" s="67"/>
      <c r="BL71" s="68"/>
      <c r="BM71" s="68"/>
      <c r="BP71" s="17"/>
      <c r="BQ71" s="17"/>
      <c r="BR71" s="17"/>
      <c r="BS71" s="17"/>
      <c r="BT71" s="17"/>
      <c r="BV71" s="67"/>
      <c r="BW71" s="68"/>
      <c r="BX71" s="68"/>
      <c r="CA71" s="17"/>
      <c r="CB71" s="17"/>
      <c r="CC71" s="17"/>
      <c r="CD71" s="17"/>
      <c r="CE71" s="17"/>
      <c r="CG71" s="67"/>
      <c r="CH71" s="68"/>
      <c r="CI71" s="68"/>
      <c r="CL71" s="17"/>
      <c r="CM71" s="17"/>
      <c r="CN71" s="17"/>
      <c r="CO71" s="17"/>
      <c r="CP71" s="17"/>
      <c r="CR71" s="67"/>
      <c r="CS71" s="68"/>
      <c r="CT71" s="68"/>
    </row>
    <row r="72" spans="1:98" x14ac:dyDescent="0.2">
      <c r="A72" s="23" t="str">
        <f>A35</f>
        <v>All occupations</v>
      </c>
      <c r="B72" s="25">
        <f>B35/B$35*100</f>
        <v>100</v>
      </c>
      <c r="C72" s="25">
        <f>C35/C$35*100</f>
        <v>100</v>
      </c>
      <c r="D72" s="25">
        <f>D35/D$35*100</f>
        <v>100</v>
      </c>
      <c r="E72" s="25">
        <f>E35/E$35*100</f>
        <v>100</v>
      </c>
      <c r="F72" s="25">
        <f>F35/F$35*100</f>
        <v>100</v>
      </c>
      <c r="H72" s="69">
        <f>IF(D35&gt;0,(H35/D35)*100,0)</f>
        <v>55.453416699625357</v>
      </c>
      <c r="I72" s="66">
        <f>IF(D35&gt;0,I35/D35*100,0)</f>
        <v>67.75807167194931</v>
      </c>
      <c r="J72" s="66">
        <f>IF(D35&gt;0,(J35/D35)*100,0)</f>
        <v>123.21148837157465</v>
      </c>
      <c r="L72" s="23" t="str">
        <f>L35</f>
        <v>All occupations</v>
      </c>
      <c r="M72" s="25">
        <f>M35/M$35*100</f>
        <v>100</v>
      </c>
      <c r="N72" s="25">
        <f>N35/N$35*100</f>
        <v>100</v>
      </c>
      <c r="O72" s="25">
        <f>O35/O$35*100</f>
        <v>100</v>
      </c>
      <c r="P72" s="25">
        <f>P35/P$35*100</f>
        <v>100</v>
      </c>
      <c r="Q72" s="25">
        <f>Q35/Q$35*100</f>
        <v>100</v>
      </c>
      <c r="S72" s="69">
        <f t="shared" ref="S72" si="166">IF(O35&gt;0,(S35/O35)*100,0)</f>
        <v>46.821323163843218</v>
      </c>
      <c r="T72" s="66">
        <f t="shared" ref="T72" si="167">IF(O35&gt;0,T35/O35*100,0)</f>
        <v>69.328139484431588</v>
      </c>
      <c r="U72" s="66">
        <f t="shared" ref="U72" si="168">IF(O35&gt;0,(U35/O35)*100,0)</f>
        <v>116.14946264827479</v>
      </c>
      <c r="W72" s="23" t="str">
        <f>W35</f>
        <v>All occupations</v>
      </c>
      <c r="X72" s="25">
        <f>X35/X$35*100</f>
        <v>100</v>
      </c>
      <c r="Y72" s="25">
        <f>Y35/Y$35*100</f>
        <v>100</v>
      </c>
      <c r="Z72" s="25">
        <f>Z35/Z$35*100</f>
        <v>100</v>
      </c>
      <c r="AA72" s="25">
        <f>AA35/AA$35*100</f>
        <v>100</v>
      </c>
      <c r="AB72" s="25">
        <f>AB35/AB$35*100</f>
        <v>100</v>
      </c>
      <c r="AD72" s="69">
        <f t="shared" ref="AD72" si="169">IF(Z35&gt;0,(AD35/Z35)*100,0)</f>
        <v>39.935367890395071</v>
      </c>
      <c r="AE72" s="66">
        <f t="shared" ref="AE72" si="170">IF(Z35&gt;0,AE35/Z35*100,0)</f>
        <v>67.933649363915777</v>
      </c>
      <c r="AF72" s="66">
        <f t="shared" ref="AF72" si="171">IF(Z35&gt;0,(AF35/Z35)*100,0)</f>
        <v>107.86901725431083</v>
      </c>
      <c r="AH72" s="23" t="str">
        <f>AH35</f>
        <v>All occupations</v>
      </c>
      <c r="AI72" s="25">
        <f>AI35/AI$35*100</f>
        <v>100</v>
      </c>
      <c r="AJ72" s="25">
        <f>AJ35/AJ$35*100</f>
        <v>100</v>
      </c>
      <c r="AK72" s="25">
        <f>AK35/AK$35*100</f>
        <v>100</v>
      </c>
      <c r="AL72" s="25">
        <f>AL35/AL$35*100</f>
        <v>100</v>
      </c>
      <c r="AM72" s="25">
        <f>AM35/AM$35*100</f>
        <v>100</v>
      </c>
      <c r="AO72" s="69">
        <f t="shared" ref="AO72" si="172">IF(AK35&gt;0,(AO35/AK35)*100,0)</f>
        <v>7.1177961216795644</v>
      </c>
      <c r="AP72" s="66">
        <f t="shared" ref="AP72" si="173">IF(AK35&gt;0,AP35/AK35*100,0)</f>
        <v>55.181296180495153</v>
      </c>
      <c r="AQ72" s="66">
        <f t="shared" ref="AQ72" si="174">IF(AK35&gt;0,(AQ35/AK35)*100,0)</f>
        <v>62.299092302174721</v>
      </c>
      <c r="AS72" s="23" t="str">
        <f>AS35</f>
        <v>All occupations</v>
      </c>
      <c r="AT72" s="25">
        <f>AT35/AT$35*100</f>
        <v>100</v>
      </c>
      <c r="AU72" s="25">
        <f>AU35/AU$35*100</f>
        <v>100</v>
      </c>
      <c r="AV72" s="25">
        <f>AV35/AV$35*100</f>
        <v>100</v>
      </c>
      <c r="AW72" s="25">
        <f>AW35/AW$35*100</f>
        <v>100</v>
      </c>
      <c r="AX72" s="25">
        <f>AX35/AX$35*100</f>
        <v>100</v>
      </c>
      <c r="AZ72" s="69">
        <f t="shared" ref="AZ72" si="175">IF(AV35&gt;0,(AZ35/AV35)*100,0)</f>
        <v>24.433390931040503</v>
      </c>
      <c r="BA72" s="66">
        <f t="shared" ref="BA72" si="176">IF(AV35&gt;0,BA35/AV35*100,0)</f>
        <v>59.457100756401246</v>
      </c>
      <c r="BB72" s="66">
        <f t="shared" ref="BB72" si="177">IF(AV35&gt;0,(BB35/AV35)*100,0)</f>
        <v>83.890491687441752</v>
      </c>
      <c r="BD72" s="23" t="str">
        <f>BD35</f>
        <v>All occupations</v>
      </c>
      <c r="BE72" s="25">
        <f>BE35/BE$35*100</f>
        <v>100</v>
      </c>
      <c r="BF72" s="25">
        <f>BF35/BF$35*100</f>
        <v>100</v>
      </c>
      <c r="BG72" s="25">
        <f>BG35/BG$35*100</f>
        <v>100</v>
      </c>
      <c r="BH72" s="25">
        <f>BH35/BH$35*100</f>
        <v>100</v>
      </c>
      <c r="BI72" s="25">
        <f>BI35/BI$35*100</f>
        <v>100</v>
      </c>
      <c r="BK72" s="69">
        <f t="shared" ref="BK72" si="178">IF(BG35&gt;0,(BK35/BG35)*100,0)</f>
        <v>2.0561545372959853</v>
      </c>
      <c r="BL72" s="66">
        <f t="shared" ref="BL72" si="179">IF(BG35&gt;0,BL35/BG35*100,0)</f>
        <v>46.610033184111437</v>
      </c>
      <c r="BM72" s="66">
        <f t="shared" ref="BM72" si="180">IF(BG35&gt;0,(BM35/BG35)*100,0)</f>
        <v>48.666187721407425</v>
      </c>
      <c r="BO72" s="23" t="str">
        <f>BO35</f>
        <v>All occupations</v>
      </c>
      <c r="BP72" s="25">
        <f>BP35/BP$35*100</f>
        <v>100</v>
      </c>
      <c r="BQ72" s="25">
        <f>BQ35/BQ$35*100</f>
        <v>100</v>
      </c>
      <c r="BR72" s="25">
        <f>BR35/BR$35*100</f>
        <v>100</v>
      </c>
      <c r="BS72" s="25">
        <f>BS35/BS$35*100</f>
        <v>100</v>
      </c>
      <c r="BT72" s="25">
        <f>BT35/BT$35*100</f>
        <v>100</v>
      </c>
      <c r="BV72" s="69">
        <f t="shared" ref="BV72" si="181">IF(BR35&gt;0,(BV35/BR35)*100,0)</f>
        <v>-12.994990148961119</v>
      </c>
      <c r="BW72" s="66">
        <f t="shared" ref="BW72" si="182">IF(BR35&gt;0,BW35/BR35*100,0)</f>
        <v>40.963916681027875</v>
      </c>
      <c r="BX72" s="66">
        <f t="shared" ref="BX72" si="183">IF(BR35&gt;0,(BX35/BR35)*100,0)</f>
        <v>27.968926532066753</v>
      </c>
      <c r="BZ72" s="23" t="str">
        <f>BZ35</f>
        <v>All occupations</v>
      </c>
      <c r="CA72" s="25">
        <f>CA35/CA$35*100</f>
        <v>100</v>
      </c>
      <c r="CB72" s="25">
        <f>CB35/CB$35*100</f>
        <v>100</v>
      </c>
      <c r="CC72" s="25">
        <f>CC35/CC$35*100</f>
        <v>100</v>
      </c>
      <c r="CD72" s="25">
        <f>CD35/CD$35*100</f>
        <v>100</v>
      </c>
      <c r="CE72" s="25">
        <f>CE35/CE$35*100</f>
        <v>100</v>
      </c>
      <c r="CG72" s="69">
        <f t="shared" ref="CG72" si="184">IF(CC35&gt;0,(CG35/CC35)*100,0)</f>
        <v>-41.053763005882196</v>
      </c>
      <c r="CH72" s="66">
        <f t="shared" ref="CH72" si="185">IF(CC35&gt;0,CH35/CC35*100,0)</f>
        <v>32.311306684574767</v>
      </c>
      <c r="CI72" s="66">
        <f t="shared" ref="CI72" si="186">IF(CC35&gt;0,(CI35/CC35)*100,0)</f>
        <v>-8.7424563213074258</v>
      </c>
      <c r="CK72" s="23" t="str">
        <f>CK35</f>
        <v>All occupations</v>
      </c>
      <c r="CL72" s="25">
        <f>CL35/CL$35*100</f>
        <v>100</v>
      </c>
      <c r="CM72" s="25">
        <f>CM35/CM$35*100</f>
        <v>100</v>
      </c>
      <c r="CN72" s="25">
        <f>CN35/CN$35*100</f>
        <v>100</v>
      </c>
      <c r="CO72" s="25">
        <f>CO35/CO$35*100</f>
        <v>100</v>
      </c>
      <c r="CP72" s="25">
        <f>CP35/CP$35*100</f>
        <v>100</v>
      </c>
      <c r="CR72" s="69">
        <f t="shared" ref="CR72" si="187">IF(CN35&gt;0,(CR35/CN35)*100,0)</f>
        <v>-38.645087127629544</v>
      </c>
      <c r="CS72" s="66">
        <f t="shared" ref="CS72" si="188">IF(CN35&gt;0,CS35/CN35*100,0)</f>
        <v>27.06370665353549</v>
      </c>
      <c r="CT72" s="66">
        <f t="shared" ref="CT72" si="189">IF(CN35&gt;0,(CT35/CN35)*100,0)</f>
        <v>-11.581380474094052</v>
      </c>
    </row>
    <row r="75" spans="1:98" ht="51" customHeight="1" x14ac:dyDescent="0.2">
      <c r="A75" s="378" t="str">
        <f>CONCATENATE(A$1," (Continued)")</f>
        <v>Basic Table 2  Employment Change by Occupation and Replacement Demand, RQF8 Doctorate, 2015-2035, North East (Continued)</v>
      </c>
      <c r="B75" s="378"/>
      <c r="C75" s="378"/>
      <c r="D75" s="378"/>
      <c r="E75" s="378"/>
      <c r="F75" s="378"/>
      <c r="G75" s="378"/>
      <c r="H75" s="378"/>
      <c r="I75" s="378"/>
      <c r="J75" s="378"/>
      <c r="L75" s="378" t="str">
        <f>CONCATENATE(L$1," (Continued)")</f>
        <v>Basic Table 2.1  Employment Change by Occupation and Replacement Demand, RQF7 Other higher degree, 2015-2035, North East (Continued)</v>
      </c>
      <c r="M75" s="378"/>
      <c r="N75" s="378"/>
      <c r="O75" s="378"/>
      <c r="P75" s="378"/>
      <c r="Q75" s="378"/>
      <c r="R75" s="378"/>
      <c r="S75" s="378"/>
      <c r="T75" s="378"/>
      <c r="U75" s="378"/>
      <c r="W75" s="378" t="str">
        <f>CONCATENATE(W$1," (Continued)")</f>
        <v>Basic Table 2.2  Employment Change by Occupation and Replacement Demand, RQF6 First degree, 2015-2035, North East (Continued)</v>
      </c>
      <c r="X75" s="378"/>
      <c r="Y75" s="378"/>
      <c r="Z75" s="378"/>
      <c r="AA75" s="378"/>
      <c r="AB75" s="378"/>
      <c r="AC75" s="378"/>
      <c r="AD75" s="378"/>
      <c r="AE75" s="378"/>
      <c r="AF75" s="378"/>
      <c r="AH75" s="378" t="str">
        <f>CONCATENATE(AH$1," (Continued)")</f>
        <v>Basic Table 2.3  Employment Change by Occupation and Replacement Demand, RQF5 Foundation degree;Nursing;Teaching, 2015-2035, North East (Continued)</v>
      </c>
      <c r="AI75" s="378"/>
      <c r="AJ75" s="378"/>
      <c r="AK75" s="378"/>
      <c r="AL75" s="378"/>
      <c r="AM75" s="378"/>
      <c r="AN75" s="378"/>
      <c r="AO75" s="378"/>
      <c r="AP75" s="378"/>
      <c r="AQ75" s="378"/>
      <c r="AS75" s="378" t="str">
        <f>CONCATENATE(AS$1," (Continued)")</f>
        <v>Basic Table 2.4  Employment Change by Occupation and Replacement Demand, RQF4 HE below degree level, 2015-2035, North East (Continued)</v>
      </c>
      <c r="AT75" s="378"/>
      <c r="AU75" s="378"/>
      <c r="AV75" s="378"/>
      <c r="AW75" s="378"/>
      <c r="AX75" s="378"/>
      <c r="AY75" s="378"/>
      <c r="AZ75" s="378"/>
      <c r="BA75" s="378"/>
      <c r="BB75" s="378"/>
      <c r="BD75" s="378" t="str">
        <f>CONCATENATE(BD$1," (Continued)")</f>
        <v>Basic Table 2.5  Employment Change by Occupation and Replacement Demand, RQF3 A level &amp; equivalent, 2015-2035, North East (Continued)</v>
      </c>
      <c r="BE75" s="378"/>
      <c r="BF75" s="378"/>
      <c r="BG75" s="378"/>
      <c r="BH75" s="378"/>
      <c r="BI75" s="378"/>
      <c r="BJ75" s="378"/>
      <c r="BK75" s="378"/>
      <c r="BL75" s="378"/>
      <c r="BM75" s="378"/>
      <c r="BO75" s="378" t="str">
        <f>CONCATENATE(BO$1," (Continued)")</f>
        <v>Basic Table 2.6  Employment Change by Occupation and Replacement Demand, RQF2 GCSE(A-C) &amp; equivalent, 2015-2035, North East (Continued)</v>
      </c>
      <c r="BP75" s="378"/>
      <c r="BQ75" s="378"/>
      <c r="BR75" s="378"/>
      <c r="BS75" s="378"/>
      <c r="BT75" s="378"/>
      <c r="BU75" s="378"/>
      <c r="BV75" s="378"/>
      <c r="BW75" s="378"/>
      <c r="BX75" s="378"/>
      <c r="BZ75" s="378" t="str">
        <f>CONCATENATE(BZ$1," (Continued)")</f>
        <v>Basic Table 2.7  Employment Change by Occupation and Replacement Demand, RQF1 GCSE(below grade C) &amp; equivalent, 2015-2035, North East (Continued)</v>
      </c>
      <c r="CA75" s="378"/>
      <c r="CB75" s="378"/>
      <c r="CC75" s="378"/>
      <c r="CD75" s="378"/>
      <c r="CE75" s="378"/>
      <c r="CF75" s="378"/>
      <c r="CG75" s="378"/>
      <c r="CH75" s="378"/>
      <c r="CI75" s="378"/>
      <c r="CK75" s="378" t="str">
        <f>CONCATENATE(CK$1," (Continued)")</f>
        <v>Basic Table 2.8  Employment Change by Occupation and Replacement Demand, No Qualification, 2015-2035, North East (Continued)</v>
      </c>
      <c r="CL75" s="378"/>
      <c r="CM75" s="378"/>
      <c r="CN75" s="378"/>
      <c r="CO75" s="378"/>
      <c r="CP75" s="378"/>
      <c r="CQ75" s="378"/>
      <c r="CR75" s="378"/>
      <c r="CS75" s="378"/>
      <c r="CT75" s="378"/>
    </row>
    <row r="77" spans="1:98" x14ac:dyDescent="0.2">
      <c r="F77" s="15" t="s">
        <v>36</v>
      </c>
      <c r="J77" s="15" t="s">
        <v>36</v>
      </c>
      <c r="Q77" s="15" t="s">
        <v>36</v>
      </c>
      <c r="U77" s="15" t="s">
        <v>36</v>
      </c>
      <c r="AB77" s="15" t="s">
        <v>36</v>
      </c>
      <c r="AF77" s="15" t="s">
        <v>36</v>
      </c>
      <c r="AM77" s="15" t="s">
        <v>36</v>
      </c>
      <c r="AQ77" s="15" t="s">
        <v>36</v>
      </c>
      <c r="AX77" s="15" t="s">
        <v>36</v>
      </c>
      <c r="BB77" s="15" t="s">
        <v>36</v>
      </c>
      <c r="BI77" s="15" t="s">
        <v>36</v>
      </c>
      <c r="BM77" s="15" t="s">
        <v>36</v>
      </c>
      <c r="BT77" s="15" t="s">
        <v>36</v>
      </c>
      <c r="BX77" s="15" t="s">
        <v>36</v>
      </c>
      <c r="CE77" s="15" t="s">
        <v>36</v>
      </c>
      <c r="CI77" s="15" t="s">
        <v>36</v>
      </c>
      <c r="CP77" s="15" t="s">
        <v>36</v>
      </c>
      <c r="CT77" s="15" t="s">
        <v>36</v>
      </c>
    </row>
    <row r="78" spans="1:98" x14ac:dyDescent="0.2">
      <c r="A78" s="35"/>
      <c r="B78" s="35"/>
      <c r="C78" s="35"/>
      <c r="D78" s="35"/>
      <c r="E78" s="35"/>
      <c r="F78" s="35"/>
      <c r="H78" s="27" t="str">
        <f>$H$4</f>
        <v>2020-2035</v>
      </c>
      <c r="I78" s="35"/>
      <c r="J78" s="35"/>
      <c r="L78" s="35"/>
      <c r="M78" s="35"/>
      <c r="N78" s="35"/>
      <c r="O78" s="35"/>
      <c r="P78" s="35"/>
      <c r="Q78" s="35"/>
      <c r="S78" s="27" t="str">
        <f>$H$4</f>
        <v>2020-2035</v>
      </c>
      <c r="T78" s="35"/>
      <c r="U78" s="35"/>
      <c r="W78" s="35"/>
      <c r="X78" s="35"/>
      <c r="Y78" s="35"/>
      <c r="Z78" s="35"/>
      <c r="AA78" s="35"/>
      <c r="AB78" s="35"/>
      <c r="AD78" s="27" t="str">
        <f>$H$4</f>
        <v>2020-2035</v>
      </c>
      <c r="AE78" s="35"/>
      <c r="AF78" s="35"/>
      <c r="AH78" s="35"/>
      <c r="AI78" s="35"/>
      <c r="AJ78" s="35"/>
      <c r="AK78" s="35"/>
      <c r="AL78" s="35"/>
      <c r="AM78" s="35"/>
      <c r="AO78" s="27" t="str">
        <f>$H$4</f>
        <v>2020-2035</v>
      </c>
      <c r="AP78" s="35"/>
      <c r="AQ78" s="35"/>
      <c r="AS78" s="35"/>
      <c r="AT78" s="35"/>
      <c r="AU78" s="35"/>
      <c r="AV78" s="35"/>
      <c r="AW78" s="35"/>
      <c r="AX78" s="35"/>
      <c r="AZ78" s="27" t="str">
        <f>$H$4</f>
        <v>2020-2035</v>
      </c>
      <c r="BA78" s="35"/>
      <c r="BB78" s="35"/>
      <c r="BD78" s="35"/>
      <c r="BE78" s="35"/>
      <c r="BF78" s="35"/>
      <c r="BG78" s="35"/>
      <c r="BH78" s="35"/>
      <c r="BI78" s="35"/>
      <c r="BK78" s="27" t="str">
        <f>$H$4</f>
        <v>2020-2035</v>
      </c>
      <c r="BL78" s="35"/>
      <c r="BM78" s="35"/>
      <c r="BO78" s="35"/>
      <c r="BP78" s="35"/>
      <c r="BQ78" s="35"/>
      <c r="BR78" s="35"/>
      <c r="BS78" s="35"/>
      <c r="BT78" s="35"/>
      <c r="BV78" s="27" t="str">
        <f>$H$4</f>
        <v>2020-2035</v>
      </c>
      <c r="BW78" s="35"/>
      <c r="BX78" s="35"/>
      <c r="BZ78" s="35"/>
      <c r="CA78" s="35"/>
      <c r="CB78" s="35"/>
      <c r="CC78" s="35"/>
      <c r="CD78" s="35"/>
      <c r="CE78" s="35"/>
      <c r="CG78" s="27" t="str">
        <f>$H$4</f>
        <v>2020-2035</v>
      </c>
      <c r="CH78" s="35"/>
      <c r="CI78" s="35"/>
      <c r="CK78" s="35"/>
      <c r="CL78" s="35"/>
      <c r="CM78" s="35"/>
      <c r="CN78" s="35"/>
      <c r="CO78" s="35"/>
      <c r="CP78" s="35"/>
      <c r="CR78" s="27" t="str">
        <f>$H$4</f>
        <v>2020-2035</v>
      </c>
      <c r="CS78" s="35"/>
      <c r="CT78" s="35"/>
    </row>
    <row r="79" spans="1:98" x14ac:dyDescent="0.2">
      <c r="H79" s="15" t="str">
        <f t="shared" ref="H79:J80" si="190">H42</f>
        <v>Net</v>
      </c>
      <c r="I79" s="15" t="str">
        <f t="shared" si="190"/>
        <v>Replacement</v>
      </c>
      <c r="J79" s="15" t="str">
        <f t="shared" si="190"/>
        <v>Total</v>
      </c>
      <c r="S79" s="15" t="str">
        <f t="shared" ref="S79:U80" si="191">S42</f>
        <v>Net</v>
      </c>
      <c r="T79" s="15" t="str">
        <f t="shared" si="191"/>
        <v>Replacement</v>
      </c>
      <c r="U79" s="15" t="str">
        <f t="shared" si="191"/>
        <v>Total</v>
      </c>
      <c r="AD79" s="15" t="str">
        <f t="shared" ref="AD79:AF80" si="192">AD42</f>
        <v>Net</v>
      </c>
      <c r="AE79" s="15" t="str">
        <f t="shared" si="192"/>
        <v>Replacement</v>
      </c>
      <c r="AF79" s="15" t="str">
        <f t="shared" si="192"/>
        <v>Total</v>
      </c>
      <c r="AO79" s="15" t="str">
        <f t="shared" ref="AO79:AQ80" si="193">AO42</f>
        <v>Net</v>
      </c>
      <c r="AP79" s="15" t="str">
        <f t="shared" si="193"/>
        <v>Replacement</v>
      </c>
      <c r="AQ79" s="15" t="str">
        <f t="shared" si="193"/>
        <v>Total</v>
      </c>
      <c r="AZ79" s="15" t="str">
        <f t="shared" ref="AZ79:BB80" si="194">AZ42</f>
        <v>Net</v>
      </c>
      <c r="BA79" s="15" t="str">
        <f t="shared" si="194"/>
        <v>Replacement</v>
      </c>
      <c r="BB79" s="15" t="str">
        <f t="shared" si="194"/>
        <v>Total</v>
      </c>
      <c r="BK79" s="15" t="str">
        <f t="shared" ref="BK79:BM80" si="195">BK42</f>
        <v>Net</v>
      </c>
      <c r="BL79" s="15" t="str">
        <f t="shared" si="195"/>
        <v>Replacement</v>
      </c>
      <c r="BM79" s="15" t="str">
        <f t="shared" si="195"/>
        <v>Total</v>
      </c>
      <c r="BV79" s="15" t="str">
        <f t="shared" ref="BV79:BX80" si="196">BV42</f>
        <v>Net</v>
      </c>
      <c r="BW79" s="15" t="str">
        <f t="shared" si="196"/>
        <v>Replacement</v>
      </c>
      <c r="BX79" s="15" t="str">
        <f t="shared" si="196"/>
        <v>Total</v>
      </c>
      <c r="CG79" s="15" t="str">
        <f t="shared" ref="CG79:CI80" si="197">CG42</f>
        <v>Net</v>
      </c>
      <c r="CH79" s="15" t="str">
        <f t="shared" si="197"/>
        <v>Replacement</v>
      </c>
      <c r="CI79" s="15" t="str">
        <f t="shared" si="197"/>
        <v>Total</v>
      </c>
      <c r="CR79" s="15" t="str">
        <f t="shared" ref="CR79:CT80" si="198">CR42</f>
        <v>Net</v>
      </c>
      <c r="CS79" s="15" t="str">
        <f t="shared" si="198"/>
        <v>Replacement</v>
      </c>
      <c r="CT79" s="15" t="str">
        <f t="shared" si="198"/>
        <v>Total</v>
      </c>
    </row>
    <row r="80" spans="1:98" x14ac:dyDescent="0.2">
      <c r="A80" s="40" t="s">
        <v>14</v>
      </c>
      <c r="B80" s="63" t="str">
        <f>CONCATENATE(B$6,"-",C$6)</f>
        <v>2015-2019</v>
      </c>
      <c r="C80" s="63" t="str">
        <f>CONCATENATE(C$6,"-",D$6)</f>
        <v>2019-2020</v>
      </c>
      <c r="D80" s="63" t="str">
        <f>CONCATENATE(D$6,"-",E$6)</f>
        <v>2020-2025</v>
      </c>
      <c r="E80" s="63" t="str">
        <f>CONCATENATE(E$6,"-",F$6)</f>
        <v>2025-2035</v>
      </c>
      <c r="F80" s="63" t="str">
        <f>CONCATENATE(C$6,"-",F$6)</f>
        <v>2019-2035</v>
      </c>
      <c r="H80" s="62" t="str">
        <f t="shared" si="190"/>
        <v>Change</v>
      </c>
      <c r="I80" s="62" t="str">
        <f t="shared" si="190"/>
        <v>Demand</v>
      </c>
      <c r="J80" s="62" t="str">
        <f t="shared" si="190"/>
        <v>Requirement</v>
      </c>
      <c r="L80" s="40" t="s">
        <v>14</v>
      </c>
      <c r="M80" s="63" t="str">
        <f>CONCATENATE(M$6,"-",N$6)</f>
        <v>2015-2019</v>
      </c>
      <c r="N80" s="63" t="str">
        <f>CONCATENATE(N$6,"-",O$6)</f>
        <v>2019-2020</v>
      </c>
      <c r="O80" s="63" t="str">
        <f>CONCATENATE(O$6,"-",P$6)</f>
        <v>2020-2025</v>
      </c>
      <c r="P80" s="63" t="str">
        <f>CONCATENATE(P$6,"-",Q$6)</f>
        <v>2025-2035</v>
      </c>
      <c r="Q80" s="63" t="str">
        <f>CONCATENATE(N$6,"-",Q$6)</f>
        <v>2019-2035</v>
      </c>
      <c r="S80" s="62" t="str">
        <f t="shared" si="191"/>
        <v>Change</v>
      </c>
      <c r="T80" s="62" t="str">
        <f t="shared" si="191"/>
        <v>Demand</v>
      </c>
      <c r="U80" s="62" t="str">
        <f t="shared" si="191"/>
        <v>Requirement</v>
      </c>
      <c r="W80" s="40" t="s">
        <v>14</v>
      </c>
      <c r="X80" s="63" t="str">
        <f>CONCATENATE(X$6,"-",Y$6)</f>
        <v>2015-2019</v>
      </c>
      <c r="Y80" s="63" t="str">
        <f>CONCATENATE(Y$6,"-",Z$6)</f>
        <v>2019-2020</v>
      </c>
      <c r="Z80" s="63" t="str">
        <f>CONCATENATE(Z$6,"-",AA$6)</f>
        <v>2020-2025</v>
      </c>
      <c r="AA80" s="63" t="str">
        <f>CONCATENATE(AA$6,"-",AB$6)</f>
        <v>2025-2035</v>
      </c>
      <c r="AB80" s="63" t="str">
        <f>CONCATENATE(Y$6,"-",AB$6)</f>
        <v>2019-2035</v>
      </c>
      <c r="AD80" s="62" t="str">
        <f t="shared" si="192"/>
        <v>Change</v>
      </c>
      <c r="AE80" s="62" t="str">
        <f t="shared" si="192"/>
        <v>Demand</v>
      </c>
      <c r="AF80" s="62" t="str">
        <f t="shared" si="192"/>
        <v>Requirement</v>
      </c>
      <c r="AH80" s="40" t="s">
        <v>14</v>
      </c>
      <c r="AI80" s="63" t="str">
        <f>CONCATENATE(AI$6,"-",AJ$6)</f>
        <v>2015-2019</v>
      </c>
      <c r="AJ80" s="63" t="str">
        <f>CONCATENATE(AJ$6,"-",AK$6)</f>
        <v>2019-2020</v>
      </c>
      <c r="AK80" s="63" t="str">
        <f>CONCATENATE(AK$6,"-",AL$6)</f>
        <v>2020-2025</v>
      </c>
      <c r="AL80" s="63" t="str">
        <f>CONCATENATE(AL$6,"-",AM$6)</f>
        <v>2025-2035</v>
      </c>
      <c r="AM80" s="63" t="str">
        <f>CONCATENATE(AJ$6,"-",AM$6)</f>
        <v>2019-2035</v>
      </c>
      <c r="AO80" s="62" t="str">
        <f t="shared" si="193"/>
        <v>Change</v>
      </c>
      <c r="AP80" s="62" t="str">
        <f t="shared" si="193"/>
        <v>Demand</v>
      </c>
      <c r="AQ80" s="62" t="str">
        <f t="shared" si="193"/>
        <v>Requirement</v>
      </c>
      <c r="AS80" s="40" t="s">
        <v>14</v>
      </c>
      <c r="AT80" s="63" t="str">
        <f>CONCATENATE(AT$6,"-",AU$6)</f>
        <v>2015-2019</v>
      </c>
      <c r="AU80" s="63" t="str">
        <f>CONCATENATE(AU$6,"-",AV$6)</f>
        <v>2019-2020</v>
      </c>
      <c r="AV80" s="63" t="str">
        <f>CONCATENATE(AV$6,"-",AW$6)</f>
        <v>2020-2025</v>
      </c>
      <c r="AW80" s="63" t="str">
        <f>CONCATENATE(AW$6,"-",AX$6)</f>
        <v>2025-2035</v>
      </c>
      <c r="AX80" s="63" t="str">
        <f>CONCATENATE(AU$6,"-",AX$6)</f>
        <v>2019-2035</v>
      </c>
      <c r="AZ80" s="62" t="str">
        <f t="shared" si="194"/>
        <v>Change</v>
      </c>
      <c r="BA80" s="62" t="str">
        <f t="shared" si="194"/>
        <v>Demand</v>
      </c>
      <c r="BB80" s="62" t="str">
        <f t="shared" si="194"/>
        <v>Requirement</v>
      </c>
      <c r="BD80" s="40" t="s">
        <v>14</v>
      </c>
      <c r="BE80" s="63" t="str">
        <f>CONCATENATE(BE$6,"-",BF$6)</f>
        <v>2015-2019</v>
      </c>
      <c r="BF80" s="63" t="str">
        <f>CONCATENATE(BF$6,"-",BG$6)</f>
        <v>2019-2020</v>
      </c>
      <c r="BG80" s="63" t="str">
        <f>CONCATENATE(BG$6,"-",BH$6)</f>
        <v>2020-2025</v>
      </c>
      <c r="BH80" s="63" t="str">
        <f>CONCATENATE(BH$6,"-",BI$6)</f>
        <v>2025-2035</v>
      </c>
      <c r="BI80" s="63" t="str">
        <f>CONCATENATE(BF$6,"-",BI$6)</f>
        <v>2019-2035</v>
      </c>
      <c r="BK80" s="62" t="str">
        <f t="shared" si="195"/>
        <v>Change</v>
      </c>
      <c r="BL80" s="62" t="str">
        <f t="shared" si="195"/>
        <v>Demand</v>
      </c>
      <c r="BM80" s="62" t="str">
        <f t="shared" si="195"/>
        <v>Requirement</v>
      </c>
      <c r="BO80" s="40" t="s">
        <v>14</v>
      </c>
      <c r="BP80" s="63" t="str">
        <f>CONCATENATE(BP$6,"-",BQ$6)</f>
        <v>2015-2019</v>
      </c>
      <c r="BQ80" s="63" t="str">
        <f>CONCATENATE(BQ$6,"-",BR$6)</f>
        <v>2019-2020</v>
      </c>
      <c r="BR80" s="63" t="str">
        <f>CONCATENATE(BR$6,"-",BS$6)</f>
        <v>2020-2025</v>
      </c>
      <c r="BS80" s="63" t="str">
        <f>CONCATENATE(BS$6,"-",BT$6)</f>
        <v>2025-2035</v>
      </c>
      <c r="BT80" s="63" t="str">
        <f>CONCATENATE(BQ$6,"-",BT$6)</f>
        <v>2019-2035</v>
      </c>
      <c r="BV80" s="62" t="str">
        <f t="shared" si="196"/>
        <v>Change</v>
      </c>
      <c r="BW80" s="62" t="str">
        <f t="shared" si="196"/>
        <v>Demand</v>
      </c>
      <c r="BX80" s="62" t="str">
        <f t="shared" si="196"/>
        <v>Requirement</v>
      </c>
      <c r="BZ80" s="40" t="s">
        <v>14</v>
      </c>
      <c r="CA80" s="63" t="str">
        <f>CONCATENATE(CA$6,"-",CB$6)</f>
        <v>2015-2019</v>
      </c>
      <c r="CB80" s="63" t="str">
        <f>CONCATENATE(CB$6,"-",CC$6)</f>
        <v>2019-2020</v>
      </c>
      <c r="CC80" s="63" t="str">
        <f>CONCATENATE(CC$6,"-",CD$6)</f>
        <v>2020-2025</v>
      </c>
      <c r="CD80" s="63" t="str">
        <f>CONCATENATE(CD$6,"-",CE$6)</f>
        <v>2025-2035</v>
      </c>
      <c r="CE80" s="63" t="str">
        <f>CONCATENATE(CB$6,"-",CE$6)</f>
        <v>2019-2035</v>
      </c>
      <c r="CG80" s="62" t="str">
        <f t="shared" si="197"/>
        <v>Change</v>
      </c>
      <c r="CH80" s="62" t="str">
        <f t="shared" si="197"/>
        <v>Demand</v>
      </c>
      <c r="CI80" s="62" t="str">
        <f t="shared" si="197"/>
        <v>Requirement</v>
      </c>
      <c r="CK80" s="40" t="s">
        <v>14</v>
      </c>
      <c r="CL80" s="63" t="str">
        <f>CONCATENATE(CL$6,"-",CM$6)</f>
        <v>2015-2019</v>
      </c>
      <c r="CM80" s="63" t="str">
        <f>CONCATENATE(CM$6,"-",CN$6)</f>
        <v>2019-2020</v>
      </c>
      <c r="CN80" s="63" t="str">
        <f>CONCATENATE(CN$6,"-",CO$6)</f>
        <v>2020-2025</v>
      </c>
      <c r="CO80" s="63" t="str">
        <f>CONCATENATE(CO$6,"-",CP$6)</f>
        <v>2025-2035</v>
      </c>
      <c r="CP80" s="63" t="str">
        <f>CONCATENATE(CM$6,"-",CP$6)</f>
        <v>2019-2035</v>
      </c>
      <c r="CR80" s="62" t="str">
        <f t="shared" si="198"/>
        <v>Change</v>
      </c>
      <c r="CS80" s="62" t="str">
        <f t="shared" si="198"/>
        <v>Demand</v>
      </c>
      <c r="CT80" s="62" t="str">
        <f t="shared" si="198"/>
        <v>Requirement</v>
      </c>
    </row>
    <row r="82" spans="1:98" x14ac:dyDescent="0.2">
      <c r="A82" t="str">
        <f t="shared" ref="A82:A107" si="199">A8</f>
        <v>11 Corporate managers and directors</v>
      </c>
      <c r="B82" s="17">
        <f t="shared" ref="B82:E107" si="200">IF(AND(C$6-B$6 &lt;&gt; 0,B8&lt;&gt;0,C8&lt;&gt;0),(EXP(LN(C8/B8)/(C$6-B$6))-1)*100,0)</f>
        <v>9.9126384448287475</v>
      </c>
      <c r="C82" s="17">
        <f t="shared" si="200"/>
        <v>-14.931202890503847</v>
      </c>
      <c r="D82" s="17">
        <f t="shared" si="200"/>
        <v>2.4017981221600815</v>
      </c>
      <c r="E82" s="17">
        <f t="shared" si="200"/>
        <v>2.8716152234498749</v>
      </c>
      <c r="F82" s="17">
        <f t="shared" ref="F82:F107" si="201">IF(AND(F$6-C$6 &lt;&gt; 0,C8&lt;&gt;0,F8&lt;&gt;0),(EXP(LN(F8/C8)/(F$6-C$6))-1)*100,0)</f>
        <v>1.5117902811093709</v>
      </c>
      <c r="H82" s="17">
        <f t="shared" ref="H82:H107" si="202">IF($F$6-$D$6 &lt;&gt; 0,(EXP(LN(1+(H45/100))/($F$6-$D$6))-1)*100,0)</f>
        <v>2.7147705089632046</v>
      </c>
      <c r="I82" s="17">
        <f t="shared" ref="I82:I107" si="203">IF(D8&gt;0,((1+(I8/D8))^(1/($F$6-$D$6))-1)*100,0)</f>
        <v>3.5953124767566624</v>
      </c>
      <c r="J82" s="17">
        <f t="shared" ref="J82:J107" si="204">IF($F$6-$D$6 &lt;&gt; 0,(EXP(LN(1+(J45/100))/($F$6-$D$6))-1)*100,0)</f>
        <v>5.3750172749773117</v>
      </c>
      <c r="L82" t="str">
        <f>A82</f>
        <v>11 Corporate managers and directors</v>
      </c>
      <c r="M82" s="17">
        <f t="shared" ref="M82:P107" si="205">IF(AND(N$6-M$6 &lt;&gt; 0,M8&lt;&gt;0,N8&lt;&gt;0),(EXP(LN(N8/M8)/(N$6-M$6))-1)*100,0)</f>
        <v>11.232542985696625</v>
      </c>
      <c r="N82" s="17">
        <f t="shared" si="205"/>
        <v>-16.531494579813931</v>
      </c>
      <c r="O82" s="17">
        <f t="shared" si="205"/>
        <v>1.4456010390214935</v>
      </c>
      <c r="P82" s="17">
        <f t="shared" si="205"/>
        <v>2.1468483695042062</v>
      </c>
      <c r="Q82" s="17">
        <f t="shared" ref="Q82:Q107" si="206">IF(AND(Q$6-N$6 &lt;&gt; 0,N8&lt;&gt;0,Q8&lt;&gt;0),(EXP(LN(Q8/N8)/(Q$6-N$6))-1)*100,0)</f>
        <v>0.64881200502342473</v>
      </c>
      <c r="S82" s="17">
        <f t="shared" ref="S82:S107" si="207">IF($F$6-$D$6 &lt;&gt; 0,(EXP(LN(1+(S45/100))/($F$6-$D$6))-1)*100,0)</f>
        <v>1.9125623069614628</v>
      </c>
      <c r="T82" s="17">
        <f t="shared" ref="T82:T107" si="208">IF(O8&gt;0,((1+(T8/O8))^(1/($F$6-$D$6))-1)*100,0)</f>
        <v>3.4920796898844086</v>
      </c>
      <c r="U82" s="17">
        <f t="shared" ref="U82:U107" si="209">IF($F$6-$D$6 &lt;&gt; 0,(EXP(LN(1+(U45/100))/($F$6-$D$6))-1)*100,0)</f>
        <v>4.7367144615953816</v>
      </c>
      <c r="W82" t="str">
        <f>A82</f>
        <v>11 Corporate managers and directors</v>
      </c>
      <c r="X82" s="17">
        <f t="shared" ref="X82:AA107" si="210">IF(AND(Y$6-X$6 &lt;&gt; 0,X8&lt;&gt;0,Y8&lt;&gt;0),(EXP(LN(Y8/X8)/(Y$6-X$6))-1)*100,0)</f>
        <v>1.4798280734032554</v>
      </c>
      <c r="Y82" s="17">
        <f t="shared" si="210"/>
        <v>6.4747795605223812</v>
      </c>
      <c r="Z82" s="17">
        <f t="shared" si="210"/>
        <v>0.23149053221274141</v>
      </c>
      <c r="AA82" s="17">
        <f t="shared" si="210"/>
        <v>2.0306554074997596</v>
      </c>
      <c r="AB82" s="17">
        <f t="shared" ref="AB82:AB107" si="211">IF(AND(AB$6-Y$6 &lt;&gt; 0,Y8&lt;&gt;0,AB8&lt;&gt;0),(EXP(LN(AB8/Y8)/(AB$6-Y$6))-1)*100,0)</f>
        <v>1.7357060826116877</v>
      </c>
      <c r="AD82" s="17">
        <f t="shared" ref="AD82:AD107" si="212">IF($F$6-$D$6 &lt;&gt; 0,(EXP(LN(1+(AD45/100))/($F$6-$D$6))-1)*100,0)</f>
        <v>1.4273737598558212</v>
      </c>
      <c r="AE82" s="17">
        <f t="shared" ref="AE82:AE107" si="213">IF(Z8&gt;0,((1+(AE8/Z8))^(1/($F$6-$D$6))-1)*100,0)</f>
        <v>3.3559361101680008</v>
      </c>
      <c r="AF82" s="17">
        <f t="shared" ref="AF82:AF107" si="214">IF($F$6-$D$6 &lt;&gt; 0,(EXP(LN(1+(AF45/100))/($F$6-$D$6))-1)*100,0)</f>
        <v>4.2893668176276822</v>
      </c>
      <c r="AH82" t="str">
        <f>L82</f>
        <v>11 Corporate managers and directors</v>
      </c>
      <c r="AI82" s="17">
        <f t="shared" ref="AI82:AL107" si="215">IF(AND(AJ$6-AI$6 &lt;&gt; 0,AI8&lt;&gt;0,AJ8&lt;&gt;0),(EXP(LN(AJ8/AI8)/(AJ$6-AI$6))-1)*100,0)</f>
        <v>-0.81482637866329144</v>
      </c>
      <c r="AJ82" s="17">
        <f t="shared" si="215"/>
        <v>17.187617254388023</v>
      </c>
      <c r="AK82" s="17">
        <f t="shared" si="215"/>
        <v>-1.1216194692418635</v>
      </c>
      <c r="AL82" s="17">
        <f t="shared" si="215"/>
        <v>1.3354465224653111</v>
      </c>
      <c r="AM82" s="17">
        <f t="shared" ref="AM82:AM107" si="216">IF(AND(AM$6-AJ$6 &lt;&gt; 0,AJ8&lt;&gt;0,AM8&lt;&gt;0),(EXP(LN(AM8/AJ8)/(AM$6-AJ$6))-1)*100,0)</f>
        <v>1.4787581580520959</v>
      </c>
      <c r="AO82" s="17">
        <f t="shared" ref="AO82:AO107" si="217">IF($F$6-$D$6 &lt;&gt; 0,(EXP(LN(1+(AO45/100))/($F$6-$D$6))-1)*100,0)</f>
        <v>0.50971431947444135</v>
      </c>
      <c r="AP82" s="17">
        <f t="shared" ref="AP82:AP107" si="218">IF(AK8&gt;0,((1+(AP8/AK8))^(1/($F$6-$D$6))-1)*100,0)</f>
        <v>2.9204728084164522</v>
      </c>
      <c r="AQ82" s="17">
        <f t="shared" ref="AQ82:AQ107" si="219">IF($F$6-$D$6 &lt;&gt; 0,(EXP(LN(1+(AQ45/100))/($F$6-$D$6))-1)*100,0)</f>
        <v>3.2653370317660357</v>
      </c>
      <c r="AS82" t="str">
        <f>W82</f>
        <v>11 Corporate managers and directors</v>
      </c>
      <c r="AT82" s="17">
        <f t="shared" ref="AT82:AW107" si="220">IF(AND(AU$6-AT$6 &lt;&gt; 0,AT8&lt;&gt;0,AU8&lt;&gt;0),(EXP(LN(AU8/AT8)/(AU$6-AT$6))-1)*100,0)</f>
        <v>-1.0538473425973138</v>
      </c>
      <c r="AU82" s="17">
        <f t="shared" si="220"/>
        <v>7.5730402782381301</v>
      </c>
      <c r="AV82" s="17">
        <f t="shared" si="220"/>
        <v>-1.6585649710506356</v>
      </c>
      <c r="AW82" s="17">
        <f t="shared" si="220"/>
        <v>0.95385358276285359</v>
      </c>
      <c r="AX82" s="17">
        <f t="shared" ref="AX82:AX107" si="221">IF(AND(AX$6-AU$6 &lt;&gt; 0,AU8&lt;&gt;0,AX8&lt;&gt;0),(EXP(LN(AX8/AU8)/(AX$6-AU$6))-1)*100,0)</f>
        <v>0.52832530203108519</v>
      </c>
      <c r="AZ82" s="17">
        <f t="shared" ref="AZ82:AZ107" si="222">IF($F$6-$D$6 &lt;&gt; 0,(EXP(LN(1+(AZ45/100))/($F$6-$D$6))-1)*100,0)</f>
        <v>7.5426126667266225E-2</v>
      </c>
      <c r="BA82" s="17">
        <f t="shared" ref="BA82:BA107" si="223">IF(AV8&gt;0,((1+(BA8/AV8))^(1/($F$6-$D$6))-1)*100,0)</f>
        <v>2.8150812747670839</v>
      </c>
      <c r="BB82" s="17">
        <f t="shared" ref="BB82:BB107" si="224">IF($F$6-$D$6 &lt;&gt; 0,(EXP(LN(1+(BB45/100))/($F$6-$D$6))-1)*100,0)</f>
        <v>2.8663090362613941</v>
      </c>
      <c r="BD82" t="str">
        <f>AH82</f>
        <v>11 Corporate managers and directors</v>
      </c>
      <c r="BE82" s="17">
        <f t="shared" ref="BE82:BH107" si="225">IF(AND(BF$6-BE$6 &lt;&gt; 0,BE8&lt;&gt;0,BF8&lt;&gt;0),(EXP(LN(BF8/BE8)/(BF$6-BE$6))-1)*100,0)</f>
        <v>2.3750794469801439</v>
      </c>
      <c r="BF82" s="17">
        <f t="shared" si="225"/>
        <v>21.166032707357996</v>
      </c>
      <c r="BG82" s="17">
        <f t="shared" si="225"/>
        <v>-4.6241212056502556</v>
      </c>
      <c r="BH82" s="17">
        <f t="shared" si="225"/>
        <v>0.89952180813432925</v>
      </c>
      <c r="BI82" s="17">
        <f t="shared" ref="BI82:BI107" si="226">IF(AND(BI$6-BF$6 &lt;&gt; 0,BF8&lt;&gt;0,BI8&lt;&gt;0),(EXP(LN(BI8/BF8)/(BI$6-BF$6))-1)*100,0)</f>
        <v>0.28051269937245937</v>
      </c>
      <c r="BK82" s="17">
        <f t="shared" ref="BK82:BK107" si="227">IF($F$6-$D$6 &lt;&gt; 0,(EXP(LN(1+(BK45/100))/($F$6-$D$6))-1)*100,0)</f>
        <v>-0.97635170513792335</v>
      </c>
      <c r="BL82" s="17">
        <f t="shared" ref="BL82:BL107" si="228">IF(BG8&gt;0,((1+(BL8/BG8))^(1/($F$6-$D$6))-1)*100,0)</f>
        <v>2.1266168081138126</v>
      </c>
      <c r="BM82" s="17">
        <f t="shared" ref="BM82:BM107" si="229">IF($F$6-$D$6 &lt;&gt; 0,(EXP(LN(1+(BM45/100))/($F$6-$D$6))-1)*100,0)</f>
        <v>1.4132132072852688</v>
      </c>
      <c r="BO82" t="str">
        <f>AS82</f>
        <v>11 Corporate managers and directors</v>
      </c>
      <c r="BP82" s="17">
        <f t="shared" ref="BP82:BS107" si="230">IF(AND(BQ$6-BP$6 &lt;&gt; 0,BP8&lt;&gt;0,BQ8&lt;&gt;0),(EXP(LN(BQ8/BP8)/(BQ$6-BP$6))-1)*100,0)</f>
        <v>2.1957301513714889</v>
      </c>
      <c r="BQ82" s="17">
        <f t="shared" si="230"/>
        <v>0.69289842364812504</v>
      </c>
      <c r="BR82" s="17">
        <f t="shared" si="230"/>
        <v>-3.2822519623041502</v>
      </c>
      <c r="BS82" s="17">
        <f t="shared" si="230"/>
        <v>-0.72923561752454846</v>
      </c>
      <c r="BT82" s="17">
        <f t="shared" ref="BT82:BT107" si="231">IF(AND(BT$6-BQ$6 &lt;&gt; 0,BQ8&lt;&gt;0,BT8&lt;&gt;0),(EXP(LN(BT8/BQ8)/(BT$6-BQ$6))-1)*100,0)</f>
        <v>-1.4466341075968558</v>
      </c>
      <c r="BV82" s="17">
        <f t="shared" ref="BV82:BV107" si="232">IF($F$6-$D$6 &lt;&gt; 0,(EXP(LN(1+(BV45/100))/($F$6-$D$6))-1)*100,0)</f>
        <v>-1.5876424224042562</v>
      </c>
      <c r="BW82" s="17">
        <f t="shared" ref="BW82:BW107" si="233">IF(BR8&gt;0,((1+(BW8/BR8))^(1/($F$6-$D$6))-1)*100,0)</f>
        <v>2.1157083835327661</v>
      </c>
      <c r="BX82" s="17">
        <f t="shared" ref="BX82:BX107" si="234">IF($F$6-$D$6 &lt;&gt; 0,(EXP(LN(1+(BX45/100))/($F$6-$D$6))-1)*100,0)</f>
        <v>0.96841693386722216</v>
      </c>
      <c r="BZ82" t="str">
        <f>BD82</f>
        <v>11 Corporate managers and directors</v>
      </c>
      <c r="CA82" s="17">
        <f t="shared" ref="CA82:CD107" si="235">IF(AND(CB$6-CA$6 &lt;&gt; 0,CA8&lt;&gt;0,CB8&lt;&gt;0),(EXP(LN(CB8/CA8)/(CB$6-CA$6))-1)*100,0)</f>
        <v>9.4209381662241132</v>
      </c>
      <c r="CB82" s="17">
        <f t="shared" si="235"/>
        <v>-20.576426845971831</v>
      </c>
      <c r="CC82" s="17">
        <f t="shared" si="235"/>
        <v>-1.5295064869430886</v>
      </c>
      <c r="CD82" s="17">
        <f t="shared" si="235"/>
        <v>-3.3219524960842683</v>
      </c>
      <c r="CE82" s="17">
        <f t="shared" ref="CE82:CE107" si="236">IF(AND(CE$6-CB$6 &lt;&gt; 0,CB8&lt;&gt;0,CE8&lt;&gt;0),(EXP(LN(CE8/CB8)/(CE$6-CB$6))-1)*100,0)</f>
        <v>-3.9527535040829065</v>
      </c>
      <c r="CG82" s="17">
        <f t="shared" ref="CG82:CG107" si="237">IF($F$6-$D$6 &lt;&gt; 0,(EXP(LN(1+(CG45/100))/($F$6-$D$6))-1)*100,0)</f>
        <v>-2.7281254341333883</v>
      </c>
      <c r="CH82" s="17">
        <f t="shared" ref="CH82:CH107" si="238">IF(CC8&gt;0,((1+(CH8/CC8))^(1/($F$6-$D$6))-1)*100,0)</f>
        <v>2.0787526393664546</v>
      </c>
      <c r="CI82" s="17">
        <f t="shared" ref="CI82:CI107" si="239">IF($F$6-$D$6 &lt;&gt; 0,(EXP(LN(1+(CI45/100))/($F$6-$D$6))-1)*100,0)</f>
        <v>0.14481016703677962</v>
      </c>
      <c r="CK82" t="str">
        <f>BO82</f>
        <v>11 Corporate managers and directors</v>
      </c>
      <c r="CL82" s="17">
        <f t="shared" ref="CL82:CO107" si="240">IF(AND(CM$6-CL$6 &lt;&gt; 0,CL8&lt;&gt;0,CM8&lt;&gt;0),(EXP(LN(CM8/CL8)/(CM$6-CL$6))-1)*100,0)</f>
        <v>4.7623025372087957</v>
      </c>
      <c r="CM82" s="17">
        <f t="shared" si="240"/>
        <v>-22.292346255286876</v>
      </c>
      <c r="CN82" s="17">
        <f t="shared" si="240"/>
        <v>-3.0871805106624239</v>
      </c>
      <c r="CO82" s="17">
        <f t="shared" si="240"/>
        <v>1.2925260245223891</v>
      </c>
      <c r="CP82" s="17">
        <f t="shared" ref="CP82:CP107" si="241">IF(AND(CP$6-CM$6 &lt;&gt; 0,CM8&lt;&gt;0,CP8&lt;&gt;0),(EXP(LN(CP8/CM8)/(CP$6-CM$6))-1)*100,0)</f>
        <v>-1.7383624907302164</v>
      </c>
      <c r="CR82" s="17">
        <f t="shared" ref="CR82:CR107" si="242">IF($F$6-$D$6 &lt;&gt; 0,(EXP(LN(1+(CR45/100))/($F$6-$D$6))-1)*100,0)</f>
        <v>-0.18893781718870573</v>
      </c>
      <c r="CS82" s="17">
        <f t="shared" ref="CS82:CS107" si="243">IF(CN8&gt;0,((1+(CS8/CN8))^(1/($F$6-$D$6))-1)*100,0)</f>
        <v>2.0251896179257045</v>
      </c>
      <c r="CT82" s="17">
        <f t="shared" ref="CT82:CT107" si="244">IF($F$6-$D$6 &lt;&gt; 0,(EXP(LN(1+(CT45/100))/($F$6-$D$6))-1)*100,0)</f>
        <v>1.88298531468305</v>
      </c>
    </row>
    <row r="83" spans="1:98" x14ac:dyDescent="0.2">
      <c r="A83" t="str">
        <f t="shared" si="199"/>
        <v>12 Other managers and proprietors</v>
      </c>
      <c r="B83" s="17">
        <f t="shared" si="200"/>
        <v>13.730918720494456</v>
      </c>
      <c r="C83" s="17">
        <f t="shared" si="200"/>
        <v>-26.69510601653614</v>
      </c>
      <c r="D83" s="17">
        <f t="shared" si="200"/>
        <v>8.4908888830537155</v>
      </c>
      <c r="E83" s="17">
        <f t="shared" si="200"/>
        <v>4.5260144126402668</v>
      </c>
      <c r="F83" s="17">
        <f t="shared" si="201"/>
        <v>3.4299824735615658</v>
      </c>
      <c r="H83" s="17">
        <f t="shared" si="202"/>
        <v>5.8312721213955587</v>
      </c>
      <c r="I83" s="17">
        <f t="shared" si="203"/>
        <v>5.1460596845736672</v>
      </c>
      <c r="J83" s="17">
        <f t="shared" si="204"/>
        <v>8.632806742635557</v>
      </c>
      <c r="L83" t="str">
        <f t="shared" ref="L83:L106" si="245">A83</f>
        <v>12 Other managers and proprietors</v>
      </c>
      <c r="M83" s="17">
        <f t="shared" si="205"/>
        <v>10.915739869486574</v>
      </c>
      <c r="N83" s="17">
        <f t="shared" si="205"/>
        <v>-14.7374671326022</v>
      </c>
      <c r="O83" s="17">
        <f t="shared" si="205"/>
        <v>7.6868650208479217</v>
      </c>
      <c r="P83" s="17">
        <f t="shared" si="205"/>
        <v>4.318247113819762</v>
      </c>
      <c r="Q83" s="17">
        <f t="shared" si="206"/>
        <v>4.039539030208017</v>
      </c>
      <c r="S83" s="17">
        <f t="shared" si="207"/>
        <v>5.4292455151716323</v>
      </c>
      <c r="T83" s="17">
        <f t="shared" si="208"/>
        <v>5.0122752310207241</v>
      </c>
      <c r="U83" s="17">
        <f t="shared" si="209"/>
        <v>8.2688383708603652</v>
      </c>
      <c r="W83" t="str">
        <f t="shared" ref="W83:W106" si="246">A83</f>
        <v>12 Other managers and proprietors</v>
      </c>
      <c r="X83" s="17">
        <f t="shared" si="210"/>
        <v>1.9789796836350071</v>
      </c>
      <c r="Y83" s="17">
        <f t="shared" si="210"/>
        <v>2.4229407139429116</v>
      </c>
      <c r="Z83" s="17">
        <f t="shared" si="210"/>
        <v>6.0266079005243611</v>
      </c>
      <c r="AA83" s="17">
        <f t="shared" si="210"/>
        <v>2.7502384669053637</v>
      </c>
      <c r="AB83" s="17">
        <f t="shared" si="211"/>
        <v>3.7423896787821764</v>
      </c>
      <c r="AD83" s="17">
        <f t="shared" si="212"/>
        <v>3.8309548954889694</v>
      </c>
      <c r="AE83" s="17">
        <f t="shared" si="213"/>
        <v>4.6394138223266879</v>
      </c>
      <c r="AF83" s="17">
        <f t="shared" si="214"/>
        <v>6.9295395815794469</v>
      </c>
      <c r="AH83" t="str">
        <f t="shared" ref="AH83:AH106" si="247">L83</f>
        <v>12 Other managers and proprietors</v>
      </c>
      <c r="AI83" s="17">
        <f t="shared" si="215"/>
        <v>1.3430816746524465</v>
      </c>
      <c r="AJ83" s="17">
        <f t="shared" si="215"/>
        <v>14.988871997871112</v>
      </c>
      <c r="AK83" s="17">
        <f t="shared" si="215"/>
        <v>4.0259601884533147</v>
      </c>
      <c r="AL83" s="17">
        <f t="shared" si="215"/>
        <v>2.9375410678472713</v>
      </c>
      <c r="AM83" s="17">
        <f t="shared" si="216"/>
        <v>3.993548736221908</v>
      </c>
      <c r="AO83" s="17">
        <f t="shared" si="217"/>
        <v>3.2990761786549694</v>
      </c>
      <c r="AP83" s="17">
        <f t="shared" si="218"/>
        <v>4.279423532288118</v>
      </c>
      <c r="AQ83" s="17">
        <f t="shared" si="219"/>
        <v>6.3050629389146184</v>
      </c>
      <c r="AS83" t="str">
        <f t="shared" ref="AS83:AS106" si="248">W83</f>
        <v>12 Other managers and proprietors</v>
      </c>
      <c r="AT83" s="17">
        <f t="shared" si="220"/>
        <v>0.69286989040848734</v>
      </c>
      <c r="AU83" s="17">
        <f t="shared" si="220"/>
        <v>-1.7866269279152247</v>
      </c>
      <c r="AV83" s="17">
        <f t="shared" si="220"/>
        <v>4.6111733629220497</v>
      </c>
      <c r="AW83" s="17">
        <f t="shared" si="220"/>
        <v>1.6937815130424916</v>
      </c>
      <c r="AX83" s="17">
        <f t="shared" si="221"/>
        <v>2.3735610039637756</v>
      </c>
      <c r="AZ83" s="17">
        <f t="shared" si="222"/>
        <v>2.6570915471094692</v>
      </c>
      <c r="BA83" s="17">
        <f t="shared" si="223"/>
        <v>3.9863657472795744</v>
      </c>
      <c r="BB83" s="17">
        <f t="shared" si="224"/>
        <v>5.6462700369392715</v>
      </c>
      <c r="BD83" t="str">
        <f t="shared" ref="BD83:BD106" si="249">AH83</f>
        <v>12 Other managers and proprietors</v>
      </c>
      <c r="BE83" s="17">
        <f t="shared" si="225"/>
        <v>-1.636260039334636</v>
      </c>
      <c r="BF83" s="17">
        <f t="shared" si="225"/>
        <v>11.736360993742846</v>
      </c>
      <c r="BG83" s="17">
        <f t="shared" si="225"/>
        <v>0.45218747112587554</v>
      </c>
      <c r="BH83" s="17">
        <f t="shared" si="225"/>
        <v>1.3953074117993625</v>
      </c>
      <c r="BI83" s="17">
        <f t="shared" si="226"/>
        <v>1.7151467212569882</v>
      </c>
      <c r="BK83" s="17">
        <f t="shared" si="227"/>
        <v>1.0799543243858789</v>
      </c>
      <c r="BL83" s="17">
        <f t="shared" si="228"/>
        <v>2.8282695192546559</v>
      </c>
      <c r="BM83" s="17">
        <f t="shared" si="229"/>
        <v>3.5775878166074415</v>
      </c>
      <c r="BO83" t="str">
        <f t="shared" ref="BO83:BO106" si="250">AS83</f>
        <v>12 Other managers and proprietors</v>
      </c>
      <c r="BP83" s="17">
        <f t="shared" si="230"/>
        <v>1.9773536803218361</v>
      </c>
      <c r="BQ83" s="17">
        <f t="shared" si="230"/>
        <v>-3.1304776566208337</v>
      </c>
      <c r="BR83" s="17">
        <f t="shared" si="230"/>
        <v>2.688831782968415</v>
      </c>
      <c r="BS83" s="17">
        <f t="shared" si="230"/>
        <v>0.76293190572347402</v>
      </c>
      <c r="BT83" s="17">
        <f t="shared" si="231"/>
        <v>1.111533898234085</v>
      </c>
      <c r="BV83" s="17">
        <f t="shared" si="232"/>
        <v>1.4008514076858214</v>
      </c>
      <c r="BW83" s="17">
        <f t="shared" si="233"/>
        <v>3.1676304540115163</v>
      </c>
      <c r="BX83" s="17">
        <f t="shared" si="234"/>
        <v>4.1052427695954297</v>
      </c>
      <c r="BZ83" t="str">
        <f t="shared" ref="BZ83:BZ106" si="251">BD83</f>
        <v>12 Other managers and proprietors</v>
      </c>
      <c r="CA83" s="17">
        <f t="shared" si="235"/>
        <v>7.4520783040454397</v>
      </c>
      <c r="CB83" s="17">
        <f t="shared" si="235"/>
        <v>-25.028388840829642</v>
      </c>
      <c r="CC83" s="17">
        <f t="shared" si="235"/>
        <v>2.521592685992835</v>
      </c>
      <c r="CD83" s="17">
        <f t="shared" si="235"/>
        <v>-2.5379629248879376</v>
      </c>
      <c r="CE83" s="17">
        <f t="shared" si="236"/>
        <v>-2.5946019068299297</v>
      </c>
      <c r="CG83" s="17">
        <f t="shared" si="237"/>
        <v>-0.87981489384691969</v>
      </c>
      <c r="CH83" s="17">
        <f t="shared" si="238"/>
        <v>2.6797607266104029</v>
      </c>
      <c r="CI83" s="17">
        <f t="shared" si="239"/>
        <v>2.0846631705873531</v>
      </c>
      <c r="CK83" t="str">
        <f t="shared" ref="CK83:CK106" si="252">BO83</f>
        <v>12 Other managers and proprietors</v>
      </c>
      <c r="CL83" s="17">
        <f t="shared" si="240"/>
        <v>-1.432476466394228</v>
      </c>
      <c r="CM83" s="17">
        <f t="shared" si="240"/>
        <v>-23.416004826976401</v>
      </c>
      <c r="CN83" s="17">
        <f t="shared" si="240"/>
        <v>3.0919732012976375</v>
      </c>
      <c r="CO83" s="17">
        <f t="shared" si="240"/>
        <v>-0.5567536605499801</v>
      </c>
      <c r="CP83" s="17">
        <f t="shared" si="241"/>
        <v>-1.0590785048859908</v>
      </c>
      <c r="CR83" s="17">
        <f t="shared" si="242"/>
        <v>0.64490935248644465</v>
      </c>
      <c r="CS83" s="17">
        <f t="shared" si="243"/>
        <v>2.300869487010182</v>
      </c>
      <c r="CT83" s="17">
        <f t="shared" si="244"/>
        <v>2.7759064234955666</v>
      </c>
    </row>
    <row r="84" spans="1:98" x14ac:dyDescent="0.2">
      <c r="A84" t="str">
        <f t="shared" si="199"/>
        <v>21 Science, research, engineering and technology professionals</v>
      </c>
      <c r="B84" s="17">
        <f t="shared" si="200"/>
        <v>7.9847954067417293</v>
      </c>
      <c r="C84" s="17">
        <f t="shared" si="200"/>
        <v>-12.910647422376986</v>
      </c>
      <c r="D84" s="17">
        <f t="shared" si="200"/>
        <v>4.2678550870271836</v>
      </c>
      <c r="E84" s="17">
        <f t="shared" si="200"/>
        <v>2.68760061629294</v>
      </c>
      <c r="F84" s="17">
        <f t="shared" si="201"/>
        <v>2.121828603809961</v>
      </c>
      <c r="H84" s="17">
        <f t="shared" si="202"/>
        <v>3.2116729221566276</v>
      </c>
      <c r="I84" s="17">
        <f t="shared" si="203"/>
        <v>2.8766951714596978</v>
      </c>
      <c r="J84" s="17">
        <f t="shared" si="204"/>
        <v>5.192751327337497</v>
      </c>
      <c r="L84" t="str">
        <f t="shared" si="245"/>
        <v>21 Science, research, engineering and technology professionals</v>
      </c>
      <c r="M84" s="17">
        <f t="shared" si="205"/>
        <v>10.267351556777026</v>
      </c>
      <c r="N84" s="17">
        <f t="shared" si="205"/>
        <v>-11.939561081451512</v>
      </c>
      <c r="O84" s="17">
        <f t="shared" si="205"/>
        <v>5.1320108622616267</v>
      </c>
      <c r="P84" s="17">
        <f t="shared" si="205"/>
        <v>3.2233382699967006</v>
      </c>
      <c r="Q84" s="17">
        <f t="shared" si="206"/>
        <v>2.7903083785993266</v>
      </c>
      <c r="S84" s="17">
        <f t="shared" si="207"/>
        <v>3.8556808487145711</v>
      </c>
      <c r="T84" s="17">
        <f t="shared" si="208"/>
        <v>3.1774669454546212</v>
      </c>
      <c r="U84" s="17">
        <f t="shared" si="209"/>
        <v>5.8990216199524825</v>
      </c>
      <c r="W84" t="str">
        <f t="shared" si="246"/>
        <v>21 Science, research, engineering and technology professionals</v>
      </c>
      <c r="X84" s="17">
        <f t="shared" si="210"/>
        <v>-2.8897858839829649</v>
      </c>
      <c r="Y84" s="17">
        <f t="shared" si="210"/>
        <v>7.6142579479298034</v>
      </c>
      <c r="Z84" s="17">
        <f t="shared" si="210"/>
        <v>1.5218341347286168</v>
      </c>
      <c r="AA84" s="17">
        <f t="shared" si="210"/>
        <v>0.76525976887695801</v>
      </c>
      <c r="AB84" s="17">
        <f t="shared" si="211"/>
        <v>1.417047089412482</v>
      </c>
      <c r="AD84" s="17">
        <f t="shared" si="212"/>
        <v>1.0168226686848802</v>
      </c>
      <c r="AE84" s="17">
        <f t="shared" si="213"/>
        <v>2.4268763922048242</v>
      </c>
      <c r="AF84" s="17">
        <f t="shared" si="214"/>
        <v>3.1689779142261232</v>
      </c>
      <c r="AH84" t="str">
        <f t="shared" si="247"/>
        <v>21 Science, research, engineering and technology professionals</v>
      </c>
      <c r="AI84" s="17">
        <f t="shared" si="215"/>
        <v>-2.220143117593909</v>
      </c>
      <c r="AJ84" s="17">
        <f t="shared" si="215"/>
        <v>14.565803846756896</v>
      </c>
      <c r="AK84" s="17">
        <f t="shared" si="215"/>
        <v>1.6694947678564498</v>
      </c>
      <c r="AL84" s="17">
        <f t="shared" si="215"/>
        <v>1.3255264392236565</v>
      </c>
      <c r="AM84" s="17">
        <f t="shared" si="216"/>
        <v>2.2144541774079096</v>
      </c>
      <c r="AO84" s="17">
        <f t="shared" si="217"/>
        <v>1.4400530524078414</v>
      </c>
      <c r="AP84" s="17">
        <f t="shared" si="218"/>
        <v>2.4208393265107597</v>
      </c>
      <c r="AQ84" s="17">
        <f t="shared" si="219"/>
        <v>3.4812933232842402</v>
      </c>
      <c r="AS84" t="str">
        <f t="shared" si="248"/>
        <v>21 Science, research, engineering and technology professionals</v>
      </c>
      <c r="AT84" s="17">
        <f t="shared" si="220"/>
        <v>-3.2294198730928869</v>
      </c>
      <c r="AU84" s="17">
        <f t="shared" si="220"/>
        <v>5.9990428986957722</v>
      </c>
      <c r="AV84" s="17">
        <f t="shared" si="220"/>
        <v>-0.27110235702874075</v>
      </c>
      <c r="AW84" s="17">
        <f t="shared" si="220"/>
        <v>-5.4821741904576005E-2</v>
      </c>
      <c r="AX84" s="17">
        <f t="shared" si="221"/>
        <v>0.24531713706013036</v>
      </c>
      <c r="AZ84" s="17">
        <f t="shared" si="222"/>
        <v>-0.12696734618079519</v>
      </c>
      <c r="BA84" s="17">
        <f t="shared" si="223"/>
        <v>1.9846143847730646</v>
      </c>
      <c r="BB84" s="17">
        <f t="shared" si="224"/>
        <v>1.8884051680579717</v>
      </c>
      <c r="BD84" t="str">
        <f t="shared" si="249"/>
        <v>21 Science, research, engineering and technology professionals</v>
      </c>
      <c r="BE84" s="17">
        <f t="shared" si="225"/>
        <v>-0.99897604336859347</v>
      </c>
      <c r="BF84" s="17">
        <f t="shared" si="225"/>
        <v>29.356898866506874</v>
      </c>
      <c r="BG84" s="17">
        <f t="shared" si="225"/>
        <v>-4.668442081931512</v>
      </c>
      <c r="BH84" s="17">
        <f t="shared" si="225"/>
        <v>-0.46411589287300714</v>
      </c>
      <c r="BI84" s="17">
        <f t="shared" si="226"/>
        <v>-0.17585148481690238</v>
      </c>
      <c r="BK84" s="17">
        <f t="shared" si="227"/>
        <v>-1.8857664262881046</v>
      </c>
      <c r="BL84" s="17">
        <f t="shared" si="228"/>
        <v>1.4027202526008642</v>
      </c>
      <c r="BM84" s="17">
        <f t="shared" si="229"/>
        <v>-0.10769403394769173</v>
      </c>
      <c r="BO84" t="str">
        <f t="shared" si="250"/>
        <v>21 Science, research, engineering and technology professionals</v>
      </c>
      <c r="BP84" s="17">
        <f t="shared" si="230"/>
        <v>-0.35319865886587198</v>
      </c>
      <c r="BQ84" s="17">
        <f t="shared" si="230"/>
        <v>8.7105670901416854</v>
      </c>
      <c r="BR84" s="17">
        <f t="shared" si="230"/>
        <v>-1.2775562186083778</v>
      </c>
      <c r="BS84" s="17">
        <f t="shared" si="230"/>
        <v>-0.16828291669854778</v>
      </c>
      <c r="BT84" s="17">
        <f t="shared" si="231"/>
        <v>1.4919814713798552E-2</v>
      </c>
      <c r="BV84" s="17">
        <f t="shared" si="232"/>
        <v>-0.53941871388766272</v>
      </c>
      <c r="BW84" s="17">
        <f t="shared" si="233"/>
        <v>1.7400521762071186</v>
      </c>
      <c r="BX84" s="17">
        <f t="shared" si="234"/>
        <v>1.3200806911749075</v>
      </c>
      <c r="BZ84" t="str">
        <f t="shared" si="251"/>
        <v>21 Science, research, engineering and technology professionals</v>
      </c>
      <c r="CA84" s="17">
        <f t="shared" si="235"/>
        <v>11.326050428424605</v>
      </c>
      <c r="CB84" s="17">
        <f t="shared" si="235"/>
        <v>-24.738639816204845</v>
      </c>
      <c r="CC84" s="17">
        <f t="shared" si="235"/>
        <v>1.6638843042600548</v>
      </c>
      <c r="CD84" s="17">
        <f t="shared" si="235"/>
        <v>-1.8479602036109322</v>
      </c>
      <c r="CE84" s="17">
        <f t="shared" si="236"/>
        <v>-2.3971659402632461</v>
      </c>
      <c r="CG84" s="17">
        <f t="shared" si="237"/>
        <v>-0.69103569160516853</v>
      </c>
      <c r="CH84" s="17">
        <f t="shared" si="238"/>
        <v>1.7611621747496864</v>
      </c>
      <c r="CI84" s="17">
        <f t="shared" si="239"/>
        <v>1.2261310746494392</v>
      </c>
      <c r="CK84" t="str">
        <f t="shared" si="252"/>
        <v>21 Science, research, engineering and technology professionals</v>
      </c>
      <c r="CL84" s="17">
        <f t="shared" si="240"/>
        <v>4.1358874934605439</v>
      </c>
      <c r="CM84" s="17">
        <f t="shared" si="240"/>
        <v>-7.7490238270231497</v>
      </c>
      <c r="CN84" s="17">
        <f t="shared" si="240"/>
        <v>2.719871511080818</v>
      </c>
      <c r="CO84" s="17">
        <f t="shared" si="240"/>
        <v>-0.38428667224417179</v>
      </c>
      <c r="CP84" s="17">
        <f t="shared" si="241"/>
        <v>9.3900302954841308E-2</v>
      </c>
      <c r="CR84" s="17">
        <f t="shared" si="242"/>
        <v>0.63986726205866873</v>
      </c>
      <c r="CS84" s="17">
        <f t="shared" si="243"/>
        <v>2.098831105491894</v>
      </c>
      <c r="CT84" s="17">
        <f t="shared" si="244"/>
        <v>2.5828753167310925</v>
      </c>
    </row>
    <row r="85" spans="1:98" x14ac:dyDescent="0.2">
      <c r="A85" t="str">
        <f t="shared" si="199"/>
        <v>22 Health professionals</v>
      </c>
      <c r="B85" s="17">
        <f t="shared" si="200"/>
        <v>7.4667197331174995</v>
      </c>
      <c r="C85" s="17">
        <f t="shared" si="200"/>
        <v>-8.1038842953368935</v>
      </c>
      <c r="D85" s="17">
        <f t="shared" si="200"/>
        <v>5.1270981918502656</v>
      </c>
      <c r="E85" s="17">
        <f t="shared" si="200"/>
        <v>2.3768454902963754</v>
      </c>
      <c r="F85" s="17">
        <f t="shared" si="201"/>
        <v>2.5340232046217492</v>
      </c>
      <c r="H85" s="17">
        <f t="shared" si="202"/>
        <v>3.2855075546875501</v>
      </c>
      <c r="I85" s="17">
        <f t="shared" si="203"/>
        <v>3.7387897062960196</v>
      </c>
      <c r="J85" s="17">
        <f t="shared" si="204"/>
        <v>5.8863150637098904</v>
      </c>
      <c r="L85" t="str">
        <f t="shared" si="245"/>
        <v>22 Health professionals</v>
      </c>
      <c r="M85" s="17">
        <f t="shared" si="205"/>
        <v>6.4855352924720888</v>
      </c>
      <c r="N85" s="17">
        <f t="shared" si="205"/>
        <v>-9.8493653993501624</v>
      </c>
      <c r="O85" s="17">
        <f t="shared" si="205"/>
        <v>3.743600428192595</v>
      </c>
      <c r="P85" s="17">
        <f t="shared" si="205"/>
        <v>1.2322980661076066</v>
      </c>
      <c r="Q85" s="17">
        <f t="shared" si="206"/>
        <v>1.2739841180858802</v>
      </c>
      <c r="S85" s="17">
        <f t="shared" si="207"/>
        <v>2.0625706262312526</v>
      </c>
      <c r="T85" s="17">
        <f t="shared" si="208"/>
        <v>3.5784663360991287</v>
      </c>
      <c r="U85" s="17">
        <f t="shared" si="209"/>
        <v>4.9115302516422377</v>
      </c>
      <c r="W85" t="str">
        <f t="shared" si="246"/>
        <v>22 Health professionals</v>
      </c>
      <c r="X85" s="17">
        <f t="shared" si="210"/>
        <v>0.23743319196838364</v>
      </c>
      <c r="Y85" s="17">
        <f t="shared" si="210"/>
        <v>15.470403329574767</v>
      </c>
      <c r="Z85" s="17">
        <f t="shared" si="210"/>
        <v>3.8301095687010234</v>
      </c>
      <c r="AA85" s="17">
        <f t="shared" si="210"/>
        <v>2.4861444050714887</v>
      </c>
      <c r="AB85" s="17">
        <f t="shared" si="211"/>
        <v>3.6743150199544106</v>
      </c>
      <c r="AD85" s="17">
        <f t="shared" si="212"/>
        <v>2.932188684944137</v>
      </c>
      <c r="AE85" s="17">
        <f t="shared" si="213"/>
        <v>3.8632804820056155</v>
      </c>
      <c r="AF85" s="17">
        <f t="shared" si="214"/>
        <v>5.7355031973536752</v>
      </c>
      <c r="AH85" t="str">
        <f t="shared" si="247"/>
        <v>22 Health professionals</v>
      </c>
      <c r="AI85" s="17">
        <f t="shared" si="215"/>
        <v>-9.737260962519068</v>
      </c>
      <c r="AJ85" s="17">
        <f t="shared" si="215"/>
        <v>5.6640456555006269</v>
      </c>
      <c r="AK85" s="17">
        <f t="shared" si="215"/>
        <v>-9.800645839560973</v>
      </c>
      <c r="AL85" s="17">
        <f t="shared" si="215"/>
        <v>-11.996348919891053</v>
      </c>
      <c r="AM85" s="17">
        <f t="shared" si="216"/>
        <v>-10.29648626006967</v>
      </c>
      <c r="AO85" s="17">
        <f t="shared" si="217"/>
        <v>-11.270451908256284</v>
      </c>
      <c r="AP85" s="17">
        <f t="shared" si="218"/>
        <v>1.1929046174864677</v>
      </c>
      <c r="AQ85" s="17">
        <f t="shared" si="219"/>
        <v>-6.5664655753899233</v>
      </c>
      <c r="AS85" t="str">
        <f t="shared" si="248"/>
        <v>22 Health professionals</v>
      </c>
      <c r="AT85" s="17">
        <f t="shared" si="220"/>
        <v>0.25359220463709864</v>
      </c>
      <c r="AU85" s="17">
        <f t="shared" si="220"/>
        <v>27.562763261242495</v>
      </c>
      <c r="AV85" s="17">
        <f t="shared" si="220"/>
        <v>2.6241713806482547</v>
      </c>
      <c r="AW85" s="17">
        <f t="shared" si="220"/>
        <v>1.8306040198291074</v>
      </c>
      <c r="AX85" s="17">
        <f t="shared" si="221"/>
        <v>3.525470904411443</v>
      </c>
      <c r="AZ85" s="17">
        <f t="shared" si="222"/>
        <v>2.0944422905901483</v>
      </c>
      <c r="BA85" s="17">
        <f t="shared" si="223"/>
        <v>3.2241635081441178</v>
      </c>
      <c r="BB85" s="17">
        <f t="shared" si="224"/>
        <v>4.6391228661477157</v>
      </c>
      <c r="BD85" t="str">
        <f t="shared" si="249"/>
        <v>22 Health professionals</v>
      </c>
      <c r="BE85" s="17">
        <f t="shared" si="225"/>
        <v>3.6214513151773486</v>
      </c>
      <c r="BF85" s="17">
        <f t="shared" si="225"/>
        <v>16.133984956756397</v>
      </c>
      <c r="BG85" s="17">
        <f t="shared" si="225"/>
        <v>3.449916415762444</v>
      </c>
      <c r="BH85" s="17">
        <f t="shared" si="225"/>
        <v>1.6770395748826994</v>
      </c>
      <c r="BI85" s="17">
        <f t="shared" si="226"/>
        <v>3.0807182720716808</v>
      </c>
      <c r="BK85" s="17">
        <f t="shared" si="227"/>
        <v>2.2645966885526558</v>
      </c>
      <c r="BL85" s="17">
        <f t="shared" si="228"/>
        <v>3.5847518493618669</v>
      </c>
      <c r="BM85" s="17">
        <f t="shared" si="229"/>
        <v>5.0547399049703401</v>
      </c>
      <c r="BO85" t="str">
        <f t="shared" si="250"/>
        <v>22 Health professionals</v>
      </c>
      <c r="BP85" s="17">
        <f t="shared" si="230"/>
        <v>1.6983401674345311</v>
      </c>
      <c r="BQ85" s="17">
        <f t="shared" si="230"/>
        <v>10.085211337374789</v>
      </c>
      <c r="BR85" s="17">
        <f t="shared" si="230"/>
        <v>0.30049258651467792</v>
      </c>
      <c r="BS85" s="17">
        <f t="shared" si="230"/>
        <v>-1.2568292228792743</v>
      </c>
      <c r="BT85" s="17">
        <f t="shared" si="231"/>
        <v>-9.6158637415288961E-2</v>
      </c>
      <c r="BV85" s="17">
        <f t="shared" si="232"/>
        <v>-0.74042731289971631</v>
      </c>
      <c r="BW85" s="17">
        <f t="shared" si="233"/>
        <v>2.3987126116786106</v>
      </c>
      <c r="BX85" s="17">
        <f t="shared" si="234"/>
        <v>1.8757762373602827</v>
      </c>
      <c r="BZ85" t="str">
        <f t="shared" si="251"/>
        <v>22 Health professionals</v>
      </c>
      <c r="CA85" s="17">
        <f t="shared" si="235"/>
        <v>-2.5608996987177002</v>
      </c>
      <c r="CB85" s="17">
        <f t="shared" si="235"/>
        <v>-2.8123471809677891</v>
      </c>
      <c r="CC85" s="17">
        <f t="shared" si="235"/>
        <v>-1.8052262823433307</v>
      </c>
      <c r="CD85" s="17">
        <f t="shared" si="235"/>
        <v>-7.0417950225718728</v>
      </c>
      <c r="CE85" s="17">
        <f t="shared" si="236"/>
        <v>-5.1727533779521657</v>
      </c>
      <c r="CG85" s="17">
        <f t="shared" si="237"/>
        <v>-5.3280598979680853</v>
      </c>
      <c r="CH85" s="17">
        <f t="shared" si="238"/>
        <v>1.7509641364929607</v>
      </c>
      <c r="CI85" s="17">
        <f t="shared" si="239"/>
        <v>-2.0114391743207949</v>
      </c>
      <c r="CK85" t="str">
        <f t="shared" si="252"/>
        <v>22 Health professionals</v>
      </c>
      <c r="CL85" s="17">
        <f t="shared" si="240"/>
        <v>1.8641537212930048</v>
      </c>
      <c r="CM85" s="17">
        <f t="shared" si="240"/>
        <v>-13.586051282044842</v>
      </c>
      <c r="CN85" s="17">
        <f t="shared" si="240"/>
        <v>3.2533551672103478</v>
      </c>
      <c r="CO85" s="17">
        <f t="shared" si="240"/>
        <v>1.095027802717552</v>
      </c>
      <c r="CP85" s="17">
        <f t="shared" si="241"/>
        <v>0.77148701304643463</v>
      </c>
      <c r="CR85" s="17">
        <f t="shared" si="242"/>
        <v>1.8094102228947806</v>
      </c>
      <c r="CS85" s="17">
        <f t="shared" si="243"/>
        <v>2.5547073158455724</v>
      </c>
      <c r="CT85" s="17">
        <f t="shared" si="244"/>
        <v>3.8743192672065607</v>
      </c>
    </row>
    <row r="86" spans="1:98" x14ac:dyDescent="0.2">
      <c r="A86" t="str">
        <f t="shared" si="199"/>
        <v>23 Teaching and other educational professionals</v>
      </c>
      <c r="B86" s="17">
        <f t="shared" si="200"/>
        <v>3.0234324810584079</v>
      </c>
      <c r="C86" s="17">
        <f t="shared" si="200"/>
        <v>-6.2120503581591819</v>
      </c>
      <c r="D86" s="17">
        <f t="shared" si="200"/>
        <v>3.7489426917461266</v>
      </c>
      <c r="E86" s="17">
        <f t="shared" si="200"/>
        <v>1.2160761345290538</v>
      </c>
      <c r="F86" s="17">
        <f t="shared" si="201"/>
        <v>1.5161235234155912</v>
      </c>
      <c r="H86" s="17">
        <f t="shared" si="202"/>
        <v>2.0534186986338687</v>
      </c>
      <c r="I86" s="17">
        <f t="shared" si="203"/>
        <v>3.2973071689135436</v>
      </c>
      <c r="J86" s="17">
        <f t="shared" si="204"/>
        <v>4.6708248791256679</v>
      </c>
      <c r="L86" t="str">
        <f t="shared" si="245"/>
        <v>23 Teaching and other educational professionals</v>
      </c>
      <c r="M86" s="17">
        <f t="shared" si="205"/>
        <v>4.4913797398175248</v>
      </c>
      <c r="N86" s="17">
        <f t="shared" si="205"/>
        <v>-5.4945638485380588</v>
      </c>
      <c r="O86" s="17">
        <f t="shared" si="205"/>
        <v>3.4439671630251301</v>
      </c>
      <c r="P86" s="17">
        <f t="shared" si="205"/>
        <v>1.0323589310238246</v>
      </c>
      <c r="Q86" s="17">
        <f t="shared" si="206"/>
        <v>1.3559439206025425</v>
      </c>
      <c r="S86" s="17">
        <f t="shared" si="207"/>
        <v>1.829915802142712</v>
      </c>
      <c r="T86" s="17">
        <f t="shared" si="208"/>
        <v>3.3383918613215657</v>
      </c>
      <c r="U86" s="17">
        <f t="shared" si="209"/>
        <v>4.549685762793243</v>
      </c>
      <c r="W86" t="str">
        <f t="shared" si="246"/>
        <v>23 Teaching and other educational professionals</v>
      </c>
      <c r="X86" s="17">
        <f t="shared" si="210"/>
        <v>-6.0387699735075735</v>
      </c>
      <c r="Y86" s="17">
        <f t="shared" si="210"/>
        <v>24.81906871940307</v>
      </c>
      <c r="Z86" s="17">
        <f t="shared" si="210"/>
        <v>-0.42669200998097789</v>
      </c>
      <c r="AA86" s="17">
        <f t="shared" si="210"/>
        <v>0.44051845648733767</v>
      </c>
      <c r="AB86" s="17">
        <f t="shared" si="211"/>
        <v>1.5384003165380467</v>
      </c>
      <c r="AD86" s="17">
        <f t="shared" si="212"/>
        <v>0.15061233660718099</v>
      </c>
      <c r="AE86" s="17">
        <f t="shared" si="213"/>
        <v>2.6652513425404756</v>
      </c>
      <c r="AF86" s="17">
        <f t="shared" si="214"/>
        <v>2.7698237685185756</v>
      </c>
      <c r="AH86" t="str">
        <f t="shared" si="247"/>
        <v>23 Teaching and other educational professionals</v>
      </c>
      <c r="AI86" s="17">
        <f t="shared" si="215"/>
        <v>-20.370709960591071</v>
      </c>
      <c r="AJ86" s="17">
        <f t="shared" si="215"/>
        <v>-2.2010396999728066</v>
      </c>
      <c r="AK86" s="17">
        <f t="shared" si="215"/>
        <v>-11.170981333125262</v>
      </c>
      <c r="AL86" s="17">
        <f t="shared" si="215"/>
        <v>0.30136322978624452</v>
      </c>
      <c r="AM86" s="17">
        <f t="shared" si="216"/>
        <v>-3.5868977396501411</v>
      </c>
      <c r="AO86" s="17">
        <f t="shared" si="217"/>
        <v>-3.6785869264266746</v>
      </c>
      <c r="AP86" s="17">
        <f t="shared" si="218"/>
        <v>0.98519575993973874</v>
      </c>
      <c r="AQ86" s="17">
        <f t="shared" si="219"/>
        <v>-2.0907464764099215</v>
      </c>
      <c r="AS86" t="str">
        <f t="shared" si="248"/>
        <v>23 Teaching and other educational professionals</v>
      </c>
      <c r="AT86" s="17">
        <f t="shared" si="220"/>
        <v>-10.708293147655002</v>
      </c>
      <c r="AU86" s="17">
        <f t="shared" si="220"/>
        <v>12.413414952625267</v>
      </c>
      <c r="AV86" s="17">
        <f t="shared" si="220"/>
        <v>-3.2895679256592425</v>
      </c>
      <c r="AW86" s="17">
        <f t="shared" si="220"/>
        <v>-1.8478432361669794</v>
      </c>
      <c r="AX86" s="17">
        <f t="shared" si="221"/>
        <v>-1.4687591991747739</v>
      </c>
      <c r="AZ86" s="17">
        <f t="shared" si="222"/>
        <v>-2.3307905262168971</v>
      </c>
      <c r="BA86" s="17">
        <f t="shared" si="223"/>
        <v>1.8886139849895178</v>
      </c>
      <c r="BB86" s="17">
        <f t="shared" si="224"/>
        <v>0.17149628809201012</v>
      </c>
      <c r="BD86" t="str">
        <f t="shared" si="249"/>
        <v>23 Teaching and other educational professionals</v>
      </c>
      <c r="BE86" s="17">
        <f t="shared" si="225"/>
        <v>-3.9626778250084871</v>
      </c>
      <c r="BF86" s="17">
        <f t="shared" si="225"/>
        <v>41.279947588779088</v>
      </c>
      <c r="BG86" s="17">
        <f t="shared" si="225"/>
        <v>0.59036455552199385</v>
      </c>
      <c r="BH86" s="17">
        <f t="shared" si="225"/>
        <v>1.1522653876153921</v>
      </c>
      <c r="BI86" s="17">
        <f t="shared" si="226"/>
        <v>3.1071210593524246</v>
      </c>
      <c r="BK86" s="17">
        <f t="shared" si="227"/>
        <v>0.96461721827414415</v>
      </c>
      <c r="BL86" s="17">
        <f t="shared" si="228"/>
        <v>2.3789157417442697</v>
      </c>
      <c r="BM86" s="17">
        <f t="shared" si="229"/>
        <v>3.0865873666124477</v>
      </c>
      <c r="BO86" t="str">
        <f t="shared" si="250"/>
        <v>23 Teaching and other educational professionals</v>
      </c>
      <c r="BP86" s="17">
        <f t="shared" si="230"/>
        <v>-2.8710522488083257</v>
      </c>
      <c r="BQ86" s="17">
        <f t="shared" si="230"/>
        <v>24.328530850698261</v>
      </c>
      <c r="BR86" s="17">
        <f t="shared" si="230"/>
        <v>-1.1170650914533398</v>
      </c>
      <c r="BS86" s="17">
        <f t="shared" si="230"/>
        <v>-1.4434418914250902</v>
      </c>
      <c r="BT86" s="17">
        <f t="shared" si="231"/>
        <v>0.10126171237281323</v>
      </c>
      <c r="BV86" s="17">
        <f t="shared" si="232"/>
        <v>-1.3347694953326328</v>
      </c>
      <c r="BW86" s="17">
        <f t="shared" si="233"/>
        <v>2.2698650083305072</v>
      </c>
      <c r="BX86" s="17">
        <f t="shared" si="234"/>
        <v>1.3219325000024984</v>
      </c>
      <c r="BZ86" t="str">
        <f t="shared" si="251"/>
        <v>23 Teaching and other educational professionals</v>
      </c>
      <c r="CA86" s="17">
        <f t="shared" si="235"/>
        <v>-1.6946392214368666</v>
      </c>
      <c r="CB86" s="17">
        <f t="shared" si="235"/>
        <v>2.0368090750772172</v>
      </c>
      <c r="CC86" s="17">
        <f t="shared" si="235"/>
        <v>-0.68554974835430826</v>
      </c>
      <c r="CD86" s="17">
        <f t="shared" si="235"/>
        <v>-3.6356946683061997</v>
      </c>
      <c r="CE86" s="17">
        <f t="shared" si="236"/>
        <v>-2.3749398196274307</v>
      </c>
      <c r="CG86" s="17">
        <f t="shared" si="237"/>
        <v>-2.6621810008290336</v>
      </c>
      <c r="CH86" s="17">
        <f t="shared" si="238"/>
        <v>2.0192357080292656</v>
      </c>
      <c r="CI86" s="17">
        <f t="shared" si="239"/>
        <v>0.11133853192106802</v>
      </c>
      <c r="CK86" t="str">
        <f t="shared" si="252"/>
        <v>23 Teaching and other educational professionals</v>
      </c>
      <c r="CL86" s="17">
        <f t="shared" si="240"/>
        <v>2.3330519102490621</v>
      </c>
      <c r="CM86" s="17">
        <f t="shared" si="240"/>
        <v>-4.0789532812366964</v>
      </c>
      <c r="CN86" s="17">
        <f t="shared" si="240"/>
        <v>3.488672294027273</v>
      </c>
      <c r="CO86" s="17">
        <f t="shared" si="240"/>
        <v>0.38382939983390152</v>
      </c>
      <c r="CP86" s="17">
        <f t="shared" si="241"/>
        <v>1.0563186531903801</v>
      </c>
      <c r="CR86" s="17">
        <f t="shared" si="242"/>
        <v>1.4082864718516719</v>
      </c>
      <c r="CS86" s="17">
        <f t="shared" si="243"/>
        <v>2.5434063867236567</v>
      </c>
      <c r="CT86" s="17">
        <f t="shared" si="244"/>
        <v>3.5638492871099769</v>
      </c>
    </row>
    <row r="87" spans="1:98" x14ac:dyDescent="0.2">
      <c r="A87" t="str">
        <f t="shared" si="199"/>
        <v>24 Business, media and public service professionals</v>
      </c>
      <c r="B87" s="17">
        <f t="shared" si="200"/>
        <v>8.7794241701274913</v>
      </c>
      <c r="C87" s="17">
        <f t="shared" si="200"/>
        <v>-7.4491908141916419</v>
      </c>
      <c r="D87" s="17">
        <f t="shared" si="200"/>
        <v>5.3742131104269175</v>
      </c>
      <c r="E87" s="17">
        <f t="shared" si="200"/>
        <v>3.0924181651585059</v>
      </c>
      <c r="F87" s="17">
        <f t="shared" si="201"/>
        <v>3.1026791296520972</v>
      </c>
      <c r="H87" s="17">
        <f t="shared" si="202"/>
        <v>3.8474729153604281</v>
      </c>
      <c r="I87" s="17">
        <f t="shared" si="203"/>
        <v>3.881084322782602</v>
      </c>
      <c r="J87" s="17">
        <f t="shared" si="204"/>
        <v>6.3892917575584018</v>
      </c>
      <c r="L87" t="str">
        <f t="shared" si="245"/>
        <v>24 Business, media and public service professionals</v>
      </c>
      <c r="M87" s="17">
        <f t="shared" si="205"/>
        <v>7.6772493962998567</v>
      </c>
      <c r="N87" s="17">
        <f t="shared" si="205"/>
        <v>-7.5463116143260844</v>
      </c>
      <c r="O87" s="17">
        <f t="shared" si="205"/>
        <v>3.7814426935708578</v>
      </c>
      <c r="P87" s="17">
        <f t="shared" si="205"/>
        <v>1.8090217888554916</v>
      </c>
      <c r="Q87" s="17">
        <f t="shared" si="206"/>
        <v>1.8061673096827713</v>
      </c>
      <c r="S87" s="17">
        <f t="shared" si="207"/>
        <v>2.4622946348210162</v>
      </c>
      <c r="T87" s="17">
        <f t="shared" si="208"/>
        <v>3.5620996158672424</v>
      </c>
      <c r="U87" s="17">
        <f t="shared" si="209"/>
        <v>5.1727148718396343</v>
      </c>
      <c r="W87" t="str">
        <f t="shared" si="246"/>
        <v>24 Business, media and public service professionals</v>
      </c>
      <c r="X87" s="17">
        <f t="shared" si="210"/>
        <v>-0.9044178084328558</v>
      </c>
      <c r="Y87" s="17">
        <f t="shared" si="210"/>
        <v>23.428994777829782</v>
      </c>
      <c r="Z87" s="17">
        <f t="shared" si="210"/>
        <v>2.4924820395267666</v>
      </c>
      <c r="AA87" s="17">
        <f t="shared" si="210"/>
        <v>1.9941106189350633</v>
      </c>
      <c r="AB87" s="17">
        <f t="shared" si="211"/>
        <v>3.3747000300270891</v>
      </c>
      <c r="AD87" s="17">
        <f t="shared" si="212"/>
        <v>2.1599645823038749</v>
      </c>
      <c r="AE87" s="17">
        <f t="shared" si="213"/>
        <v>3.3531663288933755</v>
      </c>
      <c r="AF87" s="17">
        <f t="shared" si="214"/>
        <v>4.7917370393859127</v>
      </c>
      <c r="AH87" t="str">
        <f t="shared" si="247"/>
        <v>24 Business, media and public service professionals</v>
      </c>
      <c r="AI87" s="17">
        <f t="shared" si="215"/>
        <v>-4.6428388216152356</v>
      </c>
      <c r="AJ87" s="17">
        <f t="shared" si="215"/>
        <v>18.987584271007751</v>
      </c>
      <c r="AK87" s="17">
        <f t="shared" si="215"/>
        <v>-1.3177060163277021</v>
      </c>
      <c r="AL87" s="17">
        <f t="shared" si="215"/>
        <v>1.0443678679127988</v>
      </c>
      <c r="AM87" s="17">
        <f t="shared" si="216"/>
        <v>1.3301496322969397</v>
      </c>
      <c r="AO87" s="17">
        <f t="shared" si="217"/>
        <v>0.25079371356344637</v>
      </c>
      <c r="AP87" s="17">
        <f t="shared" si="218"/>
        <v>2.1418813464674225</v>
      </c>
      <c r="AQ87" s="17">
        <f t="shared" si="219"/>
        <v>2.3291736675933095</v>
      </c>
      <c r="AS87" t="str">
        <f t="shared" si="248"/>
        <v>24 Business, media and public service professionals</v>
      </c>
      <c r="AT87" s="17">
        <f t="shared" si="220"/>
        <v>-2.8359397977682055</v>
      </c>
      <c r="AU87" s="17">
        <f t="shared" si="220"/>
        <v>18.830153538179715</v>
      </c>
      <c r="AV87" s="17">
        <f t="shared" si="220"/>
        <v>2.4796575464434367</v>
      </c>
      <c r="AW87" s="17">
        <f t="shared" si="220"/>
        <v>1.6551274845127306</v>
      </c>
      <c r="AX87" s="17">
        <f t="shared" si="221"/>
        <v>2.9112829604156953</v>
      </c>
      <c r="AZ87" s="17">
        <f t="shared" si="222"/>
        <v>1.9292310793443956</v>
      </c>
      <c r="BA87" s="17">
        <f t="shared" si="223"/>
        <v>3.0495960800827504</v>
      </c>
      <c r="BB87" s="17">
        <f t="shared" si="224"/>
        <v>4.3762442417186964</v>
      </c>
      <c r="BD87" t="str">
        <f t="shared" si="249"/>
        <v>24 Business, media and public service professionals</v>
      </c>
      <c r="BE87" s="17">
        <f t="shared" si="225"/>
        <v>0.59912940724600183</v>
      </c>
      <c r="BF87" s="17">
        <f t="shared" si="225"/>
        <v>33.473807682861079</v>
      </c>
      <c r="BG87" s="17">
        <f t="shared" si="225"/>
        <v>-0.23078736148156587</v>
      </c>
      <c r="BH87" s="17">
        <f t="shared" si="225"/>
        <v>1.0505843004168014</v>
      </c>
      <c r="BI87" s="17">
        <f t="shared" si="226"/>
        <v>2.4142624116787026</v>
      </c>
      <c r="BK87" s="17">
        <f t="shared" si="227"/>
        <v>0.62164220508416079</v>
      </c>
      <c r="BL87" s="17">
        <f t="shared" si="228"/>
        <v>2.4459391759666493</v>
      </c>
      <c r="BM87" s="17">
        <f t="shared" si="229"/>
        <v>2.8949299080527346</v>
      </c>
      <c r="BO87" t="str">
        <f t="shared" si="250"/>
        <v>24 Business, media and public service professionals</v>
      </c>
      <c r="BP87" s="17">
        <f t="shared" si="230"/>
        <v>-0.5579887918746862</v>
      </c>
      <c r="BQ87" s="17">
        <f t="shared" si="230"/>
        <v>15.515276966057879</v>
      </c>
      <c r="BR87" s="17">
        <f t="shared" si="230"/>
        <v>-5.4281735862415914E-2</v>
      </c>
      <c r="BS87" s="17">
        <f t="shared" si="230"/>
        <v>-0.35868837425512279</v>
      </c>
      <c r="BT87" s="17">
        <f t="shared" si="231"/>
        <v>0.66208502703541949</v>
      </c>
      <c r="BV87" s="17">
        <f t="shared" si="232"/>
        <v>-0.25732264973953312</v>
      </c>
      <c r="BW87" s="17">
        <f t="shared" si="233"/>
        <v>2.2355415152474967</v>
      </c>
      <c r="BX87" s="17">
        <f t="shared" si="234"/>
        <v>2.0476864497735336</v>
      </c>
      <c r="BZ87" t="str">
        <f t="shared" si="251"/>
        <v>24 Business, media and public service professionals</v>
      </c>
      <c r="CA87" s="17">
        <f t="shared" si="235"/>
        <v>5.5919542746608819</v>
      </c>
      <c r="CB87" s="17">
        <f t="shared" si="235"/>
        <v>-8.5501947751715832</v>
      </c>
      <c r="CC87" s="17">
        <f t="shared" si="235"/>
        <v>0.29526773384973559</v>
      </c>
      <c r="CD87" s="17">
        <f t="shared" si="235"/>
        <v>-4.4862370429992193</v>
      </c>
      <c r="CE87" s="17">
        <f t="shared" si="236"/>
        <v>-3.2802235068426722</v>
      </c>
      <c r="CG87" s="17">
        <f t="shared" si="237"/>
        <v>-2.9182825155470438</v>
      </c>
      <c r="CH87" s="17">
        <f t="shared" si="238"/>
        <v>1.9504917426299118</v>
      </c>
      <c r="CI87" s="17">
        <f t="shared" si="239"/>
        <v>-0.15225492115163997</v>
      </c>
      <c r="CK87" t="str">
        <f t="shared" si="252"/>
        <v>24 Business, media and public service professionals</v>
      </c>
      <c r="CL87" s="17">
        <f t="shared" si="240"/>
        <v>3.9560233205210737</v>
      </c>
      <c r="CM87" s="17">
        <f t="shared" si="240"/>
        <v>-7.5304345083559436</v>
      </c>
      <c r="CN87" s="17">
        <f t="shared" si="240"/>
        <v>2.2463503997811607</v>
      </c>
      <c r="CO87" s="17">
        <f t="shared" si="240"/>
        <v>1.2341313541443633</v>
      </c>
      <c r="CP87" s="17">
        <f t="shared" si="241"/>
        <v>0.97624550728292459</v>
      </c>
      <c r="CR87" s="17">
        <f t="shared" si="242"/>
        <v>1.5704193561177693</v>
      </c>
      <c r="CS87" s="17">
        <f t="shared" si="243"/>
        <v>2.4983628656338519</v>
      </c>
      <c r="CT87" s="17">
        <f t="shared" si="244"/>
        <v>3.6464326716149076</v>
      </c>
    </row>
    <row r="88" spans="1:98" x14ac:dyDescent="0.2">
      <c r="A88" t="str">
        <f t="shared" si="199"/>
        <v>31 Science, engineering and technology associate professionals</v>
      </c>
      <c r="B88" s="17">
        <f t="shared" si="200"/>
        <v>8.7515223407407703</v>
      </c>
      <c r="C88" s="17">
        <f t="shared" si="200"/>
        <v>-10.564403907967513</v>
      </c>
      <c r="D88" s="17">
        <f t="shared" si="200"/>
        <v>2.7943746599557562</v>
      </c>
      <c r="E88" s="17">
        <f t="shared" si="200"/>
        <v>3.7406664052948901</v>
      </c>
      <c r="F88" s="17">
        <f t="shared" si="201"/>
        <v>2.4891680577983966</v>
      </c>
      <c r="H88" s="17">
        <f t="shared" si="202"/>
        <v>3.4242718452431209</v>
      </c>
      <c r="I88" s="17">
        <f t="shared" si="203"/>
        <v>3.4028756299824714</v>
      </c>
      <c r="J88" s="17">
        <f t="shared" si="204"/>
        <v>5.7372393805501076</v>
      </c>
      <c r="L88" t="str">
        <f t="shared" si="245"/>
        <v>31 Science, engineering and technology associate professionals</v>
      </c>
      <c r="M88" s="17">
        <f t="shared" si="205"/>
        <v>10.235085659008035</v>
      </c>
      <c r="N88" s="17">
        <f t="shared" si="205"/>
        <v>-7.7302975498394826</v>
      </c>
      <c r="O88" s="17">
        <f t="shared" si="205"/>
        <v>1.1851637998482989</v>
      </c>
      <c r="P88" s="17">
        <f t="shared" si="205"/>
        <v>3.0581068255663535</v>
      </c>
      <c r="Q88" s="17">
        <f t="shared" si="206"/>
        <v>1.7633879712220857</v>
      </c>
      <c r="S88" s="17">
        <f t="shared" si="207"/>
        <v>2.4299718040332818</v>
      </c>
      <c r="T88" s="17">
        <f t="shared" si="208"/>
        <v>2.9797975402614085</v>
      </c>
      <c r="U88" s="17">
        <f t="shared" si="209"/>
        <v>4.6835988459767997</v>
      </c>
      <c r="W88" t="str">
        <f t="shared" si="246"/>
        <v>31 Science, engineering and technology associate professionals</v>
      </c>
      <c r="X88" s="17">
        <f t="shared" si="210"/>
        <v>-0.8723695803069309</v>
      </c>
      <c r="Y88" s="17">
        <f t="shared" si="210"/>
        <v>11.773501726373038</v>
      </c>
      <c r="Z88" s="17">
        <f t="shared" si="210"/>
        <v>-0.95603844404430482</v>
      </c>
      <c r="AA88" s="17">
        <f t="shared" si="210"/>
        <v>1.1154080738705607</v>
      </c>
      <c r="AB88" s="17">
        <f t="shared" si="211"/>
        <v>1.0946717075632328</v>
      </c>
      <c r="AD88" s="17">
        <f t="shared" si="212"/>
        <v>0.42015643048400886</v>
      </c>
      <c r="AE88" s="17">
        <f t="shared" si="213"/>
        <v>2.4794965055133122</v>
      </c>
      <c r="AF88" s="17">
        <f t="shared" si="214"/>
        <v>2.7803561794576437</v>
      </c>
      <c r="AH88" t="str">
        <f t="shared" si="247"/>
        <v>31 Science, engineering and technology associate professionals</v>
      </c>
      <c r="AI88" s="17">
        <f t="shared" si="215"/>
        <v>-7.3282255437756572E-2</v>
      </c>
      <c r="AJ88" s="17">
        <f t="shared" si="215"/>
        <v>15.921937340349235</v>
      </c>
      <c r="AK88" s="17">
        <f t="shared" si="215"/>
        <v>0.69049154044171779</v>
      </c>
      <c r="AL88" s="17">
        <f t="shared" si="215"/>
        <v>2.6741669477281071</v>
      </c>
      <c r="AM88" s="17">
        <f t="shared" si="216"/>
        <v>2.8270764828546957</v>
      </c>
      <c r="AO88" s="17">
        <f t="shared" si="217"/>
        <v>2.0086371962528604</v>
      </c>
      <c r="AP88" s="17">
        <f t="shared" si="218"/>
        <v>2.8758050288393955</v>
      </c>
      <c r="AQ88" s="17">
        <f t="shared" si="219"/>
        <v>4.2894251875393419</v>
      </c>
      <c r="AS88" t="str">
        <f t="shared" si="248"/>
        <v>31 Science, engineering and technology associate professionals</v>
      </c>
      <c r="AT88" s="17">
        <f t="shared" si="220"/>
        <v>-4.768746438819937</v>
      </c>
      <c r="AU88" s="17">
        <f t="shared" si="220"/>
        <v>7.7296334162645808</v>
      </c>
      <c r="AV88" s="17">
        <f t="shared" si="220"/>
        <v>-3.4607851646072718</v>
      </c>
      <c r="AW88" s="17">
        <f t="shared" si="220"/>
        <v>-0.33218840388304915</v>
      </c>
      <c r="AX88" s="17">
        <f t="shared" si="221"/>
        <v>-0.83972986544027517</v>
      </c>
      <c r="AZ88" s="17">
        <f t="shared" si="222"/>
        <v>-1.3861602949830187</v>
      </c>
      <c r="BA88" s="17">
        <f t="shared" si="223"/>
        <v>1.8689285220032659</v>
      </c>
      <c r="BB88" s="17">
        <f t="shared" si="224"/>
        <v>0.82552356672891403</v>
      </c>
      <c r="BD88" t="str">
        <f t="shared" si="249"/>
        <v>31 Science, engineering and technology associate professionals</v>
      </c>
      <c r="BE88" s="17">
        <f t="shared" si="225"/>
        <v>-0.13109503009975931</v>
      </c>
      <c r="BF88" s="17">
        <f t="shared" si="225"/>
        <v>28.416579840924229</v>
      </c>
      <c r="BG88" s="17">
        <f t="shared" si="225"/>
        <v>-7.1506385672205131</v>
      </c>
      <c r="BH88" s="17">
        <f t="shared" si="225"/>
        <v>-1.338931849397873</v>
      </c>
      <c r="BI88" s="17">
        <f t="shared" si="226"/>
        <v>-1.5850979161044165</v>
      </c>
      <c r="BK88" s="17">
        <f t="shared" si="227"/>
        <v>-3.3155014548389428</v>
      </c>
      <c r="BL88" s="17">
        <f t="shared" si="228"/>
        <v>1.4065694104182791</v>
      </c>
      <c r="BM88" s="17">
        <f t="shared" si="229"/>
        <v>-1.1860554616081154</v>
      </c>
      <c r="BO88" t="str">
        <f t="shared" si="250"/>
        <v>31 Science, engineering and technology associate professionals</v>
      </c>
      <c r="BP88" s="17">
        <f t="shared" si="230"/>
        <v>0.97929865083661305</v>
      </c>
      <c r="BQ88" s="17">
        <f t="shared" si="230"/>
        <v>10.716661356252333</v>
      </c>
      <c r="BR88" s="17">
        <f t="shared" si="230"/>
        <v>-4.167687952762078</v>
      </c>
      <c r="BS88" s="17">
        <f t="shared" si="230"/>
        <v>-0.22739710697868842</v>
      </c>
      <c r="BT88" s="17">
        <f t="shared" si="231"/>
        <v>-0.83284255215003711</v>
      </c>
      <c r="BV88" s="17">
        <f t="shared" si="232"/>
        <v>-1.5585073401645944</v>
      </c>
      <c r="BW88" s="17">
        <f t="shared" si="233"/>
        <v>1.6755100526651967</v>
      </c>
      <c r="BX88" s="17">
        <f t="shared" si="234"/>
        <v>0.47169321659630281</v>
      </c>
      <c r="BZ88" t="str">
        <f t="shared" si="251"/>
        <v>31 Science, engineering and technology associate professionals</v>
      </c>
      <c r="CA88" s="17">
        <f t="shared" si="235"/>
        <v>12.033996143346947</v>
      </c>
      <c r="CB88" s="17">
        <f t="shared" si="235"/>
        <v>-20.573063772945545</v>
      </c>
      <c r="CC88" s="17">
        <f t="shared" si="235"/>
        <v>-2.0347007938556594</v>
      </c>
      <c r="CD88" s="17">
        <f t="shared" si="235"/>
        <v>-1.8625860851734566</v>
      </c>
      <c r="CE88" s="17">
        <f t="shared" si="236"/>
        <v>-3.2046034934179124</v>
      </c>
      <c r="CG88" s="17">
        <f t="shared" si="237"/>
        <v>-1.9199912271267938</v>
      </c>
      <c r="CH88" s="17">
        <f t="shared" si="238"/>
        <v>1.752154699770081</v>
      </c>
      <c r="CI88" s="17">
        <f t="shared" si="239"/>
        <v>0.2958322909604405</v>
      </c>
      <c r="CK88" t="str">
        <f t="shared" si="252"/>
        <v>31 Science, engineering and technology associate professionals</v>
      </c>
      <c r="CL88" s="17">
        <f t="shared" si="240"/>
        <v>6.0467543934845214</v>
      </c>
      <c r="CM88" s="17">
        <f t="shared" si="240"/>
        <v>-7.4087865126295398</v>
      </c>
      <c r="CN88" s="17">
        <f t="shared" si="240"/>
        <v>0.184147263587775</v>
      </c>
      <c r="CO88" s="17">
        <f t="shared" si="240"/>
        <v>1.6731553570850766</v>
      </c>
      <c r="CP88" s="17">
        <f t="shared" si="241"/>
        <v>0.61534923867905267</v>
      </c>
      <c r="CR88" s="17">
        <f t="shared" si="242"/>
        <v>1.1743764631056308</v>
      </c>
      <c r="CS88" s="17">
        <f t="shared" si="243"/>
        <v>2.3315543645394454</v>
      </c>
      <c r="CT88" s="17">
        <f t="shared" si="244"/>
        <v>3.2018814495701209</v>
      </c>
    </row>
    <row r="89" spans="1:98" x14ac:dyDescent="0.2">
      <c r="A89" t="str">
        <f t="shared" si="199"/>
        <v>32 Health and social care associate professionals</v>
      </c>
      <c r="B89" s="17">
        <f t="shared" si="200"/>
        <v>11.940631297859383</v>
      </c>
      <c r="C89" s="17">
        <f t="shared" si="200"/>
        <v>-29.155495278986741</v>
      </c>
      <c r="D89" s="17">
        <f t="shared" si="200"/>
        <v>3.6119392976522668</v>
      </c>
      <c r="E89" s="17">
        <f t="shared" si="200"/>
        <v>2.2153865087060298</v>
      </c>
      <c r="F89" s="17">
        <f t="shared" si="201"/>
        <v>0.32458473675602839</v>
      </c>
      <c r="H89" s="17">
        <f t="shared" si="202"/>
        <v>2.6787999544707342</v>
      </c>
      <c r="I89" s="17">
        <f t="shared" si="203"/>
        <v>4.1907308476753391</v>
      </c>
      <c r="J89" s="17">
        <f t="shared" si="204"/>
        <v>5.8246895740863724</v>
      </c>
      <c r="L89" t="str">
        <f t="shared" si="245"/>
        <v>32 Health and social care associate professionals</v>
      </c>
      <c r="M89" s="17">
        <f t="shared" si="205"/>
        <v>7.6589552239541003</v>
      </c>
      <c r="N89" s="17">
        <f t="shared" si="205"/>
        <v>-13.332519547974931</v>
      </c>
      <c r="O89" s="17">
        <f t="shared" si="205"/>
        <v>2.8743158920858214</v>
      </c>
      <c r="P89" s="17">
        <f t="shared" si="205"/>
        <v>1.7865411605004766</v>
      </c>
      <c r="Q89" s="17">
        <f t="shared" si="206"/>
        <v>1.1040164572373001</v>
      </c>
      <c r="S89" s="17">
        <f t="shared" si="207"/>
        <v>2.147848701526045</v>
      </c>
      <c r="T89" s="17">
        <f t="shared" si="208"/>
        <v>3.9181752507634338</v>
      </c>
      <c r="U89" s="17">
        <f t="shared" si="209"/>
        <v>5.2526367465535628</v>
      </c>
      <c r="W89" t="str">
        <f t="shared" si="246"/>
        <v>32 Health and social care associate professionals</v>
      </c>
      <c r="X89" s="17">
        <f t="shared" si="210"/>
        <v>1.0881722585480036</v>
      </c>
      <c r="Y89" s="17">
        <f t="shared" si="210"/>
        <v>15.496190740794491</v>
      </c>
      <c r="Z89" s="17">
        <f t="shared" si="210"/>
        <v>2.9962348415408568</v>
      </c>
      <c r="AA89" s="17">
        <f t="shared" si="210"/>
        <v>2.9006089384623568</v>
      </c>
      <c r="AB89" s="17">
        <f t="shared" si="211"/>
        <v>3.6760316993098785</v>
      </c>
      <c r="AD89" s="17">
        <f t="shared" si="212"/>
        <v>2.9324743706394152</v>
      </c>
      <c r="AE89" s="17">
        <f t="shared" si="213"/>
        <v>4.0704460240943652</v>
      </c>
      <c r="AF89" s="17">
        <f t="shared" si="214"/>
        <v>5.8975436831321115</v>
      </c>
      <c r="AH89" t="str">
        <f t="shared" si="247"/>
        <v>32 Health and social care associate professionals</v>
      </c>
      <c r="AI89" s="17">
        <f t="shared" si="215"/>
        <v>-7.2257881846950927</v>
      </c>
      <c r="AJ89" s="17">
        <f t="shared" si="215"/>
        <v>10.397961887730055</v>
      </c>
      <c r="AK89" s="17">
        <f t="shared" si="215"/>
        <v>-5.7876496068584586</v>
      </c>
      <c r="AL89" s="17">
        <f t="shared" si="215"/>
        <v>-6.0938044771892796</v>
      </c>
      <c r="AM89" s="17">
        <f t="shared" si="216"/>
        <v>-5.0428504538562402</v>
      </c>
      <c r="AO89" s="17">
        <f t="shared" si="217"/>
        <v>-5.9918635568951162</v>
      </c>
      <c r="AP89" s="17">
        <f t="shared" si="218"/>
        <v>1.7188445077681358</v>
      </c>
      <c r="AQ89" s="17">
        <f t="shared" si="219"/>
        <v>-2.470914548993608</v>
      </c>
      <c r="AS89" t="str">
        <f t="shared" si="248"/>
        <v>32 Health and social care associate professionals</v>
      </c>
      <c r="AT89" s="17">
        <f t="shared" si="220"/>
        <v>0.82477275987189458</v>
      </c>
      <c r="AU89" s="17">
        <f t="shared" si="220"/>
        <v>21.135932998555205</v>
      </c>
      <c r="AV89" s="17">
        <f t="shared" si="220"/>
        <v>-0.14969252163264946</v>
      </c>
      <c r="AW89" s="17">
        <f t="shared" si="220"/>
        <v>1.4255641779749473</v>
      </c>
      <c r="AX89" s="17">
        <f t="shared" si="221"/>
        <v>2.0571406396253433</v>
      </c>
      <c r="AZ89" s="17">
        <f t="shared" si="222"/>
        <v>0.89773651426776624</v>
      </c>
      <c r="BA89" s="17">
        <f t="shared" si="223"/>
        <v>3.1707819474456445</v>
      </c>
      <c r="BB89" s="17">
        <f t="shared" si="224"/>
        <v>3.7640931900969843</v>
      </c>
      <c r="BD89" t="str">
        <f t="shared" si="249"/>
        <v>32 Health and social care associate professionals</v>
      </c>
      <c r="BE89" s="17">
        <f t="shared" si="225"/>
        <v>3.5954768925962055</v>
      </c>
      <c r="BF89" s="17">
        <f t="shared" si="225"/>
        <v>15.932315128924191</v>
      </c>
      <c r="BG89" s="17">
        <f t="shared" si="225"/>
        <v>1.430164752011942</v>
      </c>
      <c r="BH89" s="17">
        <f t="shared" si="225"/>
        <v>1.6940587575878796</v>
      </c>
      <c r="BI89" s="17">
        <f t="shared" si="226"/>
        <v>2.4471186630785402</v>
      </c>
      <c r="BK89" s="17">
        <f t="shared" si="227"/>
        <v>1.6060178903391176</v>
      </c>
      <c r="BL89" s="17">
        <f t="shared" si="228"/>
        <v>3.4889838696145814</v>
      </c>
      <c r="BM89" s="17">
        <f t="shared" si="229"/>
        <v>4.5264397855509175</v>
      </c>
      <c r="BO89" t="str">
        <f t="shared" si="250"/>
        <v>32 Health and social care associate professionals</v>
      </c>
      <c r="BP89" s="17">
        <f t="shared" si="230"/>
        <v>1.0593582301391402</v>
      </c>
      <c r="BQ89" s="17">
        <f t="shared" si="230"/>
        <v>9.2650429155151759</v>
      </c>
      <c r="BR89" s="17">
        <f t="shared" si="230"/>
        <v>-2.0994417317982905</v>
      </c>
      <c r="BS89" s="17">
        <f t="shared" si="230"/>
        <v>-1.9768678167825349</v>
      </c>
      <c r="BT89" s="17">
        <f t="shared" si="231"/>
        <v>-1.3480208614809253</v>
      </c>
      <c r="BV89" s="17">
        <f t="shared" si="232"/>
        <v>-2.0177428307024625</v>
      </c>
      <c r="BW89" s="17">
        <f t="shared" si="233"/>
        <v>2.3717304624787161</v>
      </c>
      <c r="BX89" s="17">
        <f t="shared" si="234"/>
        <v>0.98226419777027729</v>
      </c>
      <c r="BZ89" t="str">
        <f t="shared" si="251"/>
        <v>32 Health and social care associate professionals</v>
      </c>
      <c r="CA89" s="17">
        <f t="shared" si="235"/>
        <v>-5.2150078982156733</v>
      </c>
      <c r="CB89" s="17">
        <f t="shared" si="235"/>
        <v>-4.7990322131113095</v>
      </c>
      <c r="CC89" s="17">
        <f t="shared" si="235"/>
        <v>-4.3524343513766217</v>
      </c>
      <c r="CD89" s="17">
        <f t="shared" si="235"/>
        <v>-7.0845369282184212</v>
      </c>
      <c r="CE89" s="17">
        <f t="shared" si="236"/>
        <v>-6.096737163457755</v>
      </c>
      <c r="CG89" s="17">
        <f t="shared" si="237"/>
        <v>-6.1826191890606452</v>
      </c>
      <c r="CH89" s="17">
        <f t="shared" si="238"/>
        <v>1.6401535226485464</v>
      </c>
      <c r="CI89" s="17">
        <f t="shared" si="239"/>
        <v>-2.7290727355972377</v>
      </c>
      <c r="CK89" t="str">
        <f t="shared" si="252"/>
        <v>32 Health and social care associate professionals</v>
      </c>
      <c r="CL89" s="17">
        <f t="shared" si="240"/>
        <v>-0.85778435755058391</v>
      </c>
      <c r="CM89" s="17">
        <f t="shared" si="240"/>
        <v>-12.256096026645846</v>
      </c>
      <c r="CN89" s="17">
        <f t="shared" si="240"/>
        <v>0.73842665253538442</v>
      </c>
      <c r="CO89" s="17">
        <f t="shared" si="240"/>
        <v>0.70150428680715304</v>
      </c>
      <c r="CP89" s="17">
        <f t="shared" si="241"/>
        <v>-0.15024074835380263</v>
      </c>
      <c r="CR89" s="17">
        <f t="shared" si="242"/>
        <v>0.71381023817358447</v>
      </c>
      <c r="CS89" s="17">
        <f t="shared" si="243"/>
        <v>2.3824019688912568</v>
      </c>
      <c r="CT89" s="17">
        <f t="shared" si="244"/>
        <v>2.903267103689311</v>
      </c>
    </row>
    <row r="90" spans="1:98" x14ac:dyDescent="0.2">
      <c r="A90" t="str">
        <f t="shared" si="199"/>
        <v>33 Protective service occupations</v>
      </c>
      <c r="B90" s="17">
        <f t="shared" si="200"/>
        <v>12.712446357441575</v>
      </c>
      <c r="C90" s="17">
        <f t="shared" si="200"/>
        <v>-20.438488825414769</v>
      </c>
      <c r="D90" s="17">
        <f t="shared" si="200"/>
        <v>9.0905687291087602</v>
      </c>
      <c r="E90" s="17">
        <f t="shared" si="200"/>
        <v>4.5500623194831169</v>
      </c>
      <c r="F90" s="17">
        <f t="shared" si="201"/>
        <v>4.1550006158777686</v>
      </c>
      <c r="H90" s="17">
        <f t="shared" si="202"/>
        <v>6.042168279419613</v>
      </c>
      <c r="I90" s="17">
        <f t="shared" si="203"/>
        <v>3.6499233100050432</v>
      </c>
      <c r="J90" s="17">
        <f t="shared" si="204"/>
        <v>7.8876321101199576</v>
      </c>
      <c r="L90" t="str">
        <f t="shared" si="245"/>
        <v>33 Protective service occupations</v>
      </c>
      <c r="M90" s="17">
        <f t="shared" si="205"/>
        <v>13.586683766704709</v>
      </c>
      <c r="N90" s="17">
        <f t="shared" si="205"/>
        <v>-17.074014391728031</v>
      </c>
      <c r="O90" s="17">
        <f t="shared" si="205"/>
        <v>8.5344834489405663</v>
      </c>
      <c r="P90" s="17">
        <f t="shared" si="205"/>
        <v>4.8909335440433077</v>
      </c>
      <c r="Q90" s="17">
        <f t="shared" si="206"/>
        <v>4.4706517753990926</v>
      </c>
      <c r="S90" s="17">
        <f t="shared" si="207"/>
        <v>6.0916527248361829</v>
      </c>
      <c r="T90" s="17">
        <f t="shared" si="208"/>
        <v>3.3498123491650933</v>
      </c>
      <c r="U90" s="17">
        <f t="shared" si="209"/>
        <v>7.7577078110577791</v>
      </c>
      <c r="W90" t="str">
        <f t="shared" si="246"/>
        <v>33 Protective service occupations</v>
      </c>
      <c r="X90" s="17">
        <f t="shared" si="210"/>
        <v>2.2593592520392614</v>
      </c>
      <c r="Y90" s="17">
        <f t="shared" si="210"/>
        <v>10.975448583525814</v>
      </c>
      <c r="Z90" s="17">
        <f t="shared" si="210"/>
        <v>5.8154981861235688</v>
      </c>
      <c r="AA90" s="17">
        <f t="shared" si="210"/>
        <v>3.9910646218990209</v>
      </c>
      <c r="AB90" s="17">
        <f t="shared" si="211"/>
        <v>4.9834516364056114</v>
      </c>
      <c r="AD90" s="17">
        <f t="shared" si="212"/>
        <v>4.5956869498067432</v>
      </c>
      <c r="AE90" s="17">
        <f t="shared" si="213"/>
        <v>3.5520328710172411</v>
      </c>
      <c r="AF90" s="17">
        <f t="shared" si="214"/>
        <v>6.7129352993440694</v>
      </c>
      <c r="AH90" t="str">
        <f t="shared" si="247"/>
        <v>33 Protective service occupations</v>
      </c>
      <c r="AI90" s="17">
        <f t="shared" si="215"/>
        <v>1.0885712965509331</v>
      </c>
      <c r="AJ90" s="17">
        <f t="shared" si="215"/>
        <v>10.868903412991692</v>
      </c>
      <c r="AK90" s="17">
        <f t="shared" si="215"/>
        <v>5.3122394640726212</v>
      </c>
      <c r="AL90" s="17">
        <f t="shared" si="215"/>
        <v>3.1968054207870855</v>
      </c>
      <c r="AM90" s="17">
        <f t="shared" si="216"/>
        <v>4.3197788981004681</v>
      </c>
      <c r="AO90" s="17">
        <f t="shared" si="217"/>
        <v>3.8971859752942706</v>
      </c>
      <c r="AP90" s="17">
        <f t="shared" si="218"/>
        <v>3.0584625857537295</v>
      </c>
      <c r="AQ90" s="17">
        <f t="shared" si="219"/>
        <v>5.8485485973566176</v>
      </c>
      <c r="AS90" t="str">
        <f t="shared" si="248"/>
        <v>33 Protective service occupations</v>
      </c>
      <c r="AT90" s="17">
        <f t="shared" si="220"/>
        <v>-1.2897344070212924</v>
      </c>
      <c r="AU90" s="17">
        <f t="shared" si="220"/>
        <v>7.1267625396754353</v>
      </c>
      <c r="AV90" s="17">
        <f t="shared" si="220"/>
        <v>2.4299435785327894</v>
      </c>
      <c r="AW90" s="17">
        <f t="shared" si="220"/>
        <v>1.9841398210307171</v>
      </c>
      <c r="AX90" s="17">
        <f t="shared" si="221"/>
        <v>2.4377282845205572</v>
      </c>
      <c r="AZ90" s="17">
        <f t="shared" si="222"/>
        <v>2.1325250707189936</v>
      </c>
      <c r="BA90" s="17">
        <f t="shared" si="223"/>
        <v>2.8668049219657377</v>
      </c>
      <c r="BB90" s="17">
        <f t="shared" si="224"/>
        <v>4.373202919204644</v>
      </c>
      <c r="BD90" t="str">
        <f t="shared" si="249"/>
        <v>33 Protective service occupations</v>
      </c>
      <c r="BE90" s="17">
        <f t="shared" si="225"/>
        <v>-1.6402664262780586</v>
      </c>
      <c r="BF90" s="17">
        <f t="shared" si="225"/>
        <v>24.589676146188609</v>
      </c>
      <c r="BG90" s="17">
        <f t="shared" si="225"/>
        <v>-1.0859810354015398</v>
      </c>
      <c r="BH90" s="17">
        <f t="shared" si="225"/>
        <v>-6.6302167521592459E-2</v>
      </c>
      <c r="BI90" s="17">
        <f t="shared" si="226"/>
        <v>0.99635023521829069</v>
      </c>
      <c r="BK90" s="17">
        <f t="shared" si="227"/>
        <v>-0.40735776025706549</v>
      </c>
      <c r="BL90" s="17">
        <f t="shared" si="228"/>
        <v>1.4510793268601496</v>
      </c>
      <c r="BM90" s="17">
        <f t="shared" si="229"/>
        <v>1.1199978085512763</v>
      </c>
      <c r="BO90" t="str">
        <f t="shared" si="250"/>
        <v>33 Protective service occupations</v>
      </c>
      <c r="BP90" s="17">
        <f t="shared" si="230"/>
        <v>0.89878227706985392</v>
      </c>
      <c r="BQ90" s="17">
        <f t="shared" si="230"/>
        <v>1.6540973335779752</v>
      </c>
      <c r="BR90" s="17">
        <f t="shared" si="230"/>
        <v>2.0503393710405327</v>
      </c>
      <c r="BS90" s="17">
        <f t="shared" si="230"/>
        <v>-0.35381284248259259</v>
      </c>
      <c r="BT90" s="17">
        <f t="shared" si="231"/>
        <v>0.51659088732565195</v>
      </c>
      <c r="BV90" s="17">
        <f t="shared" si="232"/>
        <v>0.44121128312255564</v>
      </c>
      <c r="BW90" s="17">
        <f t="shared" si="233"/>
        <v>1.8151564500528794</v>
      </c>
      <c r="BX90" s="17">
        <f t="shared" si="234"/>
        <v>2.1606109484351377</v>
      </c>
      <c r="BZ90" t="str">
        <f t="shared" si="251"/>
        <v>33 Protective service occupations</v>
      </c>
      <c r="CA90" s="17">
        <f t="shared" si="235"/>
        <v>6.0043000131196456</v>
      </c>
      <c r="CB90" s="17">
        <f t="shared" si="235"/>
        <v>-16.434554280592227</v>
      </c>
      <c r="CC90" s="17">
        <f t="shared" si="235"/>
        <v>2.9870071946167087</v>
      </c>
      <c r="CD90" s="17">
        <f t="shared" si="235"/>
        <v>-5.1468987068117755</v>
      </c>
      <c r="CE90" s="17">
        <f t="shared" si="236"/>
        <v>-3.4441943147441756</v>
      </c>
      <c r="CG90" s="17">
        <f t="shared" si="237"/>
        <v>-2.509603671903915</v>
      </c>
      <c r="CH90" s="17">
        <f t="shared" si="238"/>
        <v>2.0318181886763043</v>
      </c>
      <c r="CI90" s="17">
        <f t="shared" si="239"/>
        <v>0.23083497255589336</v>
      </c>
      <c r="CK90" t="str">
        <f t="shared" si="252"/>
        <v>33 Protective service occupations</v>
      </c>
      <c r="CL90" s="17">
        <f t="shared" si="240"/>
        <v>-2.7616050777813039</v>
      </c>
      <c r="CM90" s="17">
        <f t="shared" si="240"/>
        <v>-14.722234936294775</v>
      </c>
      <c r="CN90" s="17">
        <f t="shared" si="240"/>
        <v>-3.1446625415304408</v>
      </c>
      <c r="CO90" s="17">
        <f t="shared" si="240"/>
        <v>-0.72154417766424617</v>
      </c>
      <c r="CP90" s="17">
        <f t="shared" si="241"/>
        <v>-2.4167600007727996</v>
      </c>
      <c r="CR90" s="17">
        <f t="shared" si="242"/>
        <v>-1.5359121862717373</v>
      </c>
      <c r="CS90" s="17">
        <f t="shared" si="243"/>
        <v>1.2701493327997415</v>
      </c>
      <c r="CT90" s="17">
        <f t="shared" si="244"/>
        <v>8.2521784625422256E-3</v>
      </c>
    </row>
    <row r="91" spans="1:98" x14ac:dyDescent="0.2">
      <c r="A91" t="str">
        <f t="shared" si="199"/>
        <v>34 Culture, media and sports occupations</v>
      </c>
      <c r="B91" s="17">
        <f t="shared" si="200"/>
        <v>8.9475875729737808</v>
      </c>
      <c r="C91" s="17">
        <f t="shared" si="200"/>
        <v>3.7527356162662118</v>
      </c>
      <c r="D91" s="17">
        <f t="shared" si="200"/>
        <v>0.41227551629312575</v>
      </c>
      <c r="E91" s="17">
        <f t="shared" si="200"/>
        <v>1.7487645733919699</v>
      </c>
      <c r="F91" s="17">
        <f t="shared" si="201"/>
        <v>1.4528065253219369</v>
      </c>
      <c r="H91" s="17">
        <f t="shared" si="202"/>
        <v>1.3013033019926734</v>
      </c>
      <c r="I91" s="17">
        <f t="shared" si="203"/>
        <v>3.3884454231320138</v>
      </c>
      <c r="J91" s="17">
        <f t="shared" si="204"/>
        <v>4.2332287884242481</v>
      </c>
      <c r="L91" t="str">
        <f t="shared" si="245"/>
        <v>34 Culture, media and sports occupations</v>
      </c>
      <c r="M91" s="17">
        <f t="shared" si="205"/>
        <v>4.891493405007985</v>
      </c>
      <c r="N91" s="17">
        <f t="shared" si="205"/>
        <v>-13.6933478409213</v>
      </c>
      <c r="O91" s="17">
        <f t="shared" si="205"/>
        <v>0.37484886047285393</v>
      </c>
      <c r="P91" s="17">
        <f t="shared" si="205"/>
        <v>1.3586065721422846</v>
      </c>
      <c r="Q91" s="17">
        <f t="shared" si="206"/>
        <v>3.9944974159644708E-2</v>
      </c>
      <c r="S91" s="17">
        <f t="shared" si="207"/>
        <v>1.0296206803693364</v>
      </c>
      <c r="T91" s="17">
        <f t="shared" si="208"/>
        <v>3.3378898554375924</v>
      </c>
      <c r="U91" s="17">
        <f t="shared" si="209"/>
        <v>4.0060018805415432</v>
      </c>
      <c r="W91" t="str">
        <f t="shared" si="246"/>
        <v>34 Culture, media and sports occupations</v>
      </c>
      <c r="X91" s="17">
        <f t="shared" si="210"/>
        <v>-0.86911709334731579</v>
      </c>
      <c r="Y91" s="17">
        <f t="shared" si="210"/>
        <v>-2.6968731960632764</v>
      </c>
      <c r="Z91" s="17">
        <f t="shared" si="210"/>
        <v>-0.69625154787319454</v>
      </c>
      <c r="AA91" s="17">
        <f t="shared" si="210"/>
        <v>1.3552894596981835</v>
      </c>
      <c r="AB91" s="17">
        <f t="shared" si="211"/>
        <v>0.45318227744770567</v>
      </c>
      <c r="AD91" s="17">
        <f t="shared" si="212"/>
        <v>0.6667759275211127</v>
      </c>
      <c r="AE91" s="17">
        <f t="shared" si="213"/>
        <v>2.8197911122479269</v>
      </c>
      <c r="AF91" s="17">
        <f t="shared" si="214"/>
        <v>3.2786414252661267</v>
      </c>
      <c r="AH91" t="str">
        <f t="shared" si="247"/>
        <v>34 Culture, media and sports occupations</v>
      </c>
      <c r="AI91" s="17">
        <f t="shared" si="215"/>
        <v>-4.5937229402901014</v>
      </c>
      <c r="AJ91" s="17">
        <f t="shared" si="215"/>
        <v>48.565216908616684</v>
      </c>
      <c r="AK91" s="17">
        <f t="shared" si="215"/>
        <v>-0.13704031246309922</v>
      </c>
      <c r="AL91" s="17">
        <f t="shared" si="215"/>
        <v>2.984014255757117</v>
      </c>
      <c r="AM91" s="17">
        <f t="shared" si="216"/>
        <v>4.3613868981401849</v>
      </c>
      <c r="AO91" s="17">
        <f t="shared" si="217"/>
        <v>1.9329724250834124</v>
      </c>
      <c r="AP91" s="17">
        <f t="shared" si="218"/>
        <v>2.9945719667545889</v>
      </c>
      <c r="AQ91" s="17">
        <f t="shared" si="219"/>
        <v>4.3329730369746633</v>
      </c>
      <c r="AS91" t="str">
        <f t="shared" si="248"/>
        <v>34 Culture, media and sports occupations</v>
      </c>
      <c r="AT91" s="17">
        <f t="shared" si="220"/>
        <v>-2.4130929935807566</v>
      </c>
      <c r="AU91" s="17">
        <f t="shared" si="220"/>
        <v>5.0446545163713941</v>
      </c>
      <c r="AV91" s="17">
        <f t="shared" si="220"/>
        <v>-0.71999645332831985</v>
      </c>
      <c r="AW91" s="17">
        <f t="shared" si="220"/>
        <v>1.7536700882715195</v>
      </c>
      <c r="AX91" s="17">
        <f t="shared" si="221"/>
        <v>1.1751789858667649</v>
      </c>
      <c r="AZ91" s="17">
        <f t="shared" si="222"/>
        <v>0.92234110113647017</v>
      </c>
      <c r="BA91" s="17">
        <f t="shared" si="223"/>
        <v>2.7710205771690921</v>
      </c>
      <c r="BB91" s="17">
        <f t="shared" si="224"/>
        <v>3.4134892487760249</v>
      </c>
      <c r="BD91" t="str">
        <f t="shared" si="249"/>
        <v>34 Culture, media and sports occupations</v>
      </c>
      <c r="BE91" s="17">
        <f t="shared" si="225"/>
        <v>0.13467428062974296</v>
      </c>
      <c r="BF91" s="17">
        <f t="shared" si="225"/>
        <v>0.53356737763761153</v>
      </c>
      <c r="BG91" s="17">
        <f t="shared" si="225"/>
        <v>-2.4251009753416986</v>
      </c>
      <c r="BH91" s="17">
        <f t="shared" si="225"/>
        <v>1.9216799857962874</v>
      </c>
      <c r="BI91" s="17">
        <f t="shared" si="226"/>
        <v>0.45677028852857404</v>
      </c>
      <c r="BK91" s="17">
        <f t="shared" si="227"/>
        <v>0.45165256894741379</v>
      </c>
      <c r="BL91" s="17">
        <f t="shared" si="228"/>
        <v>2.245387754168271</v>
      </c>
      <c r="BM91" s="17">
        <f t="shared" si="229"/>
        <v>2.5792900480294145</v>
      </c>
      <c r="BO91" t="str">
        <f t="shared" si="250"/>
        <v>34 Culture, media and sports occupations</v>
      </c>
      <c r="BP91" s="17">
        <f t="shared" si="230"/>
        <v>-3.58524472934445</v>
      </c>
      <c r="BQ91" s="17">
        <f t="shared" si="230"/>
        <v>-21.486744706744787</v>
      </c>
      <c r="BR91" s="17">
        <f t="shared" si="230"/>
        <v>-4.9360290624482666</v>
      </c>
      <c r="BS91" s="17">
        <f t="shared" si="230"/>
        <v>-4.0145505336399374</v>
      </c>
      <c r="BT91" s="17">
        <f t="shared" si="231"/>
        <v>-5.497717494102849</v>
      </c>
      <c r="BV91" s="17">
        <f t="shared" si="232"/>
        <v>-4.3226982492882149</v>
      </c>
      <c r="BW91" s="17">
        <f t="shared" si="233"/>
        <v>1.5995152915548427</v>
      </c>
      <c r="BX91" s="17">
        <f t="shared" si="234"/>
        <v>-1.6081075022667313</v>
      </c>
      <c r="BZ91" t="str">
        <f t="shared" si="251"/>
        <v>34 Culture, media and sports occupations</v>
      </c>
      <c r="CA91" s="17">
        <f t="shared" si="235"/>
        <v>1.7911702368234472</v>
      </c>
      <c r="CB91" s="17">
        <f t="shared" si="235"/>
        <v>-24.298961239485351</v>
      </c>
      <c r="CC91" s="17">
        <f t="shared" si="235"/>
        <v>-4.8291111480708304</v>
      </c>
      <c r="CD91" s="17">
        <f t="shared" si="235"/>
        <v>-6.1641361225604268</v>
      </c>
      <c r="CE91" s="17">
        <f t="shared" si="236"/>
        <v>-7.0055694245048201</v>
      </c>
      <c r="CG91" s="17">
        <f t="shared" si="237"/>
        <v>-5.721221686376909</v>
      </c>
      <c r="CH91" s="17">
        <f t="shared" si="238"/>
        <v>1.4098166664623379</v>
      </c>
      <c r="CI91" s="17">
        <f t="shared" si="239"/>
        <v>-2.8618105818779438</v>
      </c>
      <c r="CK91" t="str">
        <f t="shared" si="252"/>
        <v>34 Culture, media and sports occupations</v>
      </c>
      <c r="CL91" s="17">
        <f t="shared" si="240"/>
        <v>5.885632119481099</v>
      </c>
      <c r="CM91" s="17">
        <f t="shared" si="240"/>
        <v>-18.704235830264281</v>
      </c>
      <c r="CN91" s="17">
        <f t="shared" si="240"/>
        <v>1.0882104552397909</v>
      </c>
      <c r="CO91" s="17">
        <f t="shared" si="240"/>
        <v>4.5065639099023835</v>
      </c>
      <c r="CP91" s="17">
        <f t="shared" si="241"/>
        <v>1.8152622388032835</v>
      </c>
      <c r="CR91" s="17">
        <f t="shared" si="242"/>
        <v>3.354458341966926</v>
      </c>
      <c r="CS91" s="17">
        <f t="shared" si="243"/>
        <v>2.4409865572740719</v>
      </c>
      <c r="CT91" s="17">
        <f t="shared" si="244"/>
        <v>4.9907989120304475</v>
      </c>
    </row>
    <row r="92" spans="1:98" x14ac:dyDescent="0.2">
      <c r="A92" t="str">
        <f t="shared" si="199"/>
        <v>35 Business and public service associate professionals</v>
      </c>
      <c r="B92" s="17">
        <f t="shared" si="200"/>
        <v>8.2389113936740088</v>
      </c>
      <c r="C92" s="17">
        <f t="shared" si="200"/>
        <v>-17.699901454355004</v>
      </c>
      <c r="D92" s="17">
        <f t="shared" si="200"/>
        <v>3.0441659242203656</v>
      </c>
      <c r="E92" s="17">
        <f t="shared" si="200"/>
        <v>2.6622493908111</v>
      </c>
      <c r="F92" s="17">
        <f t="shared" si="201"/>
        <v>1.3710796782658852</v>
      </c>
      <c r="H92" s="17">
        <f t="shared" si="202"/>
        <v>2.7893973632111768</v>
      </c>
      <c r="I92" s="17">
        <f t="shared" si="203"/>
        <v>3.4222940044631667</v>
      </c>
      <c r="J92" s="17">
        <f t="shared" si="204"/>
        <v>5.2922735299156809</v>
      </c>
      <c r="L92" t="str">
        <f t="shared" si="245"/>
        <v>35 Business and public service associate professionals</v>
      </c>
      <c r="M92" s="17">
        <f t="shared" si="205"/>
        <v>8.0470053730197009</v>
      </c>
      <c r="N92" s="17">
        <f t="shared" si="205"/>
        <v>-14.621210560450415</v>
      </c>
      <c r="O92" s="17">
        <f t="shared" si="205"/>
        <v>1.8652836217919244</v>
      </c>
      <c r="P92" s="17">
        <f t="shared" si="205"/>
        <v>1.7088294361701006</v>
      </c>
      <c r="Q92" s="17">
        <f t="shared" si="206"/>
        <v>0.6506819331125735</v>
      </c>
      <c r="S92" s="17">
        <f t="shared" si="207"/>
        <v>1.7609541134794293</v>
      </c>
      <c r="T92" s="17">
        <f t="shared" si="208"/>
        <v>3.3151877427858301</v>
      </c>
      <c r="U92" s="17">
        <f t="shared" si="209"/>
        <v>4.482246373870602</v>
      </c>
      <c r="W92" t="str">
        <f t="shared" si="246"/>
        <v>35 Business and public service associate professionals</v>
      </c>
      <c r="X92" s="17">
        <f t="shared" si="210"/>
        <v>-0.85214447259738257</v>
      </c>
      <c r="Y92" s="17">
        <f t="shared" si="210"/>
        <v>9.1681168909416577</v>
      </c>
      <c r="Z92" s="17">
        <f t="shared" si="210"/>
        <v>0.20902143417576013</v>
      </c>
      <c r="AA92" s="17">
        <f t="shared" si="210"/>
        <v>1.383737707419308</v>
      </c>
      <c r="AB92" s="17">
        <f t="shared" si="211"/>
        <v>1.4832943228413997</v>
      </c>
      <c r="AD92" s="17">
        <f t="shared" si="212"/>
        <v>0.99064344530703785</v>
      </c>
      <c r="AE92" s="17">
        <f t="shared" si="213"/>
        <v>2.9842892602736093</v>
      </c>
      <c r="AF92" s="17">
        <f t="shared" si="214"/>
        <v>3.6565436921406569</v>
      </c>
      <c r="AH92" t="str">
        <f t="shared" si="247"/>
        <v>35 Business and public service associate professionals</v>
      </c>
      <c r="AI92" s="17">
        <f t="shared" si="215"/>
        <v>-1.3459071357839636</v>
      </c>
      <c r="AJ92" s="17">
        <f t="shared" si="215"/>
        <v>13.572230453469647</v>
      </c>
      <c r="AK92" s="17">
        <f t="shared" si="215"/>
        <v>-4.8803703068467374E-2</v>
      </c>
      <c r="AL92" s="17">
        <f t="shared" si="215"/>
        <v>1.3848899835346318</v>
      </c>
      <c r="AM92" s="17">
        <f t="shared" si="216"/>
        <v>1.6533112707060926</v>
      </c>
      <c r="AO92" s="17">
        <f t="shared" si="217"/>
        <v>0.90472155506018392</v>
      </c>
      <c r="AP92" s="17">
        <f t="shared" si="218"/>
        <v>2.8210638339415173</v>
      </c>
      <c r="AQ92" s="17">
        <f t="shared" si="219"/>
        <v>3.4469237471027592</v>
      </c>
      <c r="AS92" t="str">
        <f t="shared" si="248"/>
        <v>35 Business and public service associate professionals</v>
      </c>
      <c r="AT92" s="17">
        <f t="shared" si="220"/>
        <v>-1.7014276694123032</v>
      </c>
      <c r="AU92" s="17">
        <f t="shared" si="220"/>
        <v>12.855886736038947</v>
      </c>
      <c r="AV92" s="17">
        <f t="shared" si="220"/>
        <v>-0.17784817487628279</v>
      </c>
      <c r="AW92" s="17">
        <f t="shared" si="220"/>
        <v>1.5344261204558229</v>
      </c>
      <c r="AX92" s="17">
        <f t="shared" si="221"/>
        <v>1.6657110629717309</v>
      </c>
      <c r="AZ92" s="17">
        <f t="shared" si="222"/>
        <v>0.96042920328918147</v>
      </c>
      <c r="BA92" s="17">
        <f t="shared" si="223"/>
        <v>2.813363206588293</v>
      </c>
      <c r="BB92" s="17">
        <f t="shared" si="224"/>
        <v>3.479256974461431</v>
      </c>
      <c r="BD92" t="str">
        <f t="shared" si="249"/>
        <v>35 Business and public service associate professionals</v>
      </c>
      <c r="BE92" s="17">
        <f t="shared" si="225"/>
        <v>-0.67432471202089062</v>
      </c>
      <c r="BF92" s="17">
        <f t="shared" si="225"/>
        <v>20.960936984178403</v>
      </c>
      <c r="BG92" s="17">
        <f t="shared" si="225"/>
        <v>-2.6948552681061555</v>
      </c>
      <c r="BH92" s="17">
        <f t="shared" si="225"/>
        <v>0.30657394399409288</v>
      </c>
      <c r="BI92" s="17">
        <f t="shared" si="226"/>
        <v>0.52836817229493516</v>
      </c>
      <c r="BK92" s="17">
        <f t="shared" si="227"/>
        <v>-0.70405066736898281</v>
      </c>
      <c r="BL92" s="17">
        <f t="shared" si="228"/>
        <v>2.2089275201849778</v>
      </c>
      <c r="BM92" s="17">
        <f t="shared" si="229"/>
        <v>1.6976864696742089</v>
      </c>
      <c r="BO92" t="str">
        <f t="shared" si="250"/>
        <v>35 Business and public service associate professionals</v>
      </c>
      <c r="BP92" s="17">
        <f t="shared" si="230"/>
        <v>-0.98377165526453147</v>
      </c>
      <c r="BQ92" s="17">
        <f t="shared" si="230"/>
        <v>6.6810654655907964</v>
      </c>
      <c r="BR92" s="17">
        <f t="shared" si="230"/>
        <v>-2.8238045592571925</v>
      </c>
      <c r="BS92" s="17">
        <f t="shared" si="230"/>
        <v>-1.0691659466404491</v>
      </c>
      <c r="BT92" s="17">
        <f t="shared" si="231"/>
        <v>-1.1560211018214361</v>
      </c>
      <c r="BV92" s="17">
        <f t="shared" si="232"/>
        <v>-1.6575377737995001</v>
      </c>
      <c r="BW92" s="17">
        <f t="shared" si="233"/>
        <v>1.8931271627822488</v>
      </c>
      <c r="BX92" s="17">
        <f t="shared" si="234"/>
        <v>0.65639820777214641</v>
      </c>
      <c r="BZ92" t="str">
        <f t="shared" si="251"/>
        <v>35 Business and public service associate professionals</v>
      </c>
      <c r="CA92" s="17">
        <f t="shared" si="235"/>
        <v>3.1576188007867545</v>
      </c>
      <c r="CB92" s="17">
        <f t="shared" si="235"/>
        <v>-15.59596007898122</v>
      </c>
      <c r="CC92" s="17">
        <f t="shared" si="235"/>
        <v>-3.3842174938766401</v>
      </c>
      <c r="CD92" s="17">
        <f t="shared" si="235"/>
        <v>-5.0227541890030309</v>
      </c>
      <c r="CE92" s="17">
        <f t="shared" si="236"/>
        <v>-5.2154706352742668</v>
      </c>
      <c r="CG92" s="17">
        <f t="shared" si="237"/>
        <v>-4.479686401393157</v>
      </c>
      <c r="CH92" s="17">
        <f t="shared" si="238"/>
        <v>1.5597074810566491</v>
      </c>
      <c r="CI92" s="17">
        <f t="shared" si="239"/>
        <v>-1.7772341935524461</v>
      </c>
      <c r="CK92" t="str">
        <f t="shared" si="252"/>
        <v>35 Business and public service associate professionals</v>
      </c>
      <c r="CL92" s="17">
        <f t="shared" si="240"/>
        <v>1.2942200692228623</v>
      </c>
      <c r="CM92" s="17">
        <f t="shared" si="240"/>
        <v>-21.726168073244946</v>
      </c>
      <c r="CN92" s="17">
        <f t="shared" si="240"/>
        <v>-0.89336909738895187</v>
      </c>
      <c r="CO92" s="17">
        <f t="shared" si="240"/>
        <v>1.3952874641731006</v>
      </c>
      <c r="CP92" s="17">
        <f t="shared" si="241"/>
        <v>-0.94093106598228671</v>
      </c>
      <c r="CR92" s="17">
        <f t="shared" si="242"/>
        <v>0.62658901003129763</v>
      </c>
      <c r="CS92" s="17">
        <f t="shared" si="243"/>
        <v>2.1084522966209107</v>
      </c>
      <c r="CT92" s="17">
        <f t="shared" si="244"/>
        <v>2.5817357661948703</v>
      </c>
    </row>
    <row r="93" spans="1:98" x14ac:dyDescent="0.2">
      <c r="A93" t="str">
        <f t="shared" si="199"/>
        <v>41 Administrative occupations</v>
      </c>
      <c r="B93" s="17">
        <f t="shared" si="200"/>
        <v>4.6006787058266774</v>
      </c>
      <c r="C93" s="17">
        <f t="shared" si="200"/>
        <v>-15.541632040948217</v>
      </c>
      <c r="D93" s="17">
        <f t="shared" si="200"/>
        <v>2.2909201247959921</v>
      </c>
      <c r="E93" s="17">
        <f t="shared" si="200"/>
        <v>1.9993063488970453</v>
      </c>
      <c r="F93" s="17">
        <f t="shared" si="201"/>
        <v>0.8933444415207159</v>
      </c>
      <c r="H93" s="17">
        <f t="shared" si="202"/>
        <v>2.0964184524537854</v>
      </c>
      <c r="I93" s="17">
        <f t="shared" si="203"/>
        <v>3.4453698430823687</v>
      </c>
      <c r="J93" s="17">
        <f t="shared" si="204"/>
        <v>4.8238100151443586</v>
      </c>
      <c r="L93" t="str">
        <f t="shared" si="245"/>
        <v>41 Administrative occupations</v>
      </c>
      <c r="M93" s="17">
        <f t="shared" si="205"/>
        <v>6.2898488741536029</v>
      </c>
      <c r="N93" s="17">
        <f t="shared" si="205"/>
        <v>-15.645013021572895</v>
      </c>
      <c r="O93" s="17">
        <f t="shared" si="205"/>
        <v>2.4259051208184612</v>
      </c>
      <c r="P93" s="17">
        <f t="shared" si="205"/>
        <v>1.8801698077015816</v>
      </c>
      <c r="Q93" s="17">
        <f t="shared" si="206"/>
        <v>0.85351196916985117</v>
      </c>
      <c r="S93" s="17">
        <f t="shared" si="207"/>
        <v>2.0617577300044321</v>
      </c>
      <c r="T93" s="17">
        <f t="shared" si="208"/>
        <v>3.6114653143730857</v>
      </c>
      <c r="U93" s="17">
        <f t="shared" si="209"/>
        <v>4.9385798970345451</v>
      </c>
      <c r="W93" t="str">
        <f t="shared" si="246"/>
        <v>41 Administrative occupations</v>
      </c>
      <c r="X93" s="17">
        <f t="shared" si="210"/>
        <v>-1.4890531228558102</v>
      </c>
      <c r="Y93" s="17">
        <f t="shared" si="210"/>
        <v>12.165766590917503</v>
      </c>
      <c r="Z93" s="17">
        <f t="shared" si="210"/>
        <v>0.97151003235076416</v>
      </c>
      <c r="AA93" s="17">
        <f t="shared" si="210"/>
        <v>1.6451755071655638</v>
      </c>
      <c r="AB93" s="17">
        <f t="shared" si="211"/>
        <v>2.0604885366598991</v>
      </c>
      <c r="AD93" s="17">
        <f t="shared" si="212"/>
        <v>1.420122425518322</v>
      </c>
      <c r="AE93" s="17">
        <f t="shared" si="213"/>
        <v>3.3648917694235614</v>
      </c>
      <c r="AF93" s="17">
        <f t="shared" si="214"/>
        <v>4.2923582575675745</v>
      </c>
      <c r="AH93" t="str">
        <f t="shared" si="247"/>
        <v>41 Administrative occupations</v>
      </c>
      <c r="AI93" s="17">
        <f t="shared" si="215"/>
        <v>-0.28385853731588417</v>
      </c>
      <c r="AJ93" s="17">
        <f t="shared" si="215"/>
        <v>12.414341288375574</v>
      </c>
      <c r="AK93" s="17">
        <f t="shared" si="215"/>
        <v>0.25272035972190299</v>
      </c>
      <c r="AL93" s="17">
        <f t="shared" si="215"/>
        <v>1.5654055238357056</v>
      </c>
      <c r="AM93" s="17">
        <f t="shared" si="216"/>
        <v>1.7970139085650594</v>
      </c>
      <c r="AO93" s="17">
        <f t="shared" si="217"/>
        <v>1.1259450559497619</v>
      </c>
      <c r="AP93" s="17">
        <f t="shared" si="218"/>
        <v>3.3822273030026606</v>
      </c>
      <c r="AQ93" s="17">
        <f t="shared" si="219"/>
        <v>4.1104787713496238</v>
      </c>
      <c r="AS93" t="str">
        <f t="shared" si="248"/>
        <v>41 Administrative occupations</v>
      </c>
      <c r="AT93" s="17">
        <f t="shared" si="220"/>
        <v>-1.3741256194668594</v>
      </c>
      <c r="AU93" s="17">
        <f t="shared" si="220"/>
        <v>14.055089143272914</v>
      </c>
      <c r="AV93" s="17">
        <f t="shared" si="220"/>
        <v>6.9534853319330736E-2</v>
      </c>
      <c r="AW93" s="17">
        <f t="shared" si="220"/>
        <v>1.5550071406867927</v>
      </c>
      <c r="AX93" s="17">
        <f t="shared" si="221"/>
        <v>1.8245132597278335</v>
      </c>
      <c r="AZ93" s="17">
        <f t="shared" si="222"/>
        <v>1.0574156324393291</v>
      </c>
      <c r="BA93" s="17">
        <f t="shared" si="223"/>
        <v>3.2265088928044694</v>
      </c>
      <c r="BB93" s="17">
        <f t="shared" si="224"/>
        <v>3.923079850019473</v>
      </c>
      <c r="BD93" t="str">
        <f t="shared" si="249"/>
        <v>41 Administrative occupations</v>
      </c>
      <c r="BE93" s="17">
        <f t="shared" si="225"/>
        <v>-1.7266001188394497</v>
      </c>
      <c r="BF93" s="17">
        <f t="shared" si="225"/>
        <v>13.932257626452582</v>
      </c>
      <c r="BG93" s="17">
        <f t="shared" si="225"/>
        <v>-2.3996791072986579</v>
      </c>
      <c r="BH93" s="17">
        <f t="shared" si="225"/>
        <v>-0.88675090829823944</v>
      </c>
      <c r="BI93" s="17">
        <f t="shared" si="226"/>
        <v>-0.49927299017998861</v>
      </c>
      <c r="BK93" s="17">
        <f t="shared" si="227"/>
        <v>-1.3936483268407351</v>
      </c>
      <c r="BL93" s="17">
        <f t="shared" si="228"/>
        <v>2.3748589548558074</v>
      </c>
      <c r="BM93" s="17">
        <f t="shared" si="229"/>
        <v>1.4015509490176381</v>
      </c>
      <c r="BO93" t="str">
        <f t="shared" si="250"/>
        <v>41 Administrative occupations</v>
      </c>
      <c r="BP93" s="17">
        <f t="shared" si="230"/>
        <v>-2.869290923618073</v>
      </c>
      <c r="BQ93" s="17">
        <f t="shared" si="230"/>
        <v>4.56970561280301</v>
      </c>
      <c r="BR93" s="17">
        <f t="shared" si="230"/>
        <v>-3.8929344841601599</v>
      </c>
      <c r="BS93" s="17">
        <f t="shared" si="230"/>
        <v>-2.9720821637880368</v>
      </c>
      <c r="BT93" s="17">
        <f t="shared" si="231"/>
        <v>-2.8071428297053447</v>
      </c>
      <c r="BV93" s="17">
        <f t="shared" si="232"/>
        <v>-3.2800091378882512</v>
      </c>
      <c r="BW93" s="17">
        <f t="shared" si="233"/>
        <v>1.8346814072749629</v>
      </c>
      <c r="BX93" s="17">
        <f t="shared" si="234"/>
        <v>-0.55509063079344223</v>
      </c>
      <c r="BZ93" t="str">
        <f t="shared" si="251"/>
        <v>41 Administrative occupations</v>
      </c>
      <c r="CA93" s="17">
        <f t="shared" si="235"/>
        <v>-6.0297452028157288</v>
      </c>
      <c r="CB93" s="17">
        <f t="shared" si="235"/>
        <v>-9.8677153782078086</v>
      </c>
      <c r="CC93" s="17">
        <f t="shared" si="235"/>
        <v>-6.7603428755184218</v>
      </c>
      <c r="CD93" s="17">
        <f t="shared" si="235"/>
        <v>-9.4298374225305626</v>
      </c>
      <c r="CE93" s="17">
        <f t="shared" si="236"/>
        <v>-8.6316147987687266</v>
      </c>
      <c r="CG93" s="17">
        <f t="shared" si="237"/>
        <v>-8.5486079017648038</v>
      </c>
      <c r="CH93" s="17">
        <f t="shared" si="238"/>
        <v>1.251624279099639</v>
      </c>
      <c r="CI93" s="17">
        <f t="shared" si="239"/>
        <v>-4.9515250640710606</v>
      </c>
      <c r="CK93" t="str">
        <f t="shared" si="252"/>
        <v>41 Administrative occupations</v>
      </c>
      <c r="CL93" s="17">
        <f t="shared" si="240"/>
        <v>-4.9959548252698882</v>
      </c>
      <c r="CM93" s="17">
        <f t="shared" si="240"/>
        <v>-21.172152627062946</v>
      </c>
      <c r="CN93" s="17">
        <f t="shared" si="240"/>
        <v>-0.63687093133624195</v>
      </c>
      <c r="CO93" s="17">
        <f t="shared" si="240"/>
        <v>-0.50937279047263972</v>
      </c>
      <c r="CP93" s="17">
        <f t="shared" si="241"/>
        <v>-1.9857483754270766</v>
      </c>
      <c r="CR93" s="17">
        <f t="shared" si="242"/>
        <v>-0.55189033814366795</v>
      </c>
      <c r="CS93" s="17">
        <f t="shared" si="243"/>
        <v>1.955804305859421</v>
      </c>
      <c r="CT93" s="17">
        <f t="shared" si="244"/>
        <v>1.5391594185617752</v>
      </c>
    </row>
    <row r="94" spans="1:98" x14ac:dyDescent="0.2">
      <c r="A94" t="str">
        <f t="shared" si="199"/>
        <v>42 Secretarial and related occupations</v>
      </c>
      <c r="B94" s="17">
        <f t="shared" si="200"/>
        <v>7.4656098479537691</v>
      </c>
      <c r="C94" s="17">
        <f t="shared" si="200"/>
        <v>-10.73195875900339</v>
      </c>
      <c r="D94" s="17">
        <f t="shared" si="200"/>
        <v>8.9235649284121976</v>
      </c>
      <c r="E94" s="17">
        <f t="shared" si="200"/>
        <v>4.2496898362918145</v>
      </c>
      <c r="F94" s="17">
        <f t="shared" si="201"/>
        <v>4.6684540435957489</v>
      </c>
      <c r="H94" s="17">
        <f t="shared" si="202"/>
        <v>5.7849284441340298</v>
      </c>
      <c r="I94" s="17">
        <f t="shared" si="203"/>
        <v>5.3469846863076986</v>
      </c>
      <c r="J94" s="17">
        <f t="shared" si="204"/>
        <v>8.7291319920301369</v>
      </c>
      <c r="L94" t="str">
        <f t="shared" si="245"/>
        <v>42 Secretarial and related occupations</v>
      </c>
      <c r="M94" s="17">
        <f t="shared" si="205"/>
        <v>4.5138167629309223</v>
      </c>
      <c r="N94" s="17">
        <f t="shared" si="205"/>
        <v>-16.163113908580129</v>
      </c>
      <c r="O94" s="17">
        <f t="shared" si="205"/>
        <v>7.6830061186928811</v>
      </c>
      <c r="P94" s="17">
        <f t="shared" si="205"/>
        <v>1.6392013812388306</v>
      </c>
      <c r="Q94" s="17">
        <f t="shared" si="206"/>
        <v>2.2525069722714841</v>
      </c>
      <c r="S94" s="17">
        <f t="shared" si="207"/>
        <v>3.6151403595822806</v>
      </c>
      <c r="T94" s="17">
        <f t="shared" si="208"/>
        <v>4.6068074365966716</v>
      </c>
      <c r="U94" s="17">
        <f t="shared" si="209"/>
        <v>6.7627804282544668</v>
      </c>
      <c r="W94" t="str">
        <f t="shared" si="246"/>
        <v>42 Secretarial and related occupations</v>
      </c>
      <c r="X94" s="17">
        <f t="shared" si="210"/>
        <v>-0.55681862343265331</v>
      </c>
      <c r="Y94" s="17">
        <f t="shared" si="210"/>
        <v>10.241206359050725</v>
      </c>
      <c r="Z94" s="17">
        <f t="shared" si="210"/>
        <v>7.4295119196428505</v>
      </c>
      <c r="AA94" s="17">
        <f t="shared" si="210"/>
        <v>5.3035147470592792</v>
      </c>
      <c r="AB94" s="17">
        <f t="shared" si="211"/>
        <v>6.2672433998459454</v>
      </c>
      <c r="AD94" s="17">
        <f t="shared" si="212"/>
        <v>6.0074641144954644</v>
      </c>
      <c r="AE94" s="17">
        <f t="shared" si="213"/>
        <v>4.8545980029257585</v>
      </c>
      <c r="AF94" s="17">
        <f t="shared" si="214"/>
        <v>8.5751841764902359</v>
      </c>
      <c r="AH94" t="str">
        <f t="shared" si="247"/>
        <v>42 Secretarial and related occupations</v>
      </c>
      <c r="AI94" s="17">
        <f t="shared" si="215"/>
        <v>-1.5113171024161431</v>
      </c>
      <c r="AJ94" s="17">
        <f t="shared" si="215"/>
        <v>14.202985904839904</v>
      </c>
      <c r="AK94" s="17">
        <f t="shared" si="215"/>
        <v>4.8667122791997697</v>
      </c>
      <c r="AL94" s="17">
        <f t="shared" si="215"/>
        <v>0.18490453183106492</v>
      </c>
      <c r="AM94" s="17">
        <f t="shared" si="216"/>
        <v>2.4602799134934017</v>
      </c>
      <c r="AO94" s="17">
        <f t="shared" si="217"/>
        <v>1.7218093810906332</v>
      </c>
      <c r="AP94" s="17">
        <f t="shared" si="218"/>
        <v>3.9463318780630807</v>
      </c>
      <c r="AQ94" s="17">
        <f t="shared" si="219"/>
        <v>4.999907064226905</v>
      </c>
      <c r="AS94" t="str">
        <f t="shared" si="248"/>
        <v>42 Secretarial and related occupations</v>
      </c>
      <c r="AT94" s="17">
        <f t="shared" si="220"/>
        <v>-1.8777759117739712</v>
      </c>
      <c r="AU94" s="17">
        <f t="shared" si="220"/>
        <v>10.04455504367343</v>
      </c>
      <c r="AV94" s="17">
        <f t="shared" si="220"/>
        <v>4.6844296890738324</v>
      </c>
      <c r="AW94" s="17">
        <f t="shared" si="220"/>
        <v>2.7291856210445831</v>
      </c>
      <c r="AX94" s="17">
        <f t="shared" si="221"/>
        <v>3.7814757042136993</v>
      </c>
      <c r="AZ94" s="17">
        <f t="shared" si="222"/>
        <v>3.3768419129966087</v>
      </c>
      <c r="BA94" s="17">
        <f t="shared" si="223"/>
        <v>3.8755615365123841</v>
      </c>
      <c r="BB94" s="17">
        <f t="shared" si="224"/>
        <v>6.0529638912306893</v>
      </c>
      <c r="BD94" t="str">
        <f t="shared" si="249"/>
        <v>42 Secretarial and related occupations</v>
      </c>
      <c r="BE94" s="17">
        <f t="shared" si="225"/>
        <v>-1.6176206798650727</v>
      </c>
      <c r="BF94" s="17">
        <f t="shared" si="225"/>
        <v>4.2282604420768255</v>
      </c>
      <c r="BG94" s="17">
        <f t="shared" si="225"/>
        <v>5.3953788261739577</v>
      </c>
      <c r="BH94" s="17">
        <f t="shared" si="225"/>
        <v>-3.8604371727775866</v>
      </c>
      <c r="BI94" s="17">
        <f t="shared" si="226"/>
        <v>-0.55804065370369527</v>
      </c>
      <c r="BK94" s="17">
        <f t="shared" si="227"/>
        <v>-0.86919832368256289</v>
      </c>
      <c r="BL94" s="17">
        <f t="shared" si="228"/>
        <v>3.2609598735309664</v>
      </c>
      <c r="BM94" s="17">
        <f t="shared" si="229"/>
        <v>2.7193882083295984</v>
      </c>
      <c r="BO94" t="str">
        <f t="shared" si="250"/>
        <v>42 Secretarial and related occupations</v>
      </c>
      <c r="BP94" s="17">
        <f t="shared" si="230"/>
        <v>-6.3873854267554204</v>
      </c>
      <c r="BQ94" s="17">
        <f t="shared" si="230"/>
        <v>1.5030551125455149</v>
      </c>
      <c r="BR94" s="17">
        <f t="shared" si="230"/>
        <v>-5.3259149758268176</v>
      </c>
      <c r="BS94" s="17">
        <f t="shared" si="230"/>
        <v>-12.587685134569915</v>
      </c>
      <c r="BT94" s="17">
        <f t="shared" si="231"/>
        <v>-9.5392764839058781</v>
      </c>
      <c r="BV94" s="17">
        <f t="shared" si="232"/>
        <v>-10.231193088611546</v>
      </c>
      <c r="BW94" s="17">
        <f t="shared" si="233"/>
        <v>1.5272715526523539</v>
      </c>
      <c r="BX94" s="17">
        <f t="shared" si="234"/>
        <v>-5.1368734787423769</v>
      </c>
      <c r="BZ94" t="str">
        <f t="shared" si="251"/>
        <v>42 Secretarial and related occupations</v>
      </c>
      <c r="CA94" s="17">
        <f t="shared" si="235"/>
        <v>-8.1046659899533964</v>
      </c>
      <c r="CB94" s="17">
        <f t="shared" si="235"/>
        <v>2.0006875338395957</v>
      </c>
      <c r="CC94" s="17">
        <f t="shared" si="235"/>
        <v>-7.145968527551716</v>
      </c>
      <c r="CD94" s="17">
        <f t="shared" si="235"/>
        <v>-14.759603491657103</v>
      </c>
      <c r="CE94" s="17">
        <f t="shared" si="236"/>
        <v>-11.462175644075268</v>
      </c>
      <c r="CG94" s="17">
        <f t="shared" si="237"/>
        <v>-12.293746015788987</v>
      </c>
      <c r="CH94" s="17">
        <f t="shared" si="238"/>
        <v>1.3257119581211674</v>
      </c>
      <c r="CI94" s="17">
        <f t="shared" si="239"/>
        <v>-6.6154736754196586</v>
      </c>
      <c r="CK94" t="str">
        <f t="shared" si="252"/>
        <v>42 Secretarial and related occupations</v>
      </c>
      <c r="CL94" s="17">
        <f t="shared" si="240"/>
        <v>-3.2080289209015844</v>
      </c>
      <c r="CM94" s="17">
        <f t="shared" si="240"/>
        <v>-28.184054082024179</v>
      </c>
      <c r="CN94" s="17">
        <f t="shared" si="240"/>
        <v>7.0530626768742222</v>
      </c>
      <c r="CO94" s="17">
        <f t="shared" si="240"/>
        <v>-1.4423994135600027</v>
      </c>
      <c r="CP94" s="17">
        <f t="shared" si="241"/>
        <v>-0.84380584491059452</v>
      </c>
      <c r="CR94" s="17">
        <f t="shared" si="242"/>
        <v>1.3117413578625836</v>
      </c>
      <c r="CS94" s="17">
        <f t="shared" si="243"/>
        <v>3.1887786468414392</v>
      </c>
      <c r="CT94" s="17">
        <f t="shared" si="244"/>
        <v>4.0625127235622394</v>
      </c>
    </row>
    <row r="95" spans="1:98" x14ac:dyDescent="0.2">
      <c r="A95" t="str">
        <f t="shared" si="199"/>
        <v>51 Skilled agricultural and related trades</v>
      </c>
      <c r="B95" s="17">
        <f t="shared" si="200"/>
        <v>23.292777109739671</v>
      </c>
      <c r="C95" s="17">
        <f t="shared" si="200"/>
        <v>56.159356323919326</v>
      </c>
      <c r="D95" s="17">
        <f t="shared" si="200"/>
        <v>1.5086537920849352</v>
      </c>
      <c r="E95" s="17">
        <f t="shared" si="200"/>
        <v>1.8638080283856384</v>
      </c>
      <c r="F95" s="17">
        <f t="shared" si="201"/>
        <v>4.5063432413474436</v>
      </c>
      <c r="H95" s="17">
        <f t="shared" si="202"/>
        <v>1.7452854306753585</v>
      </c>
      <c r="I95" s="17">
        <f t="shared" si="203"/>
        <v>3.9443925739762964</v>
      </c>
      <c r="J95" s="17">
        <f t="shared" si="204"/>
        <v>5.0132940766699496</v>
      </c>
      <c r="L95" t="str">
        <f t="shared" si="245"/>
        <v>51 Skilled agricultural and related trades</v>
      </c>
      <c r="M95" s="17">
        <f t="shared" si="205"/>
        <v>1.3715104780108067</v>
      </c>
      <c r="N95" s="17">
        <f t="shared" si="205"/>
        <v>-3.9577188686195419</v>
      </c>
      <c r="O95" s="17">
        <f t="shared" si="205"/>
        <v>1.5274831603609984</v>
      </c>
      <c r="P95" s="17">
        <f t="shared" si="205"/>
        <v>3.1319256455176969</v>
      </c>
      <c r="Q95" s="17">
        <f t="shared" si="206"/>
        <v>2.1720223632084146</v>
      </c>
      <c r="S95" s="17">
        <f t="shared" si="207"/>
        <v>2.5943138611298489</v>
      </c>
      <c r="T95" s="17">
        <f t="shared" si="208"/>
        <v>3.6579210605607759</v>
      </c>
      <c r="U95" s="17">
        <f t="shared" si="209"/>
        <v>5.3409523261245706</v>
      </c>
      <c r="W95" t="str">
        <f t="shared" si="246"/>
        <v>51 Skilled agricultural and related trades</v>
      </c>
      <c r="X95" s="17">
        <f t="shared" si="210"/>
        <v>-7.3089751456570928</v>
      </c>
      <c r="Y95" s="17">
        <f t="shared" si="210"/>
        <v>28.240648778985467</v>
      </c>
      <c r="Z95" s="17">
        <f t="shared" si="210"/>
        <v>3.1390435482691936</v>
      </c>
      <c r="AA95" s="17">
        <f t="shared" si="210"/>
        <v>3.0469860774777757</v>
      </c>
      <c r="AB95" s="17">
        <f t="shared" si="211"/>
        <v>4.4944884127914086</v>
      </c>
      <c r="AD95" s="17">
        <f t="shared" si="212"/>
        <v>3.0776627678362756</v>
      </c>
      <c r="AE95" s="17">
        <f t="shared" si="213"/>
        <v>4.3918978047259527</v>
      </c>
      <c r="AF95" s="17">
        <f t="shared" si="214"/>
        <v>6.2454175565803682</v>
      </c>
      <c r="AH95" t="str">
        <f t="shared" si="247"/>
        <v>51 Skilled agricultural and related trades</v>
      </c>
      <c r="AI95" s="17">
        <f t="shared" si="215"/>
        <v>-4.0865294843349442</v>
      </c>
      <c r="AJ95" s="17">
        <f t="shared" si="215"/>
        <v>11.483771759809414</v>
      </c>
      <c r="AK95" s="17">
        <f t="shared" si="215"/>
        <v>2.5698361745573495</v>
      </c>
      <c r="AL95" s="17">
        <f t="shared" si="215"/>
        <v>1.8739577711263777</v>
      </c>
      <c r="AM95" s="17">
        <f t="shared" si="216"/>
        <v>2.6677062530130691</v>
      </c>
      <c r="AO95" s="17">
        <f t="shared" si="217"/>
        <v>2.1053910795826525</v>
      </c>
      <c r="AP95" s="17">
        <f t="shared" si="218"/>
        <v>4.1978632431185048</v>
      </c>
      <c r="AQ95" s="17">
        <f t="shared" si="219"/>
        <v>5.4602990105683258</v>
      </c>
      <c r="AS95" t="str">
        <f t="shared" si="248"/>
        <v>51 Skilled agricultural and related trades</v>
      </c>
      <c r="AT95" s="17">
        <f t="shared" si="220"/>
        <v>-6.3235692996903676</v>
      </c>
      <c r="AU95" s="17">
        <f t="shared" si="220"/>
        <v>21.046119808086662</v>
      </c>
      <c r="AV95" s="17">
        <f t="shared" si="220"/>
        <v>2.2132804011372853</v>
      </c>
      <c r="AW95" s="17">
        <f t="shared" si="220"/>
        <v>2.8272586015599455</v>
      </c>
      <c r="AX95" s="17">
        <f t="shared" si="221"/>
        <v>3.686718507544362</v>
      </c>
      <c r="AZ95" s="17">
        <f t="shared" si="222"/>
        <v>2.622190506596267</v>
      </c>
      <c r="BA95" s="17">
        <f t="shared" si="223"/>
        <v>3.9918250860949245</v>
      </c>
      <c r="BB95" s="17">
        <f t="shared" si="224"/>
        <v>5.6273250267135477</v>
      </c>
      <c r="BD95" t="str">
        <f t="shared" si="249"/>
        <v>51 Skilled agricultural and related trades</v>
      </c>
      <c r="BE95" s="17">
        <f t="shared" si="225"/>
        <v>-8.7225386963449161</v>
      </c>
      <c r="BF95" s="17">
        <f t="shared" si="225"/>
        <v>19.292633620537949</v>
      </c>
      <c r="BG95" s="17">
        <f t="shared" si="225"/>
        <v>-2.2150940955466325</v>
      </c>
      <c r="BH95" s="17">
        <f t="shared" si="225"/>
        <v>0.97980526394345624</v>
      </c>
      <c r="BI95" s="17">
        <f t="shared" si="226"/>
        <v>1.0170953468952471</v>
      </c>
      <c r="BK95" s="17">
        <f t="shared" si="227"/>
        <v>-9.6594359428769927E-2</v>
      </c>
      <c r="BL95" s="17">
        <f t="shared" si="228"/>
        <v>2.7628113776827945</v>
      </c>
      <c r="BM95" s="17">
        <f t="shared" si="229"/>
        <v>2.6970062680681695</v>
      </c>
      <c r="BO95" t="str">
        <f t="shared" si="250"/>
        <v>51 Skilled agricultural and related trades</v>
      </c>
      <c r="BP95" s="17">
        <f t="shared" si="230"/>
        <v>-4.8586920119589871</v>
      </c>
      <c r="BQ95" s="17">
        <f t="shared" si="230"/>
        <v>-3.2061236678054272</v>
      </c>
      <c r="BR95" s="17">
        <f t="shared" si="230"/>
        <v>0.54655518611428366</v>
      </c>
      <c r="BS95" s="17">
        <f t="shared" si="230"/>
        <v>1.1036778648079615</v>
      </c>
      <c r="BT95" s="17">
        <f t="shared" si="231"/>
        <v>0.65482260917728574</v>
      </c>
      <c r="BV95" s="17">
        <f t="shared" si="232"/>
        <v>0.91762814890317124</v>
      </c>
      <c r="BW95" s="17">
        <f t="shared" si="233"/>
        <v>3.0217976311984085</v>
      </c>
      <c r="BX95" s="17">
        <f t="shared" si="234"/>
        <v>3.6404134669710153</v>
      </c>
      <c r="BZ95" t="str">
        <f t="shared" si="251"/>
        <v>51 Skilled agricultural and related trades</v>
      </c>
      <c r="CA95" s="17">
        <f t="shared" si="235"/>
        <v>3.3247990435972374</v>
      </c>
      <c r="CB95" s="17">
        <f t="shared" si="235"/>
        <v>-25.921482421181175</v>
      </c>
      <c r="CC95" s="17">
        <f t="shared" si="235"/>
        <v>0.85343500107026848</v>
      </c>
      <c r="CD95" s="17">
        <f t="shared" si="235"/>
        <v>1.1281968323074265</v>
      </c>
      <c r="CE95" s="17">
        <f t="shared" si="236"/>
        <v>-0.90442214682460165</v>
      </c>
      <c r="CG95" s="17">
        <f t="shared" si="237"/>
        <v>1.0365264833060994</v>
      </c>
      <c r="CH95" s="17">
        <f t="shared" si="238"/>
        <v>2.7850533927217702</v>
      </c>
      <c r="CI95" s="17">
        <f t="shared" si="239"/>
        <v>3.5075683083614528</v>
      </c>
      <c r="CK95" t="str">
        <f t="shared" si="252"/>
        <v>51 Skilled agricultural and related trades</v>
      </c>
      <c r="CL95" s="17">
        <f t="shared" si="240"/>
        <v>-9.1204911536969409</v>
      </c>
      <c r="CM95" s="17">
        <f t="shared" si="240"/>
        <v>-4.7711750236208221</v>
      </c>
      <c r="CN95" s="17">
        <f t="shared" si="240"/>
        <v>-2.901693121459259</v>
      </c>
      <c r="CO95" s="17">
        <f t="shared" si="240"/>
        <v>-6.9104792863592941</v>
      </c>
      <c r="CP95" s="17">
        <f t="shared" si="241"/>
        <v>-5.5417998947737468</v>
      </c>
      <c r="CR95" s="17">
        <f t="shared" si="242"/>
        <v>-5.5929525954363957</v>
      </c>
      <c r="CS95" s="17">
        <f t="shared" si="243"/>
        <v>1.7179312972207983</v>
      </c>
      <c r="CT95" s="17">
        <f t="shared" si="244"/>
        <v>-2.2311139588154449</v>
      </c>
    </row>
    <row r="96" spans="1:98" x14ac:dyDescent="0.2">
      <c r="A96" t="str">
        <f t="shared" si="199"/>
        <v>52 Skilled metal, electrical and electronic trades</v>
      </c>
      <c r="B96" s="17">
        <f t="shared" si="200"/>
        <v>10.594584478544956</v>
      </c>
      <c r="C96" s="17">
        <f t="shared" si="200"/>
        <v>-27.537473173605253</v>
      </c>
      <c r="D96" s="17">
        <f t="shared" si="200"/>
        <v>4.3410375256665912</v>
      </c>
      <c r="E96" s="17">
        <f t="shared" si="200"/>
        <v>3.3827054395149769</v>
      </c>
      <c r="F96" s="17">
        <f t="shared" si="201"/>
        <v>1.403806991129275</v>
      </c>
      <c r="H96" s="17">
        <f t="shared" si="202"/>
        <v>3.70116746454352</v>
      </c>
      <c r="I96" s="17">
        <f t="shared" si="203"/>
        <v>3.5373372129515523</v>
      </c>
      <c r="J96" s="17">
        <f t="shared" si="204"/>
        <v>6.0374805897431161</v>
      </c>
      <c r="L96" t="str">
        <f t="shared" si="245"/>
        <v>52 Skilled metal, electrical and electronic trades</v>
      </c>
      <c r="M96" s="17">
        <f t="shared" si="205"/>
        <v>13.517907526618078</v>
      </c>
      <c r="N96" s="17">
        <f t="shared" si="205"/>
        <v>-37.548223862413266</v>
      </c>
      <c r="O96" s="17">
        <f t="shared" si="205"/>
        <v>8.4752988182775102</v>
      </c>
      <c r="P96" s="17">
        <f t="shared" si="205"/>
        <v>3.5969118565316816</v>
      </c>
      <c r="Q96" s="17">
        <f t="shared" si="206"/>
        <v>1.8249482158825714</v>
      </c>
      <c r="S96" s="17">
        <f t="shared" si="207"/>
        <v>5.1981634899397555</v>
      </c>
      <c r="T96" s="17">
        <f t="shared" si="208"/>
        <v>4.1925329093491337</v>
      </c>
      <c r="U96" s="17">
        <f t="shared" si="209"/>
        <v>7.5754271385378047</v>
      </c>
      <c r="W96" t="str">
        <f t="shared" si="246"/>
        <v>52 Skilled metal, electrical and electronic trades</v>
      </c>
      <c r="X96" s="17">
        <f t="shared" si="210"/>
        <v>-3.3538205769738205</v>
      </c>
      <c r="Y96" s="17">
        <f t="shared" si="210"/>
        <v>-23.134019820526653</v>
      </c>
      <c r="Z96" s="17">
        <f t="shared" si="210"/>
        <v>4.5231259221272024</v>
      </c>
      <c r="AA96" s="17">
        <f t="shared" si="210"/>
        <v>1.4223371570594168</v>
      </c>
      <c r="AB96" s="17">
        <f t="shared" si="211"/>
        <v>0.62265357125943499</v>
      </c>
      <c r="AD96" s="17">
        <f t="shared" si="212"/>
        <v>2.4455753634289978</v>
      </c>
      <c r="AE96" s="17">
        <f t="shared" si="213"/>
        <v>3.3102284833443241</v>
      </c>
      <c r="AF96" s="17">
        <f t="shared" si="214"/>
        <v>4.9585912149216593</v>
      </c>
      <c r="AH96" t="str">
        <f t="shared" si="247"/>
        <v>52 Skilled metal, electrical and electronic trades</v>
      </c>
      <c r="AI96" s="17">
        <f t="shared" si="215"/>
        <v>-4.6091983399130232</v>
      </c>
      <c r="AJ96" s="17">
        <f t="shared" si="215"/>
        <v>-14.125291736209356</v>
      </c>
      <c r="AK96" s="17">
        <f t="shared" si="215"/>
        <v>2.6837333512903738</v>
      </c>
      <c r="AL96" s="17">
        <f t="shared" si="215"/>
        <v>2.057000534955411</v>
      </c>
      <c r="AM96" s="17">
        <f t="shared" si="216"/>
        <v>1.155056155712364</v>
      </c>
      <c r="AO96" s="17">
        <f t="shared" si="217"/>
        <v>2.265485285537383</v>
      </c>
      <c r="AP96" s="17">
        <f t="shared" si="218"/>
        <v>2.9753831359115024</v>
      </c>
      <c r="AQ96" s="17">
        <f t="shared" si="219"/>
        <v>4.5591295857346559</v>
      </c>
      <c r="AS96" t="str">
        <f t="shared" si="248"/>
        <v>52 Skilled metal, electrical and electronic trades</v>
      </c>
      <c r="AT96" s="17">
        <f t="shared" si="220"/>
        <v>-4.1296580569131986</v>
      </c>
      <c r="AU96" s="17">
        <f t="shared" si="220"/>
        <v>-19.582306544273255</v>
      </c>
      <c r="AV96" s="17">
        <f t="shared" si="220"/>
        <v>1.8354957744020739</v>
      </c>
      <c r="AW96" s="17">
        <f t="shared" si="220"/>
        <v>0.15137977650723222</v>
      </c>
      <c r="AX96" s="17">
        <f t="shared" si="221"/>
        <v>-0.69672864248166988</v>
      </c>
      <c r="AZ96" s="17">
        <f t="shared" si="222"/>
        <v>0.70963422433190093</v>
      </c>
      <c r="BA96" s="17">
        <f t="shared" si="223"/>
        <v>2.6529682996107029</v>
      </c>
      <c r="BB96" s="17">
        <f t="shared" si="224"/>
        <v>3.1526299992485463</v>
      </c>
      <c r="BD96" t="str">
        <f t="shared" si="249"/>
        <v>52 Skilled metal, electrical and electronic trades</v>
      </c>
      <c r="BE96" s="17">
        <f t="shared" si="225"/>
        <v>-1.9453463121325454</v>
      </c>
      <c r="BF96" s="17">
        <f t="shared" si="225"/>
        <v>0.34087114370258131</v>
      </c>
      <c r="BG96" s="17">
        <f t="shared" si="225"/>
        <v>-2.8253643521008009</v>
      </c>
      <c r="BH96" s="17">
        <f t="shared" si="225"/>
        <v>-0.83482835306404324</v>
      </c>
      <c r="BI96" s="17">
        <f t="shared" si="226"/>
        <v>-1.388597758179877</v>
      </c>
      <c r="BK96" s="17">
        <f t="shared" si="227"/>
        <v>-1.5028300776347758</v>
      </c>
      <c r="BL96" s="17">
        <f t="shared" si="228"/>
        <v>1.7720357280344379</v>
      </c>
      <c r="BM96" s="17">
        <f t="shared" si="229"/>
        <v>0.62681025578255056</v>
      </c>
      <c r="BO96" t="str">
        <f t="shared" si="250"/>
        <v>52 Skilled metal, electrical and electronic trades</v>
      </c>
      <c r="BP96" s="17">
        <f t="shared" si="230"/>
        <v>-1.1907647712845471</v>
      </c>
      <c r="BQ96" s="17">
        <f t="shared" si="230"/>
        <v>-19.626455355195926</v>
      </c>
      <c r="BR96" s="17">
        <f t="shared" si="230"/>
        <v>-0.27286390485454781</v>
      </c>
      <c r="BS96" s="17">
        <f t="shared" si="230"/>
        <v>-1.147607761247138</v>
      </c>
      <c r="BT96" s="17">
        <f t="shared" si="231"/>
        <v>-2.1488957495398475</v>
      </c>
      <c r="BV96" s="17">
        <f t="shared" si="232"/>
        <v>-0.85688233903900013</v>
      </c>
      <c r="BW96" s="17">
        <f t="shared" si="233"/>
        <v>1.9554345543468354</v>
      </c>
      <c r="BX96" s="17">
        <f t="shared" si="234"/>
        <v>1.3121647763421063</v>
      </c>
      <c r="BZ96" t="str">
        <f t="shared" si="251"/>
        <v>52 Skilled metal, electrical and electronic trades</v>
      </c>
      <c r="CA96" s="17">
        <f t="shared" si="235"/>
        <v>7.829561299321508</v>
      </c>
      <c r="CB96" s="17">
        <f t="shared" si="235"/>
        <v>-45.764052875372251</v>
      </c>
      <c r="CC96" s="17">
        <f t="shared" si="235"/>
        <v>0.48435580033652226</v>
      </c>
      <c r="CD96" s="17">
        <f t="shared" si="235"/>
        <v>-6.6080868110737878</v>
      </c>
      <c r="CE96" s="17">
        <f t="shared" si="236"/>
        <v>-7.6382796883933786</v>
      </c>
      <c r="CG96" s="17">
        <f t="shared" si="237"/>
        <v>-4.3013820836594334</v>
      </c>
      <c r="CH96" s="17">
        <f t="shared" si="238"/>
        <v>1.8016215813283054</v>
      </c>
      <c r="CI96" s="17">
        <f t="shared" si="239"/>
        <v>-1.2802970515763512</v>
      </c>
      <c r="CK96" t="str">
        <f t="shared" si="252"/>
        <v>52 Skilled metal, electrical and electronic trades</v>
      </c>
      <c r="CL96" s="17">
        <f t="shared" si="240"/>
        <v>-2.7267719940293311</v>
      </c>
      <c r="CM96" s="17">
        <f t="shared" si="240"/>
        <v>-27.531423842989511</v>
      </c>
      <c r="CN96" s="17">
        <f t="shared" si="240"/>
        <v>-3.3604629664974239</v>
      </c>
      <c r="CO96" s="17">
        <f t="shared" si="240"/>
        <v>-3.2249092771080345</v>
      </c>
      <c r="CP96" s="17">
        <f t="shared" si="241"/>
        <v>-5.0002444646473077</v>
      </c>
      <c r="CR96" s="17">
        <f t="shared" si="242"/>
        <v>-3.2701149534702156</v>
      </c>
      <c r="CS96" s="17">
        <f t="shared" si="243"/>
        <v>1.7206422527096032</v>
      </c>
      <c r="CT96" s="17">
        <f t="shared" si="244"/>
        <v>-0.70778487240279464</v>
      </c>
    </row>
    <row r="97" spans="1:98" x14ac:dyDescent="0.2">
      <c r="A97" t="str">
        <f t="shared" si="199"/>
        <v>53 Skilled construction and building trades</v>
      </c>
      <c r="B97" s="17">
        <f t="shared" si="200"/>
        <v>1.5809749528167716</v>
      </c>
      <c r="C97" s="17">
        <f t="shared" si="200"/>
        <v>-40.42087338738353</v>
      </c>
      <c r="D97" s="17">
        <f t="shared" si="200"/>
        <v>11.611895647511329</v>
      </c>
      <c r="E97" s="17">
        <f t="shared" si="200"/>
        <v>1.1662119702225526</v>
      </c>
      <c r="F97" s="17">
        <f t="shared" si="201"/>
        <v>0.92530954795730924</v>
      </c>
      <c r="H97" s="17">
        <f t="shared" si="202"/>
        <v>4.5347024241457978</v>
      </c>
      <c r="I97" s="17">
        <f t="shared" si="203"/>
        <v>4.1484773617066706</v>
      </c>
      <c r="J97" s="17">
        <f t="shared" si="204"/>
        <v>7.0664457990594176</v>
      </c>
      <c r="L97" t="str">
        <f t="shared" si="245"/>
        <v>53 Skilled construction and building trades</v>
      </c>
      <c r="M97" s="17">
        <f t="shared" si="205"/>
        <v>6.3715942751815025</v>
      </c>
      <c r="N97" s="17">
        <f t="shared" si="205"/>
        <v>-36.89574276597758</v>
      </c>
      <c r="O97" s="17">
        <f t="shared" si="205"/>
        <v>6.5129835865491481</v>
      </c>
      <c r="P97" s="17">
        <f t="shared" si="205"/>
        <v>2.8018492689191543</v>
      </c>
      <c r="Q97" s="17">
        <f t="shared" si="206"/>
        <v>0.82484024534050793</v>
      </c>
      <c r="S97" s="17">
        <f t="shared" si="207"/>
        <v>4.0242998598641888</v>
      </c>
      <c r="T97" s="17">
        <f t="shared" si="208"/>
        <v>4.0373567851069936</v>
      </c>
      <c r="U97" s="17">
        <f t="shared" si="209"/>
        <v>6.6262039915628401</v>
      </c>
      <c r="W97" t="str">
        <f t="shared" si="246"/>
        <v>53 Skilled construction and building trades</v>
      </c>
      <c r="X97" s="17">
        <f t="shared" si="210"/>
        <v>-3.0586026309486258</v>
      </c>
      <c r="Y97" s="17">
        <f t="shared" si="210"/>
        <v>-23.024297037450992</v>
      </c>
      <c r="Z97" s="17">
        <f t="shared" si="210"/>
        <v>4.3065690680781366</v>
      </c>
      <c r="AA97" s="17">
        <f t="shared" si="210"/>
        <v>0.19242996732415918</v>
      </c>
      <c r="AB97" s="17">
        <f t="shared" si="211"/>
        <v>-0.19752386253946153</v>
      </c>
      <c r="AD97" s="17">
        <f t="shared" si="212"/>
        <v>1.5454557905341559</v>
      </c>
      <c r="AE97" s="17">
        <f t="shared" si="213"/>
        <v>3.3312593719009298</v>
      </c>
      <c r="AF97" s="17">
        <f t="shared" si="214"/>
        <v>4.3480509954882729</v>
      </c>
      <c r="AH97" t="str">
        <f t="shared" si="247"/>
        <v>53 Skilled construction and building trades</v>
      </c>
      <c r="AI97" s="17">
        <f t="shared" si="215"/>
        <v>-1.1511942451679746</v>
      </c>
      <c r="AJ97" s="17">
        <f t="shared" si="215"/>
        <v>-18.019375396434146</v>
      </c>
      <c r="AK97" s="17">
        <f t="shared" si="215"/>
        <v>3.3992657412015292</v>
      </c>
      <c r="AL97" s="17">
        <f t="shared" si="215"/>
        <v>0.72379111588471989</v>
      </c>
      <c r="AM97" s="17">
        <f t="shared" si="216"/>
        <v>0.25388145007210206</v>
      </c>
      <c r="AO97" s="17">
        <f t="shared" si="217"/>
        <v>1.6078341301257959</v>
      </c>
      <c r="AP97" s="17">
        <f t="shared" si="218"/>
        <v>3.416361681009783</v>
      </c>
      <c r="AQ97" s="17">
        <f t="shared" si="219"/>
        <v>4.4645579991810846</v>
      </c>
      <c r="AS97" t="str">
        <f t="shared" si="248"/>
        <v>53 Skilled construction and building trades</v>
      </c>
      <c r="AT97" s="17">
        <f t="shared" si="220"/>
        <v>-0.70589160551994823</v>
      </c>
      <c r="AU97" s="17">
        <f t="shared" si="220"/>
        <v>-17.586217881865284</v>
      </c>
      <c r="AV97" s="17">
        <f t="shared" si="220"/>
        <v>4.7858331149941646</v>
      </c>
      <c r="AW97" s="17">
        <f t="shared" si="220"/>
        <v>0.71478338955512921</v>
      </c>
      <c r="AX97" s="17">
        <f t="shared" si="221"/>
        <v>0.69961451364586313</v>
      </c>
      <c r="AZ97" s="17">
        <f t="shared" si="222"/>
        <v>2.0539155697895994</v>
      </c>
      <c r="BA97" s="17">
        <f t="shared" si="223"/>
        <v>3.5958977593735675</v>
      </c>
      <c r="BB97" s="17">
        <f t="shared" si="224"/>
        <v>4.9202331726698079</v>
      </c>
      <c r="BD97" t="str">
        <f t="shared" si="249"/>
        <v>53 Skilled construction and building trades</v>
      </c>
      <c r="BE97" s="17">
        <f t="shared" si="225"/>
        <v>-0.64531608880009639</v>
      </c>
      <c r="BF97" s="17">
        <f t="shared" si="225"/>
        <v>-3.5443252604725473</v>
      </c>
      <c r="BG97" s="17">
        <f t="shared" si="225"/>
        <v>-3.0220399825935496</v>
      </c>
      <c r="BH97" s="17">
        <f t="shared" si="225"/>
        <v>-1.5337292627381149</v>
      </c>
      <c r="BI97" s="17">
        <f t="shared" si="226"/>
        <v>-2.1275423233336754</v>
      </c>
      <c r="BK97" s="17">
        <f t="shared" si="227"/>
        <v>-2.03235356232635</v>
      </c>
      <c r="BL97" s="17">
        <f t="shared" si="228"/>
        <v>1.8747438991742582</v>
      </c>
      <c r="BM97" s="17">
        <f t="shared" si="229"/>
        <v>0.36524236053088188</v>
      </c>
      <c r="BO97" t="str">
        <f t="shared" si="250"/>
        <v>53 Skilled construction and building trades</v>
      </c>
      <c r="BP97" s="17">
        <f t="shared" si="230"/>
        <v>2.4409270960416896</v>
      </c>
      <c r="BQ97" s="17">
        <f t="shared" si="230"/>
        <v>-19.810003038644453</v>
      </c>
      <c r="BR97" s="17">
        <f t="shared" si="230"/>
        <v>2.2076560301972359</v>
      </c>
      <c r="BS97" s="17">
        <f t="shared" si="230"/>
        <v>0.300845437249464</v>
      </c>
      <c r="BT97" s="17">
        <f t="shared" si="231"/>
        <v>-0.50839091367225198</v>
      </c>
      <c r="BV97" s="17">
        <f t="shared" si="232"/>
        <v>0.93246317555404357</v>
      </c>
      <c r="BW97" s="17">
        <f t="shared" si="233"/>
        <v>2.6453688189520319</v>
      </c>
      <c r="BX97" s="17">
        <f t="shared" si="234"/>
        <v>3.3057333571676617</v>
      </c>
      <c r="BZ97" t="str">
        <f t="shared" si="251"/>
        <v>53 Skilled construction and building trades</v>
      </c>
      <c r="CA97" s="17">
        <f t="shared" si="235"/>
        <v>10.231123361992189</v>
      </c>
      <c r="CB97" s="17">
        <f t="shared" si="235"/>
        <v>-46.837812354949115</v>
      </c>
      <c r="CC97" s="17">
        <f t="shared" si="235"/>
        <v>1.5466861457548831</v>
      </c>
      <c r="CD97" s="17">
        <f t="shared" si="235"/>
        <v>-3.4034239713363723</v>
      </c>
      <c r="CE97" s="17">
        <f t="shared" si="236"/>
        <v>-5.4776938061113061</v>
      </c>
      <c r="CG97" s="17">
        <f t="shared" si="237"/>
        <v>-1.7807967433152716</v>
      </c>
      <c r="CH97" s="17">
        <f t="shared" si="238"/>
        <v>2.2042637163637524</v>
      </c>
      <c r="CI97" s="17">
        <f t="shared" si="239"/>
        <v>0.9396646390618324</v>
      </c>
      <c r="CK97" t="str">
        <f t="shared" si="252"/>
        <v>53 Skilled construction and building trades</v>
      </c>
      <c r="CL97" s="17">
        <f t="shared" si="240"/>
        <v>-0.28608041872301149</v>
      </c>
      <c r="CM97" s="17">
        <f t="shared" si="240"/>
        <v>-29.794654859542536</v>
      </c>
      <c r="CN97" s="17">
        <f t="shared" si="240"/>
        <v>-8.0680198580751714</v>
      </c>
      <c r="CO97" s="17">
        <f t="shared" si="240"/>
        <v>-14.683590421576076</v>
      </c>
      <c r="CP97" s="17">
        <f t="shared" si="241"/>
        <v>-13.72662065279464</v>
      </c>
      <c r="CR97" s="17">
        <f t="shared" si="242"/>
        <v>-12.533062947558749</v>
      </c>
      <c r="CS97" s="17">
        <f t="shared" si="243"/>
        <v>0.98478187447950116</v>
      </c>
      <c r="CT97" s="17">
        <f t="shared" si="244"/>
        <v>-7.8680516649806691</v>
      </c>
    </row>
    <row r="98" spans="1:98" x14ac:dyDescent="0.2">
      <c r="A98" t="str">
        <f t="shared" si="199"/>
        <v>54 Textiles, printing and other skilled trades</v>
      </c>
      <c r="B98" s="17">
        <f t="shared" si="200"/>
        <v>-0.53978878088036808</v>
      </c>
      <c r="C98" s="17">
        <f t="shared" si="200"/>
        <v>-23.832322193876198</v>
      </c>
      <c r="D98" s="17">
        <f t="shared" si="200"/>
        <v>4.4353503863395316</v>
      </c>
      <c r="E98" s="17">
        <f t="shared" si="200"/>
        <v>2.2884520672119102</v>
      </c>
      <c r="F98" s="17">
        <f t="shared" si="201"/>
        <v>1.0746279247560553</v>
      </c>
      <c r="H98" s="17">
        <f t="shared" si="202"/>
        <v>2.9991356898956489</v>
      </c>
      <c r="I98" s="17">
        <f t="shared" si="203"/>
        <v>3.9439782496193176</v>
      </c>
      <c r="J98" s="17">
        <f t="shared" si="204"/>
        <v>5.8440699518562678</v>
      </c>
      <c r="L98" t="str">
        <f t="shared" si="245"/>
        <v>54 Textiles, printing and other skilled trades</v>
      </c>
      <c r="M98" s="17">
        <f t="shared" si="205"/>
        <v>4.3389914521631656</v>
      </c>
      <c r="N98" s="17">
        <f t="shared" si="205"/>
        <v>-1.9185509000628098</v>
      </c>
      <c r="O98" s="17">
        <f t="shared" si="205"/>
        <v>4.2837216440862358</v>
      </c>
      <c r="P98" s="17">
        <f t="shared" si="205"/>
        <v>2.7973767722847098</v>
      </c>
      <c r="Q98" s="17">
        <f t="shared" si="206"/>
        <v>2.9569367939208391</v>
      </c>
      <c r="S98" s="17">
        <f t="shared" si="207"/>
        <v>3.2904561695442203</v>
      </c>
      <c r="T98" s="17">
        <f t="shared" si="208"/>
        <v>4.1152113182193473</v>
      </c>
      <c r="U98" s="17">
        <f t="shared" si="209"/>
        <v>6.1741088845554737</v>
      </c>
      <c r="W98" t="str">
        <f t="shared" si="246"/>
        <v>54 Textiles, printing and other skilled trades</v>
      </c>
      <c r="X98" s="17">
        <f t="shared" si="210"/>
        <v>-2.0176432710252934</v>
      </c>
      <c r="Y98" s="17">
        <f t="shared" si="210"/>
        <v>-7.8095054195503337</v>
      </c>
      <c r="Z98" s="17">
        <f t="shared" si="210"/>
        <v>4.3710299828459975</v>
      </c>
      <c r="AA98" s="17">
        <f t="shared" si="210"/>
        <v>2.129223456815077</v>
      </c>
      <c r="AB98" s="17">
        <f t="shared" si="211"/>
        <v>2.1687060286353477</v>
      </c>
      <c r="AD98" s="17">
        <f t="shared" si="212"/>
        <v>2.8710903280963596</v>
      </c>
      <c r="AE98" s="17">
        <f t="shared" si="213"/>
        <v>4.009445548120727</v>
      </c>
      <c r="AF98" s="17">
        <f t="shared" si="214"/>
        <v>5.808330881539403</v>
      </c>
      <c r="AH98" t="str">
        <f t="shared" si="247"/>
        <v>54 Textiles, printing and other skilled trades</v>
      </c>
      <c r="AI98" s="17">
        <f t="shared" si="215"/>
        <v>-2.494178540666192</v>
      </c>
      <c r="AJ98" s="17">
        <f t="shared" si="215"/>
        <v>16.419385659144268</v>
      </c>
      <c r="AK98" s="17">
        <f t="shared" si="215"/>
        <v>2.6497761823409682</v>
      </c>
      <c r="AL98" s="17">
        <f t="shared" si="215"/>
        <v>3.373278285893111</v>
      </c>
      <c r="AM98" s="17">
        <f t="shared" si="216"/>
        <v>3.915693281655841</v>
      </c>
      <c r="AO98" s="17">
        <f t="shared" si="217"/>
        <v>3.131546082422676</v>
      </c>
      <c r="AP98" s="17">
        <f t="shared" si="218"/>
        <v>4.0182853160869669</v>
      </c>
      <c r="AQ98" s="17">
        <f t="shared" si="219"/>
        <v>5.9918065532367892</v>
      </c>
      <c r="AS98" t="str">
        <f t="shared" si="248"/>
        <v>54 Textiles, printing and other skilled trades</v>
      </c>
      <c r="AT98" s="17">
        <f t="shared" si="220"/>
        <v>-4.7244164989157067</v>
      </c>
      <c r="AU98" s="17">
        <f t="shared" si="220"/>
        <v>3.0421680458049716</v>
      </c>
      <c r="AV98" s="17">
        <f t="shared" si="220"/>
        <v>2.4488088913295458</v>
      </c>
      <c r="AW98" s="17">
        <f t="shared" si="220"/>
        <v>0.75518429717176261</v>
      </c>
      <c r="AX98" s="17">
        <f t="shared" si="221"/>
        <v>1.4235887114207868</v>
      </c>
      <c r="AZ98" s="17">
        <f t="shared" si="222"/>
        <v>1.3165918574176372</v>
      </c>
      <c r="BA98" s="17">
        <f t="shared" si="223"/>
        <v>3.4752725380227112</v>
      </c>
      <c r="BB98" s="17">
        <f t="shared" si="224"/>
        <v>4.3209102022289114</v>
      </c>
      <c r="BD98" t="str">
        <f t="shared" si="249"/>
        <v>54 Textiles, printing and other skilled trades</v>
      </c>
      <c r="BE98" s="17">
        <f t="shared" si="225"/>
        <v>-4.4471303396565132</v>
      </c>
      <c r="BF98" s="17">
        <f t="shared" si="225"/>
        <v>4.7226491386757941</v>
      </c>
      <c r="BG98" s="17">
        <f t="shared" si="225"/>
        <v>0.4288246007952301</v>
      </c>
      <c r="BH98" s="17">
        <f t="shared" si="225"/>
        <v>0.85477228733239485</v>
      </c>
      <c r="BI98" s="17">
        <f t="shared" si="226"/>
        <v>0.95865721306400697</v>
      </c>
      <c r="BK98" s="17">
        <f t="shared" si="227"/>
        <v>0.71258937289753188</v>
      </c>
      <c r="BL98" s="17">
        <f t="shared" si="228"/>
        <v>2.586978084742042</v>
      </c>
      <c r="BM98" s="17">
        <f t="shared" si="229"/>
        <v>3.0931268690447045</v>
      </c>
      <c r="BO98" t="str">
        <f t="shared" si="250"/>
        <v>54 Textiles, printing and other skilled trades</v>
      </c>
      <c r="BP98" s="17">
        <f t="shared" si="230"/>
        <v>-4.3247595008029549</v>
      </c>
      <c r="BQ98" s="17">
        <f t="shared" si="230"/>
        <v>-1.4223797246983305</v>
      </c>
      <c r="BR98" s="17">
        <f t="shared" si="230"/>
        <v>-3.1117389639586213</v>
      </c>
      <c r="BS98" s="17">
        <f t="shared" si="230"/>
        <v>-1.4263334469220235</v>
      </c>
      <c r="BT98" s="17">
        <f t="shared" si="231"/>
        <v>-1.9559025845014566</v>
      </c>
      <c r="BV98" s="17">
        <f t="shared" si="232"/>
        <v>-1.9913679338049661</v>
      </c>
      <c r="BW98" s="17">
        <f t="shared" si="233"/>
        <v>1.8910083914168485</v>
      </c>
      <c r="BX98" s="17">
        <f t="shared" si="234"/>
        <v>0.41444237065859646</v>
      </c>
      <c r="BZ98" t="str">
        <f t="shared" si="251"/>
        <v>54 Textiles, printing and other skilled trades</v>
      </c>
      <c r="CA98" s="17">
        <f t="shared" si="235"/>
        <v>0.43524243053141287</v>
      </c>
      <c r="CB98" s="17">
        <f t="shared" si="235"/>
        <v>-20.654240982878282</v>
      </c>
      <c r="CC98" s="17">
        <f t="shared" si="235"/>
        <v>-0.50988325753066333</v>
      </c>
      <c r="CD98" s="17">
        <f t="shared" si="235"/>
        <v>-4.3190604337403293</v>
      </c>
      <c r="CE98" s="17">
        <f t="shared" si="236"/>
        <v>-4.2712565313068884</v>
      </c>
      <c r="CG98" s="17">
        <f t="shared" si="237"/>
        <v>-3.0658214331667155</v>
      </c>
      <c r="CH98" s="17">
        <f t="shared" si="238"/>
        <v>1.8521003068123321</v>
      </c>
      <c r="CI98" s="17">
        <f t="shared" si="239"/>
        <v>-0.38537683127941591</v>
      </c>
      <c r="CK98" t="str">
        <f t="shared" si="252"/>
        <v>54 Textiles, printing and other skilled trades</v>
      </c>
      <c r="CL98" s="17">
        <f t="shared" si="240"/>
        <v>-5.0520384343318518</v>
      </c>
      <c r="CM98" s="17">
        <f t="shared" si="240"/>
        <v>-20.330769550609872</v>
      </c>
      <c r="CN98" s="17">
        <f t="shared" si="240"/>
        <v>-3.5398584251406406</v>
      </c>
      <c r="CO98" s="17">
        <f t="shared" si="240"/>
        <v>-2.3670526952287552</v>
      </c>
      <c r="CP98" s="17">
        <f t="shared" si="241"/>
        <v>-3.9633215629730212</v>
      </c>
      <c r="CR98" s="17">
        <f t="shared" si="242"/>
        <v>-2.7595638258823829</v>
      </c>
      <c r="CS98" s="17">
        <f t="shared" si="243"/>
        <v>1.6498408607041881</v>
      </c>
      <c r="CT98" s="17">
        <f t="shared" si="244"/>
        <v>-0.44411758392846057</v>
      </c>
    </row>
    <row r="99" spans="1:98" x14ac:dyDescent="0.2">
      <c r="A99" t="str">
        <f t="shared" si="199"/>
        <v>61 Caring personal service occupations</v>
      </c>
      <c r="B99" s="17">
        <f t="shared" si="200"/>
        <v>4.6978394688290459</v>
      </c>
      <c r="C99" s="17">
        <f t="shared" si="200"/>
        <v>-18.345490608821457</v>
      </c>
      <c r="D99" s="17">
        <f t="shared" si="200"/>
        <v>4.9510299101460653</v>
      </c>
      <c r="E99" s="17">
        <f t="shared" si="200"/>
        <v>2.3821613020600374</v>
      </c>
      <c r="F99" s="17">
        <f t="shared" si="201"/>
        <v>1.7295888911870616</v>
      </c>
      <c r="H99" s="17">
        <f t="shared" si="202"/>
        <v>3.2313873144525163</v>
      </c>
      <c r="I99" s="17">
        <f t="shared" si="203"/>
        <v>4.1205192333163554</v>
      </c>
      <c r="J99" s="17">
        <f t="shared" si="204"/>
        <v>6.1380467209845246</v>
      </c>
      <c r="L99" t="str">
        <f t="shared" si="245"/>
        <v>61 Caring personal service occupations</v>
      </c>
      <c r="M99" s="17">
        <f t="shared" si="205"/>
        <v>7.2436541400455301</v>
      </c>
      <c r="N99" s="17">
        <f t="shared" si="205"/>
        <v>-18.617814090041705</v>
      </c>
      <c r="O99" s="17">
        <f t="shared" si="205"/>
        <v>4.437158775843919</v>
      </c>
      <c r="P99" s="17">
        <f t="shared" si="205"/>
        <v>2.0831754780901601</v>
      </c>
      <c r="Q99" s="17">
        <f t="shared" si="206"/>
        <v>1.367011760514214</v>
      </c>
      <c r="S99" s="17">
        <f t="shared" si="207"/>
        <v>2.8618813868833026</v>
      </c>
      <c r="T99" s="17">
        <f t="shared" si="208"/>
        <v>4.1697397645623857</v>
      </c>
      <c r="U99" s="17">
        <f t="shared" si="209"/>
        <v>5.928616545132348</v>
      </c>
      <c r="W99" t="str">
        <f t="shared" si="246"/>
        <v>61 Caring personal service occupations</v>
      </c>
      <c r="X99" s="17">
        <f t="shared" si="210"/>
        <v>1.4501855691029686</v>
      </c>
      <c r="Y99" s="17">
        <f t="shared" si="210"/>
        <v>4.2356055764131151</v>
      </c>
      <c r="Z99" s="17">
        <f t="shared" si="210"/>
        <v>3.5040143582863781</v>
      </c>
      <c r="AA99" s="17">
        <f t="shared" si="210"/>
        <v>2.4565492238993958</v>
      </c>
      <c r="AB99" s="17">
        <f t="shared" si="211"/>
        <v>2.8933854580951213</v>
      </c>
      <c r="AD99" s="17">
        <f t="shared" si="212"/>
        <v>2.8045211181856988</v>
      </c>
      <c r="AE99" s="17">
        <f t="shared" si="213"/>
        <v>4.1664276785070564</v>
      </c>
      <c r="AF99" s="17">
        <f t="shared" si="214"/>
        <v>5.888018618265356</v>
      </c>
      <c r="AH99" t="str">
        <f t="shared" si="247"/>
        <v>61 Caring personal service occupations</v>
      </c>
      <c r="AI99" s="17">
        <f t="shared" si="215"/>
        <v>-2.5239637867285003</v>
      </c>
      <c r="AJ99" s="17">
        <f t="shared" si="215"/>
        <v>10.719634437172854</v>
      </c>
      <c r="AK99" s="17">
        <f t="shared" si="215"/>
        <v>0.70540289816152235</v>
      </c>
      <c r="AL99" s="17">
        <f t="shared" si="215"/>
        <v>0.83972963954486168</v>
      </c>
      <c r="AM99" s="17">
        <f t="shared" si="216"/>
        <v>1.3882965960025473</v>
      </c>
      <c r="AO99" s="17">
        <f t="shared" si="217"/>
        <v>0.79493416278282325</v>
      </c>
      <c r="AP99" s="17">
        <f t="shared" si="218"/>
        <v>3.3047439495123898</v>
      </c>
      <c r="AQ99" s="17">
        <f t="shared" si="219"/>
        <v>3.8196834645465083</v>
      </c>
      <c r="AS99" t="str">
        <f t="shared" si="248"/>
        <v>61 Caring personal service occupations</v>
      </c>
      <c r="AT99" s="17">
        <f t="shared" si="220"/>
        <v>-0.78479752305281592</v>
      </c>
      <c r="AU99" s="17">
        <f t="shared" si="220"/>
        <v>9.1414120809821586</v>
      </c>
      <c r="AV99" s="17">
        <f t="shared" si="220"/>
        <v>1.0596787706185218</v>
      </c>
      <c r="AW99" s="17">
        <f t="shared" si="220"/>
        <v>1.0388949221609378</v>
      </c>
      <c r="AX99" s="17">
        <f t="shared" si="221"/>
        <v>1.5337235204815336</v>
      </c>
      <c r="AZ99" s="17">
        <f t="shared" si="222"/>
        <v>1.0458223966713032</v>
      </c>
      <c r="BA99" s="17">
        <f t="shared" si="223"/>
        <v>3.4637072475731001</v>
      </c>
      <c r="BB99" s="17">
        <f t="shared" si="224"/>
        <v>4.1316831760261019</v>
      </c>
      <c r="BD99" t="str">
        <f t="shared" si="249"/>
        <v>61 Caring personal service occupations</v>
      </c>
      <c r="BE99" s="17">
        <f t="shared" si="225"/>
        <v>0.948449324334244</v>
      </c>
      <c r="BF99" s="17">
        <f t="shared" si="225"/>
        <v>4.35333728178533</v>
      </c>
      <c r="BG99" s="17">
        <f t="shared" si="225"/>
        <v>3.265973037994474</v>
      </c>
      <c r="BH99" s="17">
        <f t="shared" si="225"/>
        <v>1.3797878348448256</v>
      </c>
      <c r="BI99" s="17">
        <f t="shared" si="226"/>
        <v>2.1498882047629397</v>
      </c>
      <c r="BK99" s="17">
        <f t="shared" si="227"/>
        <v>2.0046568520997177</v>
      </c>
      <c r="BL99" s="17">
        <f t="shared" si="228"/>
        <v>3.625363284647154</v>
      </c>
      <c r="BM99" s="17">
        <f t="shared" si="229"/>
        <v>4.9116302511888366</v>
      </c>
      <c r="BO99" t="str">
        <f t="shared" si="250"/>
        <v>61 Caring personal service occupations</v>
      </c>
      <c r="BP99" s="17">
        <f t="shared" si="230"/>
        <v>-3.7967642648857436</v>
      </c>
      <c r="BQ99" s="17">
        <f t="shared" si="230"/>
        <v>4.0919729634111723</v>
      </c>
      <c r="BR99" s="17">
        <f t="shared" si="230"/>
        <v>-1.5983149052393952</v>
      </c>
      <c r="BS99" s="17">
        <f t="shared" si="230"/>
        <v>-3.034100971304754</v>
      </c>
      <c r="BT99" s="17">
        <f t="shared" si="231"/>
        <v>-2.1549718190626233</v>
      </c>
      <c r="BV99" s="17">
        <f t="shared" si="232"/>
        <v>-2.5578485806561746</v>
      </c>
      <c r="BW99" s="17">
        <f t="shared" si="233"/>
        <v>2.3254611085777643</v>
      </c>
      <c r="BX99" s="17">
        <f t="shared" si="234"/>
        <v>0.57433388709651201</v>
      </c>
      <c r="BZ99" t="str">
        <f t="shared" si="251"/>
        <v>61 Caring personal service occupations</v>
      </c>
      <c r="CA99" s="17">
        <f t="shared" si="235"/>
        <v>-14.895835268583591</v>
      </c>
      <c r="CB99" s="17">
        <f t="shared" si="235"/>
        <v>-18.935844620379982</v>
      </c>
      <c r="CC99" s="17">
        <f t="shared" si="235"/>
        <v>-5.2618318972897153</v>
      </c>
      <c r="CD99" s="17">
        <f t="shared" si="235"/>
        <v>-2.0999809308777539</v>
      </c>
      <c r="CE99" s="17">
        <f t="shared" si="236"/>
        <v>-4.2353785564929858</v>
      </c>
      <c r="CG99" s="17">
        <f t="shared" si="237"/>
        <v>-3.16548571162939</v>
      </c>
      <c r="CH99" s="17">
        <f t="shared" si="238"/>
        <v>1.4646817298887616</v>
      </c>
      <c r="CI99" s="17">
        <f t="shared" si="239"/>
        <v>-0.99308082254918606</v>
      </c>
      <c r="CK99" t="str">
        <f t="shared" si="252"/>
        <v>61 Caring personal service occupations</v>
      </c>
      <c r="CL99" s="17">
        <f t="shared" si="240"/>
        <v>-2.3958294039850503</v>
      </c>
      <c r="CM99" s="17">
        <f t="shared" si="240"/>
        <v>-17.629305401561734</v>
      </c>
      <c r="CN99" s="17">
        <f t="shared" si="240"/>
        <v>1.9523236180989834</v>
      </c>
      <c r="CO99" s="17">
        <f t="shared" si="240"/>
        <v>-0.63543273113293441</v>
      </c>
      <c r="CP99" s="17">
        <f t="shared" si="241"/>
        <v>-1.0012721047338413</v>
      </c>
      <c r="CR99" s="17">
        <f t="shared" si="242"/>
        <v>0.21977109506987613</v>
      </c>
      <c r="CS99" s="17">
        <f t="shared" si="243"/>
        <v>1.9134141746623312</v>
      </c>
      <c r="CT99" s="17">
        <f t="shared" si="244"/>
        <v>2.0826028144077746</v>
      </c>
    </row>
    <row r="100" spans="1:98" x14ac:dyDescent="0.2">
      <c r="A100" t="str">
        <f t="shared" si="199"/>
        <v>62 Leisure, travel and related personal service occupations</v>
      </c>
      <c r="B100" s="17">
        <f t="shared" si="200"/>
        <v>-1.7013964299359197</v>
      </c>
      <c r="C100" s="17">
        <f t="shared" si="200"/>
        <v>17.554191684497699</v>
      </c>
      <c r="D100" s="17">
        <f t="shared" si="200"/>
        <v>5.5507998415725845</v>
      </c>
      <c r="E100" s="17">
        <f t="shared" si="200"/>
        <v>4.0109338090438262</v>
      </c>
      <c r="F100" s="17">
        <f t="shared" si="201"/>
        <v>5.2921472251385326</v>
      </c>
      <c r="H100" s="17">
        <f t="shared" si="202"/>
        <v>4.5217100637179319</v>
      </c>
      <c r="I100" s="17">
        <f t="shared" si="203"/>
        <v>4.251193051335056</v>
      </c>
      <c r="J100" s="17">
        <f t="shared" si="204"/>
        <v>7.1271660849328233</v>
      </c>
      <c r="L100" t="str">
        <f t="shared" si="245"/>
        <v>62 Leisure, travel and related personal service occupations</v>
      </c>
      <c r="M100" s="17">
        <f t="shared" si="205"/>
        <v>10.702734584342387</v>
      </c>
      <c r="N100" s="17">
        <f t="shared" si="205"/>
        <v>-26.713045959293112</v>
      </c>
      <c r="O100" s="17">
        <f t="shared" si="205"/>
        <v>3.5665609440034718</v>
      </c>
      <c r="P100" s="17">
        <f t="shared" si="205"/>
        <v>2.2584563941493663</v>
      </c>
      <c r="Q100" s="17">
        <f t="shared" si="206"/>
        <v>0.5500517456681786</v>
      </c>
      <c r="S100" s="17">
        <f t="shared" si="207"/>
        <v>2.6926450728083529</v>
      </c>
      <c r="T100" s="17">
        <f t="shared" si="208"/>
        <v>3.972465649943957</v>
      </c>
      <c r="U100" s="17">
        <f t="shared" si="209"/>
        <v>5.658980147679249</v>
      </c>
      <c r="W100" t="str">
        <f t="shared" si="246"/>
        <v>62 Leisure, travel and related personal service occupations</v>
      </c>
      <c r="X100" s="17">
        <f t="shared" si="210"/>
        <v>4.2708726354327764</v>
      </c>
      <c r="Y100" s="17">
        <f t="shared" si="210"/>
        <v>1.2152445588224481</v>
      </c>
      <c r="Z100" s="17">
        <f t="shared" si="210"/>
        <v>4.0000412466522306</v>
      </c>
      <c r="AA100" s="17">
        <f t="shared" si="210"/>
        <v>3.2789473643934253</v>
      </c>
      <c r="AB100" s="17">
        <f t="shared" si="211"/>
        <v>3.3732617184852431</v>
      </c>
      <c r="AD100" s="17">
        <f t="shared" si="212"/>
        <v>3.5187547428294552</v>
      </c>
      <c r="AE100" s="17">
        <f t="shared" si="213"/>
        <v>4.2330543934680387</v>
      </c>
      <c r="AF100" s="17">
        <f t="shared" si="214"/>
        <v>6.4181376676040403</v>
      </c>
      <c r="AH100" t="str">
        <f t="shared" si="247"/>
        <v>62 Leisure, travel and related personal service occupations</v>
      </c>
      <c r="AI100" s="17">
        <f t="shared" si="215"/>
        <v>4.4901883119011332</v>
      </c>
      <c r="AJ100" s="17">
        <f t="shared" si="215"/>
        <v>5.3161156589261793</v>
      </c>
      <c r="AK100" s="17">
        <f t="shared" si="215"/>
        <v>2.9650482396947675</v>
      </c>
      <c r="AL100" s="17">
        <f t="shared" si="215"/>
        <v>3.8460358527960148</v>
      </c>
      <c r="AM100" s="17">
        <f t="shared" si="216"/>
        <v>3.660953622179175</v>
      </c>
      <c r="AO100" s="17">
        <f t="shared" si="217"/>
        <v>3.5515389409569664</v>
      </c>
      <c r="AP100" s="17">
        <f t="shared" si="218"/>
        <v>4.1949881251223564</v>
      </c>
      <c r="AQ100" s="17">
        <f t="shared" si="219"/>
        <v>6.4120562495339373</v>
      </c>
      <c r="AS100" t="str">
        <f t="shared" si="248"/>
        <v>62 Leisure, travel and related personal service occupations</v>
      </c>
      <c r="AT100" s="17">
        <f t="shared" si="220"/>
        <v>5.2960264291538772</v>
      </c>
      <c r="AU100" s="17">
        <f t="shared" si="220"/>
        <v>9.7001894481470785</v>
      </c>
      <c r="AV100" s="17">
        <f t="shared" si="220"/>
        <v>3.1390290654704334</v>
      </c>
      <c r="AW100" s="17">
        <f t="shared" si="220"/>
        <v>3.7195288075386301</v>
      </c>
      <c r="AX100" s="17">
        <f t="shared" si="221"/>
        <v>3.9011836615972406</v>
      </c>
      <c r="AZ100" s="17">
        <f t="shared" si="222"/>
        <v>3.5256667719932633</v>
      </c>
      <c r="BA100" s="17">
        <f t="shared" si="223"/>
        <v>4.1111750752243825</v>
      </c>
      <c r="BB100" s="17">
        <f t="shared" si="224"/>
        <v>6.3319338727069407</v>
      </c>
      <c r="BD100" t="str">
        <f t="shared" si="249"/>
        <v>62 Leisure, travel and related personal service occupations</v>
      </c>
      <c r="BE100" s="17">
        <f t="shared" si="225"/>
        <v>1.3424410270365561</v>
      </c>
      <c r="BF100" s="17">
        <f t="shared" si="225"/>
        <v>-2.9330456418007023</v>
      </c>
      <c r="BG100" s="17">
        <f t="shared" si="225"/>
        <v>6.4837198164813259E-2</v>
      </c>
      <c r="BH100" s="17">
        <f t="shared" si="225"/>
        <v>0.63355507307532033</v>
      </c>
      <c r="BI100" s="17">
        <f t="shared" si="226"/>
        <v>0.22918265962654782</v>
      </c>
      <c r="BK100" s="17">
        <f t="shared" si="227"/>
        <v>0.44362420736605568</v>
      </c>
      <c r="BL100" s="17">
        <f t="shared" si="228"/>
        <v>2.6575532999644658</v>
      </c>
      <c r="BM100" s="17">
        <f t="shared" si="229"/>
        <v>2.9679124949495428</v>
      </c>
      <c r="BO100" t="str">
        <f t="shared" si="250"/>
        <v>62 Leisure, travel and related personal service occupations</v>
      </c>
      <c r="BP100" s="17">
        <f t="shared" si="230"/>
        <v>-2.8704324006811888E-3</v>
      </c>
      <c r="BQ100" s="17">
        <f t="shared" si="230"/>
        <v>-7.7321691618634336</v>
      </c>
      <c r="BR100" s="17">
        <f t="shared" si="230"/>
        <v>-2.8287961628552294</v>
      </c>
      <c r="BS100" s="17">
        <f t="shared" si="230"/>
        <v>-2.2251859842240762</v>
      </c>
      <c r="BT100" s="17">
        <f t="shared" si="231"/>
        <v>-2.767150524743256</v>
      </c>
      <c r="BV100" s="17">
        <f t="shared" si="232"/>
        <v>-2.4268048442530499</v>
      </c>
      <c r="BW100" s="17">
        <f t="shared" si="233"/>
        <v>2.1547744290637993</v>
      </c>
      <c r="BX100" s="17">
        <f t="shared" si="234"/>
        <v>0.44326514195081046</v>
      </c>
      <c r="BZ100" t="str">
        <f t="shared" si="251"/>
        <v>62 Leisure, travel and related personal service occupations</v>
      </c>
      <c r="CA100" s="17">
        <f t="shared" si="235"/>
        <v>0.7527017229513655</v>
      </c>
      <c r="CB100" s="17">
        <f t="shared" si="235"/>
        <v>-14.827475164698523</v>
      </c>
      <c r="CC100" s="17">
        <f t="shared" si="235"/>
        <v>-0.96868205736049262</v>
      </c>
      <c r="CD100" s="17">
        <f t="shared" si="235"/>
        <v>-4.2501222791126452</v>
      </c>
      <c r="CE100" s="17">
        <f t="shared" si="236"/>
        <v>-3.941890031937012</v>
      </c>
      <c r="CG100" s="17">
        <f t="shared" si="237"/>
        <v>-3.168571615264848</v>
      </c>
      <c r="CH100" s="17">
        <f t="shared" si="238"/>
        <v>2.0119424394026142</v>
      </c>
      <c r="CI100" s="17">
        <f t="shared" si="239"/>
        <v>-0.23601292955418574</v>
      </c>
      <c r="CK100" t="str">
        <f t="shared" si="252"/>
        <v>62 Leisure, travel and related personal service occupations</v>
      </c>
      <c r="CL100" s="17">
        <f t="shared" si="240"/>
        <v>-6.2536833006174302</v>
      </c>
      <c r="CM100" s="17">
        <f t="shared" si="240"/>
        <v>-28.531612919440985</v>
      </c>
      <c r="CN100" s="17">
        <f t="shared" si="240"/>
        <v>-3.6251977768263721</v>
      </c>
      <c r="CO100" s="17">
        <f t="shared" si="240"/>
        <v>-2.7171009961397541</v>
      </c>
      <c r="CP100" s="17">
        <f t="shared" si="241"/>
        <v>-4.8533432992249326</v>
      </c>
      <c r="CR100" s="17">
        <f t="shared" si="242"/>
        <v>-3.0207466956351126</v>
      </c>
      <c r="CS100" s="17">
        <f t="shared" si="243"/>
        <v>1.5678451128250614</v>
      </c>
      <c r="CT100" s="17">
        <f t="shared" si="244"/>
        <v>-0.74385257229174773</v>
      </c>
    </row>
    <row r="101" spans="1:98" x14ac:dyDescent="0.2">
      <c r="A101" t="str">
        <f t="shared" si="199"/>
        <v>63 Community and civil enforcement occupations</v>
      </c>
      <c r="B101" s="17">
        <f t="shared" si="200"/>
        <v>10.623636156998973</v>
      </c>
      <c r="C101" s="17">
        <f t="shared" si="200"/>
        <v>-17.262891953590874</v>
      </c>
      <c r="D101" s="17">
        <f t="shared" si="200"/>
        <v>4.7007282362541813</v>
      </c>
      <c r="E101" s="17">
        <f t="shared" si="200"/>
        <v>3.5991947387295609</v>
      </c>
      <c r="F101" s="17">
        <f t="shared" si="201"/>
        <v>2.4916041040109693</v>
      </c>
      <c r="H101" s="17">
        <f t="shared" si="202"/>
        <v>3.9650788470932286</v>
      </c>
      <c r="I101" s="17">
        <f t="shared" si="203"/>
        <v>4.1250636168617794</v>
      </c>
      <c r="J101" s="17">
        <f t="shared" si="204"/>
        <v>6.6469763589124931</v>
      </c>
      <c r="L101" t="str">
        <f t="shared" si="245"/>
        <v>63 Community and civil enforcement occupations</v>
      </c>
      <c r="M101" s="17">
        <f t="shared" si="205"/>
        <v>7.1791813739770838</v>
      </c>
      <c r="N101" s="17">
        <f t="shared" si="205"/>
        <v>3.7018855655933214</v>
      </c>
      <c r="O101" s="17">
        <f t="shared" si="205"/>
        <v>0.31361260311217887</v>
      </c>
      <c r="P101" s="17">
        <f t="shared" si="205"/>
        <v>4.2794999864171235</v>
      </c>
      <c r="Q101" s="17">
        <f t="shared" si="206"/>
        <v>2.9878431823532114</v>
      </c>
      <c r="S101" s="17">
        <f t="shared" si="207"/>
        <v>2.9404155435454271</v>
      </c>
      <c r="T101" s="17">
        <f t="shared" si="208"/>
        <v>3.5421056851283383</v>
      </c>
      <c r="U101" s="17">
        <f t="shared" si="209"/>
        <v>5.492523200349142</v>
      </c>
      <c r="W101" t="str">
        <f t="shared" si="246"/>
        <v>63 Community and civil enforcement occupations</v>
      </c>
      <c r="X101" s="17">
        <f t="shared" si="210"/>
        <v>1.5834710089354331</v>
      </c>
      <c r="Y101" s="17">
        <f t="shared" si="210"/>
        <v>5.4968461548483782</v>
      </c>
      <c r="Z101" s="17">
        <f t="shared" si="210"/>
        <v>3.5295878196642594</v>
      </c>
      <c r="AA101" s="17">
        <f t="shared" si="210"/>
        <v>2.4848013320981632</v>
      </c>
      <c r="AB101" s="17">
        <f t="shared" si="211"/>
        <v>2.996456526372171</v>
      </c>
      <c r="AD101" s="17">
        <f t="shared" si="212"/>
        <v>2.8318866933475739</v>
      </c>
      <c r="AE101" s="17">
        <f t="shared" si="213"/>
        <v>4.2530914851788282</v>
      </c>
      <c r="AF101" s="17">
        <f t="shared" si="214"/>
        <v>5.9749395503853497</v>
      </c>
      <c r="AH101" t="str">
        <f t="shared" si="247"/>
        <v>63 Community and civil enforcement occupations</v>
      </c>
      <c r="AI101" s="17">
        <f t="shared" si="215"/>
        <v>-1.1325305392069884</v>
      </c>
      <c r="AJ101" s="17">
        <f t="shared" si="215"/>
        <v>22.833682322933903</v>
      </c>
      <c r="AK101" s="17">
        <f t="shared" si="215"/>
        <v>-0.14709130493708589</v>
      </c>
      <c r="AL101" s="17">
        <f t="shared" si="215"/>
        <v>2.0714038081913744</v>
      </c>
      <c r="AM101" s="17">
        <f t="shared" si="216"/>
        <v>2.552823492408951</v>
      </c>
      <c r="AO101" s="17">
        <f t="shared" si="217"/>
        <v>1.3264821914644509</v>
      </c>
      <c r="AP101" s="17">
        <f t="shared" si="218"/>
        <v>3.3868585217678771</v>
      </c>
      <c r="AQ101" s="17">
        <f t="shared" si="219"/>
        <v>4.248713520128522</v>
      </c>
      <c r="AS101" t="str">
        <f t="shared" si="248"/>
        <v>63 Community and civil enforcement occupations</v>
      </c>
      <c r="AT101" s="17">
        <f t="shared" si="220"/>
        <v>-2.4660947250812915</v>
      </c>
      <c r="AU101" s="17">
        <f t="shared" si="220"/>
        <v>13.710940912672221</v>
      </c>
      <c r="AV101" s="17">
        <f t="shared" si="220"/>
        <v>-1.8895338560968034</v>
      </c>
      <c r="AW101" s="17">
        <f t="shared" si="220"/>
        <v>0.94662833728924589</v>
      </c>
      <c r="AX101" s="17">
        <f t="shared" si="221"/>
        <v>0.79896446020188971</v>
      </c>
      <c r="AZ101" s="17">
        <f t="shared" si="222"/>
        <v>-7.7536603072081434E-3</v>
      </c>
      <c r="BA101" s="17">
        <f t="shared" si="223"/>
        <v>3.2184423103529536</v>
      </c>
      <c r="BB101" s="17">
        <f t="shared" si="224"/>
        <v>3.2134670548616073</v>
      </c>
      <c r="BD101" t="str">
        <f t="shared" si="249"/>
        <v>63 Community and civil enforcement occupations</v>
      </c>
      <c r="BE101" s="17">
        <f t="shared" si="225"/>
        <v>-9.5064852031376379</v>
      </c>
      <c r="BF101" s="17">
        <f t="shared" si="225"/>
        <v>75.800020114701312</v>
      </c>
      <c r="BG101" s="17">
        <f t="shared" si="225"/>
        <v>-10.823916284057111</v>
      </c>
      <c r="BH101" s="17">
        <f t="shared" si="225"/>
        <v>0.36620987593420917</v>
      </c>
      <c r="BI101" s="17">
        <f t="shared" si="226"/>
        <v>0.17480572646504378</v>
      </c>
      <c r="BK101" s="17">
        <f t="shared" si="227"/>
        <v>-3.5117385108751731</v>
      </c>
      <c r="BL101" s="17">
        <f t="shared" si="228"/>
        <v>1.3854622284049212</v>
      </c>
      <c r="BM101" s="17">
        <f t="shared" si="229"/>
        <v>-1.3611114092656806</v>
      </c>
      <c r="BO101" t="str">
        <f t="shared" si="250"/>
        <v>63 Community and civil enforcement occupations</v>
      </c>
      <c r="BP101" s="17">
        <f t="shared" si="230"/>
        <v>-3.570463566996307</v>
      </c>
      <c r="BQ101" s="17">
        <f t="shared" si="230"/>
        <v>32.081212138042801</v>
      </c>
      <c r="BR101" s="17">
        <f t="shared" si="230"/>
        <v>-5.0825665702368905</v>
      </c>
      <c r="BS101" s="17">
        <f t="shared" si="230"/>
        <v>0.76082901552982918</v>
      </c>
      <c r="BT101" s="17">
        <f t="shared" si="231"/>
        <v>0.5843742894324544</v>
      </c>
      <c r="BV101" s="17">
        <f t="shared" si="232"/>
        <v>-1.2258843232593519</v>
      </c>
      <c r="BW101" s="17">
        <f t="shared" si="233"/>
        <v>1.943673222132003</v>
      </c>
      <c r="BX101" s="17">
        <f t="shared" si="234"/>
        <v>1.028262080751996</v>
      </c>
      <c r="BZ101" t="str">
        <f t="shared" si="251"/>
        <v>63 Community and civil enforcement occupations</v>
      </c>
      <c r="CA101" s="17">
        <f t="shared" si="235"/>
        <v>3.6385246900093149</v>
      </c>
      <c r="CB101" s="17">
        <f t="shared" si="235"/>
        <v>-0.45668395591851318</v>
      </c>
      <c r="CC101" s="17">
        <f t="shared" si="235"/>
        <v>-2.1957537958359641</v>
      </c>
      <c r="CD101" s="17">
        <f t="shared" si="235"/>
        <v>-2.662335096277979</v>
      </c>
      <c r="CE101" s="17">
        <f t="shared" si="236"/>
        <v>-2.3801540182242786</v>
      </c>
      <c r="CG101" s="17">
        <f t="shared" si="237"/>
        <v>-2.5070558392360942</v>
      </c>
      <c r="CH101" s="17">
        <f t="shared" si="238"/>
        <v>1.9311246117355241</v>
      </c>
      <c r="CI101" s="17">
        <f t="shared" si="239"/>
        <v>0.10311366588384718</v>
      </c>
      <c r="CK101" t="str">
        <f t="shared" si="252"/>
        <v>63 Community and civil enforcement occupations</v>
      </c>
      <c r="CL101" s="17">
        <f t="shared" si="240"/>
        <v>-9.7537615140772189</v>
      </c>
      <c r="CM101" s="17">
        <f t="shared" si="240"/>
        <v>25.93440602174617</v>
      </c>
      <c r="CN101" s="17">
        <f t="shared" si="240"/>
        <v>-12.761947949866304</v>
      </c>
      <c r="CO101" s="17">
        <f t="shared" si="240"/>
        <v>-4.0083225320842741</v>
      </c>
      <c r="CP101" s="17">
        <f t="shared" si="241"/>
        <v>-5.2398748897521497</v>
      </c>
      <c r="CR101" s="17">
        <f t="shared" si="242"/>
        <v>-7.019679125492118</v>
      </c>
      <c r="CS101" s="17">
        <f t="shared" si="243"/>
        <v>0.86657044074847089</v>
      </c>
      <c r="CT101" s="17">
        <f t="shared" si="244"/>
        <v>-4.8577315254343612</v>
      </c>
    </row>
    <row r="102" spans="1:98" x14ac:dyDescent="0.2">
      <c r="A102" t="str">
        <f t="shared" si="199"/>
        <v>71 Sales occupations</v>
      </c>
      <c r="B102" s="17">
        <f t="shared" si="200"/>
        <v>4.5482922150381411</v>
      </c>
      <c r="C102" s="17">
        <f t="shared" si="200"/>
        <v>-33.678347116181925</v>
      </c>
      <c r="D102" s="17">
        <f t="shared" si="200"/>
        <v>2.7173035604172835</v>
      </c>
      <c r="E102" s="17">
        <f t="shared" si="200"/>
        <v>2.1904276492300534</v>
      </c>
      <c r="F102" s="17">
        <f t="shared" si="201"/>
        <v>-0.37382136538693933</v>
      </c>
      <c r="H102" s="17">
        <f t="shared" si="202"/>
        <v>2.3657519834659801</v>
      </c>
      <c r="I102" s="17">
        <f t="shared" si="203"/>
        <v>3.4322294187186353</v>
      </c>
      <c r="J102" s="17">
        <f t="shared" si="204"/>
        <v>5.0004885385420694</v>
      </c>
      <c r="L102" t="str">
        <f t="shared" si="245"/>
        <v>71 Sales occupations</v>
      </c>
      <c r="M102" s="17">
        <f t="shared" si="205"/>
        <v>6.2442409380063957</v>
      </c>
      <c r="N102" s="17">
        <f t="shared" si="205"/>
        <v>-19.035033054615347</v>
      </c>
      <c r="O102" s="17">
        <f t="shared" si="205"/>
        <v>3.371412277489938</v>
      </c>
      <c r="P102" s="17">
        <f t="shared" si="205"/>
        <v>3.1282557181317561</v>
      </c>
      <c r="Q102" s="17">
        <f t="shared" si="206"/>
        <v>1.6552369830961977</v>
      </c>
      <c r="S102" s="17">
        <f t="shared" si="207"/>
        <v>3.2092442860824466</v>
      </c>
      <c r="T102" s="17">
        <f t="shared" si="208"/>
        <v>3.7503702776110259</v>
      </c>
      <c r="U102" s="17">
        <f t="shared" si="209"/>
        <v>5.8413177160248742</v>
      </c>
      <c r="W102" t="str">
        <f t="shared" si="246"/>
        <v>71 Sales occupations</v>
      </c>
      <c r="X102" s="17">
        <f t="shared" si="210"/>
        <v>-0.78297560428813862</v>
      </c>
      <c r="Y102" s="17">
        <f t="shared" si="210"/>
        <v>8.2173186037371551</v>
      </c>
      <c r="Z102" s="17">
        <f t="shared" si="210"/>
        <v>2.1087687768117203</v>
      </c>
      <c r="AA102" s="17">
        <f t="shared" si="210"/>
        <v>3.1497719455527262</v>
      </c>
      <c r="AB102" s="17">
        <f t="shared" si="211"/>
        <v>3.1319947851463636</v>
      </c>
      <c r="AD102" s="17">
        <f t="shared" si="212"/>
        <v>2.8015969708934385</v>
      </c>
      <c r="AE102" s="17">
        <f t="shared" si="213"/>
        <v>3.7881814058840391</v>
      </c>
      <c r="AF102" s="17">
        <f t="shared" si="214"/>
        <v>5.5870105531322878</v>
      </c>
      <c r="AH102" t="str">
        <f t="shared" si="247"/>
        <v>71 Sales occupations</v>
      </c>
      <c r="AI102" s="17">
        <f t="shared" si="215"/>
        <v>-1.1437130997573375</v>
      </c>
      <c r="AJ102" s="17">
        <f t="shared" si="215"/>
        <v>12.267755569597094</v>
      </c>
      <c r="AK102" s="17">
        <f t="shared" si="215"/>
        <v>1.2514864177597396</v>
      </c>
      <c r="AL102" s="17">
        <f t="shared" si="215"/>
        <v>3.309036989637093</v>
      </c>
      <c r="AM102" s="17">
        <f t="shared" si="216"/>
        <v>3.1965849715706485</v>
      </c>
      <c r="AO102" s="17">
        <f t="shared" si="217"/>
        <v>2.6185825033961718</v>
      </c>
      <c r="AP102" s="17">
        <f t="shared" si="218"/>
        <v>3.7102829665057735</v>
      </c>
      <c r="AQ102" s="17">
        <f t="shared" si="219"/>
        <v>5.3994570740494963</v>
      </c>
      <c r="AS102" t="str">
        <f t="shared" si="248"/>
        <v>71 Sales occupations</v>
      </c>
      <c r="AT102" s="17">
        <f t="shared" si="220"/>
        <v>-2.8499201272770613</v>
      </c>
      <c r="AU102" s="17">
        <f t="shared" si="220"/>
        <v>6.8010354651117488</v>
      </c>
      <c r="AV102" s="17">
        <f t="shared" si="220"/>
        <v>0.32035269013632739</v>
      </c>
      <c r="AW102" s="17">
        <f t="shared" si="220"/>
        <v>2.4662973705602553</v>
      </c>
      <c r="AX102" s="17">
        <f t="shared" si="221"/>
        <v>2.0547437775159549</v>
      </c>
      <c r="AZ102" s="17">
        <f t="shared" si="222"/>
        <v>1.7459299558983066</v>
      </c>
      <c r="BA102" s="17">
        <f t="shared" si="223"/>
        <v>3.1180918010728975</v>
      </c>
      <c r="BB102" s="17">
        <f t="shared" si="224"/>
        <v>4.3035661000544234</v>
      </c>
      <c r="BD102" t="str">
        <f t="shared" si="249"/>
        <v>71 Sales occupations</v>
      </c>
      <c r="BE102" s="17">
        <f t="shared" si="225"/>
        <v>-1.4372160003945589</v>
      </c>
      <c r="BF102" s="17">
        <f t="shared" si="225"/>
        <v>12.089980351508478</v>
      </c>
      <c r="BG102" s="17">
        <f t="shared" si="225"/>
        <v>-0.15656016835091657</v>
      </c>
      <c r="BH102" s="17">
        <f t="shared" si="225"/>
        <v>1.4339184376201519</v>
      </c>
      <c r="BI102" s="17">
        <f t="shared" si="226"/>
        <v>1.5663349296783702</v>
      </c>
      <c r="BK102" s="17">
        <f t="shared" si="227"/>
        <v>0.9009635509424907</v>
      </c>
      <c r="BL102" s="17">
        <f t="shared" si="228"/>
        <v>2.9110039296684542</v>
      </c>
      <c r="BM102" s="17">
        <f t="shared" si="229"/>
        <v>3.5269592474014511</v>
      </c>
      <c r="BO102" t="str">
        <f t="shared" si="250"/>
        <v>71 Sales occupations</v>
      </c>
      <c r="BP102" s="17">
        <f t="shared" si="230"/>
        <v>-3.5709873206755671</v>
      </c>
      <c r="BQ102" s="17">
        <f t="shared" si="230"/>
        <v>3.1902243236630268</v>
      </c>
      <c r="BR102" s="17">
        <f t="shared" si="230"/>
        <v>-2.8836156010189073</v>
      </c>
      <c r="BS102" s="17">
        <f t="shared" si="230"/>
        <v>-2.7149573346842204</v>
      </c>
      <c r="BT102" s="17">
        <f t="shared" si="231"/>
        <v>-2.4089223346643984</v>
      </c>
      <c r="BV102" s="17">
        <f t="shared" si="232"/>
        <v>-2.7712092763998109</v>
      </c>
      <c r="BW102" s="17">
        <f t="shared" si="233"/>
        <v>2.2154105576863925</v>
      </c>
      <c r="BX102" s="17">
        <f t="shared" si="234"/>
        <v>0.29495300453385997</v>
      </c>
      <c r="BZ102" t="str">
        <f t="shared" si="251"/>
        <v>71 Sales occupations</v>
      </c>
      <c r="CA102" s="17">
        <f t="shared" si="235"/>
        <v>-2.9620282210220839</v>
      </c>
      <c r="CB102" s="17">
        <f t="shared" si="235"/>
        <v>-10.820677245654132</v>
      </c>
      <c r="CC102" s="17">
        <f t="shared" si="235"/>
        <v>-3.1520454865841208</v>
      </c>
      <c r="CD102" s="17">
        <f t="shared" si="235"/>
        <v>-7.7300122662882114</v>
      </c>
      <c r="CE102" s="17">
        <f t="shared" si="236"/>
        <v>-6.5223972392766116</v>
      </c>
      <c r="CG102" s="17">
        <f t="shared" si="237"/>
        <v>-6.2285871727840387</v>
      </c>
      <c r="CH102" s="17">
        <f t="shared" si="238"/>
        <v>1.6406900177263761</v>
      </c>
      <c r="CI102" s="17">
        <f t="shared" si="239"/>
        <v>-2.7557479615459513</v>
      </c>
      <c r="CK102" t="str">
        <f t="shared" si="252"/>
        <v>71 Sales occupations</v>
      </c>
      <c r="CL102" s="17">
        <f t="shared" si="240"/>
        <v>-7.4469104871190623</v>
      </c>
      <c r="CM102" s="17">
        <f t="shared" si="240"/>
        <v>-32.852226380300941</v>
      </c>
      <c r="CN102" s="17">
        <f t="shared" si="240"/>
        <v>-4.7883301307465214</v>
      </c>
      <c r="CO102" s="17">
        <f t="shared" si="240"/>
        <v>-6.4110737499751824</v>
      </c>
      <c r="CP102" s="17">
        <f t="shared" si="241"/>
        <v>-7.8393671319225033</v>
      </c>
      <c r="CR102" s="17">
        <f t="shared" si="242"/>
        <v>-5.8732557545801427</v>
      </c>
      <c r="CS102" s="17">
        <f t="shared" si="243"/>
        <v>1.3175671774120046</v>
      </c>
      <c r="CT102" s="17">
        <f t="shared" si="244"/>
        <v>-3.1334462869997526</v>
      </c>
    </row>
    <row r="103" spans="1:98" x14ac:dyDescent="0.2">
      <c r="A103" t="str">
        <f t="shared" si="199"/>
        <v>72 Customer service occupations</v>
      </c>
      <c r="B103" s="17">
        <f t="shared" si="200"/>
        <v>7.339614729213717</v>
      </c>
      <c r="C103" s="17">
        <f t="shared" si="200"/>
        <v>-10.591549984032733</v>
      </c>
      <c r="D103" s="17">
        <f t="shared" si="200"/>
        <v>9.4997530560486645</v>
      </c>
      <c r="E103" s="17">
        <f t="shared" si="200"/>
        <v>3.4630048060515062</v>
      </c>
      <c r="F103" s="17">
        <f t="shared" si="201"/>
        <v>4.3562455606928951</v>
      </c>
      <c r="H103" s="17">
        <f t="shared" si="202"/>
        <v>5.4373393056641017</v>
      </c>
      <c r="I103" s="17">
        <f t="shared" si="203"/>
        <v>4.1621433896972704</v>
      </c>
      <c r="J103" s="17">
        <f t="shared" si="204"/>
        <v>7.7321640596536456</v>
      </c>
      <c r="L103" t="str">
        <f t="shared" si="245"/>
        <v>72 Customer service occupations</v>
      </c>
      <c r="M103" s="17">
        <f t="shared" si="205"/>
        <v>9.7930342724374064</v>
      </c>
      <c r="N103" s="17">
        <f t="shared" si="205"/>
        <v>-23.616820400662696</v>
      </c>
      <c r="O103" s="17">
        <f t="shared" si="205"/>
        <v>9.2204589360317826</v>
      </c>
      <c r="P103" s="17">
        <f t="shared" si="205"/>
        <v>3.4330424402060133</v>
      </c>
      <c r="Q103" s="17">
        <f t="shared" si="206"/>
        <v>3.2332070920644274</v>
      </c>
      <c r="S103" s="17">
        <f t="shared" si="207"/>
        <v>5.3272791129961528</v>
      </c>
      <c r="T103" s="17">
        <f t="shared" si="208"/>
        <v>4.5549117388610894</v>
      </c>
      <c r="U103" s="17">
        <f t="shared" si="209"/>
        <v>7.9010885552347698</v>
      </c>
      <c r="W103" t="str">
        <f t="shared" si="246"/>
        <v>72 Customer service occupations</v>
      </c>
      <c r="X103" s="17">
        <f t="shared" si="210"/>
        <v>0.55281752653721927</v>
      </c>
      <c r="Y103" s="17">
        <f t="shared" si="210"/>
        <v>12.27551482185325</v>
      </c>
      <c r="Z103" s="17">
        <f t="shared" si="210"/>
        <v>7.1257534940310396</v>
      </c>
      <c r="AA103" s="17">
        <f t="shared" si="210"/>
        <v>3.2826955186845641</v>
      </c>
      <c r="AB103" s="17">
        <f t="shared" si="211"/>
        <v>5.0151323024727246</v>
      </c>
      <c r="AD103" s="17">
        <f t="shared" si="212"/>
        <v>4.5481468230165856</v>
      </c>
      <c r="AE103" s="17">
        <f t="shared" si="213"/>
        <v>4.0935090848971623</v>
      </c>
      <c r="AF103" s="17">
        <f t="shared" si="214"/>
        <v>7.0388251836283056</v>
      </c>
      <c r="AH103" t="str">
        <f t="shared" si="247"/>
        <v>72 Customer service occupations</v>
      </c>
      <c r="AI103" s="17">
        <f t="shared" si="215"/>
        <v>1.7420379065866687</v>
      </c>
      <c r="AJ103" s="17">
        <f t="shared" si="215"/>
        <v>14.920735653094797</v>
      </c>
      <c r="AK103" s="17">
        <f t="shared" si="215"/>
        <v>7.1235698487172261</v>
      </c>
      <c r="AL103" s="17">
        <f t="shared" si="215"/>
        <v>3.3281041619038776</v>
      </c>
      <c r="AM103" s="17">
        <f t="shared" si="216"/>
        <v>5.196311422294575</v>
      </c>
      <c r="AO103" s="17">
        <f t="shared" si="217"/>
        <v>4.5780773330870606</v>
      </c>
      <c r="AP103" s="17">
        <f t="shared" si="218"/>
        <v>4.2104585787833715</v>
      </c>
      <c r="AQ103" s="17">
        <f t="shared" si="219"/>
        <v>7.1394861898826489</v>
      </c>
      <c r="AS103" t="str">
        <f t="shared" si="248"/>
        <v>72 Customer service occupations</v>
      </c>
      <c r="AT103" s="17">
        <f t="shared" si="220"/>
        <v>-0.59997688694137796</v>
      </c>
      <c r="AU103" s="17">
        <f t="shared" si="220"/>
        <v>10.54871382897986</v>
      </c>
      <c r="AV103" s="17">
        <f t="shared" si="220"/>
        <v>6.2874404798880734</v>
      </c>
      <c r="AW103" s="17">
        <f t="shared" si="220"/>
        <v>2.2117000179559199</v>
      </c>
      <c r="AX103" s="17">
        <f t="shared" si="221"/>
        <v>3.9765964476434101</v>
      </c>
      <c r="AZ103" s="17">
        <f t="shared" si="222"/>
        <v>3.5526118676479257</v>
      </c>
      <c r="BA103" s="17">
        <f t="shared" si="223"/>
        <v>3.6404048490807472</v>
      </c>
      <c r="BB103" s="17">
        <f t="shared" si="224"/>
        <v>6.0040560696589695</v>
      </c>
      <c r="BD103" t="str">
        <f t="shared" si="249"/>
        <v>72 Customer service occupations</v>
      </c>
      <c r="BE103" s="17">
        <f t="shared" si="225"/>
        <v>0.52845118067603725</v>
      </c>
      <c r="BF103" s="17">
        <f t="shared" si="225"/>
        <v>14.185668984789279</v>
      </c>
      <c r="BG103" s="17">
        <f t="shared" si="225"/>
        <v>4.3201355856619994</v>
      </c>
      <c r="BH103" s="17">
        <f t="shared" si="225"/>
        <v>1.723912838281727</v>
      </c>
      <c r="BI103" s="17">
        <f t="shared" si="226"/>
        <v>3.2714275306594098</v>
      </c>
      <c r="BK103" s="17">
        <f t="shared" si="227"/>
        <v>2.5820606867447138</v>
      </c>
      <c r="BL103" s="17">
        <f t="shared" si="228"/>
        <v>3.0640551362825175</v>
      </c>
      <c r="BM103" s="17">
        <f t="shared" si="229"/>
        <v>4.8621170446784046</v>
      </c>
      <c r="BO103" t="str">
        <f t="shared" si="250"/>
        <v>72 Customer service occupations</v>
      </c>
      <c r="BP103" s="17">
        <f t="shared" si="230"/>
        <v>0.3383539282921566</v>
      </c>
      <c r="BQ103" s="17">
        <f t="shared" si="230"/>
        <v>4.7974923734887875</v>
      </c>
      <c r="BR103" s="17">
        <f t="shared" si="230"/>
        <v>3.8769474034307194</v>
      </c>
      <c r="BS103" s="17">
        <f t="shared" si="230"/>
        <v>8.0658931223887009E-3</v>
      </c>
      <c r="BT103" s="17">
        <f t="shared" si="231"/>
        <v>1.4976686203234557</v>
      </c>
      <c r="BV103" s="17">
        <f t="shared" si="232"/>
        <v>1.2814114719361225</v>
      </c>
      <c r="BW103" s="17">
        <f t="shared" si="233"/>
        <v>2.8733432029479422</v>
      </c>
      <c r="BX103" s="17">
        <f t="shared" si="234"/>
        <v>3.761289905874321</v>
      </c>
      <c r="BZ103" t="str">
        <f t="shared" si="251"/>
        <v>72 Customer service occupations</v>
      </c>
      <c r="CA103" s="17">
        <f t="shared" si="235"/>
        <v>0.15242206572305683</v>
      </c>
      <c r="CB103" s="17">
        <f t="shared" si="235"/>
        <v>-10.739688863519426</v>
      </c>
      <c r="CC103" s="17">
        <f t="shared" si="235"/>
        <v>3.187470886790944</v>
      </c>
      <c r="CD103" s="17">
        <f t="shared" si="235"/>
        <v>-0.56980412213116782</v>
      </c>
      <c r="CE103" s="17">
        <f t="shared" si="236"/>
        <v>-8.6652080365601236E-2</v>
      </c>
      <c r="CG103" s="17">
        <f t="shared" si="237"/>
        <v>0.66716837100933013</v>
      </c>
      <c r="CH103" s="17">
        <f t="shared" si="238"/>
        <v>2.1538936967558486</v>
      </c>
      <c r="CI103" s="17">
        <f t="shared" si="239"/>
        <v>2.6551756592496645</v>
      </c>
      <c r="CK103" t="str">
        <f t="shared" si="252"/>
        <v>72 Customer service occupations</v>
      </c>
      <c r="CL103" s="17">
        <f t="shared" si="240"/>
        <v>3.2468397981727071</v>
      </c>
      <c r="CM103" s="17">
        <f t="shared" si="240"/>
        <v>-24.849829183082871</v>
      </c>
      <c r="CN103" s="17">
        <f t="shared" si="240"/>
        <v>8.1135106163405126</v>
      </c>
      <c r="CO103" s="17">
        <f t="shared" si="240"/>
        <v>1.5496806279016395</v>
      </c>
      <c r="CP103" s="17">
        <f t="shared" si="241"/>
        <v>1.6265576110006785</v>
      </c>
      <c r="CR103" s="17">
        <f t="shared" si="242"/>
        <v>3.6921066494774113</v>
      </c>
      <c r="CS103" s="17">
        <f t="shared" si="243"/>
        <v>3.1890746028897077</v>
      </c>
      <c r="CT103" s="17">
        <f t="shared" si="244"/>
        <v>5.7830452471594462</v>
      </c>
    </row>
    <row r="104" spans="1:98" x14ac:dyDescent="0.2">
      <c r="A104" t="str">
        <f t="shared" si="199"/>
        <v>81 Process, plant and machine operatives</v>
      </c>
      <c r="B104" s="17">
        <f t="shared" si="200"/>
        <v>14.934772485286519</v>
      </c>
      <c r="C104" s="17">
        <f t="shared" si="200"/>
        <v>-28.923514541827288</v>
      </c>
      <c r="D104" s="17">
        <f t="shared" si="200"/>
        <v>9.5672287503926192</v>
      </c>
      <c r="E104" s="17">
        <f t="shared" si="200"/>
        <v>4.3162504980845062</v>
      </c>
      <c r="F104" s="17">
        <f t="shared" si="201"/>
        <v>3.419649976640704</v>
      </c>
      <c r="H104" s="17">
        <f t="shared" si="202"/>
        <v>6.0380025161170359</v>
      </c>
      <c r="I104" s="17">
        <f t="shared" si="203"/>
        <v>4.0773428718595905</v>
      </c>
      <c r="J104" s="17">
        <f t="shared" si="204"/>
        <v>8.131534079084247</v>
      </c>
      <c r="L104" t="str">
        <f t="shared" si="245"/>
        <v>81 Process, plant and machine operatives</v>
      </c>
      <c r="M104" s="17">
        <f t="shared" si="205"/>
        <v>9.7149219359073058</v>
      </c>
      <c r="N104" s="17">
        <f t="shared" si="205"/>
        <v>-28.96815508266193</v>
      </c>
      <c r="O104" s="17">
        <f t="shared" si="205"/>
        <v>9.7243486460884441</v>
      </c>
      <c r="P104" s="17">
        <f t="shared" si="205"/>
        <v>4.2922986871519742</v>
      </c>
      <c r="Q104" s="17">
        <f t="shared" si="206"/>
        <v>3.4470616600090764</v>
      </c>
      <c r="S104" s="17">
        <f t="shared" si="207"/>
        <v>6.0724248283888338</v>
      </c>
      <c r="T104" s="17">
        <f t="shared" si="208"/>
        <v>4.610310270521345</v>
      </c>
      <c r="U104" s="17">
        <f t="shared" si="209"/>
        <v>8.4736754318227359</v>
      </c>
      <c r="W104" t="str">
        <f t="shared" si="246"/>
        <v>81 Process, plant and machine operatives</v>
      </c>
      <c r="X104" s="17">
        <f t="shared" si="210"/>
        <v>-4.1253057552457122</v>
      </c>
      <c r="Y104" s="17">
        <f t="shared" si="210"/>
        <v>-9.2961617574107152</v>
      </c>
      <c r="Z104" s="17">
        <f t="shared" si="210"/>
        <v>9.0224593152141495</v>
      </c>
      <c r="AA104" s="17">
        <f t="shared" si="210"/>
        <v>4.4096754539219685</v>
      </c>
      <c r="AB104" s="17">
        <f t="shared" si="211"/>
        <v>4.9030975839865487</v>
      </c>
      <c r="AD104" s="17">
        <f t="shared" si="212"/>
        <v>5.9251665164062661</v>
      </c>
      <c r="AE104" s="17">
        <f t="shared" si="213"/>
        <v>4.4098214705639682</v>
      </c>
      <c r="AF104" s="17">
        <f t="shared" si="214"/>
        <v>8.2446588602378412</v>
      </c>
      <c r="AH104" t="str">
        <f t="shared" si="247"/>
        <v>81 Process, plant and machine operatives</v>
      </c>
      <c r="AI104" s="17">
        <f t="shared" si="215"/>
        <v>-2.2128299656046457</v>
      </c>
      <c r="AJ104" s="17">
        <f t="shared" si="215"/>
        <v>-4.981660151139633</v>
      </c>
      <c r="AK104" s="17">
        <f t="shared" si="215"/>
        <v>8.2301571328751155</v>
      </c>
      <c r="AL104" s="17">
        <f t="shared" si="215"/>
        <v>2.9805135324921128</v>
      </c>
      <c r="AM104" s="17">
        <f t="shared" si="216"/>
        <v>4.0683606737546452</v>
      </c>
      <c r="AO104" s="17">
        <f t="shared" si="217"/>
        <v>4.7014746460555923</v>
      </c>
      <c r="AP104" s="17">
        <f t="shared" si="218"/>
        <v>3.8672240432778171</v>
      </c>
      <c r="AQ104" s="17">
        <f t="shared" si="219"/>
        <v>6.9993325593866951</v>
      </c>
      <c r="AS104" t="str">
        <f t="shared" si="248"/>
        <v>81 Process, plant and machine operatives</v>
      </c>
      <c r="AT104" s="17">
        <f t="shared" si="220"/>
        <v>-6.2593139216466476</v>
      </c>
      <c r="AU104" s="17">
        <f t="shared" si="220"/>
        <v>-8.2510062307233341</v>
      </c>
      <c r="AV104" s="17">
        <f t="shared" si="220"/>
        <v>7.4612090582483193</v>
      </c>
      <c r="AW104" s="17">
        <f t="shared" si="220"/>
        <v>1.3794168160879305</v>
      </c>
      <c r="AX104" s="17">
        <f t="shared" si="221"/>
        <v>2.6000005393328252</v>
      </c>
      <c r="AZ104" s="17">
        <f t="shared" si="222"/>
        <v>3.3674414133255892</v>
      </c>
      <c r="BA104" s="17">
        <f t="shared" si="223"/>
        <v>3.387115505345939</v>
      </c>
      <c r="BB104" s="17">
        <f t="shared" si="224"/>
        <v>5.6839976210654619</v>
      </c>
      <c r="BD104" t="str">
        <f t="shared" si="249"/>
        <v>81 Process, plant and machine operatives</v>
      </c>
      <c r="BE104" s="17">
        <f t="shared" si="225"/>
        <v>-3.7270586235217396</v>
      </c>
      <c r="BF104" s="17">
        <f t="shared" si="225"/>
        <v>8.9647951551105276</v>
      </c>
      <c r="BG104" s="17">
        <f t="shared" si="225"/>
        <v>2.961272292260908</v>
      </c>
      <c r="BH104" s="17">
        <f t="shared" si="225"/>
        <v>0.89247205401428165</v>
      </c>
      <c r="BI104" s="17">
        <f t="shared" si="226"/>
        <v>2.0240850748713957</v>
      </c>
      <c r="BK104" s="17">
        <f t="shared" si="227"/>
        <v>1.5774116872085298</v>
      </c>
      <c r="BL104" s="17">
        <f t="shared" si="228"/>
        <v>2.4487908415210979</v>
      </c>
      <c r="BM104" s="17">
        <f t="shared" si="229"/>
        <v>3.6093388604813148</v>
      </c>
      <c r="BO104" t="str">
        <f t="shared" si="250"/>
        <v>81 Process, plant and machine operatives</v>
      </c>
      <c r="BP104" s="17">
        <f t="shared" si="230"/>
        <v>-2.3885178781427818</v>
      </c>
      <c r="BQ104" s="17">
        <f t="shared" si="230"/>
        <v>-9.7959498062382355</v>
      </c>
      <c r="BR104" s="17">
        <f t="shared" si="230"/>
        <v>5.1860280673454495</v>
      </c>
      <c r="BS104" s="17">
        <f t="shared" si="230"/>
        <v>0.19038089520966306</v>
      </c>
      <c r="BT104" s="17">
        <f t="shared" si="231"/>
        <v>1.0601147834660374</v>
      </c>
      <c r="BV104" s="17">
        <f t="shared" si="232"/>
        <v>1.8286619581756591</v>
      </c>
      <c r="BW104" s="17">
        <f t="shared" si="233"/>
        <v>2.6254992803482091</v>
      </c>
      <c r="BX104" s="17">
        <f t="shared" si="234"/>
        <v>3.9479825289084891</v>
      </c>
      <c r="BZ104" t="str">
        <f t="shared" si="251"/>
        <v>81 Process, plant and machine operatives</v>
      </c>
      <c r="CA104" s="17">
        <f t="shared" si="235"/>
        <v>2.7609316480530888</v>
      </c>
      <c r="CB104" s="17">
        <f t="shared" si="235"/>
        <v>-34.134184521646695</v>
      </c>
      <c r="CC104" s="17">
        <f t="shared" si="235"/>
        <v>2.1333752080069823</v>
      </c>
      <c r="CD104" s="17">
        <f t="shared" si="235"/>
        <v>-8.2053390878186416</v>
      </c>
      <c r="CE104" s="17">
        <f t="shared" si="236"/>
        <v>-7.0408712671934488</v>
      </c>
      <c r="CG104" s="17">
        <f t="shared" si="237"/>
        <v>-4.880948851356659</v>
      </c>
      <c r="CH104" s="17">
        <f t="shared" si="238"/>
        <v>1.7581999411134586</v>
      </c>
      <c r="CI104" s="17">
        <f t="shared" si="239"/>
        <v>-1.7199095880311877</v>
      </c>
      <c r="CK104" t="str">
        <f t="shared" si="252"/>
        <v>81 Process, plant and machine operatives</v>
      </c>
      <c r="CL104" s="17">
        <f t="shared" si="240"/>
        <v>-6.7750472101944741</v>
      </c>
      <c r="CM104" s="17">
        <f t="shared" si="240"/>
        <v>-26.465323664957097</v>
      </c>
      <c r="CN104" s="17">
        <f t="shared" si="240"/>
        <v>-9.1876675632499012</v>
      </c>
      <c r="CO104" s="17">
        <f t="shared" si="240"/>
        <v>-8.9836684266623053</v>
      </c>
      <c r="CP104" s="17">
        <f t="shared" si="241"/>
        <v>-10.251830279253094</v>
      </c>
      <c r="CR104" s="17">
        <f t="shared" si="242"/>
        <v>-9.0517190058522328</v>
      </c>
      <c r="CS104" s="17">
        <f t="shared" si="243"/>
        <v>0.92268354043008038</v>
      </c>
      <c r="CT104" s="17">
        <f t="shared" si="244"/>
        <v>-6.1060662628029894</v>
      </c>
    </row>
    <row r="105" spans="1:98" x14ac:dyDescent="0.2">
      <c r="A105" t="str">
        <f t="shared" si="199"/>
        <v>82 Transport and mobile machine drivers and operatives</v>
      </c>
      <c r="B105" s="17">
        <f t="shared" si="200"/>
        <v>17.116057938719841</v>
      </c>
      <c r="C105" s="17">
        <f t="shared" si="200"/>
        <v>-23.60645206719375</v>
      </c>
      <c r="D105" s="17">
        <f t="shared" si="200"/>
        <v>8.4670182475552025</v>
      </c>
      <c r="E105" s="17">
        <f t="shared" si="200"/>
        <v>4.7114229564980237</v>
      </c>
      <c r="F105" s="17">
        <f t="shared" si="201"/>
        <v>3.804901968523744</v>
      </c>
      <c r="H105" s="17">
        <f t="shared" si="202"/>
        <v>5.948612797060715</v>
      </c>
      <c r="I105" s="17">
        <f t="shared" si="203"/>
        <v>5.3804033003592489</v>
      </c>
      <c r="J105" s="17">
        <f t="shared" si="204"/>
        <v>8.8621750356745466</v>
      </c>
      <c r="L105" t="str">
        <f t="shared" si="245"/>
        <v>82 Transport and mobile machine drivers and operatives</v>
      </c>
      <c r="M105" s="17">
        <f t="shared" si="205"/>
        <v>15.861156824722645</v>
      </c>
      <c r="N105" s="17">
        <f t="shared" si="205"/>
        <v>-22.301472075161556</v>
      </c>
      <c r="O105" s="17">
        <f t="shared" si="205"/>
        <v>6.613489238896042</v>
      </c>
      <c r="P105" s="17">
        <f t="shared" si="205"/>
        <v>4.8176724158804474</v>
      </c>
      <c r="Q105" s="17">
        <f t="shared" si="206"/>
        <v>3.4221753213619088</v>
      </c>
      <c r="S105" s="17">
        <f t="shared" si="207"/>
        <v>5.4128916050914411</v>
      </c>
      <c r="T105" s="17">
        <f t="shared" si="208"/>
        <v>5.0223353387047087</v>
      </c>
      <c r="U105" s="17">
        <f t="shared" si="209"/>
        <v>8.2641410354041156</v>
      </c>
      <c r="W105" t="str">
        <f t="shared" si="246"/>
        <v>82 Transport and mobile machine drivers and operatives</v>
      </c>
      <c r="X105" s="17">
        <f t="shared" si="210"/>
        <v>3.7855482235394922</v>
      </c>
      <c r="Y105" s="17">
        <f t="shared" si="210"/>
        <v>-2.0788139989867727</v>
      </c>
      <c r="Z105" s="17">
        <f t="shared" si="210"/>
        <v>3.7247457025083586</v>
      </c>
      <c r="AA105" s="17">
        <f t="shared" si="210"/>
        <v>2.7721668875458017</v>
      </c>
      <c r="AB105" s="17">
        <f t="shared" si="211"/>
        <v>2.7579024970810773</v>
      </c>
      <c r="AD105" s="17">
        <f t="shared" si="212"/>
        <v>3.088717146437836</v>
      </c>
      <c r="AE105" s="17">
        <f t="shared" si="213"/>
        <v>4.2734784630629186</v>
      </c>
      <c r="AF105" s="17">
        <f t="shared" si="214"/>
        <v>6.1603570700689447</v>
      </c>
      <c r="AH105" t="str">
        <f t="shared" si="247"/>
        <v>82 Transport and mobile machine drivers and operatives</v>
      </c>
      <c r="AI105" s="17">
        <f t="shared" si="215"/>
        <v>6.364975712584986E-2</v>
      </c>
      <c r="AJ105" s="17">
        <f t="shared" si="215"/>
        <v>2.7846920674934994</v>
      </c>
      <c r="AK105" s="17">
        <f t="shared" si="215"/>
        <v>2.9961443735941229</v>
      </c>
      <c r="AL105" s="17">
        <f t="shared" si="215"/>
        <v>0.8968983442464884</v>
      </c>
      <c r="AM105" s="17">
        <f t="shared" si="216"/>
        <v>1.6659948190530072</v>
      </c>
      <c r="AO105" s="17">
        <f t="shared" si="217"/>
        <v>1.5918493926803556</v>
      </c>
      <c r="AP105" s="17">
        <f t="shared" si="218"/>
        <v>3.7131870382657972</v>
      </c>
      <c r="AQ105" s="17">
        <f t="shared" si="219"/>
        <v>4.7125491856431445</v>
      </c>
      <c r="AS105" t="str">
        <f t="shared" si="248"/>
        <v>82 Transport and mobile machine drivers and operatives</v>
      </c>
      <c r="AT105" s="17">
        <f t="shared" si="220"/>
        <v>0.80202466031216169</v>
      </c>
      <c r="AU105" s="17">
        <f t="shared" si="220"/>
        <v>0.14634094300749467</v>
      </c>
      <c r="AV105" s="17">
        <f t="shared" si="220"/>
        <v>3.4119531988997975</v>
      </c>
      <c r="AW105" s="17">
        <f t="shared" si="220"/>
        <v>0.93188892775131205</v>
      </c>
      <c r="AX105" s="17">
        <f t="shared" si="221"/>
        <v>1.6507998117286204</v>
      </c>
      <c r="AZ105" s="17">
        <f t="shared" si="222"/>
        <v>1.7518969281689944</v>
      </c>
      <c r="BA105" s="17">
        <f t="shared" si="223"/>
        <v>4.0358225096114531</v>
      </c>
      <c r="BB105" s="17">
        <f t="shared" si="224"/>
        <v>5.0967951633075881</v>
      </c>
      <c r="BD105" t="str">
        <f t="shared" si="249"/>
        <v>82 Transport and mobile machine drivers and operatives</v>
      </c>
      <c r="BE105" s="17">
        <f t="shared" si="225"/>
        <v>1.3291459315589949</v>
      </c>
      <c r="BF105" s="17">
        <f t="shared" si="225"/>
        <v>16.529775350270093</v>
      </c>
      <c r="BG105" s="17">
        <f t="shared" si="225"/>
        <v>-1.7058913801637265</v>
      </c>
      <c r="BH105" s="17">
        <f t="shared" si="225"/>
        <v>0.28554812893673009</v>
      </c>
      <c r="BI105" s="17">
        <f t="shared" si="226"/>
        <v>0.59841018649011701</v>
      </c>
      <c r="BK105" s="17">
        <f t="shared" si="227"/>
        <v>-0.38270809851511656</v>
      </c>
      <c r="BL105" s="17">
        <f t="shared" si="228"/>
        <v>2.6295501719834302</v>
      </c>
      <c r="BM105" s="17">
        <f t="shared" si="229"/>
        <v>2.3657631394892187</v>
      </c>
      <c r="BO105" t="str">
        <f t="shared" si="250"/>
        <v>82 Transport and mobile machine drivers and operatives</v>
      </c>
      <c r="BP105" s="17">
        <f t="shared" si="230"/>
        <v>2.8189562437270332</v>
      </c>
      <c r="BQ105" s="17">
        <f t="shared" si="230"/>
        <v>-6.5485760749259603</v>
      </c>
      <c r="BR105" s="17">
        <f t="shared" si="230"/>
        <v>1.7860592563324618</v>
      </c>
      <c r="BS105" s="17">
        <f t="shared" si="230"/>
        <v>0.63554413069975002</v>
      </c>
      <c r="BT105" s="17">
        <f t="shared" si="231"/>
        <v>0.52725840927509982</v>
      </c>
      <c r="BV105" s="17">
        <f t="shared" si="232"/>
        <v>1.0175969119282646</v>
      </c>
      <c r="BW105" s="17">
        <f t="shared" si="233"/>
        <v>3.0641842798190044</v>
      </c>
      <c r="BX105" s="17">
        <f t="shared" si="234"/>
        <v>3.7480625366814735</v>
      </c>
      <c r="BZ105" t="str">
        <f t="shared" si="251"/>
        <v>82 Transport and mobile machine drivers and operatives</v>
      </c>
      <c r="CA105" s="17">
        <f t="shared" si="235"/>
        <v>11.743145199136862</v>
      </c>
      <c r="CB105" s="17">
        <f t="shared" si="235"/>
        <v>-37.577761987697542</v>
      </c>
      <c r="CC105" s="17">
        <f t="shared" si="235"/>
        <v>0.28118277606428155</v>
      </c>
      <c r="CD105" s="17">
        <f t="shared" si="235"/>
        <v>-4.0529460496192886</v>
      </c>
      <c r="CE105" s="17">
        <f t="shared" si="236"/>
        <v>-5.2979100264505252</v>
      </c>
      <c r="CG105" s="17">
        <f t="shared" si="237"/>
        <v>-2.6294599542486807</v>
      </c>
      <c r="CH105" s="17">
        <f t="shared" si="238"/>
        <v>2.3423204475781167</v>
      </c>
      <c r="CI105" s="17">
        <f t="shared" si="239"/>
        <v>0.55003629058889558</v>
      </c>
      <c r="CK105" t="str">
        <f t="shared" si="252"/>
        <v>82 Transport and mobile machine drivers and operatives</v>
      </c>
      <c r="CL105" s="17">
        <f t="shared" si="240"/>
        <v>1.0288223288723142</v>
      </c>
      <c r="CM105" s="17">
        <f t="shared" si="240"/>
        <v>-9.8813272602475521</v>
      </c>
      <c r="CN105" s="17">
        <f t="shared" si="240"/>
        <v>-6.272386617995207</v>
      </c>
      <c r="CO105" s="17">
        <f t="shared" si="240"/>
        <v>-9.0061053666136708</v>
      </c>
      <c r="CP105" s="17">
        <f t="shared" si="241"/>
        <v>-8.2159547288071177</v>
      </c>
      <c r="CR105" s="17">
        <f t="shared" si="242"/>
        <v>-8.1038418816214097</v>
      </c>
      <c r="CS105" s="17">
        <f t="shared" si="243"/>
        <v>1.4687646054616366</v>
      </c>
      <c r="CT105" s="17">
        <f t="shared" si="244"/>
        <v>-4.1930672235172999</v>
      </c>
    </row>
    <row r="106" spans="1:98" x14ac:dyDescent="0.2">
      <c r="A106" t="str">
        <f t="shared" si="199"/>
        <v>91 Elementary trades and related occupations</v>
      </c>
      <c r="B106" s="17">
        <f t="shared" si="200"/>
        <v>1.7209197942054333</v>
      </c>
      <c r="C106" s="17">
        <f t="shared" si="200"/>
        <v>-17.661558709632242</v>
      </c>
      <c r="D106" s="17">
        <f t="shared" si="200"/>
        <v>-0.50751383063818434</v>
      </c>
      <c r="E106" s="17">
        <f t="shared" si="200"/>
        <v>2.0470614252777075</v>
      </c>
      <c r="F106" s="17">
        <f t="shared" si="201"/>
        <v>-0.10702599046439332</v>
      </c>
      <c r="H106" s="17">
        <f t="shared" si="202"/>
        <v>1.1883303451596161</v>
      </c>
      <c r="I106" s="17">
        <f t="shared" si="203"/>
        <v>3.4879242586340675</v>
      </c>
      <c r="J106" s="17">
        <f t="shared" si="204"/>
        <v>4.2474012554664986</v>
      </c>
      <c r="L106" t="str">
        <f t="shared" si="245"/>
        <v>91 Elementary trades and related occupations</v>
      </c>
      <c r="M106" s="17">
        <f t="shared" si="205"/>
        <v>14.133826587336706</v>
      </c>
      <c r="N106" s="17">
        <f t="shared" si="205"/>
        <v>-50.124441506811948</v>
      </c>
      <c r="O106" s="17">
        <f t="shared" si="205"/>
        <v>3.6544080603910123</v>
      </c>
      <c r="P106" s="17">
        <f t="shared" si="205"/>
        <v>4.4363513939121191</v>
      </c>
      <c r="Q106" s="17">
        <f t="shared" si="206"/>
        <v>-0.51182312766194782</v>
      </c>
      <c r="S106" s="17">
        <f t="shared" si="207"/>
        <v>4.1750503830445318</v>
      </c>
      <c r="T106" s="17">
        <f t="shared" si="208"/>
        <v>3.6151689888079375</v>
      </c>
      <c r="U106" s="17">
        <f t="shared" si="209"/>
        <v>6.4408105898307477</v>
      </c>
      <c r="W106" t="str">
        <f t="shared" si="246"/>
        <v>91 Elementary trades and related occupations</v>
      </c>
      <c r="X106" s="17">
        <f t="shared" si="210"/>
        <v>-5.7036605076879576</v>
      </c>
      <c r="Y106" s="17">
        <f t="shared" si="210"/>
        <v>-9.4723694024387619</v>
      </c>
      <c r="Z106" s="17">
        <f t="shared" si="210"/>
        <v>-1.3078695071688684</v>
      </c>
      <c r="AA106" s="17">
        <f t="shared" si="210"/>
        <v>1.3192988629367797</v>
      </c>
      <c r="AB106" s="17">
        <f t="shared" si="211"/>
        <v>-0.21397544549270897</v>
      </c>
      <c r="AD106" s="17">
        <f t="shared" si="212"/>
        <v>0.43589607118730278</v>
      </c>
      <c r="AE106" s="17">
        <f t="shared" si="213"/>
        <v>3.1399678414161247</v>
      </c>
      <c r="AF106" s="17">
        <f t="shared" si="214"/>
        <v>3.4258962371058521</v>
      </c>
      <c r="AH106" t="str">
        <f t="shared" si="247"/>
        <v>91 Elementary trades and related occupations</v>
      </c>
      <c r="AI106" s="17">
        <f t="shared" si="215"/>
        <v>-2.3738660208710516</v>
      </c>
      <c r="AJ106" s="17">
        <f t="shared" si="215"/>
        <v>-15.542660498957506</v>
      </c>
      <c r="AK106" s="17">
        <f t="shared" si="215"/>
        <v>1.2582716082054191</v>
      </c>
      <c r="AL106" s="17">
        <f t="shared" si="215"/>
        <v>3.434299512772343</v>
      </c>
      <c r="AM106" s="17">
        <f t="shared" si="216"/>
        <v>1.4558824605876541</v>
      </c>
      <c r="AO106" s="17">
        <f t="shared" si="217"/>
        <v>2.7038100487947414</v>
      </c>
      <c r="AP106" s="17">
        <f t="shared" si="218"/>
        <v>3.7012391680879331</v>
      </c>
      <c r="AQ106" s="17">
        <f t="shared" si="219"/>
        <v>5.4510281605255617</v>
      </c>
      <c r="AS106" t="str">
        <f t="shared" si="248"/>
        <v>91 Elementary trades and related occupations</v>
      </c>
      <c r="AT106" s="17">
        <f t="shared" si="220"/>
        <v>-6.8157010483084424</v>
      </c>
      <c r="AU106" s="17">
        <f t="shared" si="220"/>
        <v>-3.7943135887351431</v>
      </c>
      <c r="AV106" s="17">
        <f t="shared" si="220"/>
        <v>-1.5626136712782235</v>
      </c>
      <c r="AW106" s="17">
        <f t="shared" si="220"/>
        <v>1.0615975102164166</v>
      </c>
      <c r="AX106" s="17">
        <f t="shared" si="221"/>
        <v>-7.3904336363395107E-2</v>
      </c>
      <c r="AZ106" s="17">
        <f t="shared" si="222"/>
        <v>0.17917802771150182</v>
      </c>
      <c r="BA106" s="17">
        <f t="shared" si="223"/>
        <v>2.7427407580618901</v>
      </c>
      <c r="BB106" s="17">
        <f t="shared" si="224"/>
        <v>2.8659306923756622</v>
      </c>
      <c r="BD106" t="str">
        <f t="shared" si="249"/>
        <v>91 Elementary trades and related occupations</v>
      </c>
      <c r="BE106" s="17">
        <f t="shared" si="225"/>
        <v>-6.0026562370669279</v>
      </c>
      <c r="BF106" s="17">
        <f t="shared" si="225"/>
        <v>10.573525518931115</v>
      </c>
      <c r="BG106" s="17">
        <f t="shared" si="225"/>
        <v>-5.8573439828810026</v>
      </c>
      <c r="BH106" s="17">
        <f t="shared" si="225"/>
        <v>0.43156755872568731</v>
      </c>
      <c r="BI106" s="17">
        <f t="shared" si="226"/>
        <v>-0.98400346545975959</v>
      </c>
      <c r="BK106" s="17">
        <f t="shared" si="227"/>
        <v>-1.7100811603419253</v>
      </c>
      <c r="BL106" s="17">
        <f t="shared" si="228"/>
        <v>1.7150159285797884</v>
      </c>
      <c r="BM106" s="17">
        <f t="shared" si="229"/>
        <v>0.40551437788205469</v>
      </c>
      <c r="BO106" t="str">
        <f t="shared" si="250"/>
        <v>91 Elementary trades and related occupations</v>
      </c>
      <c r="BP106" s="17">
        <f t="shared" si="230"/>
        <v>-4.6932927573198668</v>
      </c>
      <c r="BQ106" s="17">
        <f t="shared" si="230"/>
        <v>-2.4726546683593087</v>
      </c>
      <c r="BR106" s="17">
        <f t="shared" si="230"/>
        <v>-3.1211579223814123</v>
      </c>
      <c r="BS106" s="17">
        <f t="shared" si="230"/>
        <v>0.29200325747960054</v>
      </c>
      <c r="BT106" s="17">
        <f t="shared" si="231"/>
        <v>-0.96051233664762314</v>
      </c>
      <c r="BV106" s="17">
        <f t="shared" si="232"/>
        <v>-0.85887322243005659</v>
      </c>
      <c r="BW106" s="17">
        <f t="shared" si="233"/>
        <v>1.8324496398562484</v>
      </c>
      <c r="BX106" s="17">
        <f t="shared" si="234"/>
        <v>1.1761728169156216</v>
      </c>
      <c r="BZ106" t="str">
        <f t="shared" si="251"/>
        <v>91 Elementary trades and related occupations</v>
      </c>
      <c r="CA106" s="17">
        <f t="shared" si="235"/>
        <v>0.98751788202975366</v>
      </c>
      <c r="CB106" s="17">
        <f t="shared" si="235"/>
        <v>-27.498695147611773</v>
      </c>
      <c r="CC106" s="17">
        <f t="shared" si="235"/>
        <v>-4.041345501503768</v>
      </c>
      <c r="CD106" s="17">
        <f t="shared" si="235"/>
        <v>-3.2414459751078484</v>
      </c>
      <c r="CE106" s="17">
        <f t="shared" si="236"/>
        <v>-5.217367484846358</v>
      </c>
      <c r="CG106" s="17">
        <f t="shared" si="237"/>
        <v>-3.5088172928033123</v>
      </c>
      <c r="CH106" s="17">
        <f t="shared" si="238"/>
        <v>1.6343217237563046</v>
      </c>
      <c r="CI106" s="17">
        <f t="shared" si="239"/>
        <v>-0.99665255008654086</v>
      </c>
      <c r="CK106" t="str">
        <f t="shared" si="252"/>
        <v>91 Elementary trades and related occupations</v>
      </c>
      <c r="CL106" s="17">
        <f t="shared" si="240"/>
        <v>-4.5238050509872174</v>
      </c>
      <c r="CM106" s="17">
        <f t="shared" si="240"/>
        <v>-21.790020010802213</v>
      </c>
      <c r="CN106" s="17">
        <f t="shared" si="240"/>
        <v>-7.7370588085782561</v>
      </c>
      <c r="CO106" s="17">
        <f t="shared" si="240"/>
        <v>-4.2154856701310699</v>
      </c>
      <c r="CP106" s="17">
        <f t="shared" si="241"/>
        <v>-6.521985541622155</v>
      </c>
      <c r="CR106" s="17">
        <f t="shared" si="242"/>
        <v>-5.4040304734110141</v>
      </c>
      <c r="CS106" s="17">
        <f t="shared" si="243"/>
        <v>1.1672828115005807</v>
      </c>
      <c r="CT106" s="17">
        <f t="shared" si="244"/>
        <v>-3.0873756616050296</v>
      </c>
    </row>
    <row r="107" spans="1:98" x14ac:dyDescent="0.2">
      <c r="A107" t="str">
        <f t="shared" si="199"/>
        <v>92 Elementary administration and service occupations</v>
      </c>
      <c r="B107" s="17">
        <f t="shared" si="200"/>
        <v>10.635520702366662</v>
      </c>
      <c r="C107" s="17">
        <f t="shared" si="200"/>
        <v>-17.489619097427955</v>
      </c>
      <c r="D107" s="17">
        <f t="shared" si="200"/>
        <v>5.8096186488442614</v>
      </c>
      <c r="E107" s="17">
        <f t="shared" si="200"/>
        <v>3.2753031717839498</v>
      </c>
      <c r="F107" s="17">
        <f t="shared" si="201"/>
        <v>2.6109468709002437</v>
      </c>
      <c r="H107" s="17">
        <f t="shared" si="202"/>
        <v>4.1132576198741999</v>
      </c>
      <c r="I107" s="17">
        <f t="shared" si="203"/>
        <v>4.2674814310796894</v>
      </c>
      <c r="J107" s="17">
        <f t="shared" si="204"/>
        <v>6.8518306492882708</v>
      </c>
      <c r="L107" t="str">
        <f t="shared" ref="L107" si="253">A107</f>
        <v>92 Elementary administration and service occupations</v>
      </c>
      <c r="M107" s="17">
        <f t="shared" si="205"/>
        <v>11.288098378293231</v>
      </c>
      <c r="N107" s="17">
        <f t="shared" si="205"/>
        <v>-14.177067565650802</v>
      </c>
      <c r="O107" s="17">
        <f t="shared" si="205"/>
        <v>6.3055006235427591</v>
      </c>
      <c r="P107" s="17">
        <f t="shared" si="205"/>
        <v>4.502466871187738</v>
      </c>
      <c r="Q107" s="17">
        <f t="shared" si="206"/>
        <v>3.7774431010968446</v>
      </c>
      <c r="S107" s="17">
        <f t="shared" si="207"/>
        <v>5.1000543606042559</v>
      </c>
      <c r="T107" s="17">
        <f t="shared" si="208"/>
        <v>4.5566229723936091</v>
      </c>
      <c r="U107" s="17">
        <f t="shared" si="209"/>
        <v>7.7409038029322197</v>
      </c>
      <c r="W107" t="str">
        <f t="shared" ref="W107" si="254">A107</f>
        <v>92 Elementary administration and service occupations</v>
      </c>
      <c r="X107" s="17">
        <f t="shared" si="210"/>
        <v>1.0343334506298429</v>
      </c>
      <c r="Y107" s="17">
        <f t="shared" si="210"/>
        <v>7.3668725530043666</v>
      </c>
      <c r="Z107" s="17">
        <f t="shared" si="210"/>
        <v>4.2002736252464423</v>
      </c>
      <c r="AA107" s="17">
        <f t="shared" si="210"/>
        <v>3.566794776535076</v>
      </c>
      <c r="AB107" s="17">
        <f t="shared" si="211"/>
        <v>3.9983017100739371</v>
      </c>
      <c r="AD107" s="17">
        <f t="shared" si="212"/>
        <v>3.7775253220269978</v>
      </c>
      <c r="AE107" s="17">
        <f t="shared" si="213"/>
        <v>4.3995661045371559</v>
      </c>
      <c r="AF107" s="17">
        <f t="shared" si="214"/>
        <v>6.7170165189382347</v>
      </c>
      <c r="AH107" t="str">
        <f t="shared" ref="AH107" si="255">L107</f>
        <v>92 Elementary administration and service occupations</v>
      </c>
      <c r="AI107" s="17">
        <f t="shared" si="215"/>
        <v>2.0940908762756116</v>
      </c>
      <c r="AJ107" s="17">
        <f t="shared" si="215"/>
        <v>10.256484270749034</v>
      </c>
      <c r="AK107" s="17">
        <f t="shared" si="215"/>
        <v>3.5519283474745533</v>
      </c>
      <c r="AL107" s="17">
        <f t="shared" si="215"/>
        <v>3.6709759757317162</v>
      </c>
      <c r="AM107" s="17">
        <f t="shared" si="216"/>
        <v>4.0334342639072762</v>
      </c>
      <c r="AO107" s="17">
        <f t="shared" si="217"/>
        <v>3.6312782338404404</v>
      </c>
      <c r="AP107" s="17">
        <f t="shared" si="218"/>
        <v>4.0728115140820309</v>
      </c>
      <c r="AQ107" s="17">
        <f t="shared" si="219"/>
        <v>6.376474461358006</v>
      </c>
      <c r="AS107" t="str">
        <f t="shared" ref="AS107" si="256">W107</f>
        <v>92 Elementary administration and service occupations</v>
      </c>
      <c r="AT107" s="17">
        <f t="shared" si="220"/>
        <v>0.44367701334981913</v>
      </c>
      <c r="AU107" s="17">
        <f t="shared" si="220"/>
        <v>5.0949634645917952</v>
      </c>
      <c r="AV107" s="17">
        <f t="shared" si="220"/>
        <v>3.0583812662031473</v>
      </c>
      <c r="AW107" s="17">
        <f t="shared" si="220"/>
        <v>3.3818388791662546</v>
      </c>
      <c r="AX107" s="17">
        <f t="shared" si="221"/>
        <v>3.3867928785518142</v>
      </c>
      <c r="AZ107" s="17">
        <f t="shared" si="222"/>
        <v>3.2739070319499852</v>
      </c>
      <c r="BA107" s="17">
        <f t="shared" si="223"/>
        <v>4.0531704546499014</v>
      </c>
      <c r="BB107" s="17">
        <f t="shared" si="224"/>
        <v>6.1156732749630072</v>
      </c>
      <c r="BD107" t="str">
        <f t="shared" ref="BD107" si="257">AH107</f>
        <v>92 Elementary administration and service occupations</v>
      </c>
      <c r="BE107" s="17">
        <f t="shared" si="225"/>
        <v>-2.7135293614749978</v>
      </c>
      <c r="BF107" s="17">
        <f t="shared" si="225"/>
        <v>13.255546331688507</v>
      </c>
      <c r="BG107" s="17">
        <f t="shared" si="225"/>
        <v>-1.4595181209590802</v>
      </c>
      <c r="BH107" s="17">
        <f t="shared" si="225"/>
        <v>0.34094284792498541</v>
      </c>
      <c r="BI107" s="17">
        <f t="shared" si="226"/>
        <v>0.53265831602617997</v>
      </c>
      <c r="BK107" s="17">
        <f t="shared" si="227"/>
        <v>-0.26283663098796151</v>
      </c>
      <c r="BL107" s="17">
        <f t="shared" si="228"/>
        <v>2.6249673012382457</v>
      </c>
      <c r="BM107" s="17">
        <f t="shared" si="229"/>
        <v>2.443186700819866</v>
      </c>
      <c r="BO107" t="str">
        <f t="shared" ref="BO107" si="258">AS107</f>
        <v>92 Elementary administration and service occupations</v>
      </c>
      <c r="BP107" s="17">
        <f t="shared" si="230"/>
        <v>-0.27506683608096161</v>
      </c>
      <c r="BQ107" s="17">
        <f t="shared" si="230"/>
        <v>0.1670440363830572</v>
      </c>
      <c r="BR107" s="17">
        <f t="shared" si="230"/>
        <v>0.22177608850235675</v>
      </c>
      <c r="BS107" s="17">
        <f t="shared" si="230"/>
        <v>-1.720639603290941E-2</v>
      </c>
      <c r="BT107" s="17">
        <f t="shared" si="231"/>
        <v>6.8928654238176179E-2</v>
      </c>
      <c r="BV107" s="17">
        <f t="shared" si="232"/>
        <v>6.2391046896759228E-2</v>
      </c>
      <c r="BW107" s="17">
        <f t="shared" si="233"/>
        <v>2.5811037722986097</v>
      </c>
      <c r="BX107" s="17">
        <f t="shared" si="234"/>
        <v>2.6248338656436498</v>
      </c>
      <c r="BZ107" t="str">
        <f t="shared" ref="BZ107" si="259">BD107</f>
        <v>92 Elementary administration and service occupations</v>
      </c>
      <c r="CA107" s="17">
        <f t="shared" si="235"/>
        <v>2.4722940486581635</v>
      </c>
      <c r="CB107" s="17">
        <f t="shared" si="235"/>
        <v>-19.858437981252276</v>
      </c>
      <c r="CC107" s="17">
        <f t="shared" si="235"/>
        <v>1.8608597580338504E-2</v>
      </c>
      <c r="CD107" s="17">
        <f t="shared" si="235"/>
        <v>-3.2541247959175457</v>
      </c>
      <c r="CE107" s="17">
        <f t="shared" si="236"/>
        <v>-3.3867589491487049</v>
      </c>
      <c r="CG107" s="17">
        <f t="shared" si="237"/>
        <v>-2.1752887377028518</v>
      </c>
      <c r="CH107" s="17">
        <f t="shared" si="238"/>
        <v>2.0819691158826537</v>
      </c>
      <c r="CI107" s="17">
        <f t="shared" si="239"/>
        <v>0.52172805194514726</v>
      </c>
      <c r="CK107" t="str">
        <f t="shared" ref="CK107" si="260">BO107</f>
        <v>92 Elementary administration and service occupations</v>
      </c>
      <c r="CL107" s="17">
        <f t="shared" si="240"/>
        <v>-8.4192008733230175</v>
      </c>
      <c r="CM107" s="17">
        <f t="shared" si="240"/>
        <v>-30.195188119041603</v>
      </c>
      <c r="CN107" s="17">
        <f t="shared" si="240"/>
        <v>-5.1906113059639107</v>
      </c>
      <c r="CO107" s="17">
        <f t="shared" si="240"/>
        <v>-4.7242922301826145</v>
      </c>
      <c r="CP107" s="17">
        <f t="shared" si="241"/>
        <v>-6.7019115790408312</v>
      </c>
      <c r="CR107" s="17">
        <f t="shared" si="242"/>
        <v>-4.8799862094990658</v>
      </c>
      <c r="CS107" s="17">
        <f t="shared" si="243"/>
        <v>1.2400086549410272</v>
      </c>
      <c r="CT107" s="17">
        <f t="shared" si="244"/>
        <v>-2.5843719153455069</v>
      </c>
    </row>
    <row r="108" spans="1:98" x14ac:dyDescent="0.2">
      <c r="B108" s="17"/>
      <c r="C108" s="17"/>
      <c r="D108" s="17"/>
      <c r="E108" s="17"/>
      <c r="F108" s="17"/>
      <c r="H108" s="17"/>
      <c r="I108" s="17"/>
      <c r="J108" s="17"/>
      <c r="M108" s="17"/>
      <c r="N108" s="17"/>
      <c r="O108" s="17"/>
      <c r="P108" s="17"/>
      <c r="Q108" s="17"/>
      <c r="S108" s="17"/>
      <c r="T108" s="17"/>
      <c r="U108" s="17"/>
      <c r="X108" s="17"/>
      <c r="Y108" s="17"/>
      <c r="Z108" s="17"/>
      <c r="AA108" s="17"/>
      <c r="AB108" s="17"/>
      <c r="AD108" s="17"/>
      <c r="AE108" s="17"/>
      <c r="AF108" s="17"/>
      <c r="AI108" s="17"/>
      <c r="AJ108" s="17"/>
      <c r="AK108" s="17"/>
      <c r="AL108" s="17"/>
      <c r="AM108" s="17"/>
      <c r="AO108" s="17"/>
      <c r="AP108" s="17"/>
      <c r="AQ108" s="17"/>
      <c r="AT108" s="17"/>
      <c r="AU108" s="17"/>
      <c r="AV108" s="17"/>
      <c r="AW108" s="17"/>
      <c r="AX108" s="17"/>
      <c r="AZ108" s="17"/>
      <c r="BA108" s="17"/>
      <c r="BB108" s="17"/>
      <c r="BE108" s="17"/>
      <c r="BF108" s="17"/>
      <c r="BG108" s="17"/>
      <c r="BH108" s="17"/>
      <c r="BI108" s="17"/>
      <c r="BK108" s="17"/>
      <c r="BL108" s="17"/>
      <c r="BM108" s="17"/>
      <c r="BP108" s="17"/>
      <c r="BQ108" s="17"/>
      <c r="BR108" s="17"/>
      <c r="BS108" s="17"/>
      <c r="BT108" s="17"/>
      <c r="BV108" s="17"/>
      <c r="BW108" s="17"/>
      <c r="BX108" s="17"/>
      <c r="CA108" s="17"/>
      <c r="CB108" s="17"/>
      <c r="CC108" s="17"/>
      <c r="CD108" s="17"/>
      <c r="CE108" s="17"/>
      <c r="CG108" s="17"/>
      <c r="CH108" s="17"/>
      <c r="CI108" s="17"/>
      <c r="CL108" s="17"/>
      <c r="CM108" s="17"/>
      <c r="CN108" s="17"/>
      <c r="CO108" s="17"/>
      <c r="CP108" s="17"/>
      <c r="CR108" s="17"/>
      <c r="CS108" s="17"/>
      <c r="CT108" s="17"/>
    </row>
    <row r="109" spans="1:98" x14ac:dyDescent="0.2">
      <c r="A109" s="23" t="str">
        <f>A35</f>
        <v>All occupations</v>
      </c>
      <c r="B109" s="25">
        <f>IF(AND(C$6-B$6 &lt;&gt; 0,B35&lt;&gt;0,C35&lt;&gt;0),(EXP(LN(C35/B35)/(C$6-B$6))-1)*100,0)</f>
        <v>6.5146421443964542</v>
      </c>
      <c r="C109" s="25">
        <f>IF(AND(D$6-C$6 &lt;&gt; 0,C35&lt;&gt;0,D35&lt;&gt;0),(EXP(LN(D35/C35)/(D$6-C$6))-1)*100,0)</f>
        <v>-10.432263762497495</v>
      </c>
      <c r="D109" s="25">
        <f>IF(AND(E$6-D$6 &lt;&gt; 0,D35&lt;&gt;0,E35&lt;&gt;0),(EXP(LN(E35/D35)/(E$6-D$6))-1)*100,0)</f>
        <v>4.3501939121531441</v>
      </c>
      <c r="E109" s="25">
        <f>IF(AND(F$6-E$6 &lt;&gt; 0,E35&lt;&gt;0,F35&lt;&gt;0),(EXP(LN(F35/E35)/(F$6-E$6))-1)*100,0)</f>
        <v>2.3088956878043687</v>
      </c>
      <c r="F109" s="25">
        <f>IF(AND(F$6-C$6 &lt;&gt; 0,C35&lt;&gt;0,F35&lt;&gt;0),(EXP(LN(F35/C35)/(F$6-C$6))-1)*100,0)</f>
        <v>2.0903027809682229</v>
      </c>
      <c r="H109" s="25">
        <f>IF($F$6-$D$6 &lt;&gt; 0,(EXP(LN(1+(H72/100))/($F$6-$D$6))-1)*100,0)</f>
        <v>2.9848525335639975</v>
      </c>
      <c r="I109" s="25">
        <f>IF(D35&gt;0,((1+(I35/D35))^(1/($F$6-$D$6))-1)*100,0)</f>
        <v>3.5091864136453488</v>
      </c>
      <c r="J109" s="25">
        <f>IF($F$6-$D$6 &lt;&gt; 0,(EXP(LN(1+(J72/100))/($F$6-$D$6))-1)*100,0)</f>
        <v>5.4988606798108686</v>
      </c>
      <c r="L109" s="23" t="str">
        <f>L35</f>
        <v>All occupations</v>
      </c>
      <c r="M109" s="25">
        <f>IF(AND(N$6-M$6 &lt;&gt; 0,M35&lt;&gt;0,N35&lt;&gt;0),(EXP(LN(N35/M35)/(N$6-M$6))-1)*100,0)</f>
        <v>7.2728758154952944</v>
      </c>
      <c r="N109" s="25">
        <f>IF(AND(O$6-N$6 &lt;&gt; 0,N35&lt;&gt;0,O35&lt;&gt;0),(EXP(LN(O35/N35)/(O$6-N$6))-1)*100,0)</f>
        <v>-11.500371357357631</v>
      </c>
      <c r="O109" s="25">
        <f>IF(AND(P$6-O$6 &lt;&gt; 0,O35&lt;&gt;0,P35&lt;&gt;0),(EXP(LN(P35/O35)/(P$6-O$6))-1)*100,0)</f>
        <v>3.6957400250579031</v>
      </c>
      <c r="P109" s="25">
        <f>IF(AND(Q$6-P$6 &lt;&gt; 0,P35&lt;&gt;0,Q35&lt;&gt;0),(EXP(LN(Q35/P35)/(Q$6-P$6))-1)*100,0)</f>
        <v>2.0465803321302545</v>
      </c>
      <c r="Q109" s="25">
        <f>IF(AND(Q$6-N$6 &lt;&gt; 0,N35&lt;&gt;0,Q35&lt;&gt;0),(EXP(LN(Q35/N35)/(Q$6-N$6))-1)*100,0)</f>
        <v>1.6501821907125125</v>
      </c>
      <c r="S109" s="25">
        <f t="shared" ref="S109" si="261">IF($F$6-$D$6 &lt;&gt; 0,(EXP(LN(1+(S72/100))/($F$6-$D$6))-1)*100,0)</f>
        <v>2.5933652201070689</v>
      </c>
      <c r="T109" s="25">
        <f t="shared" ref="T109" si="262">IF(O35&gt;0,((1+(T35/O35))^(1/($F$6-$D$6))-1)*100,0)</f>
        <v>3.5734896837122276</v>
      </c>
      <c r="U109" s="25">
        <f t="shared" ref="U109" si="263">IF($F$6-$D$6 &lt;&gt; 0,(EXP(LN(1+(U72/100))/($F$6-$D$6))-1)*100,0)</f>
        <v>5.2729865872305215</v>
      </c>
      <c r="W109" s="23" t="str">
        <f>W35</f>
        <v>All occupations</v>
      </c>
      <c r="X109" s="25">
        <f>IF(AND(Y$6-X$6 &lt;&gt; 0,X35&lt;&gt;0,Y35&lt;&gt;0),(EXP(LN(Y35/X35)/(Y$6-X$6))-1)*100,0)</f>
        <v>-0.75186634561122956</v>
      </c>
      <c r="Y109" s="25">
        <f>IF(AND(Z$6-Y$6 &lt;&gt; 0,Y35&lt;&gt;0,Z35&lt;&gt;0),(EXP(LN(Z35/Y35)/(Z$6-Y$6))-1)*100,0)</f>
        <v>10.858668716499519</v>
      </c>
      <c r="Z109" s="25">
        <f>IF(AND(AA$6-Z$6 &lt;&gt; 0,Z35&lt;&gt;0,AA35&lt;&gt;0),(EXP(LN(AA35/Z35)/(AA$6-Z$6))-1)*100,0)</f>
        <v>2.3837713413310757</v>
      </c>
      <c r="AA109" s="25">
        <f>IF(AND(AB$6-AA$6 &lt;&gt; 0,AA35&lt;&gt;0,AB35&lt;&gt;0),(EXP(LN(AB35/AA35)/(AB$6-AA$6))-1)*100,0)</f>
        <v>2.2061873647604813</v>
      </c>
      <c r="AB109" s="25">
        <f>IF(AND(AB$6-Y$6 &lt;&gt; 0,Y35&lt;&gt;0,AB35&lt;&gt;0),(EXP(LN(AB35/Y35)/(AB$6-Y$6))-1)*100,0)</f>
        <v>2.7823568502976848</v>
      </c>
      <c r="AD109" s="25">
        <f t="shared" ref="AD109" si="264">IF($F$6-$D$6 &lt;&gt; 0,(EXP(LN(1+(AD72/100))/($F$6-$D$6))-1)*100,0)</f>
        <v>2.265347772959081</v>
      </c>
      <c r="AE109" s="25">
        <f t="shared" ref="AE109" si="265">IF(Z35&gt;0,((1+(AE35/Z35))^(1/($F$6-$D$6))-1)*100,0)</f>
        <v>3.5164051556374254</v>
      </c>
      <c r="AF109" s="25">
        <f t="shared" ref="AF109" si="266">IF($F$6-$D$6 &lt;&gt; 0,(EXP(LN(1+(AF72/100))/($F$6-$D$6))-1)*100,0)</f>
        <v>4.9991985595692956</v>
      </c>
      <c r="AH109" s="23" t="str">
        <f>AH35</f>
        <v>All occupations</v>
      </c>
      <c r="AI109" s="25">
        <f>IF(AND(AJ$6-AI$6 &lt;&gt; 0,AI35&lt;&gt;0,AJ35&lt;&gt;0),(EXP(LN(AJ35/AI35)/(AJ$6-AI$6))-1)*100,0)</f>
        <v>-3.602537876773837</v>
      </c>
      <c r="AJ109" s="25">
        <f>IF(AND(AK$6-AJ$6 &lt;&gt; 0,AJ35&lt;&gt;0,AK35&lt;&gt;0),(EXP(LN(AK35/AJ35)/(AK$6-AJ$6))-1)*100,0)</f>
        <v>10.400601818676325</v>
      </c>
      <c r="AK109" s="25">
        <f>IF(AND(AL$6-AK$6 &lt;&gt; 0,AK35&lt;&gt;0,AL35&lt;&gt;0),(EXP(LN(AL35/AK35)/(AL$6-AK$6))-1)*100,0)</f>
        <v>-0.52415101398777253</v>
      </c>
      <c r="AL109" s="25">
        <f>IF(AND(AM$6-AL$6 &lt;&gt; 0,AL35&lt;&gt;0,AM35&lt;&gt;0),(EXP(LN(AM35/AL35)/(AM$6-AL$6))-1)*100,0)</f>
        <v>0.95488436966790768</v>
      </c>
      <c r="AM109" s="25">
        <f>IF(AND(AM$6-AJ$6 &lt;&gt; 0,AJ35&lt;&gt;0,AM35&lt;&gt;0),(EXP(LN(AM35/AJ35)/(AM$6-AJ$6))-1)*100,0)</f>
        <v>1.0536644841159015</v>
      </c>
      <c r="AO109" s="25">
        <f t="shared" ref="AO109" si="267">IF($F$6-$D$6 &lt;&gt; 0,(EXP(LN(1+(AO72/100))/($F$6-$D$6))-1)*100,0)</f>
        <v>0.45944516936384794</v>
      </c>
      <c r="AP109" s="25">
        <f t="shared" ref="AP109" si="268">IF(AK35&gt;0,((1+(AP35/AK35))^(1/($F$6-$D$6))-1)*100,0)</f>
        <v>2.9728244027905415</v>
      </c>
      <c r="AQ109" s="25">
        <f t="shared" ref="AQ109" si="269">IF($F$6-$D$6 &lt;&gt; 0,(EXP(LN(1+(AQ72/100))/($F$6-$D$6))-1)*100,0)</f>
        <v>3.2811518369414649</v>
      </c>
      <c r="AS109" s="23" t="str">
        <f>AS35</f>
        <v>All occupations</v>
      </c>
      <c r="AT109" s="25">
        <f>IF(AND(AU$6-AT$6 &lt;&gt; 0,AT35&lt;&gt;0,AU35&lt;&gt;0),(EXP(LN(AU35/AT35)/(AU$6-AT$6))-1)*100,0)</f>
        <v>-1.8001573599969123</v>
      </c>
      <c r="AU109" s="25">
        <f>IF(AND(AV$6-AU$6 &lt;&gt; 0,AU35&lt;&gt;0,AV35&lt;&gt;0),(EXP(LN(AV35/AU35)/(AV$6-AU$6))-1)*100,0)</f>
        <v>7.1671671899405709</v>
      </c>
      <c r="AV109" s="25">
        <f>IF(AND(AW$6-AV$6 &lt;&gt; 0,AV35&lt;&gt;0,AW35&lt;&gt;0),(EXP(LN(AW35/AV35)/(AW$6-AV$6))-1)*100,0)</f>
        <v>1.2910539180714498</v>
      </c>
      <c r="AW109" s="25">
        <f>IF(AND(AX$6-AW$6 &lt;&gt; 0,AW35&lt;&gt;0,AX35&lt;&gt;0),(EXP(LN(AX35/AW35)/(AX$6-AW$6))-1)*100,0)</f>
        <v>1.556599042011575</v>
      </c>
      <c r="AX109" s="25">
        <f>IF(AND(AX$6-AU$6 &lt;&gt; 0,AU35&lt;&gt;0,AX35&lt;&gt;0),(EXP(LN(AX35/AU35)/(AX$6-AU$6))-1)*100,0)</f>
        <v>1.81515293539114</v>
      </c>
      <c r="AZ109" s="25">
        <f t="shared" ref="AZ109" si="270">IF($F$6-$D$6 &lt;&gt; 0,(EXP(LN(1+(AZ72/100))/($F$6-$D$6))-1)*100,0)</f>
        <v>1.4680067401972696</v>
      </c>
      <c r="BA109" s="25">
        <f t="shared" ref="BA109" si="271">IF(AV35&gt;0,((1+(BA35/AV35))^(1/($F$6-$D$6))-1)*100,0)</f>
        <v>3.1595860810251564</v>
      </c>
      <c r="BB109" s="25">
        <f t="shared" ref="BB109" si="272">IF($F$6-$D$6 &lt;&gt; 0,(EXP(LN(1+(BB72/100))/($F$6-$D$6))-1)*100,0)</f>
        <v>4.1447267745283067</v>
      </c>
      <c r="BD109" s="23" t="str">
        <f>BD35</f>
        <v>All occupations</v>
      </c>
      <c r="BE109" s="25">
        <f>IF(AND(BF$6-BE$6 &lt;&gt; 0,BE35&lt;&gt;0,BF35&lt;&gt;0),(EXP(LN(BF35/BE35)/(BF$6-BE$6))-1)*100,0)</f>
        <v>-0.85245446222210752</v>
      </c>
      <c r="BF109" s="25">
        <f>IF(AND(BG$6-BF$6 &lt;&gt; 0,BF35&lt;&gt;0,BG35&lt;&gt;0),(EXP(LN(BG35/BF35)/(BG$6-BF$6))-1)*100,0)</f>
        <v>11.735021089179698</v>
      </c>
      <c r="BG109" s="25">
        <f>IF(AND(BH$6-BG$6 &lt;&gt; 0,BG35&lt;&gt;0,BH35&lt;&gt;0),(EXP(LN(BH35/BG35)/(BH$6-BG$6))-1)*100,0)</f>
        <v>-0.61043883516354036</v>
      </c>
      <c r="BH109" s="25">
        <f>IF(AND(BI$6-BH$6 &lt;&gt; 0,BH35&lt;&gt;0,BI35&lt;&gt;0),(EXP(LN(BI35/BH35)/(BI$6-BH$6))-1)*100,0)</f>
        <v>0.51098602316730357</v>
      </c>
      <c r="BI109" s="25">
        <f>IF(AND(BI$6-BF$6 &lt;&gt; 0,BF35&lt;&gt;0,BI35&lt;&gt;0),(EXP(LN(BI35/BF35)/(BI$6-BF$6))-1)*100,0)</f>
        <v>0.82408333601340367</v>
      </c>
      <c r="BK109" s="25">
        <f t="shared" ref="BK109" si="273">IF($F$6-$D$6 &lt;&gt; 0,(EXP(LN(1+(BK72/100))/($F$6-$D$6))-1)*100,0)</f>
        <v>0.1357788326813214</v>
      </c>
      <c r="BL109" s="25">
        <f t="shared" ref="BL109" si="274">IF(BG35&gt;0,((1+(BL35/BG35))^(1/($F$6-$D$6))-1)*100,0)</f>
        <v>2.5835158236335642</v>
      </c>
      <c r="BM109" s="25">
        <f t="shared" ref="BM109" si="275">IF($F$6-$D$6 &lt;&gt; 0,(EXP(LN(1+(BM72/100))/($F$6-$D$6))-1)*100,0)</f>
        <v>2.6788069031936868</v>
      </c>
      <c r="BO109" s="23" t="str">
        <f>BO35</f>
        <v>All occupations</v>
      </c>
      <c r="BP109" s="25">
        <f>IF(AND(BQ$6-BP$6 &lt;&gt; 0,BP35&lt;&gt;0,BQ35&lt;&gt;0),(EXP(LN(BQ35/BP35)/(BQ$6-BP$6))-1)*100,0)</f>
        <v>-1.2494209266897038</v>
      </c>
      <c r="BQ109" s="25">
        <f>IF(AND(BR$6-BQ$6 &lt;&gt; 0,BQ35&lt;&gt;0,BR35&lt;&gt;0),(EXP(LN(BR35/BQ35)/(BR$6-BQ$6))-1)*100,0)</f>
        <v>-0.69663580568196659</v>
      </c>
      <c r="BR109" s="25">
        <f>IF(AND(BS$6-BR$6 &lt;&gt; 0,BR35&lt;&gt;0,BS35&lt;&gt;0),(EXP(LN(BS35/BR35)/(BS$6-BR$6))-1)*100,0)</f>
        <v>-0.7570535957679092</v>
      </c>
      <c r="BS109" s="25">
        <f>IF(AND(BT$6-BS$6 &lt;&gt; 0,BS35&lt;&gt;0,BT35&lt;&gt;0),(EXP(LN(BT35/BS35)/(BT$6-BS$6))-1)*100,0)</f>
        <v>-1.0069736742881585</v>
      </c>
      <c r="BT109" s="25">
        <f>IF(AND(BT$6-BQ$6 &lt;&gt; 0,BQ35&lt;&gt;0,BT35&lt;&gt;0),(EXP(LN(BT35/BQ35)/(BT$6-BQ$6))-1)*100,0)</f>
        <v>-0.90955839349506906</v>
      </c>
      <c r="BV109" s="25">
        <f t="shared" ref="BV109" si="276">IF($F$6-$D$6 &lt;&gt; 0,(EXP(LN(1+(BV72/100))/($F$6-$D$6))-1)*100,0)</f>
        <v>-0.92373698928448489</v>
      </c>
      <c r="BW109" s="25">
        <f t="shared" ref="BW109" si="277">IF(BR35&gt;0,((1+(BW35/BR35))^(1/($F$6-$D$6))-1)*100,0)</f>
        <v>2.3152878791777409</v>
      </c>
      <c r="BX109" s="25">
        <f t="shared" ref="BX109" si="278">IF($F$6-$D$6 &lt;&gt; 0,(EXP(LN(1+(BX72/100))/($F$6-$D$6))-1)*100,0)</f>
        <v>1.6577051973304835</v>
      </c>
      <c r="BZ109" s="23" t="str">
        <f>BZ35</f>
        <v>All occupations</v>
      </c>
      <c r="CA109" s="25">
        <f>IF(AND(CB$6-CA$6 &lt;&gt; 0,CA35&lt;&gt;0,CB35&lt;&gt;0),(EXP(LN(CB35/CA35)/(CB$6-CA$6))-1)*100,0)</f>
        <v>1.6311079666360362</v>
      </c>
      <c r="CB109" s="25">
        <f>IF(AND(CC$6-CB$6 &lt;&gt; 0,CB35&lt;&gt;0,CC35&lt;&gt;0),(EXP(LN(CC35/CB35)/(CC$6-CB$6))-1)*100,0)</f>
        <v>-21.641582765051158</v>
      </c>
      <c r="CC109" s="25">
        <f>IF(AND(CD$6-CC$6 &lt;&gt; 0,CC35&lt;&gt;0,CD35&lt;&gt;0),(EXP(LN(CD35/CC35)/(CD$6-CC$6))-1)*100,0)</f>
        <v>-1.2073720186461578</v>
      </c>
      <c r="CD109" s="25">
        <f>IF(AND(CE$6-CD$6 &lt;&gt; 0,CD35&lt;&gt;0,CE35&lt;&gt;0),(EXP(LN(CE35/CD35)/(CE$6-CD$6))-1)*100,0)</f>
        <v>-4.5703481409131825</v>
      </c>
      <c r="CE109" s="25">
        <f>IF(AND(CE$6-CB$6 &lt;&gt; 0,CB35&lt;&gt;0,CE35&lt;&gt;0),(EXP(LN(CE35/CB35)/(CE$6-CB$6))-1)*100,0)</f>
        <v>-4.712955043602074</v>
      </c>
      <c r="CG109" s="25">
        <f t="shared" ref="CG109" si="279">IF($F$6-$D$6 &lt;&gt; 0,(EXP(LN(1+(CG72/100))/($F$6-$D$6))-1)*100,0)</f>
        <v>-3.462272258171406</v>
      </c>
      <c r="CH109" s="25">
        <f t="shared" ref="CH109" si="280">IF(CC35&gt;0,((1+(CH35/CC35))^(1/($F$6-$D$6))-1)*100,0)</f>
        <v>1.8841118382111999</v>
      </c>
      <c r="CI109" s="25">
        <f t="shared" ref="CI109" si="281">IF($F$6-$D$6 &lt;&gt; 0,(EXP(LN(1+(CI72/100))/($F$6-$D$6))-1)*100,0)</f>
        <v>-0.60804074781626305</v>
      </c>
      <c r="CK109" s="23" t="str">
        <f>CK35</f>
        <v>All occupations</v>
      </c>
      <c r="CL109" s="25">
        <f>IF(AND(CM$6-CL$6 &lt;&gt; 0,CL35&lt;&gt;0,CM35&lt;&gt;0),(EXP(LN(CM35/CL35)/(CM$6-CL$6))-1)*100,0)</f>
        <v>-4.6941446731204035</v>
      </c>
      <c r="CM109" s="25">
        <f>IF(AND(CN$6-CM$6 &lt;&gt; 0,CM35&lt;&gt;0,CN35&lt;&gt;0),(EXP(LN(CN35/CM35)/(CN$6-CM$6))-1)*100,0)</f>
        <v>-24.31094000021924</v>
      </c>
      <c r="CN109" s="25">
        <f>IF(AND(CO$6-CN$6 &lt;&gt; 0,CN35&lt;&gt;0,CO35&lt;&gt;0),(EXP(LN(CO35/CN35)/(CO$6-CN$6))-1)*100,0)</f>
        <v>-3.2758786674317419</v>
      </c>
      <c r="CO109" s="25">
        <f>IF(AND(CP$6-CO$6 &lt;&gt; 0,CO35&lt;&gt;0,CP35&lt;&gt;0),(EXP(LN(CP35/CO35)/(CP$6-CO$6))-1)*100,0)</f>
        <v>-3.1683041708728488</v>
      </c>
      <c r="CP109" s="25">
        <f>IF(AND(CP$6-CM$6 &lt;&gt; 0,CM35&lt;&gt;0,CP35&lt;&gt;0),(EXP(LN(CP35/CM35)/(CP$6-CM$6))-1)*100,0)</f>
        <v>-4.6808516346548039</v>
      </c>
      <c r="CR109" s="25">
        <f t="shared" ref="CR109" si="282">IF($F$6-$D$6 &lt;&gt; 0,(EXP(LN(1+(CR72/100))/($F$6-$D$6))-1)*100,0)</f>
        <v>-3.2041756233869956</v>
      </c>
      <c r="CS109" s="25">
        <f t="shared" ref="CS109" si="283">IF(CN35&gt;0,((1+(CS35/CN35))^(1/($F$6-$D$6))-1)*100,0)</f>
        <v>1.6096061552912877</v>
      </c>
      <c r="CT109" s="25">
        <f t="shared" ref="CT109" si="284">IF($F$6-$D$6 &lt;&gt; 0,(EXP(LN(1+(CT72/100))/($F$6-$D$6))-1)*100,0)</f>
        <v>-0.81722646853070735</v>
      </c>
    </row>
    <row r="112" spans="1:98" ht="47.25" customHeight="1" x14ac:dyDescent="0.2">
      <c r="A112" s="378" t="str">
        <f>CONCATENATE(A$1," (Continued)")</f>
        <v>Basic Table 2  Employment Change by Occupation and Replacement Demand, RQF8 Doctorate, 2015-2035, North East (Continued)</v>
      </c>
      <c r="B112" s="378"/>
      <c r="C112" s="378"/>
      <c r="D112" s="378"/>
      <c r="E112" s="378"/>
      <c r="F112" s="378"/>
      <c r="G112" s="378"/>
      <c r="H112" s="378"/>
      <c r="I112" s="378"/>
      <c r="J112" s="378"/>
      <c r="L112" s="378" t="str">
        <f>CONCATENATE(L$1," (Continued)")</f>
        <v>Basic Table 2.1  Employment Change by Occupation and Replacement Demand, RQF7 Other higher degree, 2015-2035, North East (Continued)</v>
      </c>
      <c r="M112" s="378"/>
      <c r="N112" s="378"/>
      <c r="O112" s="378"/>
      <c r="P112" s="378"/>
      <c r="Q112" s="378"/>
      <c r="R112" s="378"/>
      <c r="S112" s="378"/>
      <c r="T112" s="378"/>
      <c r="U112" s="378"/>
      <c r="W112" s="378" t="str">
        <f>CONCATENATE(W$1," (Continued)")</f>
        <v>Basic Table 2.2  Employment Change by Occupation and Replacement Demand, RQF6 First degree, 2015-2035, North East (Continued)</v>
      </c>
      <c r="X112" s="378"/>
      <c r="Y112" s="378"/>
      <c r="Z112" s="378"/>
      <c r="AA112" s="378"/>
      <c r="AB112" s="378"/>
      <c r="AC112" s="378"/>
      <c r="AD112" s="378"/>
      <c r="AE112" s="378"/>
      <c r="AF112" s="378"/>
      <c r="AH112" s="378" t="str">
        <f>CONCATENATE(AH$1," (Continued)")</f>
        <v>Basic Table 2.3  Employment Change by Occupation and Replacement Demand, RQF5 Foundation degree;Nursing;Teaching, 2015-2035, North East (Continued)</v>
      </c>
      <c r="AI112" s="378"/>
      <c r="AJ112" s="378"/>
      <c r="AK112" s="378"/>
      <c r="AL112" s="378"/>
      <c r="AM112" s="378"/>
      <c r="AN112" s="378"/>
      <c r="AO112" s="378"/>
      <c r="AP112" s="378"/>
      <c r="AQ112" s="378"/>
      <c r="AS112" s="378" t="str">
        <f>CONCATENATE(AS$1," (Continued)")</f>
        <v>Basic Table 2.4  Employment Change by Occupation and Replacement Demand, RQF4 HE below degree level, 2015-2035, North East (Continued)</v>
      </c>
      <c r="AT112" s="378"/>
      <c r="AU112" s="378"/>
      <c r="AV112" s="378"/>
      <c r="AW112" s="378"/>
      <c r="AX112" s="378"/>
      <c r="AY112" s="378"/>
      <c r="AZ112" s="378"/>
      <c r="BA112" s="378"/>
      <c r="BB112" s="378"/>
      <c r="BD112" s="378" t="str">
        <f>CONCATENATE(BD$1," (Continued)")</f>
        <v>Basic Table 2.5  Employment Change by Occupation and Replacement Demand, RQF3 A level &amp; equivalent, 2015-2035, North East (Continued)</v>
      </c>
      <c r="BE112" s="378"/>
      <c r="BF112" s="378"/>
      <c r="BG112" s="378"/>
      <c r="BH112" s="378"/>
      <c r="BI112" s="378"/>
      <c r="BJ112" s="378"/>
      <c r="BK112" s="378"/>
      <c r="BL112" s="378"/>
      <c r="BM112" s="378"/>
      <c r="BO112" s="378" t="str">
        <f>CONCATENATE(BO$1," (Continued)")</f>
        <v>Basic Table 2.6  Employment Change by Occupation and Replacement Demand, RQF2 GCSE(A-C) &amp; equivalent, 2015-2035, North East (Continued)</v>
      </c>
      <c r="BP112" s="378"/>
      <c r="BQ112" s="378"/>
      <c r="BR112" s="378"/>
      <c r="BS112" s="378"/>
      <c r="BT112" s="378"/>
      <c r="BU112" s="378"/>
      <c r="BV112" s="378"/>
      <c r="BW112" s="378"/>
      <c r="BX112" s="378"/>
      <c r="BZ112" s="378" t="str">
        <f>CONCATENATE(BZ$1," (Continued)")</f>
        <v>Basic Table 2.7  Employment Change by Occupation and Replacement Demand, RQF1 GCSE(below grade C) &amp; equivalent, 2015-2035, North East (Continued)</v>
      </c>
      <c r="CA112" s="378"/>
      <c r="CB112" s="378"/>
      <c r="CC112" s="378"/>
      <c r="CD112" s="378"/>
      <c r="CE112" s="378"/>
      <c r="CF112" s="378"/>
      <c r="CG112" s="378"/>
      <c r="CH112" s="378"/>
      <c r="CI112" s="378"/>
      <c r="CK112" s="378" t="str">
        <f>CONCATENATE(CK$1," (Continued)")</f>
        <v>Basic Table 2.8  Employment Change by Occupation and Replacement Demand, No Qualification, 2015-2035, North East (Continued)</v>
      </c>
      <c r="CL112" s="378"/>
      <c r="CM112" s="378"/>
      <c r="CN112" s="378"/>
      <c r="CO112" s="378"/>
      <c r="CP112" s="378"/>
      <c r="CQ112" s="378"/>
      <c r="CR112" s="378"/>
      <c r="CS112" s="378"/>
      <c r="CT112" s="378"/>
    </row>
    <row r="114" spans="1:94" x14ac:dyDescent="0.2">
      <c r="F114" s="15" t="s">
        <v>35</v>
      </c>
      <c r="Q114" s="15" t="s">
        <v>35</v>
      </c>
      <c r="AB114" s="15" t="s">
        <v>35</v>
      </c>
      <c r="AM114" s="15" t="s">
        <v>35</v>
      </c>
      <c r="AX114" s="15" t="s">
        <v>35</v>
      </c>
      <c r="BI114" s="15" t="s">
        <v>35</v>
      </c>
      <c r="BT114" s="15" t="s">
        <v>35</v>
      </c>
      <c r="CE114" s="15" t="s">
        <v>35</v>
      </c>
      <c r="CP114" s="15" t="s">
        <v>35</v>
      </c>
    </row>
    <row r="115" spans="1:94" x14ac:dyDescent="0.2">
      <c r="A115" s="35"/>
      <c r="B115" s="35"/>
      <c r="C115" s="35"/>
      <c r="D115" s="35"/>
      <c r="E115" s="35"/>
      <c r="F115" s="35"/>
      <c r="L115" s="35"/>
      <c r="M115" s="35"/>
      <c r="N115" s="35"/>
      <c r="O115" s="35"/>
      <c r="P115" s="35"/>
      <c r="Q115" s="35"/>
      <c r="W115" s="35"/>
      <c r="X115" s="35"/>
      <c r="Y115" s="35"/>
      <c r="Z115" s="35"/>
      <c r="AA115" s="35"/>
      <c r="AB115" s="35"/>
      <c r="AH115" s="35"/>
      <c r="AI115" s="35"/>
      <c r="AJ115" s="35"/>
      <c r="AK115" s="35"/>
      <c r="AL115" s="35"/>
      <c r="AM115" s="35"/>
      <c r="AS115" s="35"/>
      <c r="AT115" s="35"/>
      <c r="AU115" s="35"/>
      <c r="AV115" s="35"/>
      <c r="AW115" s="35"/>
      <c r="AX115" s="35"/>
      <c r="BD115" s="35"/>
      <c r="BE115" s="35"/>
      <c r="BF115" s="35"/>
      <c r="BG115" s="35"/>
      <c r="BH115" s="35"/>
      <c r="BI115" s="35"/>
      <c r="BO115" s="35"/>
      <c r="BP115" s="35"/>
      <c r="BQ115" s="35"/>
      <c r="BR115" s="35"/>
      <c r="BS115" s="35"/>
      <c r="BT115" s="35"/>
      <c r="BZ115" s="35"/>
      <c r="CA115" s="35"/>
      <c r="CB115" s="35"/>
      <c r="CC115" s="35"/>
      <c r="CD115" s="35"/>
      <c r="CE115" s="35"/>
      <c r="CK115" s="35"/>
      <c r="CL115" s="35"/>
      <c r="CM115" s="35"/>
      <c r="CN115" s="35"/>
      <c r="CO115" s="35"/>
      <c r="CP115" s="35"/>
    </row>
    <row r="117" spans="1:94" x14ac:dyDescent="0.2">
      <c r="A117" s="40" t="s">
        <v>15</v>
      </c>
      <c r="B117" s="63" t="str">
        <f>CONCATENATE(B$6,"-",C$6)</f>
        <v>2015-2019</v>
      </c>
      <c r="C117" s="63" t="str">
        <f>CONCATENATE(C$6,"-",D$6)</f>
        <v>2019-2020</v>
      </c>
      <c r="D117" s="63" t="str">
        <f>CONCATENATE(D$6,"-",E$6)</f>
        <v>2020-2025</v>
      </c>
      <c r="E117" s="63" t="str">
        <f>CONCATENATE(E$6,"-",F$6)</f>
        <v>2025-2035</v>
      </c>
      <c r="F117" s="63" t="str">
        <f>CONCATENATE(D$6,"-",F$6)</f>
        <v>2020-2035</v>
      </c>
      <c r="L117" s="40" t="s">
        <v>15</v>
      </c>
      <c r="M117" s="63" t="str">
        <f>CONCATENATE(M$6,"-",N$6)</f>
        <v>2015-2019</v>
      </c>
      <c r="N117" s="63" t="str">
        <f>CONCATENATE(N$6,"-",O$6)</f>
        <v>2019-2020</v>
      </c>
      <c r="O117" s="63" t="str">
        <f>CONCATENATE(O$6,"-",P$6)</f>
        <v>2020-2025</v>
      </c>
      <c r="P117" s="63" t="str">
        <f>CONCATENATE(P$6,"-",Q$6)</f>
        <v>2025-2035</v>
      </c>
      <c r="Q117" s="63" t="str">
        <f>CONCATENATE(O$6,"-",Q$6)</f>
        <v>2020-2035</v>
      </c>
      <c r="W117" s="40" t="s">
        <v>15</v>
      </c>
      <c r="X117" s="63" t="str">
        <f>CONCATENATE(X$6,"-",Y$6)</f>
        <v>2015-2019</v>
      </c>
      <c r="Y117" s="63" t="str">
        <f>CONCATENATE(Y$6,"-",Z$6)</f>
        <v>2019-2020</v>
      </c>
      <c r="Z117" s="63" t="str">
        <f>CONCATENATE(Z$6,"-",AA$6)</f>
        <v>2020-2025</v>
      </c>
      <c r="AA117" s="63" t="str">
        <f>CONCATENATE(AA$6,"-",AB$6)</f>
        <v>2025-2035</v>
      </c>
      <c r="AB117" s="63" t="str">
        <f>CONCATENATE(Z$6,"-",AB$6)</f>
        <v>2020-2035</v>
      </c>
      <c r="AH117" s="40" t="s">
        <v>15</v>
      </c>
      <c r="AI117" s="63" t="str">
        <f>CONCATENATE(AI$6,"-",AJ$6)</f>
        <v>2015-2019</v>
      </c>
      <c r="AJ117" s="63" t="str">
        <f>CONCATENATE(AJ$6,"-",AK$6)</f>
        <v>2019-2020</v>
      </c>
      <c r="AK117" s="63" t="str">
        <f>CONCATENATE(AK$6,"-",AL$6)</f>
        <v>2020-2025</v>
      </c>
      <c r="AL117" s="63" t="str">
        <f>CONCATENATE(AL$6,"-",AM$6)</f>
        <v>2025-2035</v>
      </c>
      <c r="AM117" s="63" t="str">
        <f>CONCATENATE(AK$6,"-",AM$6)</f>
        <v>2020-2035</v>
      </c>
      <c r="AS117" s="40" t="s">
        <v>15</v>
      </c>
      <c r="AT117" s="63" t="str">
        <f>CONCATENATE(AT$6,"-",AU$6)</f>
        <v>2015-2019</v>
      </c>
      <c r="AU117" s="63" t="str">
        <f>CONCATENATE(AU$6,"-",AV$6)</f>
        <v>2019-2020</v>
      </c>
      <c r="AV117" s="63" t="str">
        <f>CONCATENATE(AV$6,"-",AW$6)</f>
        <v>2020-2025</v>
      </c>
      <c r="AW117" s="63" t="str">
        <f>CONCATENATE(AW$6,"-",AX$6)</f>
        <v>2025-2035</v>
      </c>
      <c r="AX117" s="63" t="str">
        <f>CONCATENATE(AV$6,"-",AX$6)</f>
        <v>2020-2035</v>
      </c>
      <c r="BD117" s="40" t="s">
        <v>15</v>
      </c>
      <c r="BE117" s="63" t="str">
        <f>CONCATENATE(BE$6,"-",BF$6)</f>
        <v>2015-2019</v>
      </c>
      <c r="BF117" s="63" t="str">
        <f>CONCATENATE(BF$6,"-",BG$6)</f>
        <v>2019-2020</v>
      </c>
      <c r="BG117" s="63" t="str">
        <f>CONCATENATE(BG$6,"-",BH$6)</f>
        <v>2020-2025</v>
      </c>
      <c r="BH117" s="63" t="str">
        <f>CONCATENATE(BH$6,"-",BI$6)</f>
        <v>2025-2035</v>
      </c>
      <c r="BI117" s="63" t="str">
        <f>CONCATENATE(BG$6,"-",BI$6)</f>
        <v>2020-2035</v>
      </c>
      <c r="BO117" s="40" t="s">
        <v>15</v>
      </c>
      <c r="BP117" s="63" t="str">
        <f>CONCATENATE(BP$6,"-",BQ$6)</f>
        <v>2015-2019</v>
      </c>
      <c r="BQ117" s="63" t="str">
        <f>CONCATENATE(BQ$6,"-",BR$6)</f>
        <v>2019-2020</v>
      </c>
      <c r="BR117" s="63" t="str">
        <f>CONCATENATE(BR$6,"-",BS$6)</f>
        <v>2020-2025</v>
      </c>
      <c r="BS117" s="63" t="str">
        <f>CONCATENATE(BS$6,"-",BT$6)</f>
        <v>2025-2035</v>
      </c>
      <c r="BT117" s="63" t="str">
        <f>CONCATENATE(BR$6,"-",BT$6)</f>
        <v>2020-2035</v>
      </c>
      <c r="BZ117" s="40" t="s">
        <v>15</v>
      </c>
      <c r="CA117" s="63" t="str">
        <f>CONCATENATE(CA$6,"-",CB$6)</f>
        <v>2015-2019</v>
      </c>
      <c r="CB117" s="63" t="str">
        <f>CONCATENATE(CB$6,"-",CC$6)</f>
        <v>2019-2020</v>
      </c>
      <c r="CC117" s="63" t="str">
        <f>CONCATENATE(CC$6,"-",CD$6)</f>
        <v>2020-2025</v>
      </c>
      <c r="CD117" s="63" t="str">
        <f>CONCATENATE(CD$6,"-",CE$6)</f>
        <v>2025-2035</v>
      </c>
      <c r="CE117" s="63" t="str">
        <f>CONCATENATE(CC$6,"-",CE$6)</f>
        <v>2020-2035</v>
      </c>
      <c r="CK117" s="40" t="s">
        <v>15</v>
      </c>
      <c r="CL117" s="63" t="str">
        <f>CONCATENATE(CL$6,"-",CM$6)</f>
        <v>2015-2019</v>
      </c>
      <c r="CM117" s="63" t="str">
        <f>CONCATENATE(CM$6,"-",CN$6)</f>
        <v>2019-2020</v>
      </c>
      <c r="CN117" s="63" t="str">
        <f>CONCATENATE(CN$6,"-",CO$6)</f>
        <v>2020-2025</v>
      </c>
      <c r="CO117" s="63" t="str">
        <f>CONCATENATE(CO$6,"-",CP$6)</f>
        <v>2025-2035</v>
      </c>
      <c r="CP117" s="63" t="str">
        <f>CONCATENATE(CN$6,"-",CP$6)</f>
        <v>2020-2035</v>
      </c>
    </row>
    <row r="118" spans="1:94" x14ac:dyDescent="0.2">
      <c r="B118" s="19"/>
      <c r="C118" s="19"/>
      <c r="D118" s="19"/>
      <c r="E118" s="19"/>
      <c r="F118" s="19"/>
      <c r="M118" s="19"/>
      <c r="N118" s="19"/>
      <c r="O118" s="19"/>
      <c r="P118" s="19"/>
      <c r="Q118" s="19"/>
      <c r="X118" s="19"/>
      <c r="Y118" s="19"/>
      <c r="Z118" s="19"/>
      <c r="AA118" s="19"/>
      <c r="AB118" s="19"/>
      <c r="AI118" s="19"/>
      <c r="AJ118" s="19"/>
      <c r="AK118" s="19"/>
      <c r="AL118" s="19"/>
      <c r="AM118" s="19"/>
      <c r="AT118" s="19"/>
      <c r="AU118" s="19"/>
      <c r="AV118" s="19"/>
      <c r="AW118" s="19"/>
      <c r="AX118" s="19"/>
      <c r="BE118" s="19"/>
      <c r="BF118" s="19"/>
      <c r="BG118" s="19"/>
      <c r="BH118" s="19"/>
      <c r="BI118" s="19"/>
      <c r="BP118" s="19"/>
      <c r="BQ118" s="19"/>
      <c r="BR118" s="19"/>
      <c r="BS118" s="19"/>
      <c r="BT118" s="19"/>
      <c r="CA118" s="19"/>
      <c r="CB118" s="19"/>
      <c r="CC118" s="19"/>
      <c r="CD118" s="19"/>
      <c r="CE118" s="19"/>
      <c r="CL118" s="19"/>
      <c r="CM118" s="19"/>
      <c r="CN118" s="19"/>
      <c r="CO118" s="19"/>
      <c r="CP118" s="19"/>
    </row>
    <row r="119" spans="1:94" x14ac:dyDescent="0.2">
      <c r="A119" t="str">
        <f t="shared" ref="A119:A144" si="285">A8</f>
        <v>11 Corporate managers and directors</v>
      </c>
      <c r="B119" s="26">
        <f t="shared" ref="B119:E144" si="286">C8-B8</f>
        <v>0.24566801022944329</v>
      </c>
      <c r="C119" s="26">
        <f t="shared" si="286"/>
        <v>-0.11651759576361786</v>
      </c>
      <c r="D119" s="26">
        <f t="shared" si="286"/>
        <v>8.3643710769362611E-2</v>
      </c>
      <c r="E119" s="26">
        <f t="shared" si="286"/>
        <v>0.24462236321274233</v>
      </c>
      <c r="F119" s="26">
        <f t="shared" ref="F119:F144" si="287">F8-D8</f>
        <v>0.32826607398210494</v>
      </c>
      <c r="L119" t="str">
        <f>A119</f>
        <v>11 Corporate managers and directors</v>
      </c>
      <c r="M119" s="26">
        <f t="shared" ref="M119:P144" si="288">N8-M8</f>
        <v>2.6592639967943015</v>
      </c>
      <c r="N119" s="26">
        <f t="shared" si="288"/>
        <v>-1.2677807015036882</v>
      </c>
      <c r="O119" s="26">
        <f t="shared" si="288"/>
        <v>0.47624344181398026</v>
      </c>
      <c r="P119" s="26">
        <f t="shared" si="288"/>
        <v>1.6275805215070314</v>
      </c>
      <c r="Q119" s="26">
        <f t="shared" ref="Q119:Q144" si="289">Q8-O8</f>
        <v>2.1038239633210116</v>
      </c>
      <c r="W119" t="str">
        <f>A119</f>
        <v>11 Corporate managers and directors</v>
      </c>
      <c r="X119" s="26">
        <f t="shared" ref="X119:AA144" si="290">Y8-X8</f>
        <v>0.8580266651364763</v>
      </c>
      <c r="Y119" s="26">
        <f t="shared" si="290"/>
        <v>0.97352084267909866</v>
      </c>
      <c r="Z119" s="26">
        <f t="shared" si="290"/>
        <v>0.18615767820866935</v>
      </c>
      <c r="AA119" s="26">
        <f t="shared" si="290"/>
        <v>3.6060852110109849</v>
      </c>
      <c r="AB119" s="26">
        <f t="shared" ref="AB119:AB144" si="291">AB8-Z8</f>
        <v>3.7922428892196542</v>
      </c>
      <c r="AH119" t="str">
        <f>L119</f>
        <v>11 Corporate managers and directors</v>
      </c>
      <c r="AI119" s="26">
        <f t="shared" ref="AI119:AL144" si="292">AJ8-AI8</f>
        <v>-0.11042782142963459</v>
      </c>
      <c r="AJ119" s="26">
        <f t="shared" si="292"/>
        <v>0.57051600453614615</v>
      </c>
      <c r="AK119" s="26">
        <f t="shared" si="292"/>
        <v>-0.21330811032911123</v>
      </c>
      <c r="AL119" s="26">
        <f t="shared" si="292"/>
        <v>0.52156516006223885</v>
      </c>
      <c r="AM119" s="26">
        <f t="shared" ref="AM119:AM144" si="293">AM8-AK8</f>
        <v>0.30825704973312762</v>
      </c>
      <c r="AS119" t="str">
        <f>W119</f>
        <v>11 Corporate managers and directors</v>
      </c>
      <c r="AT119" s="26">
        <f t="shared" ref="AT119:AW144" si="294">AU8-AT8</f>
        <v>-0.16281298207389971</v>
      </c>
      <c r="AU119" s="26">
        <f t="shared" si="294"/>
        <v>0.28483176181062975</v>
      </c>
      <c r="AV119" s="26">
        <f t="shared" si="294"/>
        <v>-0.32457767158695461</v>
      </c>
      <c r="AW119" s="26">
        <f t="shared" si="294"/>
        <v>0.3705958155269844</v>
      </c>
      <c r="AX119" s="26">
        <f t="shared" ref="AX119:AX144" si="295">AX8-AV8</f>
        <v>4.6018143940029788E-2</v>
      </c>
      <c r="BD119" t="str">
        <f>AH119</f>
        <v>11 Corporate managers and directors</v>
      </c>
      <c r="BE119" s="26">
        <f t="shared" ref="BE119:BH144" si="296">BF8-BE8</f>
        <v>1.0888423039515853</v>
      </c>
      <c r="BF119" s="26">
        <f t="shared" si="296"/>
        <v>2.5715939787891049</v>
      </c>
      <c r="BG119" s="26">
        <f t="shared" si="296"/>
        <v>-3.1030812192526653</v>
      </c>
      <c r="BH119" s="26">
        <f t="shared" si="296"/>
        <v>1.0884110012823776</v>
      </c>
      <c r="BI119" s="26">
        <f t="shared" ref="BI119:BI144" si="297">BI8-BG8</f>
        <v>-2.0146702179702878</v>
      </c>
      <c r="BO119" t="str">
        <f>AS119</f>
        <v>11 Corporate managers and directors</v>
      </c>
      <c r="BP119" s="26">
        <f t="shared" ref="BP119:BS144" si="298">BQ8-BP8</f>
        <v>0.81913348951306553</v>
      </c>
      <c r="BQ119" s="26">
        <f t="shared" si="298"/>
        <v>6.8208600108542683E-2</v>
      </c>
      <c r="BR119" s="26">
        <f t="shared" si="298"/>
        <v>-1.5233730473108338</v>
      </c>
      <c r="BS119" s="26">
        <f t="shared" si="298"/>
        <v>-0.59205120082504692</v>
      </c>
      <c r="BT119" s="26">
        <f t="shared" ref="BT119:BT144" si="299">BT8-BR8</f>
        <v>-2.1154242481358807</v>
      </c>
      <c r="BZ119" t="str">
        <f>BD119</f>
        <v>11 Corporate managers and directors</v>
      </c>
      <c r="CA119" s="67">
        <f t="shared" ref="CA119:CD144" si="300">CB8-CA8</f>
        <v>1.8340997550179026</v>
      </c>
      <c r="CB119" s="67">
        <f t="shared" si="300"/>
        <v>-1.2479356512073725</v>
      </c>
      <c r="CC119" s="67">
        <f t="shared" si="300"/>
        <v>-0.35727973088261766</v>
      </c>
      <c r="CD119" s="67">
        <f t="shared" si="300"/>
        <v>-1.2785384231282926</v>
      </c>
      <c r="CE119" s="67">
        <f t="shared" ref="CE119:CE144" si="301">CE8-CC8</f>
        <v>-1.6358181540109102</v>
      </c>
      <c r="CK119" t="str">
        <f>BO119</f>
        <v>11 Corporate managers and directors</v>
      </c>
      <c r="CL119" s="67">
        <f t="shared" ref="CL119:CO144" si="302">CM8-CL8</f>
        <v>0.2858640601012854</v>
      </c>
      <c r="CM119" s="67">
        <f t="shared" si="302"/>
        <v>-0.37528708849371073</v>
      </c>
      <c r="CN119" s="67">
        <f t="shared" si="302"/>
        <v>-0.18984234795653387</v>
      </c>
      <c r="CO119" s="67">
        <f t="shared" si="302"/>
        <v>0.15325364364933214</v>
      </c>
      <c r="CP119" s="67">
        <f t="shared" ref="CP119:CP144" si="303">CP8-CN8</f>
        <v>-3.6588704307201736E-2</v>
      </c>
    </row>
    <row r="120" spans="1:94" x14ac:dyDescent="0.2">
      <c r="A120" t="str">
        <f t="shared" si="285"/>
        <v>12 Other managers and proprietors</v>
      </c>
      <c r="B120" s="26">
        <f t="shared" si="286"/>
        <v>0.18039194878675691</v>
      </c>
      <c r="C120" s="26">
        <f t="shared" si="286"/>
        <v>-0.1197023187106297</v>
      </c>
      <c r="D120" s="26">
        <f t="shared" si="286"/>
        <v>0.16534605979581501</v>
      </c>
      <c r="E120" s="26">
        <f t="shared" si="286"/>
        <v>0.27510624303637138</v>
      </c>
      <c r="F120" s="26">
        <f t="shared" si="287"/>
        <v>0.44045230283218639</v>
      </c>
      <c r="L120" t="str">
        <f t="shared" ref="L120:L143" si="304">A120</f>
        <v>12 Other managers and proprietors</v>
      </c>
      <c r="M120" s="26">
        <f t="shared" si="288"/>
        <v>1.1959134948611125</v>
      </c>
      <c r="N120" s="26">
        <f t="shared" si="288"/>
        <v>-0.51949753381045838</v>
      </c>
      <c r="O120" s="26">
        <f t="shared" si="288"/>
        <v>1.3469226717348572</v>
      </c>
      <c r="P120" s="26">
        <f t="shared" si="288"/>
        <v>2.290120440762105</v>
      </c>
      <c r="Q120" s="26">
        <f t="shared" si="289"/>
        <v>3.6370431124969622</v>
      </c>
      <c r="W120" t="str">
        <f t="shared" ref="W120:W143" si="305">A120</f>
        <v>12 Other managers and proprietors</v>
      </c>
      <c r="X120" s="26">
        <f t="shared" si="290"/>
        <v>0.56468089654015685</v>
      </c>
      <c r="Y120" s="26">
        <f t="shared" si="290"/>
        <v>0.18147507346756075</v>
      </c>
      <c r="Z120" s="26">
        <f t="shared" si="290"/>
        <v>2.6075358190662827</v>
      </c>
      <c r="AA120" s="26">
        <f t="shared" si="290"/>
        <v>3.2037362853045241</v>
      </c>
      <c r="AB120" s="26">
        <f t="shared" si="291"/>
        <v>5.8112721043708069</v>
      </c>
      <c r="AH120" t="str">
        <f t="shared" ref="AH120:AH143" si="306">L120</f>
        <v>12 Other managers and proprietors</v>
      </c>
      <c r="AI120" s="26">
        <f t="shared" si="292"/>
        <v>0.12402428756674277</v>
      </c>
      <c r="AJ120" s="26">
        <f t="shared" si="292"/>
        <v>0.35772577274613004</v>
      </c>
      <c r="AK120" s="26">
        <f t="shared" si="292"/>
        <v>0.59873741925102664</v>
      </c>
      <c r="AL120" s="26">
        <f t="shared" si="292"/>
        <v>1.1225672385181893</v>
      </c>
      <c r="AM120" s="26">
        <f t="shared" si="293"/>
        <v>1.7213046577692159</v>
      </c>
      <c r="AS120" t="str">
        <f t="shared" ref="AS120:AS143" si="307">W120</f>
        <v>12 Other managers and proprietors</v>
      </c>
      <c r="AT120" s="26">
        <f t="shared" si="294"/>
        <v>6.2829371701963233E-2</v>
      </c>
      <c r="AU120" s="26">
        <f t="shared" si="294"/>
        <v>-4.1206788502852199E-2</v>
      </c>
      <c r="AV120" s="26">
        <f t="shared" si="294"/>
        <v>0.57269753825188063</v>
      </c>
      <c r="AW120" s="26">
        <f t="shared" si="294"/>
        <v>0.519019078520365</v>
      </c>
      <c r="AX120" s="26">
        <f t="shared" si="295"/>
        <v>1.0917166167722456</v>
      </c>
      <c r="BD120" t="str">
        <f t="shared" ref="BD120:BD143" si="308">AH120</f>
        <v>12 Other managers and proprietors</v>
      </c>
      <c r="BE120" s="26">
        <f t="shared" si="296"/>
        <v>-0.49168709360607998</v>
      </c>
      <c r="BF120" s="26">
        <f t="shared" si="296"/>
        <v>0.84590902448793059</v>
      </c>
      <c r="BG120" s="26">
        <f t="shared" si="296"/>
        <v>0.18373880549519583</v>
      </c>
      <c r="BH120" s="26">
        <f t="shared" si="296"/>
        <v>1.2242662732545551</v>
      </c>
      <c r="BI120" s="26">
        <f t="shared" si="297"/>
        <v>1.4080050787497509</v>
      </c>
      <c r="BO120" t="str">
        <f t="shared" ref="BO120:BO143" si="309">AS120</f>
        <v>12 Other managers and proprietors</v>
      </c>
      <c r="BP120" s="26">
        <f t="shared" si="298"/>
        <v>0.63429653112296513</v>
      </c>
      <c r="BQ120" s="26">
        <f t="shared" si="298"/>
        <v>-0.26358086532914804</v>
      </c>
      <c r="BR120" s="26">
        <f t="shared" si="298"/>
        <v>1.1571141219458401</v>
      </c>
      <c r="BS120" s="26">
        <f t="shared" si="298"/>
        <v>0.73544353293221221</v>
      </c>
      <c r="BT120" s="26">
        <f t="shared" si="299"/>
        <v>1.8925576548780523</v>
      </c>
      <c r="BZ120" t="str">
        <f t="shared" ref="BZ120:BZ143" si="310">BD120</f>
        <v>12 Other managers and proprietors</v>
      </c>
      <c r="CA120" s="67">
        <f t="shared" si="300"/>
        <v>1.4444852076582873</v>
      </c>
      <c r="CB120" s="67">
        <f t="shared" si="300"/>
        <v>-1.4469197411543222</v>
      </c>
      <c r="CC120" s="67">
        <f t="shared" si="300"/>
        <v>0.57471604603642135</v>
      </c>
      <c r="CD120" s="67">
        <f t="shared" si="300"/>
        <v>-1.112790276090279</v>
      </c>
      <c r="CE120" s="67">
        <f t="shared" si="301"/>
        <v>-0.53807423005385768</v>
      </c>
      <c r="CK120" t="str">
        <f t="shared" ref="CK120:CK143" si="311">BO120</f>
        <v>12 Other managers and proprietors</v>
      </c>
      <c r="CL120" s="67">
        <f t="shared" si="302"/>
        <v>-0.10863254910835241</v>
      </c>
      <c r="CM120" s="67">
        <f t="shared" si="302"/>
        <v>-0.42815733705465298</v>
      </c>
      <c r="CN120" s="67">
        <f t="shared" si="302"/>
        <v>0.23029614794186704</v>
      </c>
      <c r="CO120" s="67">
        <f t="shared" si="302"/>
        <v>-8.8544300847485324E-2</v>
      </c>
      <c r="CP120" s="67">
        <f t="shared" si="303"/>
        <v>0.14175184709438171</v>
      </c>
    </row>
    <row r="121" spans="1:94" x14ac:dyDescent="0.2">
      <c r="A121" t="str">
        <f t="shared" si="285"/>
        <v>21 Science, research, engineering and technology professionals</v>
      </c>
      <c r="B121" s="26">
        <f t="shared" si="286"/>
        <v>0.7438321613083354</v>
      </c>
      <c r="C121" s="26">
        <f t="shared" si="286"/>
        <v>-0.36299882840830255</v>
      </c>
      <c r="D121" s="26">
        <f t="shared" si="286"/>
        <v>0.5690639654925973</v>
      </c>
      <c r="E121" s="26">
        <f t="shared" si="286"/>
        <v>0.91649383252286576</v>
      </c>
      <c r="F121" s="26">
        <f t="shared" si="287"/>
        <v>1.4855577980154631</v>
      </c>
      <c r="L121" t="str">
        <f t="shared" si="304"/>
        <v>21 Science, research, engineering and technology professionals</v>
      </c>
      <c r="M121" s="26">
        <f t="shared" si="288"/>
        <v>3.5755865773969866</v>
      </c>
      <c r="N121" s="26">
        <f t="shared" si="288"/>
        <v>-1.3193049106335923</v>
      </c>
      <c r="O121" s="26">
        <f t="shared" si="288"/>
        <v>2.7666380715575176</v>
      </c>
      <c r="P121" s="26">
        <f t="shared" si="288"/>
        <v>4.6657393243768635</v>
      </c>
      <c r="Q121" s="26">
        <f t="shared" si="289"/>
        <v>7.4323773959343811</v>
      </c>
      <c r="W121" t="str">
        <f t="shared" si="305"/>
        <v>21 Science, research, engineering and technology professionals</v>
      </c>
      <c r="X121" s="26">
        <f t="shared" si="290"/>
        <v>-1.997445722733417</v>
      </c>
      <c r="Y121" s="26">
        <f t="shared" si="290"/>
        <v>1.2220974105691695</v>
      </c>
      <c r="Z121" s="26">
        <f t="shared" si="290"/>
        <v>1.3548878778191522</v>
      </c>
      <c r="AA121" s="26">
        <f t="shared" si="290"/>
        <v>1.4755606067124667</v>
      </c>
      <c r="AB121" s="26">
        <f t="shared" si="291"/>
        <v>2.8304484845316189</v>
      </c>
      <c r="AH121" t="str">
        <f t="shared" si="306"/>
        <v>21 Science, research, engineering and technology professionals</v>
      </c>
      <c r="AI121" s="26">
        <f t="shared" si="292"/>
        <v>-0.15383764748607809</v>
      </c>
      <c r="AJ121" s="26">
        <f t="shared" si="292"/>
        <v>0.23847497091347414</v>
      </c>
      <c r="AK121" s="26">
        <f t="shared" si="292"/>
        <v>0.16188954449309256</v>
      </c>
      <c r="AL121" s="26">
        <f t="shared" si="292"/>
        <v>0.28678113669332639</v>
      </c>
      <c r="AM121" s="26">
        <f t="shared" si="293"/>
        <v>0.44867068118641895</v>
      </c>
      <c r="AS121" t="str">
        <f t="shared" si="307"/>
        <v>21 Science, research, engineering and technology professionals</v>
      </c>
      <c r="AT121" s="26">
        <f t="shared" si="294"/>
        <v>-0.67285573369817087</v>
      </c>
      <c r="AU121" s="26">
        <f t="shared" si="294"/>
        <v>0.28766387276241545</v>
      </c>
      <c r="AV121" s="26">
        <f t="shared" si="294"/>
        <v>-6.852575589200427E-2</v>
      </c>
      <c r="AW121" s="26">
        <f t="shared" si="294"/>
        <v>-2.7421554616063659E-2</v>
      </c>
      <c r="AX121" s="26">
        <f t="shared" si="295"/>
        <v>-9.5947310508067929E-2</v>
      </c>
      <c r="BD121" t="str">
        <f t="shared" si="308"/>
        <v>21 Science, research, engineering and technology professionals</v>
      </c>
      <c r="BE121" s="26">
        <f t="shared" si="296"/>
        <v>-0.34693555816224553</v>
      </c>
      <c r="BF121" s="26">
        <f t="shared" si="296"/>
        <v>2.4855115262163689</v>
      </c>
      <c r="BG121" s="26">
        <f t="shared" si="296"/>
        <v>-2.3286421185306132</v>
      </c>
      <c r="BH121" s="26">
        <f t="shared" si="296"/>
        <v>-0.39196962449113393</v>
      </c>
      <c r="BI121" s="26">
        <f t="shared" si="297"/>
        <v>-2.7206117430217471</v>
      </c>
      <c r="BO121" t="str">
        <f t="shared" si="309"/>
        <v>21 Science, research, engineering and technology professionals</v>
      </c>
      <c r="BP121" s="26">
        <f t="shared" si="298"/>
        <v>-8.5828574015376802E-2</v>
      </c>
      <c r="BQ121" s="26">
        <f t="shared" si="298"/>
        <v>0.52451063446208135</v>
      </c>
      <c r="BR121" s="26">
        <f t="shared" si="298"/>
        <v>-0.40759912736676096</v>
      </c>
      <c r="BS121" s="26">
        <f t="shared" si="298"/>
        <v>-0.1025209596331722</v>
      </c>
      <c r="BT121" s="26">
        <f t="shared" si="299"/>
        <v>-0.51012008699993316</v>
      </c>
      <c r="BZ121" t="str">
        <f t="shared" si="310"/>
        <v>21 Science, research, engineering and technology professionals</v>
      </c>
      <c r="CA121" s="67">
        <f t="shared" si="300"/>
        <v>1.4235444312309484</v>
      </c>
      <c r="CB121" s="67">
        <f t="shared" si="300"/>
        <v>-1.0092081521674867</v>
      </c>
      <c r="CC121" s="67">
        <f t="shared" si="300"/>
        <v>0.26407165058555382</v>
      </c>
      <c r="CD121" s="67">
        <f t="shared" si="300"/>
        <v>-0.5673789020413369</v>
      </c>
      <c r="CE121" s="67">
        <f t="shared" si="301"/>
        <v>-0.30330725145578308</v>
      </c>
      <c r="CK121" t="str">
        <f t="shared" si="311"/>
        <v>21 Science, research, engineering and technology professionals</v>
      </c>
      <c r="CL121" s="67">
        <f t="shared" si="302"/>
        <v>0.11605424033583567</v>
      </c>
      <c r="CM121" s="67">
        <f t="shared" si="302"/>
        <v>-6.0094490872345308E-2</v>
      </c>
      <c r="CN121" s="67">
        <f t="shared" si="302"/>
        <v>0.10273032574890117</v>
      </c>
      <c r="CO121" s="67">
        <f t="shared" si="302"/>
        <v>-3.0902112771151957E-2</v>
      </c>
      <c r="CP121" s="67">
        <f t="shared" si="303"/>
        <v>7.1828212977749217E-2</v>
      </c>
    </row>
    <row r="122" spans="1:94" x14ac:dyDescent="0.2">
      <c r="A122" t="str">
        <f t="shared" si="285"/>
        <v>22 Health professionals</v>
      </c>
      <c r="B122" s="26">
        <f t="shared" si="286"/>
        <v>1.2380051955279008</v>
      </c>
      <c r="C122" s="26">
        <f t="shared" si="286"/>
        <v>-0.40087071160003163</v>
      </c>
      <c r="D122" s="26">
        <f t="shared" si="286"/>
        <v>1.2911133955666312</v>
      </c>
      <c r="E122" s="26">
        <f t="shared" si="286"/>
        <v>1.5455337721883593</v>
      </c>
      <c r="F122" s="26">
        <f t="shared" si="287"/>
        <v>2.8366471677549905</v>
      </c>
      <c r="L122" t="str">
        <f t="shared" si="304"/>
        <v>22 Health professionals</v>
      </c>
      <c r="M122" s="26">
        <f t="shared" si="288"/>
        <v>3.1644405086497507</v>
      </c>
      <c r="N122" s="26">
        <f t="shared" si="288"/>
        <v>-1.4023444177586217</v>
      </c>
      <c r="O122" s="26">
        <f t="shared" si="288"/>
        <v>2.5893084996212679</v>
      </c>
      <c r="P122" s="26">
        <f t="shared" si="288"/>
        <v>2.0097507674859738</v>
      </c>
      <c r="Q122" s="26">
        <f t="shared" si="289"/>
        <v>4.5990592671072417</v>
      </c>
      <c r="W122" t="str">
        <f t="shared" si="305"/>
        <v>22 Health professionals</v>
      </c>
      <c r="X122" s="26">
        <f t="shared" si="290"/>
        <v>0.25580258219203245</v>
      </c>
      <c r="Y122" s="26">
        <f t="shared" si="290"/>
        <v>4.1915867044005033</v>
      </c>
      <c r="Z122" s="26">
        <f t="shared" si="290"/>
        <v>6.4682778174053688</v>
      </c>
      <c r="AA122" s="26">
        <f t="shared" si="290"/>
        <v>10.509049458848125</v>
      </c>
      <c r="AB122" s="26">
        <f t="shared" si="291"/>
        <v>16.977327276253494</v>
      </c>
      <c r="AH122" t="str">
        <f t="shared" si="306"/>
        <v>22 Health professionals</v>
      </c>
      <c r="AI122" s="26">
        <f t="shared" si="292"/>
        <v>-4.9672534582065158</v>
      </c>
      <c r="AJ122" s="26">
        <f t="shared" si="292"/>
        <v>0.55548590133092013</v>
      </c>
      <c r="AK122" s="26">
        <f t="shared" si="292"/>
        <v>-4.1755640746713487</v>
      </c>
      <c r="AL122" s="26">
        <f t="shared" si="292"/>
        <v>-4.4633078904889238</v>
      </c>
      <c r="AM122" s="26">
        <f t="shared" si="293"/>
        <v>-8.6388719651602734</v>
      </c>
      <c r="AS122" t="str">
        <f t="shared" si="307"/>
        <v>22 Health professionals</v>
      </c>
      <c r="AT122" s="26">
        <f t="shared" si="294"/>
        <v>1.6352040737477314E-2</v>
      </c>
      <c r="AU122" s="26">
        <f t="shared" si="294"/>
        <v>0.44714351932250351</v>
      </c>
      <c r="AV122" s="26">
        <f t="shared" si="294"/>
        <v>0.28615477109654863</v>
      </c>
      <c r="AW122" s="26">
        <f t="shared" si="294"/>
        <v>0.46852486127582704</v>
      </c>
      <c r="AX122" s="26">
        <f t="shared" si="295"/>
        <v>0.75467963237237567</v>
      </c>
      <c r="BD122" t="str">
        <f t="shared" si="308"/>
        <v>22 Health professionals</v>
      </c>
      <c r="BE122" s="26">
        <f t="shared" si="296"/>
        <v>1.105479631378814</v>
      </c>
      <c r="BF122" s="26">
        <f t="shared" si="296"/>
        <v>1.344715722392019</v>
      </c>
      <c r="BG122" s="26">
        <f t="shared" si="296"/>
        <v>1.7889018492128415</v>
      </c>
      <c r="BH122" s="26">
        <f t="shared" si="296"/>
        <v>2.0751075881719085</v>
      </c>
      <c r="BI122" s="26">
        <f t="shared" si="297"/>
        <v>3.86400943738475</v>
      </c>
      <c r="BO122" t="str">
        <f t="shared" si="309"/>
        <v>22 Health professionals</v>
      </c>
      <c r="BP122" s="26">
        <f t="shared" si="298"/>
        <v>0.39902354249390637</v>
      </c>
      <c r="BQ122" s="26">
        <f t="shared" si="298"/>
        <v>0.61774115216778469</v>
      </c>
      <c r="BR122" s="26">
        <f t="shared" si="298"/>
        <v>0.10192115080884712</v>
      </c>
      <c r="BS122" s="26">
        <f t="shared" si="298"/>
        <v>-0.81322451699795906</v>
      </c>
      <c r="BT122" s="26">
        <f t="shared" si="299"/>
        <v>-0.71130336618911194</v>
      </c>
      <c r="BZ122" t="str">
        <f t="shared" si="310"/>
        <v>22 Health professionals</v>
      </c>
      <c r="CA122" s="67">
        <f t="shared" si="300"/>
        <v>-0.30360147509965962</v>
      </c>
      <c r="CB122" s="67">
        <f t="shared" si="300"/>
        <v>-7.8085563732406271E-2</v>
      </c>
      <c r="CC122" s="67">
        <f t="shared" si="300"/>
        <v>-0.23492834949732844</v>
      </c>
      <c r="CD122" s="67">
        <f t="shared" si="300"/>
        <v>-1.2765635251353133</v>
      </c>
      <c r="CE122" s="67">
        <f t="shared" si="301"/>
        <v>-1.5114918746326418</v>
      </c>
      <c r="CK122" t="str">
        <f t="shared" si="311"/>
        <v>22 Health professionals</v>
      </c>
      <c r="CL122" s="67">
        <f t="shared" si="302"/>
        <v>3.1356847850176117E-2</v>
      </c>
      <c r="CM122" s="67">
        <f t="shared" si="302"/>
        <v>-5.981977793659865E-2</v>
      </c>
      <c r="CN122" s="67">
        <f t="shared" si="302"/>
        <v>6.6052654565530555E-2</v>
      </c>
      <c r="CO122" s="67">
        <f t="shared" si="302"/>
        <v>5.1378089583543785E-2</v>
      </c>
      <c r="CP122" s="67">
        <f t="shared" si="303"/>
        <v>0.11743074414907434</v>
      </c>
    </row>
    <row r="123" spans="1:94" x14ac:dyDescent="0.2">
      <c r="A123" t="str">
        <f t="shared" si="285"/>
        <v>23 Teaching and other educational professionals</v>
      </c>
      <c r="B123" s="26">
        <f t="shared" si="286"/>
        <v>0.5537023914637027</v>
      </c>
      <c r="C123" s="26">
        <f t="shared" si="286"/>
        <v>-0.3062318426344115</v>
      </c>
      <c r="D123" s="26">
        <f t="shared" si="286"/>
        <v>0.93410710134797803</v>
      </c>
      <c r="E123" s="26">
        <f t="shared" si="286"/>
        <v>0.71404573815222605</v>
      </c>
      <c r="F123" s="26">
        <f t="shared" si="287"/>
        <v>1.6481528395002041</v>
      </c>
      <c r="L123" t="str">
        <f t="shared" si="304"/>
        <v>23 Teaching and other educational professionals</v>
      </c>
      <c r="M123" s="26">
        <f t="shared" si="288"/>
        <v>4.4709005765920153</v>
      </c>
      <c r="N123" s="26">
        <f t="shared" si="288"/>
        <v>-1.5242838279242363</v>
      </c>
      <c r="O123" s="26">
        <f t="shared" si="288"/>
        <v>4.8364482146164605</v>
      </c>
      <c r="P123" s="26">
        <f t="shared" si="288"/>
        <v>3.3589778817611737</v>
      </c>
      <c r="Q123" s="26">
        <f t="shared" si="289"/>
        <v>8.1954260963776342</v>
      </c>
      <c r="W123" t="str">
        <f t="shared" si="305"/>
        <v>23 Teaching and other educational professionals</v>
      </c>
      <c r="X123" s="26">
        <f t="shared" si="290"/>
        <v>-3.4386207151477244</v>
      </c>
      <c r="Y123" s="26">
        <f t="shared" si="290"/>
        <v>3.016341323256686</v>
      </c>
      <c r="Z123" s="26">
        <f t="shared" si="290"/>
        <v>-0.32088858397534636</v>
      </c>
      <c r="AA123" s="26">
        <f t="shared" si="290"/>
        <v>0.66723618945351681</v>
      </c>
      <c r="AB123" s="26">
        <f t="shared" si="291"/>
        <v>0.34634760547817045</v>
      </c>
      <c r="AH123" t="str">
        <f t="shared" si="306"/>
        <v>23 Teaching and other educational professionals</v>
      </c>
      <c r="AI123" s="26">
        <f t="shared" si="292"/>
        <v>-1.2598586111209493</v>
      </c>
      <c r="AJ123" s="26">
        <f t="shared" si="292"/>
        <v>-1.8645918972025721E-2</v>
      </c>
      <c r="AK123" s="26">
        <f t="shared" si="292"/>
        <v>-0.37028559302333913</v>
      </c>
      <c r="AL123" s="26">
        <f t="shared" si="292"/>
        <v>1.3997540067173686E-2</v>
      </c>
      <c r="AM123" s="26">
        <f t="shared" si="293"/>
        <v>-0.35628805295616545</v>
      </c>
      <c r="AS123" t="str">
        <f t="shared" si="307"/>
        <v>23 Teaching and other educational professionals</v>
      </c>
      <c r="AT123" s="26">
        <f t="shared" si="294"/>
        <v>-0.19447152893738123</v>
      </c>
      <c r="AU123" s="26">
        <f t="shared" si="294"/>
        <v>4.2122988171104436E-2</v>
      </c>
      <c r="AV123" s="26">
        <f t="shared" si="294"/>
        <v>-5.8747221888615364E-2</v>
      </c>
      <c r="AW123" s="26">
        <f t="shared" si="294"/>
        <v>-5.4909831418510469E-2</v>
      </c>
      <c r="AX123" s="26">
        <f t="shared" si="295"/>
        <v>-0.11365705330712583</v>
      </c>
      <c r="BD123" t="str">
        <f t="shared" si="308"/>
        <v>23 Teaching and other educational professionals</v>
      </c>
      <c r="BE123" s="26">
        <f t="shared" si="296"/>
        <v>-0.35121472656598041</v>
      </c>
      <c r="BF123" s="26">
        <f t="shared" si="296"/>
        <v>0.82588495077531165</v>
      </c>
      <c r="BG123" s="26">
        <f t="shared" si="296"/>
        <v>8.44265478759052E-2</v>
      </c>
      <c r="BH123" s="26">
        <f t="shared" si="296"/>
        <v>0.35336273373029714</v>
      </c>
      <c r="BI123" s="26">
        <f t="shared" si="297"/>
        <v>0.43778928160620234</v>
      </c>
      <c r="BO123" t="str">
        <f t="shared" si="309"/>
        <v>23 Teaching and other educational professionals</v>
      </c>
      <c r="BP123" s="26">
        <f t="shared" si="298"/>
        <v>-0.20664827080249437</v>
      </c>
      <c r="BQ123" s="26">
        <f t="shared" si="298"/>
        <v>0.40680658114520751</v>
      </c>
      <c r="BR123" s="26">
        <f t="shared" si="298"/>
        <v>-0.11355045320283175</v>
      </c>
      <c r="BS123" s="26">
        <f t="shared" si="298"/>
        <v>-0.26595763325408317</v>
      </c>
      <c r="BT123" s="26">
        <f t="shared" si="299"/>
        <v>-0.37950808645691492</v>
      </c>
      <c r="BZ123" t="str">
        <f t="shared" si="310"/>
        <v>23 Teaching and other educational professionals</v>
      </c>
      <c r="CA123" s="67">
        <f t="shared" si="300"/>
        <v>-8.8038765197813618E-2</v>
      </c>
      <c r="CB123" s="67">
        <f t="shared" si="300"/>
        <v>2.5342574589606759E-2</v>
      </c>
      <c r="CC123" s="67">
        <f t="shared" si="300"/>
        <v>-4.2925137828905724E-2</v>
      </c>
      <c r="CD123" s="67">
        <f t="shared" si="300"/>
        <v>-0.3796505335415743</v>
      </c>
      <c r="CE123" s="67">
        <f t="shared" si="301"/>
        <v>-0.42257567137048002</v>
      </c>
      <c r="CK123" t="str">
        <f t="shared" si="311"/>
        <v>23 Teaching and other educational professionals</v>
      </c>
      <c r="CL123" s="67">
        <f t="shared" si="302"/>
        <v>2.8761607108839071E-2</v>
      </c>
      <c r="CM123" s="67">
        <f t="shared" si="302"/>
        <v>-1.3312908400472445E-2</v>
      </c>
      <c r="CN123" s="67">
        <f t="shared" si="302"/>
        <v>5.8555070333000503E-2</v>
      </c>
      <c r="CO123" s="67">
        <f t="shared" si="302"/>
        <v>1.4512881250522691E-2</v>
      </c>
      <c r="CP123" s="67">
        <f t="shared" si="303"/>
        <v>7.3067951583523194E-2</v>
      </c>
    </row>
    <row r="124" spans="1:94" x14ac:dyDescent="0.2">
      <c r="A124" t="str">
        <f t="shared" si="285"/>
        <v>24 Business, media and public service professionals</v>
      </c>
      <c r="B124" s="26">
        <f t="shared" si="286"/>
        <v>0.28728339750902299</v>
      </c>
      <c r="C124" s="26">
        <f t="shared" si="286"/>
        <v>-7.4875587091306706E-2</v>
      </c>
      <c r="D124" s="26">
        <f t="shared" si="286"/>
        <v>0.27832635080232415</v>
      </c>
      <c r="E124" s="26">
        <f t="shared" si="286"/>
        <v>0.43029068388260971</v>
      </c>
      <c r="F124" s="26">
        <f t="shared" si="287"/>
        <v>0.70861703468493387</v>
      </c>
      <c r="L124" t="str">
        <f t="shared" si="304"/>
        <v>24 Business, media and public service professionals</v>
      </c>
      <c r="M124" s="26">
        <f t="shared" si="288"/>
        <v>3.3500548015517015</v>
      </c>
      <c r="N124" s="26">
        <f t="shared" si="288"/>
        <v>-0.98706770984301784</v>
      </c>
      <c r="O124" s="26">
        <f t="shared" si="288"/>
        <v>2.4660479859314641</v>
      </c>
      <c r="P124" s="26">
        <f t="shared" si="288"/>
        <v>2.8588583524418212</v>
      </c>
      <c r="Q124" s="26">
        <f t="shared" si="289"/>
        <v>5.3249063383732853</v>
      </c>
      <c r="W124" t="str">
        <f t="shared" si="305"/>
        <v>24 Business, media and public service professionals</v>
      </c>
      <c r="X124" s="26">
        <f t="shared" si="290"/>
        <v>-0.67622075278202942</v>
      </c>
      <c r="Y124" s="26">
        <f t="shared" si="290"/>
        <v>4.2808142424915943</v>
      </c>
      <c r="Z124" s="26">
        <f t="shared" si="290"/>
        <v>2.9541951245383657</v>
      </c>
      <c r="AA124" s="26">
        <f t="shared" si="290"/>
        <v>5.5678219549875223</v>
      </c>
      <c r="AB124" s="26">
        <f t="shared" si="291"/>
        <v>8.5220170795258881</v>
      </c>
      <c r="AH124" t="str">
        <f t="shared" si="306"/>
        <v>24 Business, media and public service professionals</v>
      </c>
      <c r="AI124" s="26">
        <f t="shared" si="292"/>
        <v>-0.37808484258131436</v>
      </c>
      <c r="AJ124" s="26">
        <f t="shared" si="292"/>
        <v>0.34275625441941138</v>
      </c>
      <c r="AK124" s="26">
        <f t="shared" si="292"/>
        <v>-0.13783538996747113</v>
      </c>
      <c r="AL124" s="26">
        <f t="shared" si="292"/>
        <v>0.2200720371388214</v>
      </c>
      <c r="AM124" s="26">
        <f t="shared" si="293"/>
        <v>8.2236647171350263E-2</v>
      </c>
      <c r="AS124" t="str">
        <f t="shared" si="307"/>
        <v>24 Business, media and public service professionals</v>
      </c>
      <c r="AT124" s="26">
        <f t="shared" si="294"/>
        <v>-0.3239084024329717</v>
      </c>
      <c r="AU124" s="26">
        <f t="shared" si="294"/>
        <v>0.50010198761421831</v>
      </c>
      <c r="AV124" s="26">
        <f t="shared" si="294"/>
        <v>0.41117712550445606</v>
      </c>
      <c r="AW124" s="26">
        <f t="shared" si="294"/>
        <v>0.63637866180427149</v>
      </c>
      <c r="AX124" s="26">
        <f t="shared" si="295"/>
        <v>1.0475557873087276</v>
      </c>
      <c r="BD124" t="str">
        <f t="shared" si="308"/>
        <v>24 Business, media and public service professionals</v>
      </c>
      <c r="BE124" s="26">
        <f t="shared" si="296"/>
        <v>0.19813521459525774</v>
      </c>
      <c r="BF124" s="26">
        <f t="shared" si="296"/>
        <v>2.8090665536472308</v>
      </c>
      <c r="BG124" s="26">
        <f t="shared" si="296"/>
        <v>-0.1286561042801857</v>
      </c>
      <c r="BH124" s="26">
        <f t="shared" si="296"/>
        <v>1.2197953604891509</v>
      </c>
      <c r="BI124" s="26">
        <f t="shared" si="297"/>
        <v>1.0911392562089652</v>
      </c>
      <c r="BO124" t="str">
        <f t="shared" si="309"/>
        <v>24 Business, media and public service professionals</v>
      </c>
      <c r="BP124" s="26">
        <f t="shared" si="298"/>
        <v>-0.13079404797713412</v>
      </c>
      <c r="BQ124" s="26">
        <f t="shared" si="298"/>
        <v>0.89655780703056909</v>
      </c>
      <c r="BR124" s="26">
        <f t="shared" si="298"/>
        <v>-1.8097160343598873E-2</v>
      </c>
      <c r="BS124" s="26">
        <f t="shared" si="298"/>
        <v>-0.23496168465344347</v>
      </c>
      <c r="BT124" s="26">
        <f t="shared" si="299"/>
        <v>-0.25305884499704234</v>
      </c>
      <c r="BZ124" t="str">
        <f t="shared" si="310"/>
        <v>24 Business, media and public service professionals</v>
      </c>
      <c r="CA124" s="67">
        <f t="shared" si="300"/>
        <v>0.65257449053350669</v>
      </c>
      <c r="CB124" s="67">
        <f t="shared" si="300"/>
        <v>-0.28527011639337152</v>
      </c>
      <c r="CC124" s="67">
        <f t="shared" si="300"/>
        <v>4.5312049952928479E-2</v>
      </c>
      <c r="CD124" s="67">
        <f t="shared" si="300"/>
        <v>-1.1397559297500917</v>
      </c>
      <c r="CE124" s="67">
        <f t="shared" si="301"/>
        <v>-1.0944438797971632</v>
      </c>
      <c r="CK124" t="str">
        <f t="shared" si="311"/>
        <v>24 Business, media and public service professionals</v>
      </c>
      <c r="CL124" s="67">
        <f t="shared" si="302"/>
        <v>0.1468661760529405</v>
      </c>
      <c r="CM124" s="67">
        <f t="shared" si="302"/>
        <v>-7.6937600895505054E-2</v>
      </c>
      <c r="CN124" s="67">
        <f t="shared" si="302"/>
        <v>0.11098770194530638</v>
      </c>
      <c r="CO124" s="67">
        <f t="shared" si="302"/>
        <v>0.13777128104538083</v>
      </c>
      <c r="CP124" s="67">
        <f t="shared" si="303"/>
        <v>0.24875898299068722</v>
      </c>
    </row>
    <row r="125" spans="1:94" x14ac:dyDescent="0.2">
      <c r="A125" t="str">
        <f t="shared" si="285"/>
        <v>31 Science, engineering and technology associate professionals</v>
      </c>
      <c r="B125" s="26">
        <f t="shared" si="286"/>
        <v>0.11554960706364009</v>
      </c>
      <c r="C125" s="26">
        <f t="shared" si="286"/>
        <v>-4.2820295671134045E-2</v>
      </c>
      <c r="D125" s="26">
        <f t="shared" si="286"/>
        <v>5.355971202274401E-2</v>
      </c>
      <c r="E125" s="26">
        <f t="shared" si="286"/>
        <v>0.18462681251614105</v>
      </c>
      <c r="F125" s="26">
        <f t="shared" si="287"/>
        <v>0.23818652453888506</v>
      </c>
      <c r="L125" t="str">
        <f t="shared" si="304"/>
        <v>31 Science, engineering and technology associate professionals</v>
      </c>
      <c r="M125" s="26">
        <f t="shared" si="288"/>
        <v>0.78828570158412981</v>
      </c>
      <c r="N125" s="26">
        <f t="shared" si="288"/>
        <v>-0.18877915753745089</v>
      </c>
      <c r="O125" s="26">
        <f t="shared" si="288"/>
        <v>0.13672857818370199</v>
      </c>
      <c r="P125" s="26">
        <f t="shared" si="288"/>
        <v>0.84013257660007312</v>
      </c>
      <c r="Q125" s="26">
        <f t="shared" si="289"/>
        <v>0.97686115478377511</v>
      </c>
      <c r="W125" t="str">
        <f t="shared" si="305"/>
        <v>31 Science, engineering and technology associate professionals</v>
      </c>
      <c r="X125" s="26">
        <f t="shared" si="290"/>
        <v>-0.18339395291968863</v>
      </c>
      <c r="Y125" s="26">
        <f t="shared" si="290"/>
        <v>0.60533548388299074</v>
      </c>
      <c r="Z125" s="26">
        <f t="shared" si="290"/>
        <v>-0.26950745387742714</v>
      </c>
      <c r="AA125" s="26">
        <f t="shared" si="290"/>
        <v>0.64254205763694383</v>
      </c>
      <c r="AB125" s="26">
        <f t="shared" si="291"/>
        <v>0.37303460375951669</v>
      </c>
      <c r="AH125" t="str">
        <f t="shared" si="306"/>
        <v>31 Science, engineering and technology associate professionals</v>
      </c>
      <c r="AI125" s="26">
        <f t="shared" si="292"/>
        <v>-2.7758032600597726E-3</v>
      </c>
      <c r="AJ125" s="26">
        <f t="shared" si="292"/>
        <v>0.15049763794811877</v>
      </c>
      <c r="AK125" s="26">
        <f t="shared" si="292"/>
        <v>3.8355288727317971E-2</v>
      </c>
      <c r="AL125" s="26">
        <f t="shared" si="292"/>
        <v>0.34249363741240813</v>
      </c>
      <c r="AM125" s="26">
        <f t="shared" si="293"/>
        <v>0.3808489261397261</v>
      </c>
      <c r="AS125" t="str">
        <f t="shared" si="307"/>
        <v>31 Science, engineering and technology associate professionals</v>
      </c>
      <c r="AT125" s="26">
        <f t="shared" si="294"/>
        <v>-0.46884452176910374</v>
      </c>
      <c r="AU125" s="26">
        <f t="shared" si="294"/>
        <v>0.16788985171084825</v>
      </c>
      <c r="AV125" s="26">
        <f t="shared" si="294"/>
        <v>-0.37782570521500913</v>
      </c>
      <c r="AW125" s="26">
        <f t="shared" si="294"/>
        <v>-6.4212709456098915E-2</v>
      </c>
      <c r="AX125" s="26">
        <f t="shared" si="295"/>
        <v>-0.44203841467110805</v>
      </c>
      <c r="BD125" t="str">
        <f t="shared" si="308"/>
        <v>31 Science, engineering and technology associate professionals</v>
      </c>
      <c r="BE125" s="26">
        <f t="shared" si="296"/>
        <v>-2.667876757007992E-2</v>
      </c>
      <c r="BF125" s="26">
        <f t="shared" si="296"/>
        <v>1.4410087017045345</v>
      </c>
      <c r="BG125" s="26">
        <f t="shared" si="296"/>
        <v>-2.0182560566666146</v>
      </c>
      <c r="BH125" s="26">
        <f t="shared" si="296"/>
        <v>-0.56669659106362991</v>
      </c>
      <c r="BI125" s="26">
        <f t="shared" si="297"/>
        <v>-2.5849526477302445</v>
      </c>
      <c r="BO125" t="str">
        <f t="shared" si="309"/>
        <v>31 Science, engineering and technology associate professionals</v>
      </c>
      <c r="BP125" s="26">
        <f t="shared" si="298"/>
        <v>0.15225337592474286</v>
      </c>
      <c r="BQ125" s="26">
        <f t="shared" si="298"/>
        <v>0.42678228825557696</v>
      </c>
      <c r="BR125" s="26">
        <f t="shared" si="298"/>
        <v>-0.84534837926003048</v>
      </c>
      <c r="BS125" s="26">
        <f t="shared" si="298"/>
        <v>-8.0216696372210627E-2</v>
      </c>
      <c r="BT125" s="26">
        <f t="shared" si="299"/>
        <v>-0.92556507563224111</v>
      </c>
      <c r="BZ125" t="str">
        <f t="shared" si="310"/>
        <v>31 Science, engineering and technology associate professionals</v>
      </c>
      <c r="CA125" s="67">
        <f t="shared" si="300"/>
        <v>1.1331676014045862</v>
      </c>
      <c r="CB125" s="67">
        <f t="shared" si="300"/>
        <v>-0.63826258944648062</v>
      </c>
      <c r="CC125" s="67">
        <f t="shared" si="300"/>
        <v>-0.24069487036325032</v>
      </c>
      <c r="CD125" s="67">
        <f t="shared" si="300"/>
        <v>-0.38109632369521496</v>
      </c>
      <c r="CE125" s="67">
        <f t="shared" si="301"/>
        <v>-0.62179119405846528</v>
      </c>
      <c r="CK125" t="str">
        <f t="shared" si="311"/>
        <v>31 Science, engineering and technology associate professionals</v>
      </c>
      <c r="CL125" s="67">
        <f t="shared" si="302"/>
        <v>0.11098053822561088</v>
      </c>
      <c r="CM125" s="67">
        <f t="shared" si="302"/>
        <v>-3.9284380059403212E-2</v>
      </c>
      <c r="CN125" s="67">
        <f t="shared" si="302"/>
        <v>4.5370895928373844E-3</v>
      </c>
      <c r="CO125" s="67">
        <f t="shared" si="302"/>
        <v>8.9432503529786211E-2</v>
      </c>
      <c r="CP125" s="67">
        <f t="shared" si="303"/>
        <v>9.3969593122623596E-2</v>
      </c>
    </row>
    <row r="126" spans="1:94" x14ac:dyDescent="0.2">
      <c r="A126" t="str">
        <f t="shared" si="285"/>
        <v>32 Health and social care associate professionals</v>
      </c>
      <c r="B126" s="26">
        <f t="shared" si="286"/>
        <v>4.2911750403509738E-2</v>
      </c>
      <c r="C126" s="26">
        <f t="shared" si="286"/>
        <v>-3.4453343070926692E-2</v>
      </c>
      <c r="D126" s="26">
        <f t="shared" si="286"/>
        <v>1.6251512764713399E-2</v>
      </c>
      <c r="E126" s="26">
        <f t="shared" si="286"/>
        <v>2.4490557552878961E-2</v>
      </c>
      <c r="F126" s="26">
        <f t="shared" si="287"/>
        <v>4.074207031759236E-2</v>
      </c>
      <c r="L126" t="str">
        <f t="shared" si="304"/>
        <v>32 Health and social care associate professionals</v>
      </c>
      <c r="M126" s="26">
        <f t="shared" si="288"/>
        <v>0.79635560017241813</v>
      </c>
      <c r="N126" s="26">
        <f t="shared" si="288"/>
        <v>-0.41537275674083762</v>
      </c>
      <c r="O126" s="26">
        <f t="shared" si="288"/>
        <v>0.41100685331039077</v>
      </c>
      <c r="P126" s="26">
        <f t="shared" si="288"/>
        <v>0.60269553199740411</v>
      </c>
      <c r="Q126" s="26">
        <f t="shared" si="289"/>
        <v>1.0137023853077949</v>
      </c>
      <c r="W126" t="str">
        <f t="shared" si="305"/>
        <v>32 Health and social care associate professionals</v>
      </c>
      <c r="X126" s="26">
        <f t="shared" si="290"/>
        <v>0.33196830124948384</v>
      </c>
      <c r="Y126" s="26">
        <f t="shared" si="290"/>
        <v>1.2141797758665014</v>
      </c>
      <c r="Z126" s="26">
        <f t="shared" si="290"/>
        <v>1.4394371179172136</v>
      </c>
      <c r="AA126" s="26">
        <f t="shared" si="290"/>
        <v>3.4718906615532177</v>
      </c>
      <c r="AB126" s="26">
        <f t="shared" si="291"/>
        <v>4.9113277794704313</v>
      </c>
      <c r="AH126" t="str">
        <f t="shared" si="306"/>
        <v>32 Health and social care associate professionals</v>
      </c>
      <c r="AI126" s="26">
        <f t="shared" si="292"/>
        <v>-1.460719829574483</v>
      </c>
      <c r="AJ126" s="26">
        <f t="shared" si="292"/>
        <v>0.43412265479843093</v>
      </c>
      <c r="AK126" s="26">
        <f t="shared" si="292"/>
        <v>-1.1881073206472945</v>
      </c>
      <c r="AL126" s="26">
        <f t="shared" si="292"/>
        <v>-1.5967449644702567</v>
      </c>
      <c r="AM126" s="26">
        <f t="shared" si="293"/>
        <v>-2.7848522851175512</v>
      </c>
      <c r="AS126" t="str">
        <f t="shared" si="307"/>
        <v>32 Health and social care associate professionals</v>
      </c>
      <c r="AT126" s="26">
        <f t="shared" si="294"/>
        <v>3.2236866047703039E-2</v>
      </c>
      <c r="AU126" s="26">
        <f t="shared" si="294"/>
        <v>0.21080444040081181</v>
      </c>
      <c r="AV126" s="26">
        <f t="shared" si="294"/>
        <v>-9.0157366226317759E-3</v>
      </c>
      <c r="AW126" s="26">
        <f t="shared" si="294"/>
        <v>0.18234231102819698</v>
      </c>
      <c r="AX126" s="26">
        <f t="shared" si="295"/>
        <v>0.1733265744055652</v>
      </c>
      <c r="BD126" t="str">
        <f t="shared" si="308"/>
        <v>32 Health and social care associate professionals</v>
      </c>
      <c r="BE126" s="26">
        <f t="shared" si="296"/>
        <v>0.64965665711000486</v>
      </c>
      <c r="BF126" s="26">
        <f t="shared" si="296"/>
        <v>0.78552434813772631</v>
      </c>
      <c r="BG126" s="26">
        <f t="shared" si="296"/>
        <v>0.42059410337601033</v>
      </c>
      <c r="BH126" s="26">
        <f t="shared" si="296"/>
        <v>1.1224963433464312</v>
      </c>
      <c r="BI126" s="26">
        <f t="shared" si="297"/>
        <v>1.5430904467224416</v>
      </c>
      <c r="BO126" t="str">
        <f t="shared" si="309"/>
        <v>32 Health and social care associate professionals</v>
      </c>
      <c r="BP126" s="26">
        <f t="shared" si="298"/>
        <v>0.15431836226410711</v>
      </c>
      <c r="BQ126" s="26">
        <f t="shared" si="298"/>
        <v>0.34639642656566583</v>
      </c>
      <c r="BR126" s="26">
        <f t="shared" si="298"/>
        <v>-0.41119410117822186</v>
      </c>
      <c r="BS126" s="26">
        <f t="shared" si="298"/>
        <v>-0.66497180784989807</v>
      </c>
      <c r="BT126" s="26">
        <f t="shared" si="299"/>
        <v>-1.0761659090281199</v>
      </c>
      <c r="BZ126" t="str">
        <f t="shared" si="310"/>
        <v>32 Health and social care associate professionals</v>
      </c>
      <c r="CA126" s="67">
        <f t="shared" si="300"/>
        <v>-0.26681249980453692</v>
      </c>
      <c r="CB126" s="67">
        <f t="shared" si="300"/>
        <v>-5.3593917986446193E-2</v>
      </c>
      <c r="CC126" s="67">
        <f t="shared" si="300"/>
        <v>-0.21208644971481949</v>
      </c>
      <c r="CD126" s="67">
        <f t="shared" si="300"/>
        <v>-0.44290377128299202</v>
      </c>
      <c r="CE126" s="67">
        <f t="shared" si="301"/>
        <v>-0.65499022099781157</v>
      </c>
      <c r="CK126" t="str">
        <f t="shared" si="311"/>
        <v>32 Health and social care associate professionals</v>
      </c>
      <c r="CL126" s="67">
        <f t="shared" si="302"/>
        <v>-7.2547966523595353E-3</v>
      </c>
      <c r="CM126" s="67">
        <f t="shared" si="302"/>
        <v>-2.5360960160262486E-2</v>
      </c>
      <c r="CN126" s="67">
        <f t="shared" si="302"/>
        <v>6.8033324341098544E-3</v>
      </c>
      <c r="CO126" s="67">
        <f t="shared" si="302"/>
        <v>1.3639108713126069E-2</v>
      </c>
      <c r="CP126" s="67">
        <f t="shared" si="303"/>
        <v>2.0442441147235924E-2</v>
      </c>
    </row>
    <row r="127" spans="1:94" x14ac:dyDescent="0.2">
      <c r="A127" t="str">
        <f t="shared" si="285"/>
        <v>33 Protective service occupations</v>
      </c>
      <c r="B127" s="26">
        <f t="shared" si="286"/>
        <v>1.7645678756196482E-2</v>
      </c>
      <c r="C127" s="26">
        <f t="shared" si="286"/>
        <v>-9.4808748238617915E-3</v>
      </c>
      <c r="D127" s="26">
        <f t="shared" si="286"/>
        <v>2.0115023631927256E-2</v>
      </c>
      <c r="E127" s="26">
        <f t="shared" si="286"/>
        <v>3.1956289937676532E-2</v>
      </c>
      <c r="F127" s="26">
        <f t="shared" si="287"/>
        <v>5.2071313569603789E-2</v>
      </c>
      <c r="L127" t="str">
        <f t="shared" si="304"/>
        <v>33 Protective service occupations</v>
      </c>
      <c r="M127" s="26">
        <f t="shared" si="288"/>
        <v>0.32343999243295363</v>
      </c>
      <c r="N127" s="26">
        <f t="shared" si="288"/>
        <v>-0.13831816849106826</v>
      </c>
      <c r="O127" s="26">
        <f t="shared" si="288"/>
        <v>0.33995830649821712</v>
      </c>
      <c r="P127" s="26">
        <f t="shared" si="288"/>
        <v>0.61924496015317998</v>
      </c>
      <c r="Q127" s="26">
        <f t="shared" si="289"/>
        <v>0.9592032666513971</v>
      </c>
      <c r="W127" t="str">
        <f t="shared" si="305"/>
        <v>33 Protective service occupations</v>
      </c>
      <c r="X127" s="26">
        <f t="shared" si="290"/>
        <v>0.28813868454167668</v>
      </c>
      <c r="Y127" s="26">
        <f t="shared" si="290"/>
        <v>0.36991398522665841</v>
      </c>
      <c r="Z127" s="26">
        <f t="shared" si="290"/>
        <v>1.2216522645947765</v>
      </c>
      <c r="AA127" s="26">
        <f t="shared" si="290"/>
        <v>2.3766367710288892</v>
      </c>
      <c r="AB127" s="26">
        <f t="shared" si="291"/>
        <v>3.5982890356236656</v>
      </c>
      <c r="AH127" t="str">
        <f t="shared" si="306"/>
        <v>33 Protective service occupations</v>
      </c>
      <c r="AI127" s="26">
        <f t="shared" si="292"/>
        <v>3.6804628866900391E-2</v>
      </c>
      <c r="AJ127" s="26">
        <f t="shared" si="292"/>
        <v>9.4383185564157146E-2</v>
      </c>
      <c r="AK127" s="26">
        <f t="shared" si="292"/>
        <v>0.28437198976452627</v>
      </c>
      <c r="AL127" s="26">
        <f t="shared" si="292"/>
        <v>0.4612110462291128</v>
      </c>
      <c r="AM127" s="26">
        <f t="shared" si="293"/>
        <v>0.74558303599363906</v>
      </c>
      <c r="AS127" t="str">
        <f t="shared" si="307"/>
        <v>33 Protective service occupations</v>
      </c>
      <c r="AT127" s="26">
        <f t="shared" si="294"/>
        <v>-3.8431445751891391E-2</v>
      </c>
      <c r="AU127" s="26">
        <f t="shared" si="294"/>
        <v>5.1390021092317384E-2</v>
      </c>
      <c r="AV127" s="26">
        <f t="shared" si="294"/>
        <v>9.8526908660938162E-2</v>
      </c>
      <c r="AW127" s="26">
        <f t="shared" si="294"/>
        <v>0.18909480333919659</v>
      </c>
      <c r="AX127" s="26">
        <f t="shared" si="295"/>
        <v>0.28762171200013475</v>
      </c>
      <c r="BD127" t="str">
        <f t="shared" si="308"/>
        <v>33 Protective service occupations</v>
      </c>
      <c r="BE127" s="26">
        <f t="shared" si="296"/>
        <v>-0.22513445377812946</v>
      </c>
      <c r="BF127" s="26">
        <f t="shared" si="296"/>
        <v>0.80944902135524721</v>
      </c>
      <c r="BG127" s="26">
        <f t="shared" si="296"/>
        <v>-0.21791065745856608</v>
      </c>
      <c r="BH127" s="26">
        <f t="shared" si="296"/>
        <v>-2.567085389884749E-2</v>
      </c>
      <c r="BI127" s="26">
        <f t="shared" si="297"/>
        <v>-0.24358151135741357</v>
      </c>
      <c r="BO127" t="str">
        <f t="shared" si="309"/>
        <v>33 Protective service occupations</v>
      </c>
      <c r="BP127" s="26">
        <f t="shared" si="298"/>
        <v>0.14459437653936069</v>
      </c>
      <c r="BQ127" s="26">
        <f t="shared" si="298"/>
        <v>6.8028524957971293E-2</v>
      </c>
      <c r="BR127" s="26">
        <f t="shared" si="298"/>
        <v>0.44653800287466616</v>
      </c>
      <c r="BS127" s="26">
        <f t="shared" si="298"/>
        <v>-0.16113739224848</v>
      </c>
      <c r="BT127" s="26">
        <f t="shared" si="299"/>
        <v>0.28540061062618616</v>
      </c>
      <c r="BZ127" t="str">
        <f t="shared" si="310"/>
        <v>33 Protective service occupations</v>
      </c>
      <c r="CA127" s="67">
        <f t="shared" si="300"/>
        <v>0.43918098165318353</v>
      </c>
      <c r="CB127" s="67">
        <f t="shared" si="300"/>
        <v>-0.34694877297431548</v>
      </c>
      <c r="CC127" s="67">
        <f t="shared" si="300"/>
        <v>0.2796929107092323</v>
      </c>
      <c r="CD127" s="67">
        <f t="shared" si="300"/>
        <v>-0.83890775910670889</v>
      </c>
      <c r="CE127" s="67">
        <f t="shared" si="301"/>
        <v>-0.55921484839747659</v>
      </c>
      <c r="CK127" t="str">
        <f t="shared" si="311"/>
        <v>33 Protective service occupations</v>
      </c>
      <c r="CL127" s="67">
        <f t="shared" si="302"/>
        <v>-3.6209318862194861E-2</v>
      </c>
      <c r="CM127" s="67">
        <f t="shared" si="302"/>
        <v>-4.4973236151300611E-2</v>
      </c>
      <c r="CN127" s="67">
        <f t="shared" si="302"/>
        <v>-3.8463663992757052E-2</v>
      </c>
      <c r="CO127" s="67">
        <f t="shared" si="302"/>
        <v>-1.5510951059156425E-2</v>
      </c>
      <c r="CP127" s="67">
        <f t="shared" si="303"/>
        <v>-5.3974615051913477E-2</v>
      </c>
    </row>
    <row r="128" spans="1:94" x14ac:dyDescent="0.2">
      <c r="A128" t="str">
        <f t="shared" si="285"/>
        <v>34 Culture, media and sports occupations</v>
      </c>
      <c r="B128" s="26">
        <f t="shared" si="286"/>
        <v>6.5482824656517558E-2</v>
      </c>
      <c r="C128" s="26">
        <f t="shared" si="286"/>
        <v>8.4676353531958626E-3</v>
      </c>
      <c r="D128" s="26">
        <f t="shared" si="286"/>
        <v>4.8657775797416869E-3</v>
      </c>
      <c r="E128" s="26">
        <f t="shared" si="286"/>
        <v>4.5237497719261166E-2</v>
      </c>
      <c r="F128" s="26">
        <f t="shared" si="287"/>
        <v>5.0103275299002853E-2</v>
      </c>
      <c r="L128" t="str">
        <f t="shared" si="304"/>
        <v>34 Culture, media and sports occupations</v>
      </c>
      <c r="M128" s="26">
        <f t="shared" si="288"/>
        <v>0.55550494486730928</v>
      </c>
      <c r="N128" s="26">
        <f t="shared" si="288"/>
        <v>-0.43744950506473446</v>
      </c>
      <c r="O128" s="26">
        <f t="shared" si="288"/>
        <v>5.2064853091813745E-2</v>
      </c>
      <c r="P128" s="26">
        <f t="shared" si="288"/>
        <v>0.40586333310190614</v>
      </c>
      <c r="Q128" s="26">
        <f t="shared" si="289"/>
        <v>0.45792818619371989</v>
      </c>
      <c r="W128" t="str">
        <f t="shared" si="305"/>
        <v>34 Culture, media and sports occupations</v>
      </c>
      <c r="X128" s="26">
        <f t="shared" si="290"/>
        <v>-0.19961703220802729</v>
      </c>
      <c r="Y128" s="26">
        <f t="shared" si="290"/>
        <v>-0.15150312520034337</v>
      </c>
      <c r="Z128" s="26">
        <f t="shared" si="290"/>
        <v>-0.18766207930821199</v>
      </c>
      <c r="AA128" s="26">
        <f t="shared" si="290"/>
        <v>0.76064430651176629</v>
      </c>
      <c r="AB128" s="26">
        <f t="shared" si="291"/>
        <v>0.5729822272035543</v>
      </c>
      <c r="AH128" t="str">
        <f t="shared" si="306"/>
        <v>34 Culture, media and sports occupations</v>
      </c>
      <c r="AI128" s="26">
        <f t="shared" si="292"/>
        <v>-0.10200343296732445</v>
      </c>
      <c r="AJ128" s="26">
        <f t="shared" si="292"/>
        <v>0.23936333979911423</v>
      </c>
      <c r="AK128" s="26">
        <f t="shared" si="292"/>
        <v>-5.0035411093626303E-3</v>
      </c>
      <c r="AL128" s="26">
        <f t="shared" si="292"/>
        <v>0.24859042751272176</v>
      </c>
      <c r="AM128" s="26">
        <f t="shared" si="293"/>
        <v>0.24358688640335913</v>
      </c>
      <c r="AS128" t="str">
        <f t="shared" si="307"/>
        <v>34 Culture, media and sports occupations</v>
      </c>
      <c r="AT128" s="26">
        <f t="shared" si="294"/>
        <v>-8.2408154382203502E-2</v>
      </c>
      <c r="AU128" s="26">
        <f t="shared" si="294"/>
        <v>4.0502749585568765E-2</v>
      </c>
      <c r="AV128" s="26">
        <f t="shared" si="294"/>
        <v>-2.9927720622787035E-2</v>
      </c>
      <c r="AW128" s="26">
        <f t="shared" si="294"/>
        <v>0.15445448149358154</v>
      </c>
      <c r="AX128" s="26">
        <f t="shared" si="295"/>
        <v>0.12452676087079451</v>
      </c>
      <c r="BD128" t="str">
        <f t="shared" si="308"/>
        <v>34 Culture, media and sports occupations</v>
      </c>
      <c r="BE128" s="26">
        <f t="shared" si="296"/>
        <v>1.4264505527698645E-2</v>
      </c>
      <c r="BF128" s="26">
        <f t="shared" si="296"/>
        <v>1.4176272960973346E-2</v>
      </c>
      <c r="BG128" s="26">
        <f t="shared" si="296"/>
        <v>-0.30854723392024441</v>
      </c>
      <c r="BH128" s="26">
        <f t="shared" si="296"/>
        <v>0.49534064250348564</v>
      </c>
      <c r="BI128" s="26">
        <f t="shared" si="297"/>
        <v>0.18679340858324123</v>
      </c>
      <c r="BO128" t="str">
        <f t="shared" si="309"/>
        <v>34 Culture, media and sports occupations</v>
      </c>
      <c r="BP128" s="26">
        <f t="shared" si="298"/>
        <v>-0.21384053161675642</v>
      </c>
      <c r="BQ128" s="26">
        <f t="shared" si="298"/>
        <v>-0.2921990795731948</v>
      </c>
      <c r="BR128" s="26">
        <f t="shared" si="298"/>
        <v>-0.23874981165990516</v>
      </c>
      <c r="BS128" s="26">
        <f t="shared" si="298"/>
        <v>-0.27867341251651023</v>
      </c>
      <c r="BT128" s="26">
        <f t="shared" si="299"/>
        <v>-0.5174232241764154</v>
      </c>
      <c r="BZ128" t="str">
        <f t="shared" si="310"/>
        <v>34 Culture, media and sports occupations</v>
      </c>
      <c r="CA128" s="67">
        <f t="shared" si="300"/>
        <v>7.0112771546028352E-2</v>
      </c>
      <c r="CB128" s="67">
        <f t="shared" si="300"/>
        <v>-0.24852936514560775</v>
      </c>
      <c r="CC128" s="67">
        <f t="shared" si="300"/>
        <v>-0.16974644786494419</v>
      </c>
      <c r="CD128" s="67">
        <f t="shared" si="300"/>
        <v>-0.28455855941837344</v>
      </c>
      <c r="CE128" s="67">
        <f t="shared" si="301"/>
        <v>-0.45430500728331763</v>
      </c>
      <c r="CK128" t="str">
        <f t="shared" si="311"/>
        <v>34 Culture, media and sports occupations</v>
      </c>
      <c r="CL128" s="67">
        <f t="shared" si="302"/>
        <v>8.1855816863456166E-2</v>
      </c>
      <c r="CM128" s="67">
        <f t="shared" si="302"/>
        <v>-7.4875829707711616E-2</v>
      </c>
      <c r="CN128" s="67">
        <f t="shared" si="302"/>
        <v>1.8096908272958234E-2</v>
      </c>
      <c r="CO128" s="67">
        <f t="shared" si="302"/>
        <v>0.19030005232056446</v>
      </c>
      <c r="CP128" s="67">
        <f t="shared" si="303"/>
        <v>0.2083969605935227</v>
      </c>
    </row>
    <row r="129" spans="1:94" x14ac:dyDescent="0.2">
      <c r="A129" t="str">
        <f t="shared" si="285"/>
        <v>35 Business and public service associate professionals</v>
      </c>
      <c r="B129" s="26">
        <f t="shared" si="286"/>
        <v>0.1752125688672298</v>
      </c>
      <c r="C129" s="26">
        <f t="shared" si="286"/>
        <v>-0.11425230728168101</v>
      </c>
      <c r="D129" s="26">
        <f t="shared" si="286"/>
        <v>8.5935001846801029E-2</v>
      </c>
      <c r="E129" s="26">
        <f t="shared" si="286"/>
        <v>0.18545765003326731</v>
      </c>
      <c r="F129" s="26">
        <f t="shared" si="287"/>
        <v>0.27139265188006834</v>
      </c>
      <c r="L129" t="str">
        <f t="shared" si="304"/>
        <v>35 Business and public service associate professionals</v>
      </c>
      <c r="M129" s="26">
        <f t="shared" si="288"/>
        <v>1.9222147155722187</v>
      </c>
      <c r="N129" s="26">
        <f t="shared" si="288"/>
        <v>-1.0555971879066854</v>
      </c>
      <c r="O129" s="26">
        <f t="shared" si="288"/>
        <v>0.59673359136622661</v>
      </c>
      <c r="P129" s="26">
        <f t="shared" si="288"/>
        <v>1.2483108576319957</v>
      </c>
      <c r="Q129" s="26">
        <f t="shared" si="289"/>
        <v>1.8450444489982223</v>
      </c>
      <c r="W129" t="str">
        <f t="shared" si="305"/>
        <v>35 Business and public service associate professionals</v>
      </c>
      <c r="X129" s="26">
        <f t="shared" si="290"/>
        <v>-0.41760436439120596</v>
      </c>
      <c r="Y129" s="26">
        <f t="shared" si="290"/>
        <v>1.0994117695388645</v>
      </c>
      <c r="Z129" s="26">
        <f t="shared" si="290"/>
        <v>0.13738914551549186</v>
      </c>
      <c r="AA129" s="26">
        <f t="shared" si="290"/>
        <v>1.9487653961462108</v>
      </c>
      <c r="AB129" s="26">
        <f t="shared" si="291"/>
        <v>2.0861545416617027</v>
      </c>
      <c r="AH129" t="str">
        <f t="shared" si="306"/>
        <v>35 Business and public service associate professionals</v>
      </c>
      <c r="AI129" s="26">
        <f t="shared" si="292"/>
        <v>-0.19361903557016147</v>
      </c>
      <c r="AJ129" s="26">
        <f t="shared" si="292"/>
        <v>0.47180454643331959</v>
      </c>
      <c r="AK129" s="26">
        <f t="shared" si="292"/>
        <v>-9.6245831349577315E-3</v>
      </c>
      <c r="AL129" s="26">
        <f t="shared" si="292"/>
        <v>0.58070651427455999</v>
      </c>
      <c r="AM129" s="26">
        <f t="shared" si="293"/>
        <v>0.57108193113960226</v>
      </c>
      <c r="AS129" t="str">
        <f t="shared" si="307"/>
        <v>35 Business and public service associate professionals</v>
      </c>
      <c r="AT129" s="26">
        <f t="shared" si="294"/>
        <v>-0.19800882608568804</v>
      </c>
      <c r="AU129" s="26">
        <f t="shared" si="294"/>
        <v>0.35826237337910749</v>
      </c>
      <c r="AV129" s="26">
        <f t="shared" si="294"/>
        <v>-2.7867501092929903E-2</v>
      </c>
      <c r="AW129" s="26">
        <f t="shared" si="294"/>
        <v>0.51271882446750094</v>
      </c>
      <c r="AX129" s="26">
        <f t="shared" si="295"/>
        <v>0.48485132337457104</v>
      </c>
      <c r="BD129" t="str">
        <f t="shared" si="308"/>
        <v>35 Business and public service associate professionals</v>
      </c>
      <c r="BE129" s="26">
        <f t="shared" si="296"/>
        <v>-0.30391435564792602</v>
      </c>
      <c r="BF129" s="26">
        <f t="shared" si="296"/>
        <v>2.3220642385300803</v>
      </c>
      <c r="BG129" s="26">
        <f t="shared" si="296"/>
        <v>-1.7108415671005819</v>
      </c>
      <c r="BH129" s="26">
        <f t="shared" si="296"/>
        <v>0.36334735919811756</v>
      </c>
      <c r="BI129" s="26">
        <f t="shared" si="297"/>
        <v>-1.3474942079024643</v>
      </c>
      <c r="BO129" t="str">
        <f t="shared" si="309"/>
        <v>35 Business and public service associate professionals</v>
      </c>
      <c r="BP129" s="26">
        <f t="shared" si="298"/>
        <v>-0.34525574213864729</v>
      </c>
      <c r="BQ129" s="26">
        <f t="shared" si="298"/>
        <v>0.57183635109514519</v>
      </c>
      <c r="BR129" s="26">
        <f t="shared" si="298"/>
        <v>-1.2184117436902682</v>
      </c>
      <c r="BS129" s="26">
        <f t="shared" si="298"/>
        <v>-0.80641286521146149</v>
      </c>
      <c r="BT129" s="26">
        <f t="shared" si="299"/>
        <v>-2.0248246089017297</v>
      </c>
      <c r="BZ129" t="str">
        <f t="shared" si="310"/>
        <v>35 Business and public service associate professionals</v>
      </c>
      <c r="CA129" s="67">
        <f t="shared" si="300"/>
        <v>0.56381012969877187</v>
      </c>
      <c r="CB129" s="67">
        <f t="shared" si="300"/>
        <v>-0.7519972919832334</v>
      </c>
      <c r="CC129" s="67">
        <f t="shared" si="300"/>
        <v>-0.64358579754073864</v>
      </c>
      <c r="CD129" s="67">
        <f t="shared" si="300"/>
        <v>-1.3796999733152884</v>
      </c>
      <c r="CE129" s="67">
        <f t="shared" si="301"/>
        <v>-2.023285770856027</v>
      </c>
      <c r="CK129" t="str">
        <f t="shared" si="311"/>
        <v>35 Business and public service associate professionals</v>
      </c>
      <c r="CL129" s="67">
        <f t="shared" si="302"/>
        <v>6.7787486978378775E-2</v>
      </c>
      <c r="CM129" s="67">
        <f t="shared" si="302"/>
        <v>-0.29375233465249528</v>
      </c>
      <c r="CN129" s="67">
        <f t="shared" si="302"/>
        <v>-4.6436140421763694E-2</v>
      </c>
      <c r="CO129" s="67">
        <f t="shared" si="302"/>
        <v>0.1503889470833788</v>
      </c>
      <c r="CP129" s="67">
        <f t="shared" si="303"/>
        <v>0.1039528066616151</v>
      </c>
    </row>
    <row r="130" spans="1:94" x14ac:dyDescent="0.2">
      <c r="A130" t="str">
        <f t="shared" si="285"/>
        <v>41 Administrative occupations</v>
      </c>
      <c r="B130" s="26">
        <f t="shared" si="286"/>
        <v>0.10328483290048796</v>
      </c>
      <c r="C130" s="26">
        <f t="shared" si="286"/>
        <v>-9.7485164571812999E-2</v>
      </c>
      <c r="D130" s="26">
        <f t="shared" si="286"/>
        <v>6.3527462148127878E-2</v>
      </c>
      <c r="E130" s="26">
        <f t="shared" si="286"/>
        <v>0.12987891252289074</v>
      </c>
      <c r="F130" s="26">
        <f t="shared" si="287"/>
        <v>0.19340637467101862</v>
      </c>
      <c r="L130" t="str">
        <f t="shared" si="304"/>
        <v>41 Administrative occupations</v>
      </c>
      <c r="M130" s="26">
        <f t="shared" si="288"/>
        <v>1.5606259837620966</v>
      </c>
      <c r="N130" s="26">
        <f t="shared" si="288"/>
        <v>-1.1277025779321255</v>
      </c>
      <c r="O130" s="26">
        <f t="shared" si="288"/>
        <v>0.77418068169420362</v>
      </c>
      <c r="P130" s="26">
        <f t="shared" si="288"/>
        <v>1.4034611891579569</v>
      </c>
      <c r="Q130" s="26">
        <f t="shared" si="289"/>
        <v>2.1776418708521605</v>
      </c>
      <c r="W130" t="str">
        <f t="shared" si="305"/>
        <v>41 Administrative occupations</v>
      </c>
      <c r="X130" s="26">
        <f t="shared" si="290"/>
        <v>-1.157436755273924</v>
      </c>
      <c r="Y130" s="26">
        <f t="shared" si="290"/>
        <v>2.2767571496005488</v>
      </c>
      <c r="Z130" s="26">
        <f t="shared" si="290"/>
        <v>1.0396643419944418</v>
      </c>
      <c r="AA130" s="26">
        <f t="shared" si="290"/>
        <v>3.9049135845137535</v>
      </c>
      <c r="AB130" s="26">
        <f t="shared" si="291"/>
        <v>4.9445779265081953</v>
      </c>
      <c r="AH130" t="str">
        <f t="shared" si="306"/>
        <v>41 Administrative occupations</v>
      </c>
      <c r="AI130" s="26">
        <f t="shared" si="292"/>
        <v>-8.0864168998323827E-2</v>
      </c>
      <c r="AJ130" s="26">
        <f t="shared" si="292"/>
        <v>0.87786821712944008</v>
      </c>
      <c r="AK130" s="26">
        <f t="shared" si="292"/>
        <v>0.10095613122589153</v>
      </c>
      <c r="AL130" s="26">
        <f t="shared" si="292"/>
        <v>1.3527680057519174</v>
      </c>
      <c r="AM130" s="26">
        <f t="shared" si="293"/>
        <v>1.4537241369778089</v>
      </c>
      <c r="AS130" t="str">
        <f t="shared" si="307"/>
        <v>41 Administrative occupations</v>
      </c>
      <c r="AT130" s="26">
        <f t="shared" si="294"/>
        <v>-0.36220090375241742</v>
      </c>
      <c r="AU130" s="26">
        <f t="shared" si="294"/>
        <v>0.89458560937463716</v>
      </c>
      <c r="AV130" s="26">
        <f t="shared" si="294"/>
        <v>2.5274320635620739E-2</v>
      </c>
      <c r="AW130" s="26">
        <f t="shared" si="294"/>
        <v>1.215422458927744</v>
      </c>
      <c r="AX130" s="26">
        <f t="shared" si="295"/>
        <v>1.2406967795633648</v>
      </c>
      <c r="BD130" t="str">
        <f t="shared" si="308"/>
        <v>41 Administrative occupations</v>
      </c>
      <c r="BE130" s="26">
        <f t="shared" si="296"/>
        <v>-1.7016812444156351</v>
      </c>
      <c r="BF130" s="26">
        <f t="shared" si="296"/>
        <v>3.2859092839537141</v>
      </c>
      <c r="BG130" s="26">
        <f t="shared" si="296"/>
        <v>-3.0730005086193941</v>
      </c>
      <c r="BH130" s="26">
        <f t="shared" si="296"/>
        <v>-2.0280257879562065</v>
      </c>
      <c r="BI130" s="26">
        <f t="shared" si="297"/>
        <v>-5.1010262965756006</v>
      </c>
      <c r="BO130" t="str">
        <f t="shared" si="309"/>
        <v>41 Administrative occupations</v>
      </c>
      <c r="BP130" s="26">
        <f t="shared" si="298"/>
        <v>-3.2984878374371469</v>
      </c>
      <c r="BQ130" s="26">
        <f t="shared" si="298"/>
        <v>1.2204778661621134</v>
      </c>
      <c r="BR130" s="26">
        <f t="shared" si="298"/>
        <v>-5.0290946574839097</v>
      </c>
      <c r="BS130" s="26">
        <f t="shared" si="298"/>
        <v>-5.964165958176384</v>
      </c>
      <c r="BT130" s="26">
        <f t="shared" si="299"/>
        <v>-10.993260615660294</v>
      </c>
      <c r="BZ130" t="str">
        <f t="shared" si="310"/>
        <v>41 Administrative occupations</v>
      </c>
      <c r="CA130" s="67">
        <f t="shared" si="300"/>
        <v>-3.1968219971497494</v>
      </c>
      <c r="CB130" s="67">
        <f t="shared" si="300"/>
        <v>-1.1168705561167176</v>
      </c>
      <c r="CC130" s="67">
        <f t="shared" si="300"/>
        <v>-3.0125362346822175</v>
      </c>
      <c r="CD130" s="67">
        <f t="shared" si="300"/>
        <v>-4.5189617567864664</v>
      </c>
      <c r="CE130" s="67">
        <f t="shared" si="301"/>
        <v>-7.5314979914686839</v>
      </c>
      <c r="CK130" t="str">
        <f t="shared" si="311"/>
        <v>41 Administrative occupations</v>
      </c>
      <c r="CL130" s="67">
        <f t="shared" si="302"/>
        <v>-0.89701474605332354</v>
      </c>
      <c r="CM130" s="67">
        <f t="shared" si="302"/>
        <v>-0.83469662025750413</v>
      </c>
      <c r="CN130" s="67">
        <f t="shared" si="302"/>
        <v>-9.7708643521179805E-2</v>
      </c>
      <c r="CO130" s="67">
        <f t="shared" si="302"/>
        <v>-0.14985520202596714</v>
      </c>
      <c r="CP130" s="67">
        <f t="shared" si="303"/>
        <v>-0.24756384554714694</v>
      </c>
    </row>
    <row r="131" spans="1:94" x14ac:dyDescent="0.2">
      <c r="A131" t="str">
        <f t="shared" si="285"/>
        <v>42 Secretarial and related occupations</v>
      </c>
      <c r="B131" s="26">
        <f t="shared" si="286"/>
        <v>9.1900522625657025E-3</v>
      </c>
      <c r="C131" s="26">
        <f t="shared" si="286"/>
        <v>-3.9412987389412651E-3</v>
      </c>
      <c r="D131" s="26">
        <f t="shared" si="286"/>
        <v>1.7481410737662656E-2</v>
      </c>
      <c r="E131" s="26">
        <f t="shared" si="286"/>
        <v>2.5945247529136725E-2</v>
      </c>
      <c r="F131" s="26">
        <f t="shared" si="287"/>
        <v>4.3426658266799381E-2</v>
      </c>
      <c r="L131" t="str">
        <f t="shared" si="304"/>
        <v>42 Secretarial and related occupations</v>
      </c>
      <c r="M131" s="26">
        <f t="shared" si="288"/>
        <v>0.16351445601556802</v>
      </c>
      <c r="N131" s="26">
        <f t="shared" si="288"/>
        <v>-0.16326106446666466</v>
      </c>
      <c r="O131" s="26">
        <f t="shared" si="288"/>
        <v>0.37928443520019017</v>
      </c>
      <c r="P131" s="26">
        <f t="shared" si="288"/>
        <v>0.21647611120269561</v>
      </c>
      <c r="Q131" s="26">
        <f t="shared" si="289"/>
        <v>0.59576054640288578</v>
      </c>
      <c r="W131" t="str">
        <f t="shared" si="305"/>
        <v>42 Secretarial and related occupations</v>
      </c>
      <c r="X131" s="26">
        <f t="shared" si="290"/>
        <v>-6.5180917089747492E-2</v>
      </c>
      <c r="Y131" s="26">
        <f t="shared" si="290"/>
        <v>0.29554723580344122</v>
      </c>
      <c r="Z131" s="26">
        <f t="shared" si="290"/>
        <v>1.3709613870410928</v>
      </c>
      <c r="AA131" s="26">
        <f t="shared" si="290"/>
        <v>3.080121060176654</v>
      </c>
      <c r="AB131" s="26">
        <f t="shared" si="291"/>
        <v>4.4510824472177468</v>
      </c>
      <c r="AH131" t="str">
        <f t="shared" si="306"/>
        <v>42 Secretarial and related occupations</v>
      </c>
      <c r="AI131" s="26">
        <f t="shared" si="292"/>
        <v>-7.8344196581244807E-2</v>
      </c>
      <c r="AJ131" s="26">
        <f t="shared" si="292"/>
        <v>0.17716330653309376</v>
      </c>
      <c r="AK131" s="26">
        <f t="shared" si="292"/>
        <v>0.38206106478351365</v>
      </c>
      <c r="AL131" s="26">
        <f t="shared" si="292"/>
        <v>3.3684011781155432E-2</v>
      </c>
      <c r="AM131" s="26">
        <f t="shared" si="293"/>
        <v>0.41574507656466908</v>
      </c>
      <c r="AS131" t="str">
        <f t="shared" si="307"/>
        <v>42 Secretarial and related occupations</v>
      </c>
      <c r="AT131" s="26">
        <f t="shared" si="294"/>
        <v>-8.3752753040836181E-2</v>
      </c>
      <c r="AU131" s="26">
        <f t="shared" si="294"/>
        <v>0.10679402773035784</v>
      </c>
      <c r="AV131" s="26">
        <f t="shared" si="294"/>
        <v>0.30094388774945258</v>
      </c>
      <c r="AW131" s="26">
        <f t="shared" si="294"/>
        <v>0.45451550345319713</v>
      </c>
      <c r="AX131" s="26">
        <f t="shared" si="295"/>
        <v>0.75545939120264971</v>
      </c>
      <c r="BD131" t="str">
        <f t="shared" si="308"/>
        <v>42 Secretarial and related occupations</v>
      </c>
      <c r="BE131" s="26">
        <f t="shared" si="296"/>
        <v>-0.31360038319746586</v>
      </c>
      <c r="BF131" s="26">
        <f t="shared" si="296"/>
        <v>0.19670832815395922</v>
      </c>
      <c r="BG131" s="26">
        <f t="shared" si="296"/>
        <v>1.4570689971646633</v>
      </c>
      <c r="BH131" s="26">
        <f t="shared" si="296"/>
        <v>-2.0522181928962171</v>
      </c>
      <c r="BI131" s="26">
        <f t="shared" si="297"/>
        <v>-0.59514919573155378</v>
      </c>
      <c r="BO131" t="str">
        <f t="shared" si="309"/>
        <v>42 Secretarial and related occupations</v>
      </c>
      <c r="BP131" s="26">
        <f t="shared" si="298"/>
        <v>-1.4584548935159694</v>
      </c>
      <c r="BQ131" s="26">
        <f t="shared" si="298"/>
        <v>7.2550249828804425E-2</v>
      </c>
      <c r="BR131" s="26">
        <f t="shared" si="298"/>
        <v>-1.1729232972305672</v>
      </c>
      <c r="BS131" s="26">
        <f t="shared" si="298"/>
        <v>-2.7559135693399832</v>
      </c>
      <c r="BT131" s="26">
        <f t="shared" si="299"/>
        <v>-3.9288368665705504</v>
      </c>
      <c r="BZ131" t="str">
        <f t="shared" si="310"/>
        <v>42 Secretarial and related occupations</v>
      </c>
      <c r="CA131" s="67">
        <f t="shared" si="300"/>
        <v>-1.6495281935960184</v>
      </c>
      <c r="CB131" s="67">
        <f t="shared" si="300"/>
        <v>8.2042802158516004E-2</v>
      </c>
      <c r="CC131" s="67">
        <f t="shared" si="300"/>
        <v>-1.2956312438561874</v>
      </c>
      <c r="CD131" s="67">
        <f t="shared" si="300"/>
        <v>-2.3024558933787289</v>
      </c>
      <c r="CE131" s="67">
        <f t="shared" si="301"/>
        <v>-3.5980871372349164</v>
      </c>
      <c r="CK131" t="str">
        <f t="shared" si="311"/>
        <v>42 Secretarial and related occupations</v>
      </c>
      <c r="CL131" s="67">
        <f t="shared" si="302"/>
        <v>-0.2300244187228575</v>
      </c>
      <c r="CM131" s="67">
        <f t="shared" si="302"/>
        <v>-0.46535988094761116</v>
      </c>
      <c r="CN131" s="67">
        <f t="shared" si="302"/>
        <v>0.48146817450270429</v>
      </c>
      <c r="CO131" s="67">
        <f t="shared" si="302"/>
        <v>-0.22546079172302225</v>
      </c>
      <c r="CP131" s="67">
        <f t="shared" si="303"/>
        <v>0.25600738277968205</v>
      </c>
    </row>
    <row r="132" spans="1:94" x14ac:dyDescent="0.2">
      <c r="A132" t="str">
        <f t="shared" si="285"/>
        <v>51 Skilled agricultural and related trades</v>
      </c>
      <c r="B132" s="26">
        <f t="shared" si="286"/>
        <v>7.5242633141133228E-3</v>
      </c>
      <c r="C132" s="26">
        <f t="shared" si="286"/>
        <v>7.449395802368225E-3</v>
      </c>
      <c r="D132" s="26">
        <f t="shared" si="286"/>
        <v>1.6103861969986658E-3</v>
      </c>
      <c r="E132" s="26">
        <f t="shared" si="286"/>
        <v>4.5277639607728577E-3</v>
      </c>
      <c r="F132" s="26">
        <f t="shared" si="287"/>
        <v>6.1381501577715235E-3</v>
      </c>
      <c r="L132" t="str">
        <f t="shared" si="304"/>
        <v>51 Skilled agricultural and related trades</v>
      </c>
      <c r="M132" s="26">
        <f t="shared" si="288"/>
        <v>6.3790252736873054E-3</v>
      </c>
      <c r="N132" s="26">
        <f t="shared" si="288"/>
        <v>-4.7607960002047367E-3</v>
      </c>
      <c r="O132" s="26">
        <f t="shared" si="288"/>
        <v>9.0972592641550554E-3</v>
      </c>
      <c r="P132" s="26">
        <f t="shared" si="288"/>
        <v>4.5019233046986504E-2</v>
      </c>
      <c r="Q132" s="26">
        <f t="shared" si="289"/>
        <v>5.4116492311141559E-2</v>
      </c>
      <c r="W132" t="str">
        <f t="shared" si="305"/>
        <v>51 Skilled agricultural and related trades</v>
      </c>
      <c r="X132" s="26">
        <f t="shared" si="290"/>
        <v>-0.30619670784848596</v>
      </c>
      <c r="Y132" s="26">
        <f t="shared" si="290"/>
        <v>0.24377579125123905</v>
      </c>
      <c r="Z132" s="26">
        <f t="shared" si="290"/>
        <v>0.1849992420576354</v>
      </c>
      <c r="AA132" s="26">
        <f t="shared" si="290"/>
        <v>0.45227137191947508</v>
      </c>
      <c r="AB132" s="26">
        <f t="shared" si="291"/>
        <v>0.63727061397711049</v>
      </c>
      <c r="AH132" t="str">
        <f t="shared" si="306"/>
        <v>51 Skilled agricultural and related trades</v>
      </c>
      <c r="AI132" s="26">
        <f t="shared" si="292"/>
        <v>-0.10464186168635903</v>
      </c>
      <c r="AJ132" s="26">
        <f t="shared" si="292"/>
        <v>6.6160987823374429E-2</v>
      </c>
      <c r="AK132" s="26">
        <f t="shared" si="292"/>
        <v>8.6880721536743311E-2</v>
      </c>
      <c r="AL132" s="26">
        <f t="shared" si="292"/>
        <v>0.14876091402095404</v>
      </c>
      <c r="AM132" s="26">
        <f t="shared" si="293"/>
        <v>0.23564163555769735</v>
      </c>
      <c r="AS132" t="str">
        <f t="shared" si="307"/>
        <v>51 Skilled agricultural and related trades</v>
      </c>
      <c r="AT132" s="26">
        <f t="shared" si="294"/>
        <v>-0.20780607865882239</v>
      </c>
      <c r="AU132" s="26">
        <f t="shared" si="294"/>
        <v>0.14646244951516674</v>
      </c>
      <c r="AV132" s="26">
        <f t="shared" si="294"/>
        <v>9.7439339320907092E-2</v>
      </c>
      <c r="AW132" s="26">
        <f t="shared" si="294"/>
        <v>0.30219416086899054</v>
      </c>
      <c r="AX132" s="26">
        <f t="shared" si="295"/>
        <v>0.39963350018989763</v>
      </c>
      <c r="BD132" t="str">
        <f t="shared" si="308"/>
        <v>51 Skilled agricultural and related trades</v>
      </c>
      <c r="BE132" s="26">
        <f t="shared" si="296"/>
        <v>-0.68836561798942197</v>
      </c>
      <c r="BF132" s="26">
        <f t="shared" si="296"/>
        <v>0.30141052607228702</v>
      </c>
      <c r="BG132" s="26">
        <f t="shared" si="296"/>
        <v>-0.19747141582809324</v>
      </c>
      <c r="BH132" s="26">
        <f t="shared" si="296"/>
        <v>0.17064952507580911</v>
      </c>
      <c r="BI132" s="26">
        <f t="shared" si="297"/>
        <v>-2.6821890752284139E-2</v>
      </c>
      <c r="BO132" t="str">
        <f t="shared" si="309"/>
        <v>51 Skilled agricultural and related trades</v>
      </c>
      <c r="BP132" s="26">
        <f t="shared" si="298"/>
        <v>-0.65075863216927177</v>
      </c>
      <c r="BQ132" s="26">
        <f t="shared" si="298"/>
        <v>-9.4639082598508395E-2</v>
      </c>
      <c r="BR132" s="26">
        <f t="shared" si="298"/>
        <v>7.8938605947458829E-2</v>
      </c>
      <c r="BS132" s="26">
        <f t="shared" si="298"/>
        <v>0.34063051664813448</v>
      </c>
      <c r="BT132" s="26">
        <f t="shared" si="299"/>
        <v>0.41956912259559331</v>
      </c>
      <c r="BZ132" t="str">
        <f t="shared" si="310"/>
        <v>51 Skilled agricultural and related trades</v>
      </c>
      <c r="CA132" s="67">
        <f t="shared" si="300"/>
        <v>0.26833646563633784</v>
      </c>
      <c r="CB132" s="67">
        <f t="shared" si="300"/>
        <v>-0.56719871051230863</v>
      </c>
      <c r="CC132" s="67">
        <f t="shared" si="300"/>
        <v>7.0359199580883436E-2</v>
      </c>
      <c r="CD132" s="67">
        <f t="shared" si="300"/>
        <v>0.20079674606937803</v>
      </c>
      <c r="CE132" s="67">
        <f t="shared" si="301"/>
        <v>0.27115594565026147</v>
      </c>
      <c r="CK132" t="str">
        <f t="shared" si="311"/>
        <v>51 Skilled agricultural and related trades</v>
      </c>
      <c r="CL132" s="67">
        <f t="shared" si="302"/>
        <v>-0.6029502342206623</v>
      </c>
      <c r="CM132" s="67">
        <f t="shared" si="302"/>
        <v>-6.1732540901335842E-2</v>
      </c>
      <c r="CN132" s="67">
        <f t="shared" si="302"/>
        <v>-0.16868580067788552</v>
      </c>
      <c r="CO132" s="67">
        <f t="shared" si="302"/>
        <v>-0.54378119120950363</v>
      </c>
      <c r="CP132" s="67">
        <f t="shared" si="303"/>
        <v>-0.71246699188738916</v>
      </c>
    </row>
    <row r="133" spans="1:94" x14ac:dyDescent="0.2">
      <c r="A133" t="str">
        <f t="shared" si="285"/>
        <v>52 Skilled metal, electrical and electronic trades</v>
      </c>
      <c r="B133" s="26">
        <f t="shared" si="286"/>
        <v>1.5324386799166308E-2</v>
      </c>
      <c r="C133" s="26">
        <f t="shared" si="286"/>
        <v>-1.2727682837512098E-2</v>
      </c>
      <c r="D133" s="26">
        <f t="shared" si="286"/>
        <v>7.9286001173194676E-3</v>
      </c>
      <c r="E133" s="26">
        <f t="shared" si="286"/>
        <v>1.634839058583018E-2</v>
      </c>
      <c r="F133" s="26">
        <f t="shared" si="287"/>
        <v>2.4276990703149648E-2</v>
      </c>
      <c r="L133" t="str">
        <f t="shared" si="304"/>
        <v>52 Skilled metal, electrical and electronic trades</v>
      </c>
      <c r="M133" s="26">
        <f t="shared" si="288"/>
        <v>0.34470383436658869</v>
      </c>
      <c r="N133" s="26">
        <f t="shared" si="288"/>
        <v>-0.32536689907694005</v>
      </c>
      <c r="O133" s="26">
        <f t="shared" si="288"/>
        <v>0.27163494114976883</v>
      </c>
      <c r="P133" s="26">
        <f t="shared" si="288"/>
        <v>0.34451503753508295</v>
      </c>
      <c r="Q133" s="26">
        <f t="shared" si="289"/>
        <v>0.61614997868485177</v>
      </c>
      <c r="W133" t="str">
        <f t="shared" si="305"/>
        <v>52 Skilled metal, electrical and electronic trades</v>
      </c>
      <c r="X133" s="26">
        <f t="shared" si="290"/>
        <v>-0.30773490033681705</v>
      </c>
      <c r="Y133" s="26">
        <f t="shared" si="290"/>
        <v>-0.48693830666153959</v>
      </c>
      <c r="Z133" s="26">
        <f t="shared" si="290"/>
        <v>0.40053459218231779</v>
      </c>
      <c r="AA133" s="26">
        <f t="shared" si="290"/>
        <v>0.30618227568665368</v>
      </c>
      <c r="AB133" s="26">
        <f t="shared" si="291"/>
        <v>0.70671686786897148</v>
      </c>
      <c r="AH133" t="str">
        <f t="shared" si="306"/>
        <v>52 Skilled metal, electrical and electronic trades</v>
      </c>
      <c r="AI133" s="26">
        <f t="shared" si="292"/>
        <v>-0.14887198502866339</v>
      </c>
      <c r="AJ133" s="26">
        <f t="shared" si="292"/>
        <v>-0.10122482844496494</v>
      </c>
      <c r="AK133" s="26">
        <f t="shared" si="292"/>
        <v>8.7130884741205006E-2</v>
      </c>
      <c r="AL133" s="26">
        <f t="shared" si="292"/>
        <v>0.15864727095896891</v>
      </c>
      <c r="AM133" s="26">
        <f t="shared" si="293"/>
        <v>0.24577815570017392</v>
      </c>
      <c r="AS133" t="str">
        <f t="shared" si="307"/>
        <v>52 Skilled metal, electrical and electronic trades</v>
      </c>
      <c r="AT133" s="26">
        <f t="shared" si="294"/>
        <v>-0.55817570636018132</v>
      </c>
      <c r="AU133" s="26">
        <f t="shared" si="294"/>
        <v>-0.59482433792517231</v>
      </c>
      <c r="AV133" s="26">
        <f t="shared" si="294"/>
        <v>0.23256369519902442</v>
      </c>
      <c r="AW133" s="26">
        <f t="shared" si="294"/>
        <v>4.0775620883269692E-2</v>
      </c>
      <c r="AX133" s="26">
        <f t="shared" si="295"/>
        <v>0.27333931608229411</v>
      </c>
      <c r="BD133" t="str">
        <f t="shared" si="308"/>
        <v>52 Skilled metal, electrical and electronic trades</v>
      </c>
      <c r="BE133" s="26">
        <f t="shared" si="296"/>
        <v>-1.78818755443044</v>
      </c>
      <c r="BF133" s="26">
        <f t="shared" si="296"/>
        <v>7.4561075565867441E-2</v>
      </c>
      <c r="BG133" s="26">
        <f t="shared" si="296"/>
        <v>-2.9302641830426914</v>
      </c>
      <c r="BH133" s="26">
        <f t="shared" si="296"/>
        <v>-1.5293389218515721</v>
      </c>
      <c r="BI133" s="26">
        <f t="shared" si="297"/>
        <v>-4.4596031048942635</v>
      </c>
      <c r="BO133" t="str">
        <f t="shared" si="309"/>
        <v>52 Skilled metal, electrical and electronic trades</v>
      </c>
      <c r="BP133" s="26">
        <f t="shared" si="298"/>
        <v>-0.63640795160167229</v>
      </c>
      <c r="BQ133" s="26">
        <f t="shared" si="298"/>
        <v>-2.5447574482331987</v>
      </c>
      <c r="BR133" s="26">
        <f t="shared" si="298"/>
        <v>-0.14140464534491493</v>
      </c>
      <c r="BS133" s="26">
        <f t="shared" si="298"/>
        <v>-1.1206211951021476</v>
      </c>
      <c r="BT133" s="26">
        <f t="shared" si="299"/>
        <v>-1.2620258404470626</v>
      </c>
      <c r="BZ133" t="str">
        <f t="shared" si="310"/>
        <v>52 Skilled metal, electrical and electronic trades</v>
      </c>
      <c r="CA133" s="67">
        <f t="shared" si="300"/>
        <v>1.7068060754068686</v>
      </c>
      <c r="CB133" s="67">
        <f t="shared" si="300"/>
        <v>-3.0006454219090486</v>
      </c>
      <c r="CC133" s="67">
        <f t="shared" si="300"/>
        <v>8.6959890239305615E-2</v>
      </c>
      <c r="CD133" s="67">
        <f t="shared" si="300"/>
        <v>-1.8041700374744836</v>
      </c>
      <c r="CE133" s="67">
        <f t="shared" si="301"/>
        <v>-1.717210147235178</v>
      </c>
      <c r="CK133" t="str">
        <f t="shared" si="311"/>
        <v>52 Skilled metal, electrical and electronic trades</v>
      </c>
      <c r="CL133" s="67">
        <f t="shared" si="302"/>
        <v>-0.23097551143730977</v>
      </c>
      <c r="CM133" s="67">
        <f t="shared" si="302"/>
        <v>-0.54382813654030127</v>
      </c>
      <c r="CN133" s="67">
        <f t="shared" si="302"/>
        <v>-0.2248893252191797</v>
      </c>
      <c r="CO133" s="67">
        <f t="shared" si="302"/>
        <v>-0.33723596412358092</v>
      </c>
      <c r="CP133" s="67">
        <f t="shared" si="303"/>
        <v>-0.56212528934276063</v>
      </c>
    </row>
    <row r="134" spans="1:94" x14ac:dyDescent="0.2">
      <c r="A134" t="str">
        <f t="shared" si="285"/>
        <v>53 Skilled construction and building trades</v>
      </c>
      <c r="B134" s="26">
        <f t="shared" si="286"/>
        <v>6.820179490967665E-4</v>
      </c>
      <c r="C134" s="26">
        <f t="shared" si="286"/>
        <v>-4.5329473408919005E-3</v>
      </c>
      <c r="D134" s="26">
        <f t="shared" si="286"/>
        <v>4.8909240924572845E-3</v>
      </c>
      <c r="E134" s="26">
        <f t="shared" si="286"/>
        <v>1.4226548171058888E-3</v>
      </c>
      <c r="F134" s="26">
        <f t="shared" si="287"/>
        <v>6.3135789095631733E-3</v>
      </c>
      <c r="L134" t="str">
        <f t="shared" si="304"/>
        <v>53 Skilled construction and building trades</v>
      </c>
      <c r="M134" s="26">
        <f t="shared" si="288"/>
        <v>7.978664938026897E-2</v>
      </c>
      <c r="N134" s="26">
        <f t="shared" si="288"/>
        <v>-0.13447064848628756</v>
      </c>
      <c r="O134" s="26">
        <f t="shared" si="288"/>
        <v>8.530854022191578E-2</v>
      </c>
      <c r="P134" s="26">
        <f t="shared" si="288"/>
        <v>0.10035491786795686</v>
      </c>
      <c r="Q134" s="26">
        <f t="shared" si="289"/>
        <v>0.18566345808987264</v>
      </c>
      <c r="W134" t="str">
        <f t="shared" si="305"/>
        <v>53 Skilled construction and building trades</v>
      </c>
      <c r="X134" s="26">
        <f t="shared" si="290"/>
        <v>-0.12803365323376126</v>
      </c>
      <c r="Y134" s="26">
        <f t="shared" si="290"/>
        <v>-0.22281210119771422</v>
      </c>
      <c r="Z134" s="26">
        <f t="shared" si="290"/>
        <v>0.17482462244586605</v>
      </c>
      <c r="AA134" s="26">
        <f t="shared" si="290"/>
        <v>1.7852571513134907E-2</v>
      </c>
      <c r="AB134" s="26">
        <f t="shared" si="291"/>
        <v>0.19267719395900096</v>
      </c>
      <c r="AH134" t="str">
        <f t="shared" si="306"/>
        <v>53 Skilled construction and building trades</v>
      </c>
      <c r="AI134" s="26">
        <f t="shared" si="292"/>
        <v>-3.2848862506419385E-2</v>
      </c>
      <c r="AJ134" s="26">
        <f t="shared" si="292"/>
        <v>-0.12486584037580495</v>
      </c>
      <c r="AK134" s="26">
        <f t="shared" si="292"/>
        <v>0.10334520540227576</v>
      </c>
      <c r="AL134" s="26">
        <f t="shared" si="292"/>
        <v>5.0211490576845041E-2</v>
      </c>
      <c r="AM134" s="26">
        <f t="shared" si="293"/>
        <v>0.15355669597912081</v>
      </c>
      <c r="AS134" t="str">
        <f t="shared" si="307"/>
        <v>53 Skilled construction and building trades</v>
      </c>
      <c r="AT134" s="26">
        <f t="shared" si="294"/>
        <v>-2.8336905982308314E-2</v>
      </c>
      <c r="AU134" s="26">
        <f t="shared" si="294"/>
        <v>-0.1733891629971176</v>
      </c>
      <c r="AV134" s="26">
        <f t="shared" si="294"/>
        <v>0.21395907196365826</v>
      </c>
      <c r="AW134" s="26">
        <f t="shared" si="294"/>
        <v>7.577867881341116E-2</v>
      </c>
      <c r="AX134" s="26">
        <f t="shared" si="295"/>
        <v>0.28973775077706942</v>
      </c>
      <c r="BD134" t="str">
        <f t="shared" si="308"/>
        <v>53 Skilled construction and building trades</v>
      </c>
      <c r="BE134" s="26">
        <f t="shared" si="296"/>
        <v>-0.41447375025773781</v>
      </c>
      <c r="BF134" s="26">
        <f t="shared" si="296"/>
        <v>-0.5599607734894434</v>
      </c>
      <c r="BG134" s="26">
        <f t="shared" si="296"/>
        <v>-2.1675892600969799</v>
      </c>
      <c r="BH134" s="26">
        <f t="shared" si="296"/>
        <v>-1.8719201896891242</v>
      </c>
      <c r="BI134" s="26">
        <f t="shared" si="297"/>
        <v>-4.0395094497861042</v>
      </c>
      <c r="BO134" t="str">
        <f t="shared" si="309"/>
        <v>53 Skilled construction and building trades</v>
      </c>
      <c r="BP134" s="26">
        <f t="shared" si="298"/>
        <v>1.4264179971766886</v>
      </c>
      <c r="BQ134" s="26">
        <f t="shared" si="298"/>
        <v>-3.0728577275058253</v>
      </c>
      <c r="BR134" s="26">
        <f t="shared" si="298"/>
        <v>1.4350050841894806</v>
      </c>
      <c r="BS134" s="26">
        <f t="shared" si="298"/>
        <v>0.42308294322365825</v>
      </c>
      <c r="BT134" s="26">
        <f t="shared" si="299"/>
        <v>1.8580880274131388</v>
      </c>
      <c r="BZ134" t="str">
        <f t="shared" si="310"/>
        <v>53 Skilled construction and building trades</v>
      </c>
      <c r="CA134" s="67">
        <f t="shared" si="300"/>
        <v>2.3809440531280313</v>
      </c>
      <c r="CB134" s="67">
        <f t="shared" si="300"/>
        <v>-3.4558191479385725</v>
      </c>
      <c r="CC134" s="67">
        <f t="shared" si="300"/>
        <v>0.31286952479587704</v>
      </c>
      <c r="CD134" s="67">
        <f t="shared" si="300"/>
        <v>-1.2395832988002669</v>
      </c>
      <c r="CE134" s="67">
        <f t="shared" si="301"/>
        <v>-0.92671377400438981</v>
      </c>
      <c r="CK134" t="str">
        <f t="shared" si="311"/>
        <v>53 Skilled construction and building trades</v>
      </c>
      <c r="CL134" s="67">
        <f t="shared" si="302"/>
        <v>-3.4094689551965818E-2</v>
      </c>
      <c r="CM134" s="67">
        <f t="shared" si="302"/>
        <v>-0.88138208184181543</v>
      </c>
      <c r="CN134" s="67">
        <f t="shared" si="302"/>
        <v>-0.71307426599644486</v>
      </c>
      <c r="CO134" s="67">
        <f t="shared" si="302"/>
        <v>-1.0850849624057919</v>
      </c>
      <c r="CP134" s="67">
        <f t="shared" si="303"/>
        <v>-1.7981592284022367</v>
      </c>
    </row>
    <row r="135" spans="1:94" x14ac:dyDescent="0.2">
      <c r="A135" t="str">
        <f t="shared" si="285"/>
        <v>54 Textiles, printing and other skilled trades</v>
      </c>
      <c r="B135" s="26">
        <f t="shared" si="286"/>
        <v>-1.5232651298090066E-3</v>
      </c>
      <c r="C135" s="26">
        <f t="shared" si="286"/>
        <v>-1.6587216306294859E-2</v>
      </c>
      <c r="D135" s="26">
        <f t="shared" si="286"/>
        <v>1.2846607891958788E-2</v>
      </c>
      <c r="E135" s="26">
        <f t="shared" si="286"/>
        <v>1.6722215677853786E-2</v>
      </c>
      <c r="F135" s="26">
        <f t="shared" si="287"/>
        <v>2.9568823569812573E-2</v>
      </c>
      <c r="L135" t="str">
        <f t="shared" si="304"/>
        <v>54 Textiles, printing and other skilled trades</v>
      </c>
      <c r="M135" s="26">
        <f t="shared" si="288"/>
        <v>8.802020475494593E-2</v>
      </c>
      <c r="N135" s="26">
        <f t="shared" si="288"/>
        <v>-1.0807716044537563E-2</v>
      </c>
      <c r="O135" s="26">
        <f t="shared" si="288"/>
        <v>0.12892453295330708</v>
      </c>
      <c r="P135" s="26">
        <f t="shared" si="288"/>
        <v>0.21650252328675423</v>
      </c>
      <c r="Q135" s="26">
        <f t="shared" si="289"/>
        <v>0.34542705624006131</v>
      </c>
      <c r="W135" t="str">
        <f t="shared" si="305"/>
        <v>54 Textiles, printing and other skilled trades</v>
      </c>
      <c r="X135" s="26">
        <f t="shared" si="290"/>
        <v>-0.14775297383182839</v>
      </c>
      <c r="Y135" s="26">
        <f t="shared" si="290"/>
        <v>-0.13583520016466966</v>
      </c>
      <c r="Z135" s="26">
        <f t="shared" si="290"/>
        <v>0.3824575532183121</v>
      </c>
      <c r="AA135" s="26">
        <f t="shared" si="290"/>
        <v>0.46576417602013498</v>
      </c>
      <c r="AB135" s="26">
        <f t="shared" si="291"/>
        <v>0.84822172923844708</v>
      </c>
      <c r="AH135" t="str">
        <f t="shared" si="306"/>
        <v>54 Textiles, printing and other skilled trades</v>
      </c>
      <c r="AI135" s="26">
        <f t="shared" si="292"/>
        <v>-7.2460757017325794E-2</v>
      </c>
      <c r="AJ135" s="26">
        <f t="shared" si="292"/>
        <v>0.11191168970590082</v>
      </c>
      <c r="AK135" s="26">
        <f t="shared" si="292"/>
        <v>0.11085009302031312</v>
      </c>
      <c r="AL135" s="26">
        <f t="shared" si="292"/>
        <v>0.35578967674912509</v>
      </c>
      <c r="AM135" s="26">
        <f t="shared" si="293"/>
        <v>0.46663976976943822</v>
      </c>
      <c r="AS135" t="str">
        <f t="shared" si="307"/>
        <v>54 Textiles, printing and other skilled trades</v>
      </c>
      <c r="AT135" s="26">
        <f t="shared" si="294"/>
        <v>-0.13658953784801742</v>
      </c>
      <c r="AU135" s="26">
        <f t="shared" si="294"/>
        <v>1.9454091729947054E-2</v>
      </c>
      <c r="AV135" s="26">
        <f t="shared" si="294"/>
        <v>8.4729693194769085E-2</v>
      </c>
      <c r="AW135" s="26">
        <f t="shared" si="294"/>
        <v>5.8107871824849E-2</v>
      </c>
      <c r="AX135" s="26">
        <f t="shared" si="295"/>
        <v>0.14283756501961808</v>
      </c>
      <c r="BD135" t="str">
        <f t="shared" si="308"/>
        <v>54 Textiles, printing and other skilled trades</v>
      </c>
      <c r="BE135" s="26">
        <f t="shared" si="296"/>
        <v>-1.1127364479276229</v>
      </c>
      <c r="BF135" s="26">
        <f t="shared" si="296"/>
        <v>0.26332127240247161</v>
      </c>
      <c r="BG135" s="26">
        <f t="shared" si="296"/>
        <v>0.12627439354119208</v>
      </c>
      <c r="BH135" s="26">
        <f t="shared" si="296"/>
        <v>0.52996480352804465</v>
      </c>
      <c r="BI135" s="26">
        <f t="shared" si="297"/>
        <v>0.65623919706923672</v>
      </c>
      <c r="BO135" t="str">
        <f t="shared" si="309"/>
        <v>54 Textiles, printing and other skilled trades</v>
      </c>
      <c r="BP135" s="26">
        <f t="shared" si="298"/>
        <v>-1.212851770278272</v>
      </c>
      <c r="BQ135" s="26">
        <f t="shared" si="298"/>
        <v>-8.9180487122007435E-2</v>
      </c>
      <c r="BR135" s="26">
        <f t="shared" si="298"/>
        <v>-0.90361202417173114</v>
      </c>
      <c r="BS135" s="26">
        <f t="shared" si="298"/>
        <v>-0.70616022496893116</v>
      </c>
      <c r="BT135" s="26">
        <f t="shared" si="299"/>
        <v>-1.6097722491406623</v>
      </c>
      <c r="BZ135" t="str">
        <f t="shared" si="310"/>
        <v>54 Textiles, printing and other skilled trades</v>
      </c>
      <c r="CA135" s="67">
        <f t="shared" si="300"/>
        <v>7.8584277357239607E-2</v>
      </c>
      <c r="CB135" s="67">
        <f t="shared" si="300"/>
        <v>-0.94246210385879436</v>
      </c>
      <c r="CC135" s="67">
        <f t="shared" si="300"/>
        <v>-9.1367209507279057E-2</v>
      </c>
      <c r="CD135" s="67">
        <f t="shared" si="300"/>
        <v>-1.2597031679323178</v>
      </c>
      <c r="CE135" s="67">
        <f t="shared" si="301"/>
        <v>-1.3510703774395969</v>
      </c>
      <c r="CK135" t="str">
        <f t="shared" si="311"/>
        <v>54 Textiles, printing and other skilled trades</v>
      </c>
      <c r="CL135" s="67">
        <f t="shared" si="302"/>
        <v>-0.51827386790353858</v>
      </c>
      <c r="CM135" s="67">
        <f t="shared" si="302"/>
        <v>-0.45726862182626626</v>
      </c>
      <c r="CN135" s="67">
        <f t="shared" si="302"/>
        <v>-0.29547710858074683</v>
      </c>
      <c r="CO135" s="67">
        <f t="shared" si="302"/>
        <v>-0.31876229313124482</v>
      </c>
      <c r="CP135" s="67">
        <f t="shared" si="303"/>
        <v>-0.61423940171199165</v>
      </c>
    </row>
    <row r="136" spans="1:94" x14ac:dyDescent="0.2">
      <c r="A136" t="str">
        <f t="shared" si="285"/>
        <v>61 Caring personal service occupations</v>
      </c>
      <c r="B136" s="26">
        <f t="shared" si="286"/>
        <v>9.3875670715566975E-3</v>
      </c>
      <c r="C136" s="26">
        <f t="shared" si="286"/>
        <v>-1.0265890393699427E-2</v>
      </c>
      <c r="D136" s="26">
        <f t="shared" si="286"/>
        <v>1.2488206524912053E-2</v>
      </c>
      <c r="E136" s="26">
        <f t="shared" si="286"/>
        <v>1.5443790955615377E-2</v>
      </c>
      <c r="F136" s="26">
        <f t="shared" si="287"/>
        <v>2.793199748052743E-2</v>
      </c>
      <c r="L136" t="str">
        <f t="shared" si="304"/>
        <v>61 Caring personal service occupations</v>
      </c>
      <c r="M136" s="26">
        <f t="shared" si="288"/>
        <v>0.76585459916630816</v>
      </c>
      <c r="N136" s="26">
        <f t="shared" si="288"/>
        <v>-0.58433211261076501</v>
      </c>
      <c r="O136" s="26">
        <f t="shared" si="288"/>
        <v>0.61924677061353872</v>
      </c>
      <c r="P136" s="26">
        <f t="shared" si="288"/>
        <v>0.72663538881857015</v>
      </c>
      <c r="Q136" s="26">
        <f t="shared" si="289"/>
        <v>1.3458821594321089</v>
      </c>
      <c r="W136" t="str">
        <f t="shared" si="305"/>
        <v>61 Caring personal service occupations</v>
      </c>
      <c r="X136" s="26">
        <f t="shared" si="290"/>
        <v>0.50699669957557525</v>
      </c>
      <c r="Y136" s="26">
        <f t="shared" si="290"/>
        <v>0.38371866298358803</v>
      </c>
      <c r="Z136" s="26">
        <f t="shared" si="290"/>
        <v>1.7745113076809087</v>
      </c>
      <c r="AA136" s="26">
        <f t="shared" si="290"/>
        <v>3.0811177449772433</v>
      </c>
      <c r="AB136" s="26">
        <f t="shared" si="291"/>
        <v>4.855629052658152</v>
      </c>
      <c r="AH136" t="str">
        <f t="shared" si="306"/>
        <v>61 Caring personal service occupations</v>
      </c>
      <c r="AI136" s="26">
        <f t="shared" si="292"/>
        <v>-0.76451467149500374</v>
      </c>
      <c r="AJ136" s="26">
        <f t="shared" si="292"/>
        <v>0.76118456775746601</v>
      </c>
      <c r="AK136" s="26">
        <f t="shared" si="292"/>
        <v>0.28123468902690174</v>
      </c>
      <c r="AL136" s="26">
        <f t="shared" si="292"/>
        <v>0.71024105541002136</v>
      </c>
      <c r="AM136" s="26">
        <f t="shared" si="293"/>
        <v>0.9914757444369231</v>
      </c>
      <c r="AS136" t="str">
        <f t="shared" si="307"/>
        <v>61 Caring personal service occupations</v>
      </c>
      <c r="AT136" s="26">
        <f t="shared" si="294"/>
        <v>-0.12794118745494876</v>
      </c>
      <c r="AU136" s="26">
        <f t="shared" si="294"/>
        <v>0.36528745422531417</v>
      </c>
      <c r="AV136" s="26">
        <f t="shared" si="294"/>
        <v>0.23602573473244437</v>
      </c>
      <c r="AW136" s="26">
        <f t="shared" si="294"/>
        <v>0.50056700521729436</v>
      </c>
      <c r="AX136" s="26">
        <f t="shared" si="295"/>
        <v>0.73659273994973873</v>
      </c>
      <c r="BD136" t="str">
        <f t="shared" si="308"/>
        <v>61 Caring personal service occupations</v>
      </c>
      <c r="BE136" s="26">
        <f t="shared" si="296"/>
        <v>1.1863154759254542</v>
      </c>
      <c r="BF136" s="26">
        <f t="shared" si="296"/>
        <v>1.3937129404257433</v>
      </c>
      <c r="BG136" s="26">
        <f t="shared" si="296"/>
        <v>5.8237523055602338</v>
      </c>
      <c r="BH136" s="26">
        <f t="shared" si="296"/>
        <v>5.7620024799698157</v>
      </c>
      <c r="BI136" s="26">
        <f t="shared" si="297"/>
        <v>11.58575478553005</v>
      </c>
      <c r="BO136" t="str">
        <f t="shared" si="309"/>
        <v>61 Caring personal service occupations</v>
      </c>
      <c r="BP136" s="26">
        <f t="shared" si="298"/>
        <v>-3.8002850332088336</v>
      </c>
      <c r="BQ136" s="26">
        <f t="shared" si="298"/>
        <v>0.9286304326048338</v>
      </c>
      <c r="BR136" s="26">
        <f t="shared" si="298"/>
        <v>-1.8284267249425739</v>
      </c>
      <c r="BS136" s="26">
        <f t="shared" si="298"/>
        <v>-5.7790310181083804</v>
      </c>
      <c r="BT136" s="26">
        <f t="shared" si="299"/>
        <v>-7.6074577430509542</v>
      </c>
      <c r="BZ136" t="str">
        <f t="shared" si="310"/>
        <v>61 Caring personal service occupations</v>
      </c>
      <c r="CA136" s="67">
        <f t="shared" si="300"/>
        <v>-3.4049394793997516</v>
      </c>
      <c r="CB136" s="67">
        <f t="shared" si="300"/>
        <v>-0.71139455157534126</v>
      </c>
      <c r="CC136" s="67">
        <f t="shared" si="300"/>
        <v>-0.72123991364806095</v>
      </c>
      <c r="CD136" s="67">
        <f t="shared" si="300"/>
        <v>-0.44445122339553422</v>
      </c>
      <c r="CE136" s="67">
        <f t="shared" si="301"/>
        <v>-1.1656911370435952</v>
      </c>
      <c r="CK136" t="str">
        <f t="shared" si="311"/>
        <v>61 Caring personal service occupations</v>
      </c>
      <c r="CL136" s="67">
        <f t="shared" si="302"/>
        <v>-0.11458041587874224</v>
      </c>
      <c r="CM136" s="67">
        <f t="shared" si="302"/>
        <v>-0.19830837028165715</v>
      </c>
      <c r="CN136" s="67">
        <f t="shared" si="302"/>
        <v>9.4049607557525783E-2</v>
      </c>
      <c r="CO136" s="67">
        <f t="shared" si="302"/>
        <v>-6.3030179676995202E-2</v>
      </c>
      <c r="CP136" s="67">
        <f t="shared" si="303"/>
        <v>3.1019427880530581E-2</v>
      </c>
    </row>
    <row r="137" spans="1:94" x14ac:dyDescent="0.2">
      <c r="A137" t="str">
        <f t="shared" si="285"/>
        <v>62 Leisure, travel and related personal service occupations</v>
      </c>
      <c r="B137" s="26">
        <f t="shared" si="286"/>
        <v>-1.6936367503852488E-3</v>
      </c>
      <c r="C137" s="26">
        <f t="shared" si="286"/>
        <v>4.1843118027681432E-3</v>
      </c>
      <c r="D137" s="26">
        <f t="shared" si="286"/>
        <v>8.6895361359239608E-3</v>
      </c>
      <c r="E137" s="26">
        <f t="shared" si="286"/>
        <v>1.7687110223084286E-2</v>
      </c>
      <c r="F137" s="26">
        <f t="shared" si="287"/>
        <v>2.6376646359008247E-2</v>
      </c>
      <c r="L137" t="str">
        <f t="shared" si="304"/>
        <v>62 Leisure, travel and related personal service occupations</v>
      </c>
      <c r="M137" s="26">
        <f t="shared" si="288"/>
        <v>0.22475907088499758</v>
      </c>
      <c r="N137" s="26">
        <f t="shared" si="288"/>
        <v>-0.17967168741343931</v>
      </c>
      <c r="O137" s="26">
        <f t="shared" si="288"/>
        <v>9.4400629083959742E-2</v>
      </c>
      <c r="P137" s="26">
        <f t="shared" si="288"/>
        <v>0.14697115459573029</v>
      </c>
      <c r="Q137" s="26">
        <f t="shared" si="289"/>
        <v>0.24137178367969003</v>
      </c>
      <c r="W137" t="str">
        <f t="shared" si="305"/>
        <v>62 Leisure, travel and related personal service occupations</v>
      </c>
      <c r="X137" s="26">
        <f t="shared" si="290"/>
        <v>0.37339356525298673</v>
      </c>
      <c r="Y137" s="26">
        <f t="shared" si="290"/>
        <v>2.9456882617379332E-2</v>
      </c>
      <c r="Z137" s="26">
        <f t="shared" si="290"/>
        <v>0.53154296598994311</v>
      </c>
      <c r="AA137" s="26">
        <f t="shared" si="290"/>
        <v>1.1365467196336954</v>
      </c>
      <c r="AB137" s="26">
        <f t="shared" si="291"/>
        <v>1.6680896856236385</v>
      </c>
      <c r="AH137" t="str">
        <f t="shared" si="306"/>
        <v>62 Leisure, travel and related personal service occupations</v>
      </c>
      <c r="AI137" s="26">
        <f t="shared" si="292"/>
        <v>0.25488816404475623</v>
      </c>
      <c r="AJ137" s="26">
        <f t="shared" si="292"/>
        <v>8.4097833536390221E-2</v>
      </c>
      <c r="AK137" s="26">
        <f t="shared" si="292"/>
        <v>0.26208210172403112</v>
      </c>
      <c r="AL137" s="26">
        <f t="shared" si="292"/>
        <v>0.88399696269560613</v>
      </c>
      <c r="AM137" s="26">
        <f t="shared" si="293"/>
        <v>1.1460790644196373</v>
      </c>
      <c r="AS137" t="str">
        <f t="shared" si="307"/>
        <v>62 Leisure, travel and related personal service occupations</v>
      </c>
      <c r="AT137" s="26">
        <f t="shared" si="294"/>
        <v>0.36270763156480079</v>
      </c>
      <c r="AU137" s="26">
        <f t="shared" si="294"/>
        <v>0.18864015298009607</v>
      </c>
      <c r="AV137" s="26">
        <f t="shared" si="294"/>
        <v>0.35652296471331812</v>
      </c>
      <c r="AW137" s="26">
        <f t="shared" si="294"/>
        <v>1.0975478883176426</v>
      </c>
      <c r="AX137" s="26">
        <f t="shared" si="295"/>
        <v>1.4540708530309607</v>
      </c>
      <c r="BD137" t="str">
        <f t="shared" si="308"/>
        <v>62 Leisure, travel and related personal service occupations</v>
      </c>
      <c r="BE137" s="26">
        <f t="shared" si="296"/>
        <v>0.38373944000865912</v>
      </c>
      <c r="BF137" s="26">
        <f t="shared" si="296"/>
        <v>-0.21668566771677522</v>
      </c>
      <c r="BG137" s="26">
        <f t="shared" si="296"/>
        <v>2.3277706115131025E-2</v>
      </c>
      <c r="BH137" s="26">
        <f t="shared" si="296"/>
        <v>0.46901715527012655</v>
      </c>
      <c r="BI137" s="26">
        <f t="shared" si="297"/>
        <v>0.49229486138525758</v>
      </c>
      <c r="BO137" t="str">
        <f t="shared" si="309"/>
        <v>62 Leisure, travel and related personal service occupations</v>
      </c>
      <c r="BP137" s="26">
        <f t="shared" si="298"/>
        <v>-8.9736161998654751E-4</v>
      </c>
      <c r="BQ137" s="26">
        <f t="shared" si="298"/>
        <v>-0.60426905842775014</v>
      </c>
      <c r="BR137" s="26">
        <f t="shared" si="298"/>
        <v>-0.96379285089409894</v>
      </c>
      <c r="BS137" s="26">
        <f t="shared" si="298"/>
        <v>-1.2588148098299667</v>
      </c>
      <c r="BT137" s="26">
        <f t="shared" si="299"/>
        <v>-2.2226076607240657</v>
      </c>
      <c r="BZ137" t="str">
        <f t="shared" si="310"/>
        <v>62 Leisure, travel and related personal service occupations</v>
      </c>
      <c r="CA137" s="67">
        <f t="shared" si="300"/>
        <v>0.14078246555585672</v>
      </c>
      <c r="CB137" s="67">
        <f t="shared" si="300"/>
        <v>-0.70641410010637617</v>
      </c>
      <c r="CC137" s="67">
        <f t="shared" si="300"/>
        <v>-0.1927654525546636</v>
      </c>
      <c r="CD137" s="67">
        <f t="shared" si="300"/>
        <v>-1.3616067638374858</v>
      </c>
      <c r="CE137" s="67">
        <f t="shared" si="301"/>
        <v>-1.5543722163921494</v>
      </c>
      <c r="CK137" t="str">
        <f t="shared" si="311"/>
        <v>62 Leisure, travel and related personal service occupations</v>
      </c>
      <c r="CL137" s="67">
        <f t="shared" si="302"/>
        <v>-0.57568330499497544</v>
      </c>
      <c r="CM137" s="67">
        <f t="shared" si="302"/>
        <v>-0.55727341419098964</v>
      </c>
      <c r="CN137" s="67">
        <f t="shared" si="302"/>
        <v>-0.23532966175268699</v>
      </c>
      <c r="CO137" s="67">
        <f t="shared" si="302"/>
        <v>-0.2794486980322014</v>
      </c>
      <c r="CP137" s="67">
        <f t="shared" si="303"/>
        <v>-0.5147783597848884</v>
      </c>
    </row>
    <row r="138" spans="1:94" x14ac:dyDescent="0.2">
      <c r="A138" t="str">
        <f t="shared" si="285"/>
        <v>63 Community and civil enforcement occupations</v>
      </c>
      <c r="B138" s="26">
        <f t="shared" si="286"/>
        <v>9.4581583075171549E-4</v>
      </c>
      <c r="C138" s="26">
        <f t="shared" si="286"/>
        <v>-4.9140985041656784E-4</v>
      </c>
      <c r="D138" s="26">
        <f t="shared" si="286"/>
        <v>6.0810865395874132E-4</v>
      </c>
      <c r="E138" s="26">
        <f t="shared" si="286"/>
        <v>1.2569722716042593E-3</v>
      </c>
      <c r="F138" s="26">
        <f t="shared" si="287"/>
        <v>1.8650809255630007E-3</v>
      </c>
      <c r="L138" t="str">
        <f t="shared" si="304"/>
        <v>63 Community and civil enforcement occupations</v>
      </c>
      <c r="M138" s="26">
        <f t="shared" si="288"/>
        <v>1.0468434251748635E-2</v>
      </c>
      <c r="N138" s="26">
        <f t="shared" si="288"/>
        <v>1.6000811962163658E-3</v>
      </c>
      <c r="O138" s="26">
        <f t="shared" si="288"/>
        <v>7.0728296259048307E-4</v>
      </c>
      <c r="P138" s="26">
        <f t="shared" si="288"/>
        <v>2.3699242695908417E-2</v>
      </c>
      <c r="Q138" s="26">
        <f t="shared" si="289"/>
        <v>2.44065256584989E-2</v>
      </c>
      <c r="W138" t="str">
        <f t="shared" si="305"/>
        <v>63 Community and civil enforcement occupations</v>
      </c>
      <c r="X138" s="26">
        <f t="shared" si="290"/>
        <v>1.3434313504475548E-2</v>
      </c>
      <c r="Y138" s="26">
        <f t="shared" si="290"/>
        <v>1.2124101942125459E-2</v>
      </c>
      <c r="Z138" s="26">
        <f t="shared" si="290"/>
        <v>4.4067747218987513E-2</v>
      </c>
      <c r="AA138" s="26">
        <f t="shared" si="290"/>
        <v>7.6990267757209296E-2</v>
      </c>
      <c r="AB138" s="26">
        <f t="shared" si="291"/>
        <v>0.12105801497619681</v>
      </c>
      <c r="AH138" t="str">
        <f t="shared" si="306"/>
        <v>63 Community and civil enforcement occupations</v>
      </c>
      <c r="AI138" s="26">
        <f t="shared" si="292"/>
        <v>-2.558334038115298E-3</v>
      </c>
      <c r="AJ138" s="26">
        <f t="shared" si="292"/>
        <v>1.2532035716645774E-2</v>
      </c>
      <c r="AK138" s="26">
        <f t="shared" si="292"/>
        <v>-4.9435909394462962E-4</v>
      </c>
      <c r="AL138" s="26">
        <f t="shared" si="292"/>
        <v>1.5228344116197098E-2</v>
      </c>
      <c r="AM138" s="26">
        <f t="shared" si="293"/>
        <v>1.4733985022252469E-2</v>
      </c>
      <c r="AS138" t="str">
        <f t="shared" si="307"/>
        <v>63 Community and civil enforcement occupations</v>
      </c>
      <c r="AT138" s="26">
        <f t="shared" si="294"/>
        <v>-5.3947865188833793E-3</v>
      </c>
      <c r="AU138" s="26">
        <f t="shared" si="294"/>
        <v>7.0419280861545516E-3</v>
      </c>
      <c r="AV138" s="26">
        <f t="shared" si="294"/>
        <v>-5.3130018473653909E-3</v>
      </c>
      <c r="AW138" s="26">
        <f t="shared" si="294"/>
        <v>5.2451144892423848E-3</v>
      </c>
      <c r="AX138" s="26">
        <f t="shared" si="295"/>
        <v>-6.7887358123006059E-5</v>
      </c>
      <c r="BD138" t="str">
        <f t="shared" si="308"/>
        <v>63 Community and civil enforcement occupations</v>
      </c>
      <c r="BE138" s="26">
        <f t="shared" si="296"/>
        <v>-9.2070476299817794E-2</v>
      </c>
      <c r="BF138" s="26">
        <f t="shared" si="296"/>
        <v>0.14208516076032074</v>
      </c>
      <c r="BG138" s="26">
        <f t="shared" si="296"/>
        <v>-0.14369207986753374</v>
      </c>
      <c r="BH138" s="26">
        <f t="shared" si="296"/>
        <v>6.9189174672288356E-3</v>
      </c>
      <c r="BI138" s="26">
        <f t="shared" si="297"/>
        <v>-0.1367731624003049</v>
      </c>
      <c r="BO138" t="str">
        <f t="shared" si="309"/>
        <v>63 Community and civil enforcement occupations</v>
      </c>
      <c r="BP138" s="26">
        <f t="shared" si="298"/>
        <v>-5.4008650132584268E-2</v>
      </c>
      <c r="BQ138" s="26">
        <f t="shared" si="298"/>
        <v>0.11068683177460503</v>
      </c>
      <c r="BR138" s="26">
        <f t="shared" si="298"/>
        <v>-0.1046194149268197</v>
      </c>
      <c r="BS138" s="26">
        <f t="shared" si="298"/>
        <v>2.7645149230921595E-2</v>
      </c>
      <c r="BT138" s="26">
        <f t="shared" si="299"/>
        <v>-7.6974265695898103E-2</v>
      </c>
      <c r="BZ138" t="str">
        <f t="shared" si="310"/>
        <v>63 Community and civil enforcement occupations</v>
      </c>
      <c r="CA138" s="67">
        <f t="shared" si="300"/>
        <v>3.783941243025471E-2</v>
      </c>
      <c r="CB138" s="67">
        <f t="shared" si="300"/>
        <v>-1.2972725955751607E-3</v>
      </c>
      <c r="CC138" s="67">
        <f t="shared" si="300"/>
        <v>-2.9710551793754092E-2</v>
      </c>
      <c r="CD138" s="67">
        <f t="shared" si="300"/>
        <v>-5.9847589944262342E-2</v>
      </c>
      <c r="CE138" s="67">
        <f t="shared" si="301"/>
        <v>-8.9558141738016434E-2</v>
      </c>
      <c r="CK138" t="str">
        <f t="shared" si="311"/>
        <v>63 Community and civil enforcement occupations</v>
      </c>
      <c r="CL138" s="67">
        <f t="shared" si="302"/>
        <v>-3.3507379437399384E-2</v>
      </c>
      <c r="CM138" s="67">
        <f t="shared" si="302"/>
        <v>1.7119961248200297E-2</v>
      </c>
      <c r="CN138" s="67">
        <f t="shared" si="302"/>
        <v>-4.1127536571755594E-2</v>
      </c>
      <c r="CO138" s="67">
        <f t="shared" si="302"/>
        <v>-1.4102895400751075E-2</v>
      </c>
      <c r="CP138" s="67">
        <f t="shared" si="303"/>
        <v>-5.5230431972506669E-2</v>
      </c>
    </row>
    <row r="139" spans="1:94" x14ac:dyDescent="0.2">
      <c r="A139" t="str">
        <f t="shared" si="285"/>
        <v>71 Sales occupations</v>
      </c>
      <c r="B139" s="26">
        <f t="shared" si="286"/>
        <v>3.900916561560358E-2</v>
      </c>
      <c r="C139" s="26">
        <f t="shared" si="286"/>
        <v>-8.0605483939359818E-2</v>
      </c>
      <c r="D139" s="26">
        <f t="shared" si="286"/>
        <v>2.2770714912361101E-2</v>
      </c>
      <c r="E139" s="26">
        <f t="shared" si="286"/>
        <v>4.391398523769513E-2</v>
      </c>
      <c r="F139" s="26">
        <f t="shared" si="287"/>
        <v>6.6684700150056231E-2</v>
      </c>
      <c r="L139" t="str">
        <f t="shared" si="304"/>
        <v>71 Sales occupations</v>
      </c>
      <c r="M139" s="26">
        <f t="shared" si="288"/>
        <v>0.65600588788230185</v>
      </c>
      <c r="N139" s="26">
        <f t="shared" si="288"/>
        <v>-0.58034989566960027</v>
      </c>
      <c r="O139" s="26">
        <f t="shared" si="288"/>
        <v>0.4451368685227437</v>
      </c>
      <c r="P139" s="26">
        <f t="shared" si="288"/>
        <v>1.0510802972940678</v>
      </c>
      <c r="Q139" s="26">
        <f t="shared" si="289"/>
        <v>1.4962171658168115</v>
      </c>
      <c r="W139" t="str">
        <f t="shared" si="305"/>
        <v>71 Sales occupations</v>
      </c>
      <c r="X139" s="26">
        <f t="shared" si="290"/>
        <v>-0.34099339650069993</v>
      </c>
      <c r="Y139" s="26">
        <f t="shared" si="290"/>
        <v>0.87723630378215312</v>
      </c>
      <c r="Z139" s="26">
        <f t="shared" si="290"/>
        <v>1.2705664951173681</v>
      </c>
      <c r="AA139" s="26">
        <f t="shared" si="290"/>
        <v>4.6623652448396324</v>
      </c>
      <c r="AB139" s="26">
        <f t="shared" si="291"/>
        <v>5.9329317399570005</v>
      </c>
      <c r="AH139" t="str">
        <f t="shared" si="306"/>
        <v>71 Sales occupations</v>
      </c>
      <c r="AI139" s="26">
        <f t="shared" si="292"/>
        <v>-0.18446730132346634</v>
      </c>
      <c r="AJ139" s="26">
        <f t="shared" si="292"/>
        <v>0.48059831245129647</v>
      </c>
      <c r="AK139" s="26">
        <f t="shared" si="292"/>
        <v>0.28218784563163535</v>
      </c>
      <c r="AL139" s="26">
        <f t="shared" si="292"/>
        <v>1.8009437655596168</v>
      </c>
      <c r="AM139" s="26">
        <f t="shared" si="293"/>
        <v>2.0831316111912521</v>
      </c>
      <c r="AS139" t="str">
        <f t="shared" si="307"/>
        <v>71 Sales occupations</v>
      </c>
      <c r="AT139" s="26">
        <f t="shared" si="294"/>
        <v>-0.35668315343533186</v>
      </c>
      <c r="AU139" s="26">
        <f t="shared" si="294"/>
        <v>0.19785452071166176</v>
      </c>
      <c r="AV139" s="26">
        <f t="shared" si="294"/>
        <v>5.0087265773351763E-2</v>
      </c>
      <c r="AW139" s="26">
        <f t="shared" si="294"/>
        <v>0.870992983781119</v>
      </c>
      <c r="AX139" s="26">
        <f t="shared" si="295"/>
        <v>0.92108024955447076</v>
      </c>
      <c r="BD139" t="str">
        <f t="shared" si="308"/>
        <v>71 Sales occupations</v>
      </c>
      <c r="BE139" s="26">
        <f t="shared" si="296"/>
        <v>-1.6489658814248607</v>
      </c>
      <c r="BF139" s="26">
        <f t="shared" si="296"/>
        <v>3.3441115291314958</v>
      </c>
      <c r="BG139" s="26">
        <f t="shared" si="296"/>
        <v>-0.24194317263023279</v>
      </c>
      <c r="BH139" s="26">
        <f t="shared" si="296"/>
        <v>4.7068630209584725</v>
      </c>
      <c r="BI139" s="26">
        <f t="shared" si="297"/>
        <v>4.4649198483282397</v>
      </c>
      <c r="BO139" t="str">
        <f t="shared" si="309"/>
        <v>71 Sales occupations</v>
      </c>
      <c r="BP139" s="26">
        <f t="shared" si="298"/>
        <v>-4.399512751198003</v>
      </c>
      <c r="BQ139" s="26">
        <f t="shared" si="298"/>
        <v>0.89647454171208452</v>
      </c>
      <c r="BR139" s="26">
        <f t="shared" si="298"/>
        <v>-3.9465665502358149</v>
      </c>
      <c r="BS139" s="26">
        <f t="shared" si="298"/>
        <v>-6.0276017720414217</v>
      </c>
      <c r="BT139" s="26">
        <f t="shared" si="299"/>
        <v>-9.9741683222772366</v>
      </c>
      <c r="BZ139" t="str">
        <f t="shared" si="310"/>
        <v>71 Sales occupations</v>
      </c>
      <c r="CA139" s="67">
        <f t="shared" si="300"/>
        <v>-2.2856248999221229</v>
      </c>
      <c r="CB139" s="67">
        <f t="shared" si="300"/>
        <v>-1.935170033096421</v>
      </c>
      <c r="CC139" s="67">
        <f t="shared" si="300"/>
        <v>-2.3600306174692705</v>
      </c>
      <c r="CD139" s="67">
        <f t="shared" si="300"/>
        <v>-7.5104497808146959</v>
      </c>
      <c r="CE139" s="67">
        <f t="shared" si="301"/>
        <v>-9.8704803982839664</v>
      </c>
      <c r="CK139" t="str">
        <f t="shared" si="311"/>
        <v>71 Sales occupations</v>
      </c>
      <c r="CL139" s="67">
        <f t="shared" si="302"/>
        <v>-3.2380881973122708</v>
      </c>
      <c r="CM139" s="67">
        <f t="shared" si="302"/>
        <v>-2.932043786569726</v>
      </c>
      <c r="CN139" s="67">
        <f t="shared" si="302"/>
        <v>-1.3038174650897458</v>
      </c>
      <c r="CO139" s="67">
        <f t="shared" si="302"/>
        <v>-2.2717731105835304</v>
      </c>
      <c r="CP139" s="67">
        <f t="shared" si="303"/>
        <v>-3.5755905756732762</v>
      </c>
    </row>
    <row r="140" spans="1:94" x14ac:dyDescent="0.2">
      <c r="A140" t="str">
        <f t="shared" si="285"/>
        <v>72 Customer service occupations</v>
      </c>
      <c r="B140" s="26">
        <f t="shared" si="286"/>
        <v>1.8517908472516005E-2</v>
      </c>
      <c r="C140" s="26">
        <f t="shared" si="286"/>
        <v>-7.9498252708409406E-3</v>
      </c>
      <c r="D140" s="26">
        <f t="shared" si="286"/>
        <v>3.8535029241297356E-2</v>
      </c>
      <c r="E140" s="26">
        <f t="shared" si="286"/>
        <v>4.2845240029130732E-2</v>
      </c>
      <c r="F140" s="26">
        <f t="shared" si="287"/>
        <v>8.1380269270428088E-2</v>
      </c>
      <c r="L140" t="str">
        <f t="shared" si="304"/>
        <v>72 Customer service occupations</v>
      </c>
      <c r="M140" s="26">
        <f t="shared" si="288"/>
        <v>0.29978551241703566</v>
      </c>
      <c r="N140" s="26">
        <f t="shared" si="288"/>
        <v>-0.22705206646377885</v>
      </c>
      <c r="O140" s="26">
        <f t="shared" si="288"/>
        <v>0.40700989613634342</v>
      </c>
      <c r="P140" s="26">
        <f t="shared" si="288"/>
        <v>0.45825469657126527</v>
      </c>
      <c r="Q140" s="26">
        <f t="shared" si="289"/>
        <v>0.86526459270760869</v>
      </c>
      <c r="W140" t="str">
        <f t="shared" si="305"/>
        <v>72 Customer service occupations</v>
      </c>
      <c r="X140" s="26">
        <f t="shared" si="290"/>
        <v>6.6222887196451197E-2</v>
      </c>
      <c r="Y140" s="26">
        <f t="shared" si="290"/>
        <v>0.37272059644674593</v>
      </c>
      <c r="Z140" s="26">
        <f t="shared" si="290"/>
        <v>1.4004670492872826</v>
      </c>
      <c r="AA140" s="26">
        <f t="shared" si="290"/>
        <v>1.8336656933217927</v>
      </c>
      <c r="AB140" s="26">
        <f t="shared" si="291"/>
        <v>3.2341327426090754</v>
      </c>
      <c r="AH140" t="str">
        <f t="shared" si="306"/>
        <v>72 Customer service occupations</v>
      </c>
      <c r="AI140" s="26">
        <f t="shared" si="292"/>
        <v>6.0257055485046007E-2</v>
      </c>
      <c r="AJ140" s="26">
        <f t="shared" si="292"/>
        <v>0.1346947517642112</v>
      </c>
      <c r="AK140" s="26">
        <f t="shared" si="292"/>
        <v>0.42604058183607396</v>
      </c>
      <c r="AL140" s="26">
        <f t="shared" si="292"/>
        <v>0.56686868839229598</v>
      </c>
      <c r="AM140" s="26">
        <f t="shared" si="293"/>
        <v>0.99290927022836994</v>
      </c>
      <c r="AS140" t="str">
        <f t="shared" si="307"/>
        <v>72 Customer service occupations</v>
      </c>
      <c r="AT140" s="26">
        <f t="shared" si="294"/>
        <v>-2.9066806475948503E-2</v>
      </c>
      <c r="AU140" s="26">
        <f t="shared" si="294"/>
        <v>0.12585158860488632</v>
      </c>
      <c r="AV140" s="26">
        <f t="shared" si="294"/>
        <v>0.47014753518505148</v>
      </c>
      <c r="AW140" s="26">
        <f t="shared" si="294"/>
        <v>0.43748037771764592</v>
      </c>
      <c r="AX140" s="26">
        <f t="shared" si="295"/>
        <v>0.9076279129026974</v>
      </c>
      <c r="BD140" t="str">
        <f t="shared" si="308"/>
        <v>72 Customer service occupations</v>
      </c>
      <c r="BE140" s="26">
        <f t="shared" si="296"/>
        <v>0.11339334226283082</v>
      </c>
      <c r="BF140" s="26">
        <f t="shared" si="296"/>
        <v>0.77105871932680969</v>
      </c>
      <c r="BG140" s="26">
        <f t="shared" si="296"/>
        <v>1.4616031292429295</v>
      </c>
      <c r="BH140" s="26">
        <f t="shared" si="296"/>
        <v>1.4293291266448769</v>
      </c>
      <c r="BI140" s="26">
        <f t="shared" si="297"/>
        <v>2.8909322558878063</v>
      </c>
      <c r="BO140" t="str">
        <f t="shared" si="309"/>
        <v>72 Customer service occupations</v>
      </c>
      <c r="BP140" s="26">
        <f t="shared" si="298"/>
        <v>8.1929908195543355E-2</v>
      </c>
      <c r="BQ140" s="26">
        <f t="shared" si="298"/>
        <v>0.29288011072560494</v>
      </c>
      <c r="BR140" s="26">
        <f t="shared" si="298"/>
        <v>1.3401483897135176</v>
      </c>
      <c r="BS140" s="26">
        <f t="shared" si="298"/>
        <v>6.2435626427657098E-3</v>
      </c>
      <c r="BT140" s="26">
        <f t="shared" si="299"/>
        <v>1.3463919523562833</v>
      </c>
      <c r="BZ140" t="str">
        <f t="shared" si="310"/>
        <v>72 Customer service occupations</v>
      </c>
      <c r="CA140" s="67">
        <f t="shared" si="300"/>
        <v>1.5652212353805428E-2</v>
      </c>
      <c r="CB140" s="67">
        <f t="shared" si="300"/>
        <v>-0.27676591807783169</v>
      </c>
      <c r="CC140" s="67">
        <f t="shared" si="300"/>
        <v>0.3907301805762482</v>
      </c>
      <c r="CD140" s="67">
        <f t="shared" si="300"/>
        <v>-0.14946191964437716</v>
      </c>
      <c r="CE140" s="67">
        <f t="shared" si="301"/>
        <v>0.24126826093187104</v>
      </c>
      <c r="CK140" t="str">
        <f t="shared" si="311"/>
        <v>72 Customer service occupations</v>
      </c>
      <c r="CL140" s="67">
        <f t="shared" si="302"/>
        <v>0.13778870260961829</v>
      </c>
      <c r="CM140" s="67">
        <f t="shared" si="302"/>
        <v>-0.28538490810082284</v>
      </c>
      <c r="CN140" s="67">
        <f t="shared" si="302"/>
        <v>0.41173318408778226</v>
      </c>
      <c r="CO140" s="67">
        <f t="shared" si="302"/>
        <v>0.2119125672289226</v>
      </c>
      <c r="CP140" s="67">
        <f t="shared" si="303"/>
        <v>0.62364575131670485</v>
      </c>
    </row>
    <row r="141" spans="1:94" x14ac:dyDescent="0.2">
      <c r="A141" t="str">
        <f t="shared" si="285"/>
        <v>81 Process, plant and machine operatives</v>
      </c>
      <c r="B141" s="26">
        <f t="shared" si="286"/>
        <v>3.5403776559020737E-2</v>
      </c>
      <c r="C141" s="26">
        <f t="shared" si="286"/>
        <v>-2.3984239217976232E-2</v>
      </c>
      <c r="D141" s="26">
        <f t="shared" si="286"/>
        <v>3.4130084134837625E-2</v>
      </c>
      <c r="E141" s="26">
        <f t="shared" si="286"/>
        <v>4.894280461324052E-2</v>
      </c>
      <c r="F141" s="26">
        <f t="shared" si="287"/>
        <v>8.3072888748078139E-2</v>
      </c>
      <c r="L141" t="str">
        <f t="shared" si="304"/>
        <v>81 Process, plant and machine operatives</v>
      </c>
      <c r="M141" s="26">
        <f t="shared" si="288"/>
        <v>0.15708103967380732</v>
      </c>
      <c r="N141" s="26">
        <f t="shared" si="288"/>
        <v>-0.14685174190989242</v>
      </c>
      <c r="O141" s="26">
        <f t="shared" si="288"/>
        <v>0.21260874204405161</v>
      </c>
      <c r="P141" s="26">
        <f t="shared" si="288"/>
        <v>0.29916514916562176</v>
      </c>
      <c r="Q141" s="26">
        <f t="shared" si="289"/>
        <v>0.51177389120967343</v>
      </c>
      <c r="W141" t="str">
        <f t="shared" si="305"/>
        <v>81 Process, plant and machine operatives</v>
      </c>
      <c r="X141" s="26">
        <f t="shared" si="290"/>
        <v>-0.20254747984948906</v>
      </c>
      <c r="Y141" s="26">
        <f t="shared" si="290"/>
        <v>-0.10258709872930072</v>
      </c>
      <c r="Z141" s="26">
        <f t="shared" si="290"/>
        <v>0.5407258998511697</v>
      </c>
      <c r="AA141" s="26">
        <f t="shared" si="290"/>
        <v>0.83188881821479144</v>
      </c>
      <c r="AB141" s="26">
        <f t="shared" si="291"/>
        <v>1.3726147180659611</v>
      </c>
      <c r="AH141" t="str">
        <f t="shared" si="306"/>
        <v>81 Process, plant and machine operatives</v>
      </c>
      <c r="AI141" s="26">
        <f t="shared" si="292"/>
        <v>-5.7819697340222076E-2</v>
      </c>
      <c r="AJ141" s="26">
        <f t="shared" si="292"/>
        <v>-3.0761723679326947E-2</v>
      </c>
      <c r="AK141" s="26">
        <f t="shared" si="292"/>
        <v>0.28459787052919094</v>
      </c>
      <c r="AL141" s="26">
        <f t="shared" si="292"/>
        <v>0.29745305899469898</v>
      </c>
      <c r="AM141" s="26">
        <f t="shared" si="293"/>
        <v>0.58205092952388993</v>
      </c>
      <c r="AS141" t="str">
        <f t="shared" si="307"/>
        <v>81 Process, plant and machine operatives</v>
      </c>
      <c r="AT141" s="26">
        <f t="shared" si="294"/>
        <v>-0.29176040675238435</v>
      </c>
      <c r="AU141" s="26">
        <f t="shared" si="294"/>
        <v>-8.1589349377389708E-2</v>
      </c>
      <c r="AV141" s="26">
        <f t="shared" si="294"/>
        <v>0.39287724101550037</v>
      </c>
      <c r="AW141" s="26">
        <f t="shared" si="294"/>
        <v>0.19089397621884752</v>
      </c>
      <c r="AX141" s="26">
        <f t="shared" si="295"/>
        <v>0.58377121723434788</v>
      </c>
      <c r="BD141" t="str">
        <f t="shared" si="308"/>
        <v>81 Process, plant and machine operatives</v>
      </c>
      <c r="BE141" s="26">
        <f t="shared" si="296"/>
        <v>-1.6801893573969906</v>
      </c>
      <c r="BF141" s="26">
        <f t="shared" si="296"/>
        <v>0.91799743722545202</v>
      </c>
      <c r="BG141" s="26">
        <f t="shared" si="296"/>
        <v>1.7528842724820226</v>
      </c>
      <c r="BH141" s="26">
        <f t="shared" si="296"/>
        <v>1.1996575365446418</v>
      </c>
      <c r="BI141" s="26">
        <f t="shared" si="297"/>
        <v>2.9525418090266644</v>
      </c>
      <c r="BO141" t="str">
        <f t="shared" si="309"/>
        <v>81 Process, plant and machine operatives</v>
      </c>
      <c r="BP141" s="26">
        <f t="shared" si="298"/>
        <v>-1.2866187729401091</v>
      </c>
      <c r="BQ141" s="26">
        <f t="shared" si="298"/>
        <v>-1.2413709932944332</v>
      </c>
      <c r="BR141" s="26">
        <f t="shared" si="298"/>
        <v>3.2878473876029304</v>
      </c>
      <c r="BS141" s="26">
        <f t="shared" si="298"/>
        <v>0.28263004648834311</v>
      </c>
      <c r="BT141" s="26">
        <f t="shared" si="299"/>
        <v>3.5704774340912735</v>
      </c>
      <c r="BZ141" t="str">
        <f t="shared" si="310"/>
        <v>81 Process, plant and machine operatives</v>
      </c>
      <c r="CA141" s="67">
        <f t="shared" si="300"/>
        <v>0.96687209245678751</v>
      </c>
      <c r="CB141" s="67">
        <f t="shared" si="300"/>
        <v>-3.197508285630521</v>
      </c>
      <c r="CC141" s="67">
        <f t="shared" si="300"/>
        <v>0.68682855384767372</v>
      </c>
      <c r="CD141" s="67">
        <f t="shared" si="300"/>
        <v>-3.9440927314518395</v>
      </c>
      <c r="CE141" s="67">
        <f t="shared" si="301"/>
        <v>-3.2572641776041658</v>
      </c>
      <c r="CK141" t="str">
        <f t="shared" si="311"/>
        <v>81 Process, plant and machine operatives</v>
      </c>
      <c r="CL141" s="67">
        <f t="shared" si="302"/>
        <v>-1.4116331090361482</v>
      </c>
      <c r="CM141" s="67">
        <f t="shared" si="302"/>
        <v>-1.1532465774627405</v>
      </c>
      <c r="CN141" s="67">
        <f t="shared" si="302"/>
        <v>-1.2252587014877649</v>
      </c>
      <c r="CO141" s="67">
        <f t="shared" si="302"/>
        <v>-1.2070044051255562</v>
      </c>
      <c r="CP141" s="67">
        <f t="shared" si="303"/>
        <v>-2.4322631066133211</v>
      </c>
    </row>
    <row r="142" spans="1:94" x14ac:dyDescent="0.2">
      <c r="A142" t="str">
        <f t="shared" si="285"/>
        <v>82 Transport and mobile machine drivers and operatives</v>
      </c>
      <c r="B142" s="26">
        <f t="shared" si="286"/>
        <v>4.6922066669837129E-2</v>
      </c>
      <c r="C142" s="26">
        <f t="shared" si="286"/>
        <v>-2.3644676076004748E-2</v>
      </c>
      <c r="D142" s="26">
        <f t="shared" si="286"/>
        <v>3.8363656342155605E-2</v>
      </c>
      <c r="E142" s="26">
        <f t="shared" si="286"/>
        <v>6.7168162255147934E-2</v>
      </c>
      <c r="F142" s="26">
        <f t="shared" si="287"/>
        <v>0.10553181859730354</v>
      </c>
      <c r="L142" t="str">
        <f t="shared" si="304"/>
        <v>82 Transport and mobile machine drivers and operatives</v>
      </c>
      <c r="M142" s="26">
        <f t="shared" si="288"/>
        <v>0.24878390984466775</v>
      </c>
      <c r="N142" s="26">
        <f t="shared" si="288"/>
        <v>-0.1246638137578282</v>
      </c>
      <c r="O142" s="26">
        <f t="shared" si="288"/>
        <v>0.16391705588188621</v>
      </c>
      <c r="P142" s="26">
        <f t="shared" si="288"/>
        <v>0.35944446387574869</v>
      </c>
      <c r="Q142" s="26">
        <f t="shared" si="289"/>
        <v>0.5233615197576349</v>
      </c>
      <c r="W142" t="str">
        <f t="shared" si="305"/>
        <v>82 Transport and mobile machine drivers and operatives</v>
      </c>
      <c r="X142" s="26">
        <f t="shared" si="290"/>
        <v>0.23192132744818328</v>
      </c>
      <c r="Y142" s="26">
        <f t="shared" si="290"/>
        <v>-3.4908813245587256E-2</v>
      </c>
      <c r="Z142" s="26">
        <f t="shared" si="290"/>
        <v>0.32991963672625713</v>
      </c>
      <c r="AA142" s="26">
        <f t="shared" si="290"/>
        <v>0.62087740664862157</v>
      </c>
      <c r="AB142" s="26">
        <f t="shared" si="291"/>
        <v>0.95079704337487869</v>
      </c>
      <c r="AH142" t="str">
        <f t="shared" si="306"/>
        <v>82 Transport and mobile machine drivers and operatives</v>
      </c>
      <c r="AI142" s="26">
        <f t="shared" si="292"/>
        <v>1.8844142711715861E-3</v>
      </c>
      <c r="AJ142" s="26">
        <f t="shared" si="292"/>
        <v>2.0643700937137965E-2</v>
      </c>
      <c r="AK142" s="26">
        <f t="shared" si="292"/>
        <v>0.12119701316773557</v>
      </c>
      <c r="AL142" s="26">
        <f t="shared" si="292"/>
        <v>8.2485928861688818E-2</v>
      </c>
      <c r="AM142" s="26">
        <f t="shared" si="293"/>
        <v>0.20368294202942439</v>
      </c>
      <c r="AS142" t="str">
        <f t="shared" si="307"/>
        <v>82 Transport and mobile machine drivers and operatives</v>
      </c>
      <c r="AT142" s="26">
        <f t="shared" si="294"/>
        <v>3.8135789587857793E-2</v>
      </c>
      <c r="AU142" s="26">
        <f t="shared" si="294"/>
        <v>1.7746254116259852E-3</v>
      </c>
      <c r="AV142" s="26">
        <f t="shared" si="294"/>
        <v>0.22180902823059245</v>
      </c>
      <c r="AW142" s="26">
        <f t="shared" si="294"/>
        <v>0.13959688245177237</v>
      </c>
      <c r="AX142" s="26">
        <f t="shared" si="295"/>
        <v>0.36140591068236483</v>
      </c>
      <c r="BD142" t="str">
        <f t="shared" si="308"/>
        <v>82 Transport and mobile machine drivers and operatives</v>
      </c>
      <c r="BE142" s="26">
        <f t="shared" si="296"/>
        <v>0.50680972568881621</v>
      </c>
      <c r="BF142" s="26">
        <f t="shared" si="296"/>
        <v>1.6284254006214613</v>
      </c>
      <c r="BG142" s="26">
        <f t="shared" si="296"/>
        <v>-0.94633030215971736</v>
      </c>
      <c r="BH142" s="26">
        <f t="shared" si="296"/>
        <v>0.30467845165037666</v>
      </c>
      <c r="BI142" s="26">
        <f t="shared" si="297"/>
        <v>-0.6416518505093407</v>
      </c>
      <c r="BO142" t="str">
        <f t="shared" si="309"/>
        <v>82 Transport and mobile machine drivers and operatives</v>
      </c>
      <c r="BP142" s="26">
        <f t="shared" si="298"/>
        <v>1.6902380098061887</v>
      </c>
      <c r="BQ142" s="26">
        <f t="shared" si="298"/>
        <v>-1.0517672574143404</v>
      </c>
      <c r="BR142" s="26">
        <f t="shared" si="298"/>
        <v>1.3891119842436375</v>
      </c>
      <c r="BS142" s="26">
        <f t="shared" si="298"/>
        <v>1.0725044543190769</v>
      </c>
      <c r="BT142" s="26">
        <f t="shared" si="299"/>
        <v>2.4616164385627144</v>
      </c>
      <c r="BZ142" t="str">
        <f t="shared" si="310"/>
        <v>82 Transport and mobile machine drivers and operatives</v>
      </c>
      <c r="CA142" s="67">
        <f t="shared" si="300"/>
        <v>4.936252179980535</v>
      </c>
      <c r="CB142" s="67">
        <f t="shared" si="300"/>
        <v>-5.1724413113000232</v>
      </c>
      <c r="CC142" s="67">
        <f t="shared" si="300"/>
        <v>0.12148007003836803</v>
      </c>
      <c r="CD142" s="67">
        <f t="shared" si="300"/>
        <v>-2.9524098383231605</v>
      </c>
      <c r="CE142" s="67">
        <f t="shared" si="301"/>
        <v>-2.8309297682847925</v>
      </c>
      <c r="CK142" t="str">
        <f t="shared" si="311"/>
        <v>82 Transport and mobile machine drivers and operatives</v>
      </c>
      <c r="CL142" s="67">
        <f t="shared" si="302"/>
        <v>0.2022911234165985</v>
      </c>
      <c r="CM142" s="67">
        <f t="shared" si="302"/>
        <v>-0.49828352203602222</v>
      </c>
      <c r="CN142" s="67">
        <f t="shared" si="302"/>
        <v>-1.2572876835118945</v>
      </c>
      <c r="CO142" s="67">
        <f t="shared" si="302"/>
        <v>-2.0079130176289226</v>
      </c>
      <c r="CP142" s="67">
        <f t="shared" si="303"/>
        <v>-3.2652007011408171</v>
      </c>
    </row>
    <row r="143" spans="1:94" x14ac:dyDescent="0.2">
      <c r="A143" t="str">
        <f t="shared" si="285"/>
        <v>91 Elementary trades and related occupations</v>
      </c>
      <c r="B143" s="26">
        <f t="shared" si="286"/>
        <v>5.3287111157146916E-5</v>
      </c>
      <c r="C143" s="26">
        <f t="shared" si="286"/>
        <v>-1.4265180105763975E-4</v>
      </c>
      <c r="D143" s="26">
        <f t="shared" si="286"/>
        <v>-1.6705541879526381E-5</v>
      </c>
      <c r="E143" s="26">
        <f t="shared" si="286"/>
        <v>1.4563668829937332E-4</v>
      </c>
      <c r="F143" s="26">
        <f t="shared" si="287"/>
        <v>1.2893114641984694E-4</v>
      </c>
      <c r="L143" t="str">
        <f t="shared" si="304"/>
        <v>91 Elementary trades and related occupations</v>
      </c>
      <c r="M143" s="26">
        <f t="shared" si="288"/>
        <v>8.6692073345825058E-2</v>
      </c>
      <c r="N143" s="26">
        <f t="shared" si="288"/>
        <v>-0.10580663659783848</v>
      </c>
      <c r="O143" s="26">
        <f t="shared" si="288"/>
        <v>2.0695363251312965E-2</v>
      </c>
      <c r="P143" s="26">
        <f t="shared" si="288"/>
        <v>6.8472902903951804E-2</v>
      </c>
      <c r="Q143" s="26">
        <f t="shared" si="289"/>
        <v>8.9168266155264769E-2</v>
      </c>
      <c r="W143" t="str">
        <f t="shared" si="305"/>
        <v>91 Elementary trades and related occupations</v>
      </c>
      <c r="X143" s="26">
        <f t="shared" si="290"/>
        <v>-0.14379190165806754</v>
      </c>
      <c r="Y143" s="26">
        <f t="shared" si="290"/>
        <v>-5.143760898975025E-2</v>
      </c>
      <c r="Z143" s="26">
        <f t="shared" si="290"/>
        <v>-3.1316847322684305E-2</v>
      </c>
      <c r="AA143" s="26">
        <f t="shared" si="290"/>
        <v>6.4458709285716231E-2</v>
      </c>
      <c r="AB143" s="26">
        <f t="shared" si="291"/>
        <v>3.3141861963031927E-2</v>
      </c>
      <c r="AH143" t="str">
        <f t="shared" si="306"/>
        <v>91 Elementary trades and related occupations</v>
      </c>
      <c r="AI143" s="26">
        <f t="shared" si="292"/>
        <v>-4.3539223877822886E-2</v>
      </c>
      <c r="AJ143" s="26">
        <f t="shared" si="292"/>
        <v>-6.7088552019472725E-2</v>
      </c>
      <c r="AK143" s="26">
        <f t="shared" si="292"/>
        <v>2.3519808320102309E-2</v>
      </c>
      <c r="AL143" s="26">
        <f t="shared" si="292"/>
        <v>0.15587712757279881</v>
      </c>
      <c r="AM143" s="26">
        <f t="shared" si="293"/>
        <v>0.17939693589290112</v>
      </c>
      <c r="AS143" t="str">
        <f t="shared" si="307"/>
        <v>91 Elementary trades and related occupations</v>
      </c>
      <c r="AT143" s="26">
        <f t="shared" si="294"/>
        <v>-0.13074208257155517</v>
      </c>
      <c r="AU143" s="26">
        <f t="shared" si="294"/>
        <v>-1.5204891539911836E-2</v>
      </c>
      <c r="AV143" s="26">
        <f t="shared" si="294"/>
        <v>-2.9194452798689596E-2</v>
      </c>
      <c r="AW143" s="26">
        <f t="shared" si="294"/>
        <v>3.9687028148193693E-2</v>
      </c>
      <c r="AX143" s="26">
        <f t="shared" si="295"/>
        <v>1.0492575349504096E-2</v>
      </c>
      <c r="BD143" t="str">
        <f t="shared" si="308"/>
        <v>91 Elementary trades and related occupations</v>
      </c>
      <c r="BE143" s="26">
        <f t="shared" si="296"/>
        <v>-0.73967615081571392</v>
      </c>
      <c r="BF143" s="26">
        <f t="shared" si="296"/>
        <v>0.2783603247508859</v>
      </c>
      <c r="BG143" s="26">
        <f t="shared" si="296"/>
        <v>-0.75833879816415628</v>
      </c>
      <c r="BH143" s="26">
        <f t="shared" si="296"/>
        <v>9.4725958051687709E-2</v>
      </c>
      <c r="BI143" s="26">
        <f t="shared" si="297"/>
        <v>-0.66361284011246857</v>
      </c>
      <c r="BO143" t="str">
        <f t="shared" si="309"/>
        <v>91 Elementary trades and related occupations</v>
      </c>
      <c r="BP143" s="26">
        <f t="shared" si="298"/>
        <v>-1.101573621138896</v>
      </c>
      <c r="BQ143" s="26">
        <f t="shared" si="298"/>
        <v>-0.12847570718437762</v>
      </c>
      <c r="BR143" s="26">
        <f t="shared" si="298"/>
        <v>-0.74295780838108794</v>
      </c>
      <c r="BS143" s="26">
        <f t="shared" si="298"/>
        <v>0.12794695483934948</v>
      </c>
      <c r="BT143" s="26">
        <f t="shared" si="299"/>
        <v>-0.61501085354173846</v>
      </c>
      <c r="BZ143" t="str">
        <f t="shared" si="310"/>
        <v>91 Elementary trades and related occupations</v>
      </c>
      <c r="CA143" s="67">
        <f t="shared" si="300"/>
        <v>0.22085380748135197</v>
      </c>
      <c r="CB143" s="67">
        <f t="shared" si="300"/>
        <v>-1.5756329409717953</v>
      </c>
      <c r="CC143" s="67">
        <f t="shared" si="300"/>
        <v>-0.77426901341050014</v>
      </c>
      <c r="CD143" s="67">
        <f t="shared" si="300"/>
        <v>-0.9488419594375217</v>
      </c>
      <c r="CE143" s="67">
        <f t="shared" si="301"/>
        <v>-1.7231109728480218</v>
      </c>
      <c r="CK143" t="str">
        <f t="shared" si="311"/>
        <v>91 Elementary trades and related occupations</v>
      </c>
      <c r="CL143" s="67">
        <f t="shared" si="302"/>
        <v>-0.56123832608234148</v>
      </c>
      <c r="CM143" s="67">
        <f t="shared" si="302"/>
        <v>-0.6011700134236877</v>
      </c>
      <c r="CN143" s="67">
        <f t="shared" si="302"/>
        <v>-0.71517886231612282</v>
      </c>
      <c r="CO143" s="67">
        <f t="shared" si="302"/>
        <v>-0.50481553828351666</v>
      </c>
      <c r="CP143" s="67">
        <f t="shared" si="303"/>
        <v>-1.2199944005996395</v>
      </c>
    </row>
    <row r="144" spans="1:94" x14ac:dyDescent="0.2">
      <c r="A144" t="str">
        <f t="shared" si="285"/>
        <v>92 Elementary administration and service occupations</v>
      </c>
      <c r="B144" s="26">
        <f t="shared" si="286"/>
        <v>3.3284425120472472E-2</v>
      </c>
      <c r="C144" s="26">
        <f t="shared" si="286"/>
        <v>-1.7505331191177601E-2</v>
      </c>
      <c r="D144" s="26">
        <f t="shared" si="286"/>
        <v>2.6943282878406666E-2</v>
      </c>
      <c r="E144" s="26">
        <f t="shared" si="286"/>
        <v>4.1650388553561374E-2</v>
      </c>
      <c r="F144" s="26">
        <f t="shared" si="287"/>
        <v>6.859367143196804E-2</v>
      </c>
      <c r="L144" t="str">
        <f t="shared" ref="L144" si="312">A144</f>
        <v>92 Elementary administration and service occupations</v>
      </c>
      <c r="M144" s="26">
        <f t="shared" si="288"/>
        <v>0.87779892054197139</v>
      </c>
      <c r="N144" s="26">
        <f t="shared" si="288"/>
        <v>-0.35753834576357812</v>
      </c>
      <c r="O144" s="26">
        <f t="shared" si="288"/>
        <v>0.77403946542450175</v>
      </c>
      <c r="P144" s="26">
        <f t="shared" si="288"/>
        <v>1.6259501501041864</v>
      </c>
      <c r="Q144" s="26">
        <f t="shared" si="289"/>
        <v>2.3999896155286882</v>
      </c>
      <c r="W144" t="str">
        <f t="shared" ref="W144" si="313">A144</f>
        <v>92 Elementary administration and service occupations</v>
      </c>
      <c r="X144" s="26">
        <f t="shared" si="290"/>
        <v>0.29502998903253896</v>
      </c>
      <c r="Y144" s="26">
        <f t="shared" si="290"/>
        <v>0.53897977487685722</v>
      </c>
      <c r="Z144" s="26">
        <f t="shared" si="290"/>
        <v>1.7942372071096084</v>
      </c>
      <c r="AA144" s="26">
        <f t="shared" si="290"/>
        <v>4.0501635771348621</v>
      </c>
      <c r="AB144" s="26">
        <f t="shared" si="291"/>
        <v>5.8444007842444705</v>
      </c>
      <c r="AH144" t="str">
        <f t="shared" ref="AH144" si="314">L144</f>
        <v>92 Elementary administration and service occupations</v>
      </c>
      <c r="AI144" s="26">
        <f t="shared" si="292"/>
        <v>0.28600511902027748</v>
      </c>
      <c r="AJ144" s="26">
        <f t="shared" si="292"/>
        <v>0.36872428933390067</v>
      </c>
      <c r="AK144" s="26">
        <f t="shared" si="292"/>
        <v>0.75576517860735803</v>
      </c>
      <c r="AL144" s="26">
        <f t="shared" si="292"/>
        <v>2.0486280558414443</v>
      </c>
      <c r="AM144" s="26">
        <f t="shared" si="293"/>
        <v>2.8043932344488023</v>
      </c>
      <c r="AS144" t="str">
        <f t="shared" ref="AS144" si="315">W144</f>
        <v>92 Elementary administration and service occupations</v>
      </c>
      <c r="AT144" s="26">
        <f t="shared" si="294"/>
        <v>5.6074576064049975E-2</v>
      </c>
      <c r="AU144" s="26">
        <f t="shared" si="294"/>
        <v>0.16277261495632711</v>
      </c>
      <c r="AV144" s="26">
        <f t="shared" si="294"/>
        <v>0.54581377991900926</v>
      </c>
      <c r="AW144" s="26">
        <f t="shared" si="294"/>
        <v>1.5401769701926198</v>
      </c>
      <c r="AX144" s="26">
        <f t="shared" si="295"/>
        <v>2.085990750111629</v>
      </c>
      <c r="BD144" t="str">
        <f t="shared" ref="BD144" si="316">AH144</f>
        <v>92 Elementary administration and service occupations</v>
      </c>
      <c r="BE144" s="26">
        <f t="shared" si="296"/>
        <v>-2.5025301809548992</v>
      </c>
      <c r="BF144" s="26">
        <f t="shared" si="296"/>
        <v>2.8517283761491328</v>
      </c>
      <c r="BG144" s="26">
        <f t="shared" si="296"/>
        <v>-1.7269220745190417</v>
      </c>
      <c r="BH144" s="26">
        <f t="shared" si="296"/>
        <v>0.78378608666030303</v>
      </c>
      <c r="BI144" s="26">
        <f t="shared" si="297"/>
        <v>-0.94313598785873864</v>
      </c>
      <c r="BO144" t="str">
        <f t="shared" ref="BO144" si="317">AS144</f>
        <v>92 Elementary administration and service occupations</v>
      </c>
      <c r="BP144" s="26">
        <f t="shared" si="298"/>
        <v>-0.44554149549114186</v>
      </c>
      <c r="BQ144" s="26">
        <f t="shared" si="298"/>
        <v>6.7178180330209614E-2</v>
      </c>
      <c r="BR144" s="26">
        <f t="shared" si="298"/>
        <v>0.44867633421969089</v>
      </c>
      <c r="BS144" s="26">
        <f t="shared" si="298"/>
        <v>-7.0030344409381939E-2</v>
      </c>
      <c r="BT144" s="26">
        <f t="shared" si="299"/>
        <v>0.37864598981030895</v>
      </c>
      <c r="BZ144" t="str">
        <f t="shared" ref="BZ144" si="318">BD144</f>
        <v>92 Elementary administration and service occupations</v>
      </c>
      <c r="CA144" s="67">
        <f t="shared" si="300"/>
        <v>3.0888407664507973</v>
      </c>
      <c r="CB144" s="67">
        <f t="shared" si="300"/>
        <v>-6.5907487404989773</v>
      </c>
      <c r="CC144" s="67">
        <f t="shared" si="300"/>
        <v>2.4756700005521992E-2</v>
      </c>
      <c r="CD144" s="67">
        <f t="shared" si="300"/>
        <v>-7.4987806135251098</v>
      </c>
      <c r="CE144" s="67">
        <f t="shared" si="301"/>
        <v>-7.4740239135195878</v>
      </c>
      <c r="CK144" t="str">
        <f t="shared" ref="CK144" si="319">BO144</f>
        <v>92 Elementary administration and service occupations</v>
      </c>
      <c r="CL144" s="67">
        <f t="shared" si="302"/>
        <v>-5.7446114488930213</v>
      </c>
      <c r="CM144" s="67">
        <f t="shared" si="302"/>
        <v>-4.1141618830833497</v>
      </c>
      <c r="CN144" s="67">
        <f t="shared" si="302"/>
        <v>-2.2251193374603737</v>
      </c>
      <c r="CO144" s="67">
        <f t="shared" si="302"/>
        <v>-2.7953093031081355</v>
      </c>
      <c r="CP144" s="67">
        <f t="shared" si="303"/>
        <v>-5.0204286405685092</v>
      </c>
    </row>
    <row r="145" spans="1:94" x14ac:dyDescent="0.2">
      <c r="C145" s="26"/>
      <c r="F145" s="26"/>
      <c r="N145" s="26"/>
      <c r="Q145" s="26"/>
      <c r="Y145" s="26"/>
      <c r="AB145" s="26"/>
      <c r="AJ145" s="26"/>
      <c r="AM145" s="26"/>
      <c r="AU145" s="26"/>
      <c r="AX145" s="26"/>
      <c r="BF145" s="26"/>
      <c r="BI145" s="26"/>
      <c r="BQ145" s="26"/>
      <c r="BT145" s="26"/>
      <c r="CA145" s="68"/>
      <c r="CB145" s="67"/>
      <c r="CC145" s="68"/>
      <c r="CD145" s="68"/>
      <c r="CE145" s="67"/>
      <c r="CL145" s="68"/>
      <c r="CM145" s="67"/>
      <c r="CN145" s="68"/>
      <c r="CO145" s="68"/>
      <c r="CP145" s="67"/>
    </row>
    <row r="146" spans="1:94" x14ac:dyDescent="0.2">
      <c r="A146" s="23" t="str">
        <f t="shared" ref="A146" si="320">A35</f>
        <v>All occupations</v>
      </c>
      <c r="B146" s="28">
        <f>C35-B35</f>
        <v>3.9819981983684105</v>
      </c>
      <c r="C146" s="28">
        <f>D35-C35</f>
        <v>-1.8619661796335585</v>
      </c>
      <c r="D146" s="28">
        <f>E35-D35</f>
        <v>3.7931249160871374</v>
      </c>
      <c r="E146" s="28">
        <f>F35-E35</f>
        <v>5.0717607166753744</v>
      </c>
      <c r="F146" s="28">
        <f>F35-D35</f>
        <v>8.8648856327625118</v>
      </c>
      <c r="L146" s="23" t="str">
        <f t="shared" ref="L146" si="321">L35</f>
        <v>All occupations</v>
      </c>
      <c r="M146" s="28">
        <f>N35-M35</f>
        <v>28.372220512036691</v>
      </c>
      <c r="N146" s="28">
        <f t="shared" ref="N146" si="322">O35-N35</f>
        <v>-13.326831798211629</v>
      </c>
      <c r="O146" s="28">
        <f>P35-O35</f>
        <v>20.404293532130339</v>
      </c>
      <c r="P146" s="28">
        <f>Q35-P35</f>
        <v>27.613277005942024</v>
      </c>
      <c r="Q146" s="28">
        <f>Q35-O35</f>
        <v>48.017570538072363</v>
      </c>
      <c r="W146" s="23" t="str">
        <f t="shared" ref="W146" si="323">W35</f>
        <v>All occupations</v>
      </c>
      <c r="X146" s="28">
        <f>Y35-X35</f>
        <v>-5.9269553141348581</v>
      </c>
      <c r="Y146" s="28">
        <f t="shared" ref="Y146" si="324">Z35-Y35</f>
        <v>20.998970856494793</v>
      </c>
      <c r="Z146" s="28">
        <f>AA35-Z35</f>
        <v>26.799637928502847</v>
      </c>
      <c r="AA146" s="28">
        <f>AB35-AA35</f>
        <v>58.815148120837506</v>
      </c>
      <c r="AB146" s="28">
        <f>AB35-Z35</f>
        <v>85.614786049340353</v>
      </c>
      <c r="AH146" s="23" t="str">
        <f t="shared" ref="AH146" si="325">AH35</f>
        <v>All occupations</v>
      </c>
      <c r="AI146" s="28">
        <f>AJ35-AI35</f>
        <v>-9.4356478728345934</v>
      </c>
      <c r="AJ146" s="28">
        <f t="shared" ref="AJ146" si="326">AK35-AJ35</f>
        <v>6.2081230976864816</v>
      </c>
      <c r="AK146" s="28">
        <f>AL35-AK35</f>
        <v>-1.7090195401878816</v>
      </c>
      <c r="AL146" s="28">
        <f>AM35-AL35</f>
        <v>6.3995162402326997</v>
      </c>
      <c r="AM146" s="28">
        <f>AM35-AK35</f>
        <v>4.6904967000448181</v>
      </c>
      <c r="AS146" s="23" t="str">
        <f t="shared" ref="AS146" si="327">AS35</f>
        <v>All occupations</v>
      </c>
      <c r="AT146" s="28">
        <f>AU35-AT35</f>
        <v>-3.8918556282790959</v>
      </c>
      <c r="AU146" s="28">
        <f t="shared" ref="AU146" si="328">AV35-AU35</f>
        <v>3.7010180988332664</v>
      </c>
      <c r="AV146" s="28">
        <f>AW35-AV35</f>
        <v>3.6657551335795233</v>
      </c>
      <c r="AW146" s="28">
        <f>AX35-AW35</f>
        <v>9.8555672632710909</v>
      </c>
      <c r="AX146" s="28">
        <f>AX35-AV35</f>
        <v>13.521322396850614</v>
      </c>
      <c r="BD146" s="23" t="str">
        <f t="shared" ref="BD146" si="329">BD35</f>
        <v>All occupations</v>
      </c>
      <c r="BE146" s="28">
        <f>BF35-BE35</f>
        <v>-9.1814057039919703</v>
      </c>
      <c r="BF146" s="28">
        <f t="shared" ref="BF146" si="330">BG35-BF35</f>
        <v>30.927648272329975</v>
      </c>
      <c r="BG146" s="28">
        <f>BH35-BG35</f>
        <v>-8.8789646420712529</v>
      </c>
      <c r="BH146" s="28">
        <f>BI35-BH35</f>
        <v>14.933880201951013</v>
      </c>
      <c r="BI146" s="28">
        <f>BI35-BG35</f>
        <v>6.0549155598797597</v>
      </c>
      <c r="BO146" s="23" t="str">
        <f t="shared" ref="BO146" si="331">BO35</f>
        <v>All occupations</v>
      </c>
      <c r="BP146" s="28">
        <f>BQ35-BP35</f>
        <v>-13.825560344245787</v>
      </c>
      <c r="BQ146" s="28">
        <f t="shared" ref="BQ146" si="332">BR35-BQ35</f>
        <v>-1.8673511277559101</v>
      </c>
      <c r="BR146" s="28">
        <f>BS35-BR35</f>
        <v>-9.9244207360779342</v>
      </c>
      <c r="BS146" s="28">
        <f>BT35-BS35</f>
        <v>-24.6663399012144</v>
      </c>
      <c r="BT146" s="28">
        <f>BT35-BR35</f>
        <v>-34.590760637292334</v>
      </c>
      <c r="BZ146" s="23" t="str">
        <f t="shared" ref="BZ146" si="333">BZ35</f>
        <v>All occupations</v>
      </c>
      <c r="CA146" s="69">
        <f>CB35-CA35</f>
        <v>10.2073718668114</v>
      </c>
      <c r="CB146" s="69">
        <f t="shared" ref="CB146" si="334">CC35-CB35</f>
        <v>-35.249734879631191</v>
      </c>
      <c r="CC146" s="69">
        <f>CD35-CC35</f>
        <v>-7.5210202442465288</v>
      </c>
      <c r="CD146" s="69">
        <f>CE35-CD35</f>
        <v>-44.875863805182348</v>
      </c>
      <c r="CE146" s="69">
        <f>CE35-CC35</f>
        <v>-52.396884049428877</v>
      </c>
      <c r="CK146" s="23" t="str">
        <f t="shared" ref="CK146" si="335">CK35</f>
        <v>All occupations</v>
      </c>
      <c r="CL146" s="69">
        <f>CM35-CL35</f>
        <v>-13.13516571460471</v>
      </c>
      <c r="CM146" s="69">
        <f t="shared" ref="CM146" si="336">CN35-CM35</f>
        <v>-15.058876340600094</v>
      </c>
      <c r="CN146" s="69">
        <f>CO35-CN35</f>
        <v>-7.1923863475743062</v>
      </c>
      <c r="CO146" s="69">
        <f>CP35-CO35</f>
        <v>-10.925945842731956</v>
      </c>
      <c r="CP146" s="69">
        <f>CP35-CN35</f>
        <v>-18.118332190306262</v>
      </c>
    </row>
  </sheetData>
  <mergeCells count="36">
    <mergeCell ref="W1:AF1"/>
    <mergeCell ref="L1:U1"/>
    <mergeCell ref="A1:J1"/>
    <mergeCell ref="A38:J38"/>
    <mergeCell ref="L38:U38"/>
    <mergeCell ref="W38:AF38"/>
    <mergeCell ref="A75:J75"/>
    <mergeCell ref="L75:U75"/>
    <mergeCell ref="W75:AF75"/>
    <mergeCell ref="A112:J112"/>
    <mergeCell ref="L112:U112"/>
    <mergeCell ref="W112:AF112"/>
    <mergeCell ref="AH1:AQ1"/>
    <mergeCell ref="AH38:AQ38"/>
    <mergeCell ref="AH75:AQ75"/>
    <mergeCell ref="AH112:AQ112"/>
    <mergeCell ref="AS1:BB1"/>
    <mergeCell ref="AS38:BB38"/>
    <mergeCell ref="AS75:BB75"/>
    <mergeCell ref="AS112:BB112"/>
    <mergeCell ref="BD1:BM1"/>
    <mergeCell ref="BD38:BM38"/>
    <mergeCell ref="BD75:BM75"/>
    <mergeCell ref="BD112:BM112"/>
    <mergeCell ref="BO1:BX1"/>
    <mergeCell ref="BO38:BX38"/>
    <mergeCell ref="BO75:BX75"/>
    <mergeCell ref="BO112:BX112"/>
    <mergeCell ref="BZ1:CI1"/>
    <mergeCell ref="BZ38:CI38"/>
    <mergeCell ref="BZ75:CI75"/>
    <mergeCell ref="BZ112:CI112"/>
    <mergeCell ref="CK1:CT1"/>
    <mergeCell ref="CK38:CT38"/>
    <mergeCell ref="CK75:CT75"/>
    <mergeCell ref="CK112:CT112"/>
  </mergeCells>
  <pageMargins left="0.39370078740157483" right="0.39370078740157483" top="0.19685039370078741" bottom="0.19685039370078741" header="0.19685039370078741" footer="0.19685039370078741"/>
  <pageSetup paperSize="9" scale="72" fitToHeight="0" orientation="portrait" r:id="rId1"/>
  <headerFooter alignWithMargins="0"/>
  <rowBreaks count="1" manualBreakCount="1">
    <brk id="74" max="16383" man="1"/>
  </rowBreaks>
  <colBreaks count="8" manualBreakCount="8">
    <brk id="10" max="141" man="1"/>
    <brk id="21" max="141" man="1"/>
    <brk id="32" max="141" man="1"/>
    <brk id="43" max="141" man="1"/>
    <brk id="54" max="141" man="1"/>
    <brk id="65" max="141" man="1"/>
    <brk id="76" max="141" man="1"/>
    <brk id="87" max="141" man="1"/>
  </colBreaks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heet49"/>
  <dimension ref="A1:AG37"/>
  <sheetViews>
    <sheetView showGridLines="0" zoomScale="85" zoomScaleNormal="85" workbookViewId="0"/>
  </sheetViews>
  <sheetFormatPr defaultColWidth="9.140625" defaultRowHeight="12.75" x14ac:dyDescent="0.2"/>
  <cols>
    <col min="1" max="1" width="55.7109375" style="90" customWidth="1"/>
    <col min="2" max="4" width="11.7109375" style="90" customWidth="1"/>
    <col min="5" max="5" width="14.7109375" style="90" customWidth="1"/>
    <col min="6" max="8" width="11.7109375" style="90" customWidth="1"/>
    <col min="9" max="9" width="16.5703125" style="90" customWidth="1"/>
    <col min="10" max="11" width="11.7109375" style="90" customWidth="1"/>
    <col min="12" max="12" width="2.7109375" style="90" customWidth="1"/>
    <col min="13" max="22" width="11.7109375" style="90" customWidth="1"/>
    <col min="23" max="23" width="2.7109375" style="90" customWidth="1"/>
    <col min="24" max="32" width="11.7109375" style="90" customWidth="1"/>
    <col min="33" max="33" width="12.85546875" style="90" customWidth="1"/>
    <col min="34" max="16384" width="9.140625" style="90"/>
  </cols>
  <sheetData>
    <row r="1" spans="1:33" ht="15.75" x14ac:dyDescent="0.25">
      <c r="A1" s="18" t="str">
        <f>CONCATENATE("Basic Table 3  Occupation by Qualification in ",A$6,", ",Info!B5)</f>
        <v>Basic Table 3  Occupation by Qualification in 2020, North East</v>
      </c>
    </row>
    <row r="2" spans="1:33" x14ac:dyDescent="0.2">
      <c r="A2" s="181" t="s">
        <v>540</v>
      </c>
    </row>
    <row r="3" spans="1:33" x14ac:dyDescent="0.2">
      <c r="AG3" s="91"/>
    </row>
    <row r="4" spans="1:33" x14ac:dyDescent="0.2">
      <c r="A4" s="95"/>
      <c r="B4" s="94" t="s">
        <v>466</v>
      </c>
      <c r="C4" s="94"/>
      <c r="D4" s="94"/>
      <c r="E4" s="94"/>
      <c r="F4" s="94"/>
      <c r="G4" s="94"/>
      <c r="H4" s="94"/>
      <c r="I4" s="94"/>
      <c r="J4" s="94"/>
      <c r="K4" s="94"/>
      <c r="L4" s="95"/>
      <c r="M4" s="94" t="s">
        <v>464</v>
      </c>
      <c r="N4" s="94"/>
      <c r="O4" s="94"/>
      <c r="P4" s="94"/>
      <c r="Q4" s="94"/>
      <c r="R4" s="94"/>
      <c r="S4" s="94"/>
      <c r="T4" s="94"/>
      <c r="U4" s="94"/>
      <c r="V4" s="94"/>
      <c r="W4" s="95"/>
      <c r="X4" s="94" t="s">
        <v>465</v>
      </c>
      <c r="Y4" s="94"/>
      <c r="Z4" s="94"/>
      <c r="AA4" s="94"/>
      <c r="AB4" s="94"/>
      <c r="AC4" s="94"/>
      <c r="AD4" s="94"/>
      <c r="AE4" s="94"/>
      <c r="AF4" s="94"/>
    </row>
    <row r="5" spans="1:33" x14ac:dyDescent="0.2">
      <c r="B5" s="91"/>
      <c r="C5" s="91"/>
      <c r="D5" s="91"/>
      <c r="E5" s="91"/>
      <c r="F5" s="91"/>
      <c r="G5" s="91"/>
      <c r="H5" s="91"/>
      <c r="I5" s="91"/>
      <c r="J5" s="91"/>
      <c r="K5" s="91"/>
      <c r="M5" s="91"/>
      <c r="N5" s="91"/>
      <c r="O5" s="91"/>
      <c r="P5" s="91"/>
      <c r="Q5" s="91"/>
      <c r="R5" s="91"/>
      <c r="S5" s="91"/>
      <c r="T5" s="91"/>
      <c r="U5" s="91"/>
      <c r="V5" s="91"/>
      <c r="X5" s="91"/>
      <c r="Y5" s="91"/>
      <c r="Z5" s="91"/>
      <c r="AA5" s="91"/>
      <c r="AB5" s="91"/>
      <c r="AC5" s="91"/>
      <c r="AD5" s="91"/>
      <c r="AE5" s="91"/>
      <c r="AF5" s="91"/>
      <c r="AG5" s="91"/>
    </row>
    <row r="6" spans="1:33" ht="51" x14ac:dyDescent="0.2">
      <c r="A6" s="99">
        <f>'Basic T2'!D6</f>
        <v>2020</v>
      </c>
      <c r="B6" s="235" t="str">
        <f>name!$F$4</f>
        <v>RQF8 Doctorate</v>
      </c>
      <c r="C6" s="235" t="str">
        <f>name!$F$5</f>
        <v>RQF7 Other higher degree</v>
      </c>
      <c r="D6" s="235" t="str">
        <f>name!$F$6</f>
        <v>RQF6 First degree</v>
      </c>
      <c r="E6" s="235" t="str">
        <f>name!$F$7</f>
        <v>RQF5 Foundation degree;Nursing;Teaching</v>
      </c>
      <c r="F6" s="235" t="str">
        <f>name!$F$8</f>
        <v>RQF4 HE below degree level</v>
      </c>
      <c r="G6" s="235" t="str">
        <f>name!$F$9</f>
        <v>RQF3 A level &amp; equivalent</v>
      </c>
      <c r="H6" s="235" t="str">
        <f>name!$F$10</f>
        <v>RQF2 GCSE(A-C) &amp; equivalent</v>
      </c>
      <c r="I6" s="235" t="str">
        <f>name!$F$11</f>
        <v>RQF1 GCSE(below grade C) &amp; equivalent</v>
      </c>
      <c r="J6" s="235" t="str">
        <f>name!$F$12</f>
        <v>No Qualification</v>
      </c>
      <c r="K6" s="235" t="str">
        <f>name!$F$3</f>
        <v>All qualifications</v>
      </c>
      <c r="L6" s="91"/>
      <c r="M6" s="235" t="str">
        <f>name!$F$4</f>
        <v>RQF8 Doctorate</v>
      </c>
      <c r="N6" s="235" t="str">
        <f>name!$F$5</f>
        <v>RQF7 Other higher degree</v>
      </c>
      <c r="O6" s="235" t="str">
        <f>name!$F$6</f>
        <v>RQF6 First degree</v>
      </c>
      <c r="P6" s="235" t="str">
        <f>name!$F$7</f>
        <v>RQF5 Foundation degree;Nursing;Teaching</v>
      </c>
      <c r="Q6" s="235" t="str">
        <f>name!$F$8</f>
        <v>RQF4 HE below degree level</v>
      </c>
      <c r="R6" s="235" t="str">
        <f>name!$F$9</f>
        <v>RQF3 A level &amp; equivalent</v>
      </c>
      <c r="S6" s="235" t="str">
        <f>name!$F$10</f>
        <v>RQF2 GCSE(A-C) &amp; equivalent</v>
      </c>
      <c r="T6" s="235" t="str">
        <f>name!$F$11</f>
        <v>RQF1 GCSE(below grade C) &amp; equivalent</v>
      </c>
      <c r="U6" s="235" t="str">
        <f>name!$F$12</f>
        <v>No Qualification</v>
      </c>
      <c r="V6" s="235" t="str">
        <f>name!$F$3</f>
        <v>All qualifications</v>
      </c>
      <c r="W6" s="91"/>
      <c r="X6" s="235" t="str">
        <f>name!$F$4</f>
        <v>RQF8 Doctorate</v>
      </c>
      <c r="Y6" s="235" t="str">
        <f>name!$F$5</f>
        <v>RQF7 Other higher degree</v>
      </c>
      <c r="Z6" s="235" t="str">
        <f>name!$F$6</f>
        <v>RQF6 First degree</v>
      </c>
      <c r="AA6" s="235" t="str">
        <f>name!$F$7</f>
        <v>RQF5 Foundation degree;Nursing;Teaching</v>
      </c>
      <c r="AB6" s="235" t="str">
        <f>name!$F$8</f>
        <v>RQF4 HE below degree level</v>
      </c>
      <c r="AC6" s="235" t="str">
        <f>name!$F$9</f>
        <v>RQF3 A level &amp; equivalent</v>
      </c>
      <c r="AD6" s="235" t="str">
        <f>name!$F$10</f>
        <v>RQF2 GCSE(A-C) &amp; equivalent</v>
      </c>
      <c r="AE6" s="235" t="str">
        <f>name!$F$11</f>
        <v>RQF1 GCSE(below grade C) &amp; equivalent</v>
      </c>
      <c r="AF6" s="235" t="str">
        <f>name!$F$12</f>
        <v>No Qualification</v>
      </c>
      <c r="AG6" s="235" t="str">
        <f>name!$F$3</f>
        <v>All qualifications</v>
      </c>
    </row>
    <row r="8" spans="1:33" x14ac:dyDescent="0.2">
      <c r="A8" s="10" t="str">
        <f>name!D4</f>
        <v>11 Corporate managers and directors</v>
      </c>
      <c r="B8" s="68">
        <f>'Basic T2'!D8</f>
        <v>0.66384549097551093</v>
      </c>
      <c r="C8" s="68">
        <f>'Basic T2'!O8</f>
        <v>6.4011006291155885</v>
      </c>
      <c r="D8" s="68">
        <f>'Basic T2'!Z8</f>
        <v>16.009103654096961</v>
      </c>
      <c r="E8" s="68">
        <f>'Basic T2'!AK8</f>
        <v>3.8898592043068567</v>
      </c>
      <c r="F8" s="68">
        <f>'Basic T2'!AV8</f>
        <v>4.0459600715216153</v>
      </c>
      <c r="G8" s="68">
        <f>'Basic T2'!BG8</f>
        <v>14.721220762154775</v>
      </c>
      <c r="H8" s="68">
        <f>'Basic T2'!BR8</f>
        <v>9.9121623140486932</v>
      </c>
      <c r="I8" s="68">
        <f>'Basic T2'!CC8</f>
        <v>4.8169446146861983</v>
      </c>
      <c r="J8" s="68">
        <f>'Basic T2'!CN8</f>
        <v>1.308192452852043</v>
      </c>
      <c r="K8" s="309">
        <f>SUM(B8:J8)</f>
        <v>61.768389193758239</v>
      </c>
      <c r="L8" s="96"/>
      <c r="M8" s="96">
        <f t="shared" ref="M8:M33" si="0">B8/B$35*100</f>
        <v>4.1526199164016431</v>
      </c>
      <c r="N8" s="96">
        <f t="shared" ref="N8:N33" si="1">C8/C$35*100</f>
        <v>6.2416319235157349</v>
      </c>
      <c r="O8" s="96">
        <f t="shared" ref="O8:O33" si="2">D8/D$35*100</f>
        <v>7.4675120212690889</v>
      </c>
      <c r="P8" s="96">
        <f t="shared" ref="P8:P33" si="3">E8/E$35*100</f>
        <v>5.9028342900295296</v>
      </c>
      <c r="Q8" s="96">
        <f t="shared" ref="Q8:Q33" si="4">F8/F$35*100</f>
        <v>7.3111579782975857</v>
      </c>
      <c r="R8" s="96">
        <f t="shared" ref="R8:R33" si="5">G8/G$35*100</f>
        <v>4.9990961170797057</v>
      </c>
      <c r="S8" s="96">
        <f t="shared" ref="S8:S33" si="6">H8/H$35*100</f>
        <v>3.7237819941749963</v>
      </c>
      <c r="T8" s="96">
        <f t="shared" ref="T8:T33" si="7">I8/I$35*100</f>
        <v>3.7741500513128932</v>
      </c>
      <c r="U8" s="96">
        <f t="shared" ref="U8:U33" si="8">J8/J$35*100</f>
        <v>2.7902795240294163</v>
      </c>
      <c r="V8" s="96">
        <f t="shared" ref="V8:V33" si="9">K8/K$35*100</f>
        <v>5.1935057366943465</v>
      </c>
      <c r="W8" s="96"/>
      <c r="X8" s="96">
        <f t="shared" ref="X8:X32" si="10">IF($K8&gt;0,B8/$K8*100,0)</f>
        <v>1.0747333703217132</v>
      </c>
      <c r="Y8" s="96">
        <f t="shared" ref="Y8:AG23" si="11">IF($K8&gt;0,C8/$K8*100,0)</f>
        <v>10.363068735751371</v>
      </c>
      <c r="Z8" s="96">
        <f t="shared" si="11"/>
        <v>25.917955548231614</v>
      </c>
      <c r="AA8" s="96">
        <f t="shared" si="11"/>
        <v>6.2974917349794364</v>
      </c>
      <c r="AB8" s="96">
        <f t="shared" si="11"/>
        <v>6.550211401547223</v>
      </c>
      <c r="AC8" s="96">
        <f t="shared" si="11"/>
        <v>23.832936157646103</v>
      </c>
      <c r="AD8" s="96">
        <f t="shared" si="11"/>
        <v>16.047305820062292</v>
      </c>
      <c r="AE8" s="96">
        <f t="shared" si="11"/>
        <v>7.7983976554353074</v>
      </c>
      <c r="AF8" s="96">
        <f>IF($K8&gt;0,J8/$K8*100,0)</f>
        <v>2.1178995760249437</v>
      </c>
      <c r="AG8" s="96">
        <f t="shared" si="11"/>
        <v>100</v>
      </c>
    </row>
    <row r="9" spans="1:33" x14ac:dyDescent="0.2">
      <c r="A9" s="10" t="str">
        <f>name!D5</f>
        <v>12 Other managers and proprietors</v>
      </c>
      <c r="B9" s="68">
        <f>'Basic T2'!D9</f>
        <v>0.32870316294012958</v>
      </c>
      <c r="C9" s="68">
        <f>'Basic T2'!O9</f>
        <v>3.005514797930231</v>
      </c>
      <c r="D9" s="68">
        <f>'Basic T2'!Z9</f>
        <v>7.6713435800824596</v>
      </c>
      <c r="E9" s="68">
        <f>'Basic T2'!AK9</f>
        <v>2.7443348037455175</v>
      </c>
      <c r="F9" s="68">
        <f>'Basic T2'!AV9</f>
        <v>2.2651946128761997</v>
      </c>
      <c r="G9" s="68">
        <f>'Basic T2'!BG9</f>
        <v>8.0535010961609164</v>
      </c>
      <c r="H9" s="68">
        <f>'Basic T2'!BR9</f>
        <v>8.1562481269553047</v>
      </c>
      <c r="I9" s="68">
        <f>'Basic T2'!CC9</f>
        <v>4.3341944582299945</v>
      </c>
      <c r="J9" s="68">
        <f>'Basic T2'!CN9</f>
        <v>1.4003242515782401</v>
      </c>
      <c r="K9" s="309">
        <f>SUM(B9:J9)</f>
        <v>37.959358890498997</v>
      </c>
      <c r="L9" s="96"/>
      <c r="M9" s="96">
        <f t="shared" si="0"/>
        <v>2.0561701774965435</v>
      </c>
      <c r="N9" s="96">
        <f t="shared" si="1"/>
        <v>2.9306393066268925</v>
      </c>
      <c r="O9" s="96">
        <f t="shared" si="2"/>
        <v>3.5783296580062394</v>
      </c>
      <c r="P9" s="96">
        <f t="shared" si="3"/>
        <v>4.1645089788685814</v>
      </c>
      <c r="Q9" s="96">
        <f t="shared" si="4"/>
        <v>4.093267203227283</v>
      </c>
      <c r="R9" s="96">
        <f t="shared" si="5"/>
        <v>2.7348428985058044</v>
      </c>
      <c r="S9" s="96">
        <f t="shared" si="6"/>
        <v>3.0641235436724812</v>
      </c>
      <c r="T9" s="96">
        <f t="shared" si="7"/>
        <v>3.3959078929526854</v>
      </c>
      <c r="U9" s="96">
        <f t="shared" si="8"/>
        <v>2.9867899617232365</v>
      </c>
      <c r="V9" s="96">
        <f t="shared" si="9"/>
        <v>3.1916349241460793</v>
      </c>
      <c r="W9" s="96"/>
      <c r="X9" s="96">
        <f t="shared" si="10"/>
        <v>0.86593444290862887</v>
      </c>
      <c r="Y9" s="96">
        <f t="shared" si="11"/>
        <v>7.9177174899086449</v>
      </c>
      <c r="Z9" s="96">
        <f t="shared" si="11"/>
        <v>20.209360232378824</v>
      </c>
      <c r="AA9" s="96">
        <f t="shared" si="11"/>
        <v>7.2296658425187692</v>
      </c>
      <c r="AB9" s="96">
        <f t="shared" si="11"/>
        <v>5.9674206284952946</v>
      </c>
      <c r="AC9" s="96">
        <f t="shared" si="11"/>
        <v>21.216114633002032</v>
      </c>
      <c r="AD9" s="96">
        <f t="shared" si="11"/>
        <v>21.486791045348149</v>
      </c>
      <c r="AE9" s="96">
        <f t="shared" si="11"/>
        <v>11.417986459499499</v>
      </c>
      <c r="AF9" s="96">
        <f t="shared" si="11"/>
        <v>3.6890092259401488</v>
      </c>
      <c r="AG9" s="96">
        <f t="shared" si="11"/>
        <v>100</v>
      </c>
    </row>
    <row r="10" spans="1:33" x14ac:dyDescent="0.2">
      <c r="A10" s="10" t="str">
        <f>name!D6</f>
        <v>21 Science, research, engineering and technology professionals</v>
      </c>
      <c r="B10" s="68">
        <f>'Basic T2'!D10</f>
        <v>2.4486249154106621</v>
      </c>
      <c r="C10" s="68">
        <f>'Basic T2'!O10</f>
        <v>9.7305561490260892</v>
      </c>
      <c r="D10" s="68">
        <f>'Basic T2'!Z10</f>
        <v>17.272215740240924</v>
      </c>
      <c r="E10" s="68">
        <f>'Basic T2'!AK10</f>
        <v>1.8756998945936794</v>
      </c>
      <c r="F10" s="68">
        <f>'Basic T2'!AV10</f>
        <v>5.0828266615625282</v>
      </c>
      <c r="G10" s="68">
        <f>'Basic T2'!BG10</f>
        <v>10.952044512273948</v>
      </c>
      <c r="H10" s="68">
        <f>'Basic T2'!BR10</f>
        <v>6.5460546858901987</v>
      </c>
      <c r="I10" s="68">
        <f>'Basic T2'!CC10</f>
        <v>3.0702730144017965</v>
      </c>
      <c r="J10" s="68">
        <f>'Basic T2'!CN10</f>
        <v>0.71541597617226449</v>
      </c>
      <c r="K10" s="309">
        <f t="shared" ref="K10:K32" si="12">SUM(B10:J10)</f>
        <v>57.6937115495721</v>
      </c>
      <c r="L10" s="96"/>
      <c r="M10" s="96">
        <f t="shared" si="0"/>
        <v>15.317131365296428</v>
      </c>
      <c r="N10" s="96">
        <f t="shared" si="1"/>
        <v>9.4881417137969581</v>
      </c>
      <c r="O10" s="96">
        <f t="shared" si="2"/>
        <v>8.0566958313868042</v>
      </c>
      <c r="P10" s="96">
        <f t="shared" si="3"/>
        <v>2.8463615452593944</v>
      </c>
      <c r="Q10" s="96">
        <f t="shared" si="4"/>
        <v>9.1848036169597762</v>
      </c>
      <c r="R10" s="96">
        <f t="shared" si="5"/>
        <v>3.7191428672915903</v>
      </c>
      <c r="S10" s="96">
        <f t="shared" si="6"/>
        <v>2.4592091815984598</v>
      </c>
      <c r="T10" s="96">
        <f t="shared" si="7"/>
        <v>2.4056060390480565</v>
      </c>
      <c r="U10" s="96">
        <f t="shared" si="8"/>
        <v>1.5259303362628085</v>
      </c>
      <c r="V10" s="96">
        <f t="shared" si="9"/>
        <v>4.8509055491796733</v>
      </c>
      <c r="W10" s="96"/>
      <c r="X10" s="96">
        <f t="shared" si="10"/>
        <v>4.2441799108499598</v>
      </c>
      <c r="Y10" s="96">
        <f t="shared" si="11"/>
        <v>16.865886918482119</v>
      </c>
      <c r="Z10" s="96">
        <f t="shared" si="11"/>
        <v>29.937778791368171</v>
      </c>
      <c r="AA10" s="96">
        <f t="shared" si="11"/>
        <v>3.251134039074647</v>
      </c>
      <c r="AB10" s="96">
        <f t="shared" si="11"/>
        <v>8.8100185012281926</v>
      </c>
      <c r="AC10" s="96">
        <f t="shared" si="11"/>
        <v>18.983081895959554</v>
      </c>
      <c r="AD10" s="96">
        <f t="shared" si="11"/>
        <v>11.346218695369666</v>
      </c>
      <c r="AE10" s="96">
        <f t="shared" si="11"/>
        <v>5.3216770631297132</v>
      </c>
      <c r="AF10" s="96">
        <f t="shared" si="11"/>
        <v>1.2400241845379605</v>
      </c>
      <c r="AG10" s="96">
        <f t="shared" si="11"/>
        <v>100</v>
      </c>
    </row>
    <row r="11" spans="1:33" x14ac:dyDescent="0.2">
      <c r="A11" s="10" t="str">
        <f>name!D7</f>
        <v>22 Health professionals</v>
      </c>
      <c r="B11" s="68">
        <f>'Basic T2'!D11</f>
        <v>4.5457782901718593</v>
      </c>
      <c r="C11" s="68">
        <f>'Basic T2'!O11</f>
        <v>12.835572045886286</v>
      </c>
      <c r="D11" s="68">
        <f>'Basic T2'!Z11</f>
        <v>31.285816991127721</v>
      </c>
      <c r="E11" s="68">
        <f>'Basic T2'!AK11</f>
        <v>10.362714428725651</v>
      </c>
      <c r="F11" s="68">
        <f>'Basic T2'!AV11</f>
        <v>2.0694174367974485</v>
      </c>
      <c r="G11" s="68">
        <f>'Basic T2'!BG11</f>
        <v>9.6793938939425317</v>
      </c>
      <c r="H11" s="68">
        <f>'Basic T2'!BR11</f>
        <v>6.7429588744627775</v>
      </c>
      <c r="I11" s="68">
        <f>'Basic T2'!CC11</f>
        <v>2.6984409000285625</v>
      </c>
      <c r="J11" s="68">
        <f>'Basic T2'!CN11</f>
        <v>0.38048312314000582</v>
      </c>
      <c r="K11" s="309">
        <f t="shared" si="12"/>
        <v>80.600575984282841</v>
      </c>
      <c r="L11" s="96"/>
      <c r="M11" s="96">
        <f t="shared" si="0"/>
        <v>28.435667214632375</v>
      </c>
      <c r="N11" s="96">
        <f t="shared" si="1"/>
        <v>12.515803278233909</v>
      </c>
      <c r="O11" s="96">
        <f t="shared" si="2"/>
        <v>14.593397577051878</v>
      </c>
      <c r="P11" s="96">
        <f t="shared" si="3"/>
        <v>15.725347076814172</v>
      </c>
      <c r="Q11" s="96">
        <f t="shared" si="4"/>
        <v>3.7394926138704423</v>
      </c>
      <c r="R11" s="96">
        <f t="shared" si="5"/>
        <v>3.2869706400497209</v>
      </c>
      <c r="S11" s="96">
        <f t="shared" si="6"/>
        <v>2.5331817668682746</v>
      </c>
      <c r="T11" s="96">
        <f t="shared" si="7"/>
        <v>2.1142698693808981</v>
      </c>
      <c r="U11" s="96">
        <f t="shared" si="8"/>
        <v>0.8115428776719863</v>
      </c>
      <c r="V11" s="96">
        <f t="shared" si="9"/>
        <v>6.7769219696203669</v>
      </c>
      <c r="W11" s="96"/>
      <c r="X11" s="96">
        <f t="shared" si="10"/>
        <v>5.6398831331655606</v>
      </c>
      <c r="Y11" s="96">
        <f t="shared" si="11"/>
        <v>15.924913549487824</v>
      </c>
      <c r="Z11" s="96">
        <f t="shared" si="11"/>
        <v>38.815872726800954</v>
      </c>
      <c r="AA11" s="96">
        <f t="shared" si="11"/>
        <v>12.856873914581438</v>
      </c>
      <c r="AB11" s="96">
        <f t="shared" si="11"/>
        <v>2.5674970824042074</v>
      </c>
      <c r="AC11" s="96">
        <f t="shared" si="11"/>
        <v>12.009087746258809</v>
      </c>
      <c r="AD11" s="96">
        <f t="shared" si="11"/>
        <v>8.3658941541282026</v>
      </c>
      <c r="AE11" s="96">
        <f t="shared" si="11"/>
        <v>3.347917638398465</v>
      </c>
      <c r="AF11" s="96">
        <f t="shared" si="11"/>
        <v>0.47206005477454682</v>
      </c>
      <c r="AG11" s="96">
        <f t="shared" si="11"/>
        <v>100</v>
      </c>
    </row>
    <row r="12" spans="1:33" x14ac:dyDescent="0.2">
      <c r="A12" s="10" t="str">
        <f>name!D8</f>
        <v>23 Teaching and other educational professionals</v>
      </c>
      <c r="B12" s="68">
        <f>'Basic T2'!D12</f>
        <v>4.6234101431584635</v>
      </c>
      <c r="C12" s="68">
        <f>'Basic T2'!O12</f>
        <v>26.217387211712566</v>
      </c>
      <c r="D12" s="68">
        <f>'Basic T2'!Z12</f>
        <v>15.169663260346805</v>
      </c>
      <c r="E12" s="68">
        <f>'Basic T2'!AK12</f>
        <v>0.82849550116029125</v>
      </c>
      <c r="F12" s="68">
        <f>'Basic T2'!AV12</f>
        <v>0.38145739640496434</v>
      </c>
      <c r="G12" s="68">
        <f>'Basic T2'!BG12</f>
        <v>2.8265777786891908</v>
      </c>
      <c r="H12" s="68">
        <f>'Basic T2'!BR12</f>
        <v>2.0789444658441996</v>
      </c>
      <c r="I12" s="68">
        <f>'Basic T2'!CC12</f>
        <v>1.2695718398508142</v>
      </c>
      <c r="J12" s="68">
        <f>'Basic T2'!CN12</f>
        <v>0.31306759862107636</v>
      </c>
      <c r="K12" s="309">
        <f t="shared" si="12"/>
        <v>53.70857519578837</v>
      </c>
      <c r="L12" s="96"/>
      <c r="M12" s="96">
        <f t="shared" si="0"/>
        <v>28.921285605119014</v>
      </c>
      <c r="N12" s="96">
        <f t="shared" si="1"/>
        <v>25.564241284925348</v>
      </c>
      <c r="O12" s="96">
        <f t="shared" si="2"/>
        <v>7.0759516087119527</v>
      </c>
      <c r="P12" s="96">
        <f t="shared" si="3"/>
        <v>1.2572361611364828</v>
      </c>
      <c r="Q12" s="96">
        <f t="shared" si="4"/>
        <v>0.68930370982576827</v>
      </c>
      <c r="R12" s="96">
        <f t="shared" si="5"/>
        <v>0.95986156490466401</v>
      </c>
      <c r="S12" s="96">
        <f t="shared" si="6"/>
        <v>0.78101384173543664</v>
      </c>
      <c r="T12" s="96">
        <f t="shared" si="7"/>
        <v>0.99472902592850387</v>
      </c>
      <c r="U12" s="96">
        <f t="shared" si="8"/>
        <v>0.66775045840158787</v>
      </c>
      <c r="V12" s="96">
        <f t="shared" si="9"/>
        <v>4.5158340217360458</v>
      </c>
      <c r="W12" s="96"/>
      <c r="X12" s="96">
        <f t="shared" si="10"/>
        <v>8.6083276763614727</v>
      </c>
      <c r="Y12" s="96">
        <f t="shared" si="11"/>
        <v>48.81415512539688</v>
      </c>
      <c r="Z12" s="96">
        <f t="shared" si="11"/>
        <v>28.244397109861062</v>
      </c>
      <c r="AA12" s="96">
        <f t="shared" si="11"/>
        <v>1.5425758328909438</v>
      </c>
      <c r="AB12" s="96">
        <f t="shared" si="11"/>
        <v>0.71023555366048297</v>
      </c>
      <c r="AC12" s="96">
        <f t="shared" si="11"/>
        <v>5.262805368388995</v>
      </c>
      <c r="AD12" s="96">
        <f t="shared" si="11"/>
        <v>3.8707868497081686</v>
      </c>
      <c r="AE12" s="96">
        <f t="shared" si="11"/>
        <v>2.3638158994587695</v>
      </c>
      <c r="AF12" s="96">
        <f t="shared" si="11"/>
        <v>0.58290058427322788</v>
      </c>
      <c r="AG12" s="96">
        <f t="shared" si="11"/>
        <v>100</v>
      </c>
    </row>
    <row r="13" spans="1:33" x14ac:dyDescent="0.2">
      <c r="A13" s="10" t="str">
        <f>name!D9</f>
        <v>24 Business, media and public service professionals</v>
      </c>
      <c r="B13" s="68">
        <f>'Basic T2'!D13</f>
        <v>0.93027502535722006</v>
      </c>
      <c r="C13" s="68">
        <f>'Basic T2'!O13</f>
        <v>12.093066802083939</v>
      </c>
      <c r="D13" s="68">
        <f>'Basic T2'!Z13</f>
        <v>22.552252189724449</v>
      </c>
      <c r="E13" s="68">
        <f>'Basic T2'!AK13</f>
        <v>2.1479161395700883</v>
      </c>
      <c r="F13" s="68">
        <f>'Basic T2'!AV13</f>
        <v>3.1559591828315572</v>
      </c>
      <c r="G13" s="68">
        <f>'Basic T2'!BG13</f>
        <v>11.200901089655217</v>
      </c>
      <c r="H13" s="68">
        <f>'Basic T2'!BR13</f>
        <v>6.6751063240304944</v>
      </c>
      <c r="I13" s="68">
        <f>'Basic T2'!CC13</f>
        <v>3.0511464670247159</v>
      </c>
      <c r="J13" s="68">
        <f>'Basic T2'!CN13</f>
        <v>0.94475113180821013</v>
      </c>
      <c r="K13" s="309">
        <f t="shared" si="12"/>
        <v>62.75137435208589</v>
      </c>
      <c r="L13" s="96"/>
      <c r="M13" s="96">
        <f t="shared" si="0"/>
        <v>5.8192435597516825</v>
      </c>
      <c r="N13" s="96">
        <f t="shared" si="1"/>
        <v>11.791795845509814</v>
      </c>
      <c r="O13" s="96">
        <f t="shared" si="2"/>
        <v>10.519590476282605</v>
      </c>
      <c r="P13" s="96">
        <f t="shared" si="3"/>
        <v>3.2594478038496084</v>
      </c>
      <c r="Q13" s="96">
        <f t="shared" si="4"/>
        <v>5.7029025869903975</v>
      </c>
      <c r="R13" s="96">
        <f t="shared" si="5"/>
        <v>3.8036506652382562</v>
      </c>
      <c r="S13" s="96">
        <f t="shared" si="6"/>
        <v>2.5076910517696649</v>
      </c>
      <c r="T13" s="96">
        <f t="shared" si="7"/>
        <v>2.3906200955633503</v>
      </c>
      <c r="U13" s="96">
        <f t="shared" si="8"/>
        <v>2.0150855729529353</v>
      </c>
      <c r="V13" s="96">
        <f t="shared" si="9"/>
        <v>5.2761554402967183</v>
      </c>
      <c r="W13" s="96"/>
      <c r="X13" s="96">
        <f t="shared" si="10"/>
        <v>1.4824775313089174</v>
      </c>
      <c r="Y13" s="96">
        <f t="shared" si="11"/>
        <v>19.271397522279063</v>
      </c>
      <c r="Z13" s="96">
        <f t="shared" si="11"/>
        <v>35.939056988916448</v>
      </c>
      <c r="AA13" s="96">
        <f t="shared" si="11"/>
        <v>3.422898959182223</v>
      </c>
      <c r="AB13" s="96">
        <f t="shared" si="11"/>
        <v>5.0293068724265337</v>
      </c>
      <c r="AC13" s="96">
        <f t="shared" si="11"/>
        <v>17.849650633640493</v>
      </c>
      <c r="AD13" s="96">
        <f t="shared" si="11"/>
        <v>10.637386659577777</v>
      </c>
      <c r="AE13" s="96">
        <f t="shared" si="11"/>
        <v>4.8622783142649917</v>
      </c>
      <c r="AF13" s="96">
        <f t="shared" si="11"/>
        <v>1.5055465184035544</v>
      </c>
      <c r="AG13" s="96">
        <f t="shared" si="11"/>
        <v>100</v>
      </c>
    </row>
    <row r="14" spans="1:33" x14ac:dyDescent="0.2">
      <c r="A14" s="10" t="str">
        <f>name!D10</f>
        <v>31 Science, engineering and technology associate professionals</v>
      </c>
      <c r="B14" s="68">
        <f>'Basic T2'!D14</f>
        <v>0.36250589257541382</v>
      </c>
      <c r="C14" s="68">
        <f>'Basic T2'!O14</f>
        <v>2.2532892922257894</v>
      </c>
      <c r="D14" s="68">
        <f>'Basic T2'!Z14</f>
        <v>5.7468430654975462</v>
      </c>
      <c r="E14" s="68">
        <f>'Basic T2'!AK14</f>
        <v>1.0957195335696335</v>
      </c>
      <c r="F14" s="68">
        <f>'Basic T2'!AV14</f>
        <v>2.3399184935553246</v>
      </c>
      <c r="G14" s="68">
        <f>'Basic T2'!BG14</f>
        <v>6.5120225597102799</v>
      </c>
      <c r="H14" s="68">
        <f>'Basic T2'!BR14</f>
        <v>4.4092006372928259</v>
      </c>
      <c r="I14" s="68">
        <f>'Basic T2'!CC14</f>
        <v>2.464156167869691</v>
      </c>
      <c r="J14" s="68">
        <f>'Basic T2'!CN14</f>
        <v>0.4909560310043562</v>
      </c>
      <c r="K14" s="309">
        <f t="shared" si="12"/>
        <v>25.674611673300859</v>
      </c>
      <c r="L14" s="96"/>
      <c r="M14" s="96">
        <f t="shared" si="0"/>
        <v>2.2676198148299993</v>
      </c>
      <c r="N14" s="96">
        <f t="shared" si="1"/>
        <v>2.1971537699784376</v>
      </c>
      <c r="O14" s="96">
        <f t="shared" si="2"/>
        <v>2.6806385043904291</v>
      </c>
      <c r="P14" s="96">
        <f t="shared" si="3"/>
        <v>1.6627467718751316</v>
      </c>
      <c r="Q14" s="96">
        <f t="shared" si="4"/>
        <v>4.2282952526244886</v>
      </c>
      <c r="R14" s="96">
        <f t="shared" si="5"/>
        <v>2.2113809186445539</v>
      </c>
      <c r="S14" s="96">
        <f t="shared" si="6"/>
        <v>1.6564399796586389</v>
      </c>
      <c r="T14" s="96">
        <f t="shared" si="7"/>
        <v>1.9307041851911007</v>
      </c>
      <c r="U14" s="96">
        <f t="shared" si="8"/>
        <v>1.0471735695490541</v>
      </c>
      <c r="V14" s="96">
        <f t="shared" si="9"/>
        <v>2.1587294853102938</v>
      </c>
      <c r="W14" s="96"/>
      <c r="X14" s="96">
        <f t="shared" si="10"/>
        <v>1.4119235655368658</v>
      </c>
      <c r="Y14" s="96">
        <f t="shared" si="11"/>
        <v>8.7763325143842188</v>
      </c>
      <c r="Z14" s="96">
        <f t="shared" si="11"/>
        <v>22.383368981871353</v>
      </c>
      <c r="AA14" s="96">
        <f t="shared" si="11"/>
        <v>4.2677160905575722</v>
      </c>
      <c r="AB14" s="96">
        <f t="shared" si="11"/>
        <v>9.1137444387858686</v>
      </c>
      <c r="AC14" s="96">
        <f t="shared" si="11"/>
        <v>25.36366525255827</v>
      </c>
      <c r="AD14" s="96">
        <f t="shared" si="11"/>
        <v>17.173387833078593</v>
      </c>
      <c r="AE14" s="96">
        <f t="shared" si="11"/>
        <v>9.5976375386903232</v>
      </c>
      <c r="AF14" s="96">
        <f t="shared" si="11"/>
        <v>1.9122237845369383</v>
      </c>
      <c r="AG14" s="96">
        <f t="shared" si="11"/>
        <v>100</v>
      </c>
    </row>
    <row r="15" spans="1:33" x14ac:dyDescent="0.2">
      <c r="A15" s="10" t="str">
        <f>name!D11</f>
        <v>32 Health and social care associate professionals</v>
      </c>
      <c r="B15" s="68">
        <f>'Basic T2'!D15</f>
        <v>8.3717666343405814E-2</v>
      </c>
      <c r="C15" s="68">
        <f>'Basic T2'!O15</f>
        <v>2.7001130690716462</v>
      </c>
      <c r="D15" s="68">
        <f>'Basic T2'!Z15</f>
        <v>9.0495232881924856</v>
      </c>
      <c r="E15" s="68">
        <f>'Basic T2'!AK15</f>
        <v>4.6091971500291757</v>
      </c>
      <c r="F15" s="68">
        <f>'Basic T2'!AV15</f>
        <v>1.2081791028546611</v>
      </c>
      <c r="G15" s="68">
        <f>'Basic T2'!BG15</f>
        <v>5.715908550190397</v>
      </c>
      <c r="H15" s="68">
        <f>'Basic T2'!BR15</f>
        <v>4.0851424822972877</v>
      </c>
      <c r="I15" s="68">
        <f>'Basic T2'!CC15</f>
        <v>1.0631712047819257</v>
      </c>
      <c r="J15" s="68">
        <f>'Basic T2'!CN15</f>
        <v>0.18156431282328375</v>
      </c>
      <c r="K15" s="309">
        <f t="shared" si="12"/>
        <v>28.696516826584269</v>
      </c>
      <c r="L15" s="96"/>
      <c r="M15" s="96">
        <f t="shared" si="0"/>
        <v>0.5236875949875498</v>
      </c>
      <c r="N15" s="96">
        <f t="shared" si="1"/>
        <v>2.6328459597030509</v>
      </c>
      <c r="O15" s="96">
        <f t="shared" si="2"/>
        <v>4.2211872320558008</v>
      </c>
      <c r="P15" s="96">
        <f t="shared" si="3"/>
        <v>6.9944246199385871</v>
      </c>
      <c r="Q15" s="96">
        <f t="shared" si="4"/>
        <v>2.1832119276763566</v>
      </c>
      <c r="R15" s="96">
        <f t="shared" si="5"/>
        <v>1.9410330637998674</v>
      </c>
      <c r="S15" s="96">
        <f t="shared" si="6"/>
        <v>1.5346984378632986</v>
      </c>
      <c r="T15" s="96">
        <f t="shared" si="7"/>
        <v>0.83301095986205265</v>
      </c>
      <c r="U15" s="96">
        <f t="shared" si="8"/>
        <v>0.38726349724827419</v>
      </c>
      <c r="V15" s="96">
        <f t="shared" si="9"/>
        <v>2.4128122281853424</v>
      </c>
      <c r="W15" s="96"/>
      <c r="X15" s="96">
        <f t="shared" si="10"/>
        <v>0.29173459221312292</v>
      </c>
      <c r="Y15" s="96">
        <f t="shared" si="11"/>
        <v>9.4092014211643935</v>
      </c>
      <c r="Z15" s="96">
        <f t="shared" si="11"/>
        <v>31.53526730397142</v>
      </c>
      <c r="AA15" s="96">
        <f t="shared" si="11"/>
        <v>16.06186973103037</v>
      </c>
      <c r="AB15" s="96">
        <f t="shared" si="11"/>
        <v>4.210194255127897</v>
      </c>
      <c r="AC15" s="96">
        <f t="shared" si="11"/>
        <v>19.918475070449023</v>
      </c>
      <c r="AD15" s="96">
        <f t="shared" si="11"/>
        <v>14.235673642847265</v>
      </c>
      <c r="AE15" s="96">
        <f t="shared" si="11"/>
        <v>3.7048789273164009</v>
      </c>
      <c r="AF15" s="96">
        <f t="shared" si="11"/>
        <v>0.63270505588010506</v>
      </c>
      <c r="AG15" s="96">
        <f t="shared" si="11"/>
        <v>100</v>
      </c>
    </row>
    <row r="16" spans="1:33" x14ac:dyDescent="0.2">
      <c r="A16" s="10" t="str">
        <f>name!D12</f>
        <v>33 Protective service occupations</v>
      </c>
      <c r="B16" s="68">
        <f>'Basic T2'!D16</f>
        <v>3.6906482406152949E-2</v>
      </c>
      <c r="C16" s="68">
        <f>'Basic T2'!O16</f>
        <v>0.67179107305953167</v>
      </c>
      <c r="D16" s="68">
        <f>'Basic T2'!Z16</f>
        <v>3.7402908988582424</v>
      </c>
      <c r="E16" s="68">
        <f>'Basic T2'!AK16</f>
        <v>0.96276136483236252</v>
      </c>
      <c r="F16" s="68">
        <f>'Basic T2'!AV16</f>
        <v>0.77247509732747588</v>
      </c>
      <c r="G16" s="68">
        <f>'Basic T2'!BG16</f>
        <v>4.1012736738759816</v>
      </c>
      <c r="H16" s="68">
        <f>'Basic T2'!BR16</f>
        <v>4.1807565716696287</v>
      </c>
      <c r="I16" s="68">
        <f>'Basic T2'!CC16</f>
        <v>1.7641445189443559</v>
      </c>
      <c r="J16" s="68">
        <f>'Basic T2'!CN16</f>
        <v>0.26050508521706672</v>
      </c>
      <c r="K16" s="309">
        <f t="shared" si="12"/>
        <v>16.490904766190798</v>
      </c>
      <c r="L16" s="96"/>
      <c r="M16" s="96">
        <f t="shared" si="0"/>
        <v>0.23086485630700962</v>
      </c>
      <c r="N16" s="96">
        <f t="shared" si="1"/>
        <v>0.65505494296855038</v>
      </c>
      <c r="O16" s="96">
        <f t="shared" si="2"/>
        <v>1.7446740213415652</v>
      </c>
      <c r="P16" s="96">
        <f t="shared" si="3"/>
        <v>1.4609836754903243</v>
      </c>
      <c r="Q16" s="96">
        <f t="shared" si="4"/>
        <v>1.3958831454157141</v>
      </c>
      <c r="R16" s="96">
        <f t="shared" si="5"/>
        <v>1.3927283361487761</v>
      </c>
      <c r="S16" s="96">
        <f t="shared" si="6"/>
        <v>1.5706185542933466</v>
      </c>
      <c r="T16" s="96">
        <f t="shared" si="7"/>
        <v>1.3822343122645491</v>
      </c>
      <c r="U16" s="96">
        <f t="shared" si="8"/>
        <v>0.55563843347514719</v>
      </c>
      <c r="V16" s="96">
        <f t="shared" si="9"/>
        <v>1.3865604984101907</v>
      </c>
      <c r="W16" s="96"/>
      <c r="X16" s="96">
        <f t="shared" si="10"/>
        <v>0.22379901484736975</v>
      </c>
      <c r="Y16" s="96">
        <f t="shared" si="11"/>
        <v>4.0737065830179278</v>
      </c>
      <c r="Z16" s="96">
        <f t="shared" si="11"/>
        <v>22.680932016092196</v>
      </c>
      <c r="AA16" s="96">
        <f t="shared" si="11"/>
        <v>5.8381354963991399</v>
      </c>
      <c r="AB16" s="96">
        <f t="shared" si="11"/>
        <v>4.6842493379210044</v>
      </c>
      <c r="AC16" s="96">
        <f t="shared" si="11"/>
        <v>24.869913034027707</v>
      </c>
      <c r="AD16" s="96">
        <f t="shared" si="11"/>
        <v>25.351893246275374</v>
      </c>
      <c r="AE16" s="96">
        <f t="shared" si="11"/>
        <v>10.697681806768763</v>
      </c>
      <c r="AF16" s="96">
        <f t="shared" si="11"/>
        <v>1.5796894646505213</v>
      </c>
      <c r="AG16" s="96">
        <f t="shared" si="11"/>
        <v>100</v>
      </c>
    </row>
    <row r="17" spans="1:33" x14ac:dyDescent="0.2">
      <c r="A17" s="10" t="str">
        <f>name!D13</f>
        <v>34 Culture, media and sports occupations</v>
      </c>
      <c r="B17" s="68">
        <f>'Basic T2'!D17</f>
        <v>0.23410664164217967</v>
      </c>
      <c r="C17" s="68">
        <f>'Basic T2'!O17</f>
        <v>2.757163749098408</v>
      </c>
      <c r="D17" s="68">
        <f>'Basic T2'!Z17</f>
        <v>5.4662294927624835</v>
      </c>
      <c r="E17" s="68">
        <f>'Basic T2'!AK17</f>
        <v>0.73223324759653052</v>
      </c>
      <c r="F17" s="68">
        <f>'Basic T2'!AV17</f>
        <v>0.8433872574170852</v>
      </c>
      <c r="G17" s="68">
        <f>'Basic T2'!BG17</f>
        <v>2.671061524030677</v>
      </c>
      <c r="H17" s="68">
        <f>'Basic T2'!BR17</f>
        <v>1.0677048219306575</v>
      </c>
      <c r="I17" s="68">
        <f>'Basic T2'!CC17</f>
        <v>0.77426894584454353</v>
      </c>
      <c r="J17" s="68">
        <f>'Basic T2'!CN17</f>
        <v>0.32543899944216043</v>
      </c>
      <c r="K17" s="309">
        <f t="shared" si="12"/>
        <v>14.871594679764726</v>
      </c>
      <c r="L17" s="96"/>
      <c r="M17" s="96">
        <f t="shared" si="0"/>
        <v>1.4644309795893156</v>
      </c>
      <c r="N17" s="96">
        <f t="shared" si="1"/>
        <v>2.6884753532004182</v>
      </c>
      <c r="O17" s="96">
        <f t="shared" si="2"/>
        <v>2.5497451531443653</v>
      </c>
      <c r="P17" s="96">
        <f t="shared" si="3"/>
        <v>1.1111588608212042</v>
      </c>
      <c r="Q17" s="96">
        <f t="shared" si="4"/>
        <v>1.5240233138387018</v>
      </c>
      <c r="R17" s="96">
        <f t="shared" si="5"/>
        <v>0.907050679356042</v>
      </c>
      <c r="S17" s="96">
        <f t="shared" si="6"/>
        <v>0.40111328537912316</v>
      </c>
      <c r="T17" s="96">
        <f t="shared" si="7"/>
        <v>0.60665160499868687</v>
      </c>
      <c r="U17" s="96">
        <f t="shared" si="8"/>
        <v>0.6941377581596424</v>
      </c>
      <c r="V17" s="96">
        <f t="shared" si="9"/>
        <v>1.2504083932134655</v>
      </c>
      <c r="W17" s="96"/>
      <c r="X17" s="96">
        <f t="shared" si="10"/>
        <v>1.5741865393945991</v>
      </c>
      <c r="Y17" s="96">
        <f t="shared" si="11"/>
        <v>18.539798915108861</v>
      </c>
      <c r="Z17" s="96">
        <f t="shared" si="11"/>
        <v>36.756175853825525</v>
      </c>
      <c r="AA17" s="96">
        <f t="shared" si="11"/>
        <v>4.9237036334298132</v>
      </c>
      <c r="AB17" s="96">
        <f t="shared" si="11"/>
        <v>5.6711285882787923</v>
      </c>
      <c r="AC17" s="96">
        <f t="shared" si="11"/>
        <v>17.960827883946433</v>
      </c>
      <c r="AD17" s="96">
        <f t="shared" si="11"/>
        <v>7.1794911367739687</v>
      </c>
      <c r="AE17" s="96">
        <f t="shared" si="11"/>
        <v>5.2063612713844662</v>
      </c>
      <c r="AF17" s="96">
        <f t="shared" si="11"/>
        <v>2.188326177857538</v>
      </c>
      <c r="AG17" s="96">
        <f t="shared" si="11"/>
        <v>100</v>
      </c>
    </row>
    <row r="18" spans="1:33" x14ac:dyDescent="0.2">
      <c r="A18" s="10" t="str">
        <f>name!D14</f>
        <v>35 Business and public service associate professionals</v>
      </c>
      <c r="B18" s="68">
        <f>'Basic T2'!D18</f>
        <v>0.53124454803312404</v>
      </c>
      <c r="C18" s="68">
        <f>'Basic T2'!O18</f>
        <v>6.1640320181866768</v>
      </c>
      <c r="D18" s="68">
        <f>'Basic T2'!Z18</f>
        <v>13.091097549910113</v>
      </c>
      <c r="E18" s="68">
        <f>'Basic T2'!AK18</f>
        <v>3.9480537012854304</v>
      </c>
      <c r="F18" s="68">
        <f>'Basic T2'!AV18</f>
        <v>3.1450197611428736</v>
      </c>
      <c r="G18" s="68">
        <f>'Basic T2'!BG18</f>
        <v>13.40011976764505</v>
      </c>
      <c r="H18" s="68">
        <f>'Basic T2'!BR18</f>
        <v>9.1308955915748271</v>
      </c>
      <c r="I18" s="68">
        <f>'Basic T2'!CC18</f>
        <v>4.0697468531348688</v>
      </c>
      <c r="J18" s="68">
        <f>'Basic T2'!CN18</f>
        <v>1.0583145998486765</v>
      </c>
      <c r="K18" s="309">
        <f t="shared" si="12"/>
        <v>54.538524390761637</v>
      </c>
      <c r="L18" s="96"/>
      <c r="M18" s="96">
        <f t="shared" si="0"/>
        <v>3.3231478116999384</v>
      </c>
      <c r="N18" s="96">
        <f t="shared" si="1"/>
        <v>6.0104693319909286</v>
      </c>
      <c r="O18" s="96">
        <f t="shared" si="2"/>
        <v>6.1063961129730346</v>
      </c>
      <c r="P18" s="96">
        <f t="shared" si="3"/>
        <v>5.9911440344736997</v>
      </c>
      <c r="Q18" s="96">
        <f t="shared" si="4"/>
        <v>5.6831347596408053</v>
      </c>
      <c r="R18" s="96">
        <f t="shared" si="5"/>
        <v>4.5504709005554052</v>
      </c>
      <c r="S18" s="96">
        <f t="shared" si="6"/>
        <v>3.4302772207843368</v>
      </c>
      <c r="T18" s="96">
        <f t="shared" si="7"/>
        <v>3.1887091347821266</v>
      </c>
      <c r="U18" s="96">
        <f t="shared" si="8"/>
        <v>2.2573082053035902</v>
      </c>
      <c r="V18" s="96">
        <f t="shared" si="9"/>
        <v>4.5856164130452575</v>
      </c>
      <c r="W18" s="96"/>
      <c r="X18" s="96">
        <f t="shared" si="10"/>
        <v>0.97407209668311512</v>
      </c>
      <c r="Y18" s="96">
        <f t="shared" si="11"/>
        <v>11.302161338326952</v>
      </c>
      <c r="Z18" s="96">
        <f t="shared" si="11"/>
        <v>24.003395207604175</v>
      </c>
      <c r="AA18" s="96">
        <f t="shared" si="11"/>
        <v>7.2390181901478012</v>
      </c>
      <c r="AB18" s="96">
        <f t="shared" si="11"/>
        <v>5.7666022252622833</v>
      </c>
      <c r="AC18" s="96">
        <f t="shared" si="11"/>
        <v>24.570007929871522</v>
      </c>
      <c r="AD18" s="96">
        <f t="shared" si="11"/>
        <v>16.742102382809467</v>
      </c>
      <c r="AE18" s="96">
        <f t="shared" si="11"/>
        <v>7.462150651483797</v>
      </c>
      <c r="AF18" s="96">
        <f t="shared" si="11"/>
        <v>1.9404899778108886</v>
      </c>
      <c r="AG18" s="96">
        <f t="shared" si="11"/>
        <v>100</v>
      </c>
    </row>
    <row r="19" spans="1:33" x14ac:dyDescent="0.2">
      <c r="A19" s="10" t="str">
        <f>name!D15</f>
        <v>41 Administrative occupations</v>
      </c>
      <c r="B19" s="68">
        <f>'Basic T2'!D19</f>
        <v>0.5297666215659913</v>
      </c>
      <c r="C19" s="68">
        <f>'Basic T2'!O19</f>
        <v>6.0803615916351186</v>
      </c>
      <c r="D19" s="68">
        <f>'Basic T2'!Z19</f>
        <v>20.991214085674667</v>
      </c>
      <c r="E19" s="68">
        <f>'Basic T2'!AK19</f>
        <v>7.9492721421322967</v>
      </c>
      <c r="F19" s="68">
        <f>'Basic T2'!AV19</f>
        <v>7.259437516434982</v>
      </c>
      <c r="G19" s="68">
        <f>'Basic T2'!BG19</f>
        <v>26.870811114328259</v>
      </c>
      <c r="H19" s="68">
        <f>'Basic T2'!BR19</f>
        <v>27.928497366207829</v>
      </c>
      <c r="I19" s="68">
        <f>'Basic T2'!CC19</f>
        <v>10.201560441429603</v>
      </c>
      <c r="J19" s="68">
        <f>'Basic T2'!CN19</f>
        <v>3.1077301842355229</v>
      </c>
      <c r="K19" s="309">
        <f t="shared" si="12"/>
        <v>110.91865106364428</v>
      </c>
      <c r="L19" s="96"/>
      <c r="M19" s="96">
        <f t="shared" si="0"/>
        <v>3.3139027886248043</v>
      </c>
      <c r="N19" s="96">
        <f t="shared" si="1"/>
        <v>5.9288833617527859</v>
      </c>
      <c r="O19" s="96">
        <f t="shared" si="2"/>
        <v>9.7914378539046716</v>
      </c>
      <c r="P19" s="96">
        <f t="shared" si="3"/>
        <v>12.062965191491132</v>
      </c>
      <c r="Q19" s="96">
        <f t="shared" si="4"/>
        <v>13.117997602056386</v>
      </c>
      <c r="R19" s="96">
        <f t="shared" si="5"/>
        <v>9.1249068045874804</v>
      </c>
      <c r="S19" s="96">
        <f t="shared" si="6"/>
        <v>10.492123950517627</v>
      </c>
      <c r="T19" s="96">
        <f t="shared" si="7"/>
        <v>7.9930792116864229</v>
      </c>
      <c r="U19" s="96">
        <f t="shared" si="8"/>
        <v>6.6285628543228476</v>
      </c>
      <c r="V19" s="96">
        <f t="shared" si="9"/>
        <v>9.3260753295416379</v>
      </c>
      <c r="W19" s="96"/>
      <c r="X19" s="96">
        <f t="shared" si="10"/>
        <v>0.47761725957342854</v>
      </c>
      <c r="Y19" s="96">
        <f t="shared" si="11"/>
        <v>5.4818207157480243</v>
      </c>
      <c r="Z19" s="96">
        <f t="shared" si="11"/>
        <v>18.924873215082709</v>
      </c>
      <c r="AA19" s="96">
        <f t="shared" si="11"/>
        <v>7.1667587605001302</v>
      </c>
      <c r="AB19" s="96">
        <f t="shared" si="11"/>
        <v>6.5448303299952437</v>
      </c>
      <c r="AC19" s="96">
        <f t="shared" si="11"/>
        <v>24.225692303911984</v>
      </c>
      <c r="AD19" s="96">
        <f t="shared" si="11"/>
        <v>25.179261646612229</v>
      </c>
      <c r="AE19" s="96">
        <f t="shared" si="11"/>
        <v>9.1973354738834896</v>
      </c>
      <c r="AF19" s="96">
        <f t="shared" si="11"/>
        <v>2.8018102946927574</v>
      </c>
      <c r="AG19" s="96">
        <f t="shared" si="11"/>
        <v>100</v>
      </c>
    </row>
    <row r="20" spans="1:33" x14ac:dyDescent="0.2">
      <c r="A20" s="10" t="str">
        <f>name!D16</f>
        <v>42 Secretarial and related occupations</v>
      </c>
      <c r="B20" s="68">
        <f>'Basic T2'!D20</f>
        <v>3.2783579053146591E-2</v>
      </c>
      <c r="C20" s="68">
        <f>'Basic T2'!O20</f>
        <v>0.84682316429075388</v>
      </c>
      <c r="D20" s="68">
        <f>'Basic T2'!Z20</f>
        <v>3.1814107311938011</v>
      </c>
      <c r="E20" s="68">
        <f>'Basic T2'!AK20</f>
        <v>1.4245299357763315</v>
      </c>
      <c r="F20" s="68">
        <f>'Basic T2'!AV20</f>
        <v>1.1699971986624742</v>
      </c>
      <c r="G20" s="68">
        <f>'Basic T2'!BG20</f>
        <v>4.8489366108881438</v>
      </c>
      <c r="H20" s="68">
        <f>'Basic T2'!BR20</f>
        <v>4.899402520464192</v>
      </c>
      <c r="I20" s="68">
        <f>'Basic T2'!CC20</f>
        <v>4.1827732146214913</v>
      </c>
      <c r="J20" s="68">
        <f>'Basic T2'!CN20</f>
        <v>1.1857861166908841</v>
      </c>
      <c r="K20" s="309">
        <f t="shared" si="12"/>
        <v>21.77244307164122</v>
      </c>
      <c r="L20" s="96"/>
      <c r="M20" s="96">
        <f t="shared" si="0"/>
        <v>0.20507444150441079</v>
      </c>
      <c r="N20" s="96">
        <f t="shared" si="1"/>
        <v>0.82572651205767111</v>
      </c>
      <c r="O20" s="96">
        <f t="shared" si="2"/>
        <v>1.4839820762672353</v>
      </c>
      <c r="P20" s="96">
        <f t="shared" si="3"/>
        <v>2.1617142704712546</v>
      </c>
      <c r="Q20" s="96">
        <f t="shared" si="4"/>
        <v>2.1142162063823706</v>
      </c>
      <c r="R20" s="96">
        <f t="shared" si="5"/>
        <v>1.6466229652484639</v>
      </c>
      <c r="S20" s="96">
        <f t="shared" si="6"/>
        <v>1.8405980763715051</v>
      </c>
      <c r="T20" s="96">
        <f t="shared" si="7"/>
        <v>3.2772670240930952</v>
      </c>
      <c r="U20" s="96">
        <f t="shared" si="8"/>
        <v>2.5291956959907198</v>
      </c>
      <c r="V20" s="96">
        <f t="shared" si="9"/>
        <v>1.8306339127562379</v>
      </c>
      <c r="W20" s="96"/>
      <c r="X20" s="96">
        <f t="shared" si="10"/>
        <v>0.1505737272811955</v>
      </c>
      <c r="Y20" s="96">
        <f t="shared" si="11"/>
        <v>3.8894264713625439</v>
      </c>
      <c r="Z20" s="96">
        <f t="shared" si="11"/>
        <v>14.61209805773985</v>
      </c>
      <c r="AA20" s="96">
        <f t="shared" si="11"/>
        <v>6.5428116224209729</v>
      </c>
      <c r="AB20" s="96">
        <f t="shared" si="11"/>
        <v>5.3737524760664312</v>
      </c>
      <c r="AC20" s="96">
        <f t="shared" si="11"/>
        <v>22.270980775712406</v>
      </c>
      <c r="AD20" s="96">
        <f t="shared" si="11"/>
        <v>22.502768772171933</v>
      </c>
      <c r="AE20" s="96">
        <f t="shared" si="11"/>
        <v>19.211317723317816</v>
      </c>
      <c r="AF20" s="96">
        <f t="shared" si="11"/>
        <v>5.446270373926847</v>
      </c>
      <c r="AG20" s="96">
        <f t="shared" si="11"/>
        <v>100</v>
      </c>
    </row>
    <row r="21" spans="1:33" x14ac:dyDescent="0.2">
      <c r="A21" s="10" t="str">
        <f>name!D17</f>
        <v>51 Skilled agricultural and related trades</v>
      </c>
      <c r="B21" s="68">
        <f>'Basic T2'!D21</f>
        <v>2.0714141501021091E-2</v>
      </c>
      <c r="C21" s="68">
        <f>'Basic T2'!O21</f>
        <v>0.11553061827766976</v>
      </c>
      <c r="D21" s="68">
        <f>'Basic T2'!Z21</f>
        <v>1.1069846826582888</v>
      </c>
      <c r="E21" s="68">
        <f>'Basic T2'!AK21</f>
        <v>0.64228692629702844</v>
      </c>
      <c r="F21" s="68">
        <f>'Basic T2'!AV21</f>
        <v>0.84237433660273675</v>
      </c>
      <c r="G21" s="68">
        <f>'Basic T2'!BG21</f>
        <v>1.8637193948387611</v>
      </c>
      <c r="H21" s="68">
        <f>'Basic T2'!BR21</f>
        <v>2.8571835045597793</v>
      </c>
      <c r="I21" s="68">
        <f>'Basic T2'!CC21</f>
        <v>1.6209427749794105</v>
      </c>
      <c r="J21" s="68">
        <f>'Basic T2'!CN21</f>
        <v>1.2321319808509452</v>
      </c>
      <c r="K21" s="309">
        <f t="shared" si="12"/>
        <v>10.301868360565642</v>
      </c>
      <c r="L21" s="96"/>
      <c r="M21" s="96">
        <f t="shared" si="0"/>
        <v>0.12957526671138481</v>
      </c>
      <c r="N21" s="96">
        <f t="shared" si="1"/>
        <v>0.11265243853619047</v>
      </c>
      <c r="O21" s="96">
        <f t="shared" si="2"/>
        <v>0.51635754279072466</v>
      </c>
      <c r="P21" s="96">
        <f t="shared" si="3"/>
        <v>0.97466594379200711</v>
      </c>
      <c r="Q21" s="96">
        <f t="shared" si="4"/>
        <v>1.5221929388566713</v>
      </c>
      <c r="R21" s="96">
        <f t="shared" si="5"/>
        <v>0.63288993084163592</v>
      </c>
      <c r="S21" s="96">
        <f t="shared" si="6"/>
        <v>1.0733811807393345</v>
      </c>
      <c r="T21" s="96">
        <f t="shared" si="7"/>
        <v>1.2700335475545725</v>
      </c>
      <c r="U21" s="96">
        <f t="shared" si="8"/>
        <v>2.6280480594234366</v>
      </c>
      <c r="V21" s="96">
        <f t="shared" si="9"/>
        <v>0.86618435623174972</v>
      </c>
      <c r="W21" s="96"/>
      <c r="X21" s="96">
        <f t="shared" si="10"/>
        <v>0.2010716966672999</v>
      </c>
      <c r="Y21" s="96">
        <f t="shared" si="11"/>
        <v>1.1214530630182344</v>
      </c>
      <c r="Z21" s="96">
        <f t="shared" si="11"/>
        <v>10.745474936329975</v>
      </c>
      <c r="AA21" s="96">
        <f t="shared" si="11"/>
        <v>6.2346644687834329</v>
      </c>
      <c r="AB21" s="96">
        <f t="shared" si="11"/>
        <v>8.1769083735067714</v>
      </c>
      <c r="AC21" s="96">
        <f t="shared" si="11"/>
        <v>18.09108143890542</v>
      </c>
      <c r="AD21" s="96">
        <f t="shared" si="11"/>
        <v>27.734614776255018</v>
      </c>
      <c r="AE21" s="96">
        <f t="shared" si="11"/>
        <v>15.734454355718539</v>
      </c>
      <c r="AF21" s="96">
        <f t="shared" si="11"/>
        <v>11.960276890815297</v>
      </c>
      <c r="AG21" s="96">
        <f t="shared" si="11"/>
        <v>100</v>
      </c>
    </row>
    <row r="22" spans="1:33" x14ac:dyDescent="0.2">
      <c r="A22" s="10" t="str">
        <f>name!D18</f>
        <v>52 Skilled metal, electrical and electronic trades</v>
      </c>
      <c r="B22" s="68">
        <f>'Basic T2'!D22</f>
        <v>3.3491818702344571E-2</v>
      </c>
      <c r="C22" s="68">
        <f>'Basic T2'!O22</f>
        <v>0.54116383289368886</v>
      </c>
      <c r="D22" s="68">
        <f>'Basic T2'!Z22</f>
        <v>1.6179198651529529</v>
      </c>
      <c r="E22" s="68">
        <f>'Basic T2'!AK22</f>
        <v>0.61539632413258527</v>
      </c>
      <c r="F22" s="68">
        <f>'Basic T2'!AV22</f>
        <v>2.4427358012767417</v>
      </c>
      <c r="G22" s="68">
        <f>'Basic T2'!BG22</f>
        <v>21.948244707444299</v>
      </c>
      <c r="H22" s="68">
        <f>'Basic T2'!BR22</f>
        <v>10.421197953181135</v>
      </c>
      <c r="I22" s="68">
        <f>'Basic T2'!CC22</f>
        <v>3.5561283631414318</v>
      </c>
      <c r="J22" s="68">
        <f>'Basic T2'!CN22</f>
        <v>1.4314715778577956</v>
      </c>
      <c r="K22" s="309">
        <f t="shared" si="12"/>
        <v>42.607750243782974</v>
      </c>
      <c r="L22" s="96"/>
      <c r="M22" s="96">
        <f t="shared" si="0"/>
        <v>0.20950476469380688</v>
      </c>
      <c r="N22" s="96">
        <f t="shared" si="1"/>
        <v>0.5276819801703494</v>
      </c>
      <c r="O22" s="96">
        <f t="shared" si="2"/>
        <v>0.75468535300462136</v>
      </c>
      <c r="P22" s="96">
        <f t="shared" si="3"/>
        <v>0.93385964202147753</v>
      </c>
      <c r="Q22" s="96">
        <f t="shared" si="4"/>
        <v>4.4140888754893357</v>
      </c>
      <c r="R22" s="96">
        <f t="shared" si="5"/>
        <v>7.4532803132584675</v>
      </c>
      <c r="S22" s="96">
        <f t="shared" si="6"/>
        <v>3.9150155199525321</v>
      </c>
      <c r="T22" s="96">
        <f t="shared" si="7"/>
        <v>2.7862811632306488</v>
      </c>
      <c r="U22" s="96">
        <f t="shared" si="8"/>
        <v>3.0532249473070712</v>
      </c>
      <c r="V22" s="96">
        <f t="shared" si="9"/>
        <v>3.5824731421211764</v>
      </c>
      <c r="W22" s="96"/>
      <c r="X22" s="96">
        <f t="shared" si="10"/>
        <v>7.8604992074725807E-2</v>
      </c>
      <c r="Y22" s="96">
        <f t="shared" si="11"/>
        <v>1.2701065646446603</v>
      </c>
      <c r="Z22" s="96">
        <f t="shared" si="11"/>
        <v>3.7972431210188775</v>
      </c>
      <c r="AA22" s="96">
        <f t="shared" si="11"/>
        <v>1.4443295424225775</v>
      </c>
      <c r="AB22" s="96">
        <f t="shared" si="11"/>
        <v>5.7330785767858483</v>
      </c>
      <c r="AC22" s="96">
        <f t="shared" si="11"/>
        <v>51.512329521896859</v>
      </c>
      <c r="AD22" s="96">
        <f t="shared" si="11"/>
        <v>24.458456251633994</v>
      </c>
      <c r="AE22" s="96">
        <f t="shared" si="11"/>
        <v>8.3462007329530774</v>
      </c>
      <c r="AF22" s="96">
        <f t="shared" si="11"/>
        <v>3.359650696569378</v>
      </c>
      <c r="AG22" s="96">
        <f t="shared" si="11"/>
        <v>100</v>
      </c>
    </row>
    <row r="23" spans="1:33" x14ac:dyDescent="0.2">
      <c r="A23" s="10" t="str">
        <f>name!D19</f>
        <v>53 Skilled construction and building trades</v>
      </c>
      <c r="B23" s="68">
        <f>'Basic T2'!D23</f>
        <v>6.681425236982081E-3</v>
      </c>
      <c r="C23" s="68">
        <f>'Basic T2'!O23</f>
        <v>0.22999050178573263</v>
      </c>
      <c r="D23" s="68">
        <f>'Basic T2'!Z23</f>
        <v>0.74491386600680587</v>
      </c>
      <c r="E23" s="68">
        <f>'Basic T2'!AK23</f>
        <v>0.56808737042480173</v>
      </c>
      <c r="F23" s="68">
        <f>'Basic T2'!AV23</f>
        <v>0.8125485989585931</v>
      </c>
      <c r="G23" s="68">
        <f>'Basic T2'!BG23</f>
        <v>15.238836806809019</v>
      </c>
      <c r="H23" s="68">
        <f>'Basic T2'!BR23</f>
        <v>12.438789199107134</v>
      </c>
      <c r="I23" s="68">
        <f>'Basic T2'!CC23</f>
        <v>3.9224484828155646</v>
      </c>
      <c r="J23" s="68">
        <f>'Basic T2'!CN23</f>
        <v>2.0768065127125173</v>
      </c>
      <c r="K23" s="309">
        <f t="shared" si="12"/>
        <v>36.039102763857152</v>
      </c>
      <c r="L23" s="96"/>
      <c r="M23" s="96">
        <f t="shared" si="0"/>
        <v>4.1794995802816835E-2</v>
      </c>
      <c r="N23" s="96">
        <f t="shared" si="1"/>
        <v>0.22426081719786528</v>
      </c>
      <c r="O23" s="96">
        <f t="shared" si="2"/>
        <v>0.34746812622406192</v>
      </c>
      <c r="P23" s="96">
        <f t="shared" si="3"/>
        <v>0.86206863378587606</v>
      </c>
      <c r="Q23" s="96">
        <f t="shared" si="4"/>
        <v>1.4682970338351511</v>
      </c>
      <c r="R23" s="96">
        <f t="shared" si="5"/>
        <v>5.174870422809934</v>
      </c>
      <c r="S23" s="96">
        <f t="shared" si="6"/>
        <v>4.6729803025243344</v>
      </c>
      <c r="T23" s="96">
        <f t="shared" si="7"/>
        <v>3.0732986004355274</v>
      </c>
      <c r="U23" s="96">
        <f t="shared" si="8"/>
        <v>4.4296775104909401</v>
      </c>
      <c r="V23" s="96">
        <f t="shared" si="9"/>
        <v>3.0301791805236657</v>
      </c>
      <c r="W23" s="96"/>
      <c r="X23" s="96">
        <f t="shared" si="10"/>
        <v>1.8539377300155042E-2</v>
      </c>
      <c r="Y23" s="96">
        <f t="shared" si="11"/>
        <v>0.63816933316215962</v>
      </c>
      <c r="Z23" s="96">
        <f t="shared" si="11"/>
        <v>2.0669600763586824</v>
      </c>
      <c r="AA23" s="96">
        <f t="shared" si="11"/>
        <v>1.576308306416897</v>
      </c>
      <c r="AB23" s="96">
        <f t="shared" si="11"/>
        <v>2.2546304892292737</v>
      </c>
      <c r="AC23" s="96">
        <f t="shared" si="11"/>
        <v>42.284173683956759</v>
      </c>
      <c r="AD23" s="96">
        <f t="shared" si="11"/>
        <v>34.514702767744069</v>
      </c>
      <c r="AE23" s="96">
        <f t="shared" si="11"/>
        <v>10.883868304150193</v>
      </c>
      <c r="AF23" s="96">
        <f t="shared" si="11"/>
        <v>5.7626476616818056</v>
      </c>
      <c r="AG23" s="96">
        <f t="shared" si="11"/>
        <v>100</v>
      </c>
    </row>
    <row r="24" spans="1:33" x14ac:dyDescent="0.2">
      <c r="A24" s="10" t="str">
        <f>name!D20</f>
        <v>54 Textiles, printing and other skilled trades</v>
      </c>
      <c r="B24" s="68">
        <f>'Basic T2'!D24</f>
        <v>5.3012448264189181E-2</v>
      </c>
      <c r="C24" s="68">
        <f>'Basic T2'!O24</f>
        <v>0.55251932647405111</v>
      </c>
      <c r="D24" s="68">
        <f>'Basic T2'!Z24</f>
        <v>1.6035220685378988</v>
      </c>
      <c r="E24" s="68">
        <f>'Basic T2'!AK24</f>
        <v>0.79349437513100995</v>
      </c>
      <c r="F24" s="68">
        <f>'Basic T2'!AV24</f>
        <v>0.65893525901041539</v>
      </c>
      <c r="G24" s="68">
        <f>'Basic T2'!BG24</f>
        <v>5.8390323758596567</v>
      </c>
      <c r="H24" s="68">
        <f>'Basic T2'!BR24</f>
        <v>6.1806281704023673</v>
      </c>
      <c r="I24" s="68">
        <f>'Basic T2'!CC24</f>
        <v>3.6205818958702016</v>
      </c>
      <c r="J24" s="68">
        <f>'Basic T2'!CN24</f>
        <v>1.7918770422764945</v>
      </c>
      <c r="K24" s="309">
        <f t="shared" si="12"/>
        <v>21.093602961826285</v>
      </c>
      <c r="L24" s="96"/>
      <c r="M24" s="96">
        <f t="shared" si="0"/>
        <v>0.33161413532475836</v>
      </c>
      <c r="N24" s="96">
        <f t="shared" si="1"/>
        <v>0.53875457773522462</v>
      </c>
      <c r="O24" s="96">
        <f t="shared" si="2"/>
        <v>0.7479694417565117</v>
      </c>
      <c r="P24" s="96">
        <f t="shared" si="3"/>
        <v>1.2041221958067012</v>
      </c>
      <c r="Q24" s="96">
        <f t="shared" si="4"/>
        <v>1.1907136232028552</v>
      </c>
      <c r="R24" s="96">
        <f t="shared" si="5"/>
        <v>1.9828439875518935</v>
      </c>
      <c r="S24" s="96">
        <f t="shared" si="6"/>
        <v>2.3219264540306259</v>
      </c>
      <c r="T24" s="96">
        <f t="shared" si="7"/>
        <v>2.8367814955603845</v>
      </c>
      <c r="U24" s="96">
        <f t="shared" si="8"/>
        <v>3.8219436366126005</v>
      </c>
      <c r="V24" s="96">
        <f t="shared" si="9"/>
        <v>1.7735568212108692</v>
      </c>
      <c r="W24" s="96"/>
      <c r="X24" s="96">
        <f t="shared" si="10"/>
        <v>0.25132002512860119</v>
      </c>
      <c r="Y24" s="96">
        <f t="shared" ref="Y24:AG32" si="13">IF($K24&gt;0,C24/$K24*100,0)</f>
        <v>2.6193691398949794</v>
      </c>
      <c r="Z24" s="96">
        <f t="shared" si="13"/>
        <v>7.6019353897949058</v>
      </c>
      <c r="AA24" s="96">
        <f t="shared" si="13"/>
        <v>3.7617773339482121</v>
      </c>
      <c r="AB24" s="96">
        <f t="shared" si="13"/>
        <v>3.1238630034087107</v>
      </c>
      <c r="AC24" s="96">
        <f t="shared" si="13"/>
        <v>27.681531630356016</v>
      </c>
      <c r="AD24" s="96">
        <f t="shared" si="13"/>
        <v>29.300960018957561</v>
      </c>
      <c r="AE24" s="96">
        <f t="shared" si="13"/>
        <v>17.164359746518766</v>
      </c>
      <c r="AF24" s="96">
        <f t="shared" si="13"/>
        <v>8.4948837119922427</v>
      </c>
      <c r="AG24" s="96">
        <f t="shared" si="13"/>
        <v>100</v>
      </c>
    </row>
    <row r="25" spans="1:33" x14ac:dyDescent="0.2">
      <c r="A25" s="10" t="str">
        <f>name!D21</f>
        <v>61 Caring personal service occupations</v>
      </c>
      <c r="B25" s="68">
        <f>'Basic T2'!D25</f>
        <v>4.5692767854246565E-2</v>
      </c>
      <c r="C25" s="68">
        <f>'Basic T2'!O25</f>
        <v>2.5542324352182555</v>
      </c>
      <c r="D25" s="68">
        <f>'Basic T2'!Z25</f>
        <v>9.4430764351144312</v>
      </c>
      <c r="E25" s="68">
        <f>'Basic T2'!AK25</f>
        <v>7.8620290248956666</v>
      </c>
      <c r="F25" s="68">
        <f>'Basic T2'!AV25</f>
        <v>4.3612505613393644</v>
      </c>
      <c r="G25" s="68">
        <f>'Basic T2'!BG25</f>
        <v>33.408529395312783</v>
      </c>
      <c r="H25" s="68">
        <f>'Basic T2'!BR25</f>
        <v>23.622583714023992</v>
      </c>
      <c r="I25" s="68">
        <f>'Basic T2'!CC25</f>
        <v>3.0454727328640985</v>
      </c>
      <c r="J25" s="68">
        <f>'Basic T2'!CN25</f>
        <v>0.92657072032669718</v>
      </c>
      <c r="K25" s="309">
        <f t="shared" si="12"/>
        <v>85.269437786949524</v>
      </c>
      <c r="L25" s="96"/>
      <c r="M25" s="96">
        <f t="shared" si="0"/>
        <v>0.28582659731292909</v>
      </c>
      <c r="N25" s="96">
        <f t="shared" si="1"/>
        <v>2.4905996064524163</v>
      </c>
      <c r="O25" s="96">
        <f t="shared" si="2"/>
        <v>4.4047617106241752</v>
      </c>
      <c r="P25" s="96">
        <f t="shared" si="3"/>
        <v>11.930574367827578</v>
      </c>
      <c r="Q25" s="96">
        <f t="shared" si="4"/>
        <v>7.880896319597003</v>
      </c>
      <c r="R25" s="96">
        <f t="shared" si="5"/>
        <v>11.345013587922406</v>
      </c>
      <c r="S25" s="96">
        <f t="shared" si="6"/>
        <v>8.8744866259402464</v>
      </c>
      <c r="T25" s="96">
        <f t="shared" si="7"/>
        <v>2.3861746377500834</v>
      </c>
      <c r="U25" s="96">
        <f t="shared" si="8"/>
        <v>1.976308075204267</v>
      </c>
      <c r="V25" s="96">
        <f t="shared" si="9"/>
        <v>7.1694813494662775</v>
      </c>
      <c r="W25" s="96"/>
      <c r="X25" s="96">
        <f t="shared" si="10"/>
        <v>5.3586336488358831E-2</v>
      </c>
      <c r="Y25" s="96">
        <f t="shared" si="13"/>
        <v>2.9954840814127901</v>
      </c>
      <c r="Z25" s="96">
        <f t="shared" si="13"/>
        <v>11.074397439688164</v>
      </c>
      <c r="AA25" s="96">
        <f t="shared" si="13"/>
        <v>9.2202191417508672</v>
      </c>
      <c r="AB25" s="96">
        <f t="shared" si="13"/>
        <v>5.1146702435592388</v>
      </c>
      <c r="AC25" s="96">
        <f t="shared" si="13"/>
        <v>39.179957394331453</v>
      </c>
      <c r="AD25" s="96">
        <f t="shared" si="13"/>
        <v>27.703458973244722</v>
      </c>
      <c r="AE25" s="96">
        <f t="shared" si="13"/>
        <v>3.5715876777250286</v>
      </c>
      <c r="AF25" s="96">
        <f t="shared" si="13"/>
        <v>1.0866387117993976</v>
      </c>
      <c r="AG25" s="96">
        <f t="shared" si="13"/>
        <v>100</v>
      </c>
    </row>
    <row r="26" spans="1:33" x14ac:dyDescent="0.2">
      <c r="A26" s="10" t="str">
        <f>name!D22</f>
        <v>62 Leisure, travel and related personal service occupations</v>
      </c>
      <c r="B26" s="68">
        <f>'Basic T2'!D26</f>
        <v>2.8020851120402198E-2</v>
      </c>
      <c r="C26" s="68">
        <f>'Basic T2'!O26</f>
        <v>0.49292734036959007</v>
      </c>
      <c r="D26" s="68">
        <f>'Basic T2'!Z26</f>
        <v>2.4534037666850987</v>
      </c>
      <c r="E26" s="68">
        <f>'Basic T2'!AK26</f>
        <v>1.6660392157782009</v>
      </c>
      <c r="F26" s="68">
        <f>'Basic T2'!AV26</f>
        <v>2.1333460165973266</v>
      </c>
      <c r="G26" s="68">
        <f>'Basic T2'!BG26</f>
        <v>7.1710502961785467</v>
      </c>
      <c r="H26" s="68">
        <f>'Basic T2'!BR26</f>
        <v>7.210731438562453</v>
      </c>
      <c r="I26" s="68">
        <f>'Basic T2'!CC26</f>
        <v>4.0578096956496088</v>
      </c>
      <c r="J26" s="68">
        <f>'Basic T2'!CN26</f>
        <v>1.3959053835322632</v>
      </c>
      <c r="K26" s="309">
        <f t="shared" si="12"/>
        <v>26.609234004473489</v>
      </c>
      <c r="L26" s="96"/>
      <c r="M26" s="96">
        <f t="shared" si="0"/>
        <v>0.17528166722367622</v>
      </c>
      <c r="N26" s="96">
        <f t="shared" si="1"/>
        <v>0.48064718895844472</v>
      </c>
      <c r="O26" s="96">
        <f t="shared" si="2"/>
        <v>1.1444002435488807</v>
      </c>
      <c r="P26" s="96">
        <f t="shared" si="3"/>
        <v>2.5282029232679841</v>
      </c>
      <c r="Q26" s="96">
        <f t="shared" si="4"/>
        <v>3.8550132660723642</v>
      </c>
      <c r="R26" s="96">
        <f t="shared" si="5"/>
        <v>2.4351764211816755</v>
      </c>
      <c r="S26" s="96">
        <f t="shared" si="6"/>
        <v>2.7089136603114068</v>
      </c>
      <c r="T26" s="96">
        <f t="shared" si="7"/>
        <v>3.179356188643164</v>
      </c>
      <c r="U26" s="96">
        <f t="shared" si="8"/>
        <v>2.9773648370015673</v>
      </c>
      <c r="V26" s="96">
        <f t="shared" si="9"/>
        <v>2.2373128270801681</v>
      </c>
      <c r="W26" s="96"/>
      <c r="X26" s="96">
        <f t="shared" si="10"/>
        <v>0.10530498967272561</v>
      </c>
      <c r="Y26" s="96">
        <f t="shared" si="13"/>
        <v>1.8524672310624206</v>
      </c>
      <c r="Z26" s="96">
        <f t="shared" si="13"/>
        <v>9.220121730195757</v>
      </c>
      <c r="AA26" s="96">
        <f t="shared" si="13"/>
        <v>6.2611318142345249</v>
      </c>
      <c r="AB26" s="96">
        <f t="shared" si="13"/>
        <v>8.0173146518936722</v>
      </c>
      <c r="AC26" s="96">
        <f t="shared" si="13"/>
        <v>26.949480375770925</v>
      </c>
      <c r="AD26" s="96">
        <f t="shared" si="13"/>
        <v>27.098605834915052</v>
      </c>
      <c r="AE26" s="96">
        <f t="shared" si="13"/>
        <v>15.249629865209267</v>
      </c>
      <c r="AF26" s="96">
        <f t="shared" si="13"/>
        <v>5.245943507045661</v>
      </c>
      <c r="AG26" s="96">
        <f t="shared" si="13"/>
        <v>100</v>
      </c>
    </row>
    <row r="27" spans="1:33" x14ac:dyDescent="0.2">
      <c r="A27" s="10" t="str">
        <f>name!D23</f>
        <v>63 Community and civil enforcement occupations</v>
      </c>
      <c r="B27" s="68">
        <f>'Basic T2'!D27</f>
        <v>2.3552154527925451E-3</v>
      </c>
      <c r="C27" s="68">
        <f>'Basic T2'!O27</f>
        <v>4.4823491749154683E-2</v>
      </c>
      <c r="D27" s="68">
        <f>'Basic T2'!Z27</f>
        <v>0.23268879668861445</v>
      </c>
      <c r="E27" s="68">
        <f>'Basic T2'!AK27</f>
        <v>6.7416024814009767E-2</v>
      </c>
      <c r="F27" s="68">
        <f>'Basic T2'!AV27</f>
        <v>5.8401846643210797E-2</v>
      </c>
      <c r="G27" s="68">
        <f>'Basic T2'!BG27</f>
        <v>0.32953255265456582</v>
      </c>
      <c r="H27" s="68">
        <f>'Basic T2'!BR27</f>
        <v>0.45570756010098118</v>
      </c>
      <c r="I27" s="68">
        <f>'Basic T2'!CC27</f>
        <v>0.28276626385294845</v>
      </c>
      <c r="J27" s="68">
        <f>'Basic T2'!CN27</f>
        <v>8.3132505487097066E-2</v>
      </c>
      <c r="K27" s="309">
        <f t="shared" si="12"/>
        <v>1.5568242574433748</v>
      </c>
      <c r="L27" s="96"/>
      <c r="M27" s="96">
        <f t="shared" si="0"/>
        <v>1.4732817695743044E-2</v>
      </c>
      <c r="N27" s="96">
        <f t="shared" si="1"/>
        <v>4.3706817504542625E-2</v>
      </c>
      <c r="O27" s="96">
        <f t="shared" si="2"/>
        <v>0.1085386430140446</v>
      </c>
      <c r="P27" s="96">
        <f t="shared" si="3"/>
        <v>0.10230334880219125</v>
      </c>
      <c r="Q27" s="96">
        <f t="shared" si="4"/>
        <v>0.10553369768482196</v>
      </c>
      <c r="R27" s="96">
        <f t="shared" si="5"/>
        <v>0.11190409620524402</v>
      </c>
      <c r="S27" s="96">
        <f t="shared" si="6"/>
        <v>0.1711993360427852</v>
      </c>
      <c r="T27" s="96">
        <f t="shared" si="7"/>
        <v>0.22155170852004571</v>
      </c>
      <c r="U27" s="96">
        <f t="shared" si="8"/>
        <v>0.177315598585054</v>
      </c>
      <c r="V27" s="96">
        <f t="shared" si="9"/>
        <v>0.13089827689523301</v>
      </c>
      <c r="W27" s="96"/>
      <c r="X27" s="96">
        <f t="shared" si="10"/>
        <v>0.15128332189917779</v>
      </c>
      <c r="Y27" s="96">
        <f t="shared" si="13"/>
        <v>2.8791619564538431</v>
      </c>
      <c r="Z27" s="96">
        <f t="shared" si="13"/>
        <v>14.946375326315717</v>
      </c>
      <c r="AA27" s="96">
        <f t="shared" si="13"/>
        <v>4.3303554972043363</v>
      </c>
      <c r="AB27" s="96">
        <f t="shared" si="13"/>
        <v>3.7513448524445927</v>
      </c>
      <c r="AC27" s="96">
        <f t="shared" si="13"/>
        <v>21.166971871039955</v>
      </c>
      <c r="AD27" s="96">
        <f t="shared" si="13"/>
        <v>29.27161225309699</v>
      </c>
      <c r="AE27" s="96">
        <f t="shared" si="13"/>
        <v>18.163017598229665</v>
      </c>
      <c r="AF27" s="96">
        <f t="shared" si="13"/>
        <v>5.339877323315716</v>
      </c>
      <c r="AG27" s="96">
        <f t="shared" si="13"/>
        <v>100</v>
      </c>
    </row>
    <row r="28" spans="1:33" x14ac:dyDescent="0.2">
      <c r="A28" s="10" t="str">
        <f>name!D24</f>
        <v>71 Sales occupations</v>
      </c>
      <c r="B28" s="68">
        <f>'Basic T2'!D28</f>
        <v>0.15873370827601505</v>
      </c>
      <c r="C28" s="68">
        <f>'Basic T2'!O28</f>
        <v>2.4685016298542037</v>
      </c>
      <c r="D28" s="68">
        <f>'Basic T2'!Z28</f>
        <v>11.552693178281261</v>
      </c>
      <c r="E28" s="68">
        <f>'Basic T2'!AK28</f>
        <v>4.3981715777872346</v>
      </c>
      <c r="F28" s="68">
        <f>'Basic T2'!AV28</f>
        <v>3.1070368316498214</v>
      </c>
      <c r="G28" s="68">
        <f>'Basic T2'!BG28</f>
        <v>31.004301470749109</v>
      </c>
      <c r="H28" s="68">
        <f>'Basic T2'!BR28</f>
        <v>28.997148687495898</v>
      </c>
      <c r="I28" s="68">
        <f>'Basic T2'!CC28</f>
        <v>15.948831024911621</v>
      </c>
      <c r="J28" s="68">
        <f>'Basic T2'!CN28</f>
        <v>5.9929031945817757</v>
      </c>
      <c r="K28" s="309">
        <f t="shared" si="12"/>
        <v>103.62832130358694</v>
      </c>
      <c r="L28" s="96"/>
      <c r="M28" s="96">
        <f t="shared" si="0"/>
        <v>0.99294303772801351</v>
      </c>
      <c r="N28" s="96">
        <f t="shared" si="1"/>
        <v>2.4070045870029388</v>
      </c>
      <c r="O28" s="96">
        <f t="shared" si="2"/>
        <v>5.3888010878592194</v>
      </c>
      <c r="P28" s="96">
        <f t="shared" si="3"/>
        <v>6.6741947816648386</v>
      </c>
      <c r="Q28" s="96">
        <f t="shared" si="4"/>
        <v>5.614498590945793</v>
      </c>
      <c r="R28" s="96">
        <f t="shared" si="5"/>
        <v>10.528575421791567</v>
      </c>
      <c r="S28" s="96">
        <f t="shared" si="6"/>
        <v>10.89359281494731</v>
      </c>
      <c r="T28" s="96">
        <f t="shared" si="7"/>
        <v>12.496153941137266</v>
      </c>
      <c r="U28" s="96">
        <f t="shared" si="8"/>
        <v>12.782427414923525</v>
      </c>
      <c r="V28" s="96">
        <f t="shared" si="9"/>
        <v>8.7131020931426342</v>
      </c>
      <c r="W28" s="96"/>
      <c r="X28" s="96">
        <f t="shared" si="10"/>
        <v>0.15317599115688918</v>
      </c>
      <c r="Y28" s="96">
        <f t="shared" si="13"/>
        <v>2.3820723898658391</v>
      </c>
      <c r="Z28" s="96">
        <f t="shared" si="13"/>
        <v>11.148200639511259</v>
      </c>
      <c r="AA28" s="96">
        <f t="shared" si="13"/>
        <v>4.2441791225223655</v>
      </c>
      <c r="AB28" s="96">
        <f t="shared" si="13"/>
        <v>2.9982506640704174</v>
      </c>
      <c r="AC28" s="96">
        <f t="shared" si="13"/>
        <v>29.918752982516892</v>
      </c>
      <c r="AD28" s="96">
        <f t="shared" si="13"/>
        <v>27.981876308259956</v>
      </c>
      <c r="AE28" s="96">
        <f t="shared" si="13"/>
        <v>15.390417237569952</v>
      </c>
      <c r="AF28" s="96">
        <f t="shared" si="13"/>
        <v>5.7830746645264242</v>
      </c>
      <c r="AG28" s="96">
        <f t="shared" si="13"/>
        <v>100</v>
      </c>
    </row>
    <row r="29" spans="1:33" x14ac:dyDescent="0.2">
      <c r="A29" s="10" t="str">
        <f>name!D25</f>
        <v>72 Customer service occupations</v>
      </c>
      <c r="B29" s="68">
        <f>'Basic T2'!D29</f>
        <v>6.7108360573777462E-2</v>
      </c>
      <c r="C29" s="68">
        <f>'Basic T2'!O29</f>
        <v>0.73434774355216914</v>
      </c>
      <c r="D29" s="68">
        <f>'Basic T2'!Z29</f>
        <v>3.4090135899040739</v>
      </c>
      <c r="E29" s="68">
        <f>'Basic T2'!AK29</f>
        <v>1.03743007859961</v>
      </c>
      <c r="F29" s="68">
        <f>'Basic T2'!AV29</f>
        <v>1.3189030889607081</v>
      </c>
      <c r="G29" s="68">
        <f>'Basic T2'!BG29</f>
        <v>6.2065353271172832</v>
      </c>
      <c r="H29" s="68">
        <f>'Basic T2'!BR29</f>
        <v>6.3977383976105724</v>
      </c>
      <c r="I29" s="68">
        <f>'Basic T2'!CC29</f>
        <v>2.3002725938845612</v>
      </c>
      <c r="J29" s="68">
        <f>'Basic T2'!CN29</f>
        <v>0.8630531998564972</v>
      </c>
      <c r="K29" s="309">
        <f t="shared" si="12"/>
        <v>22.334402380059252</v>
      </c>
      <c r="L29" s="96"/>
      <c r="M29" s="96">
        <f t="shared" si="0"/>
        <v>0.41978972285587363</v>
      </c>
      <c r="N29" s="96">
        <f t="shared" si="1"/>
        <v>0.71605315783799051</v>
      </c>
      <c r="O29" s="96">
        <f t="shared" si="2"/>
        <v>1.5901483626638637</v>
      </c>
      <c r="P29" s="96">
        <f t="shared" si="3"/>
        <v>1.5742929293393326</v>
      </c>
      <c r="Q29" s="96">
        <f t="shared" si="4"/>
        <v>2.3832931296897248</v>
      </c>
      <c r="R29" s="96">
        <f t="shared" si="5"/>
        <v>2.1076422367141063</v>
      </c>
      <c r="S29" s="96">
        <f t="shared" si="6"/>
        <v>2.4034900048699113</v>
      </c>
      <c r="T29" s="96">
        <f t="shared" si="7"/>
        <v>1.8022988891701472</v>
      </c>
      <c r="U29" s="96">
        <f t="shared" si="8"/>
        <v>1.8408298155653824</v>
      </c>
      <c r="V29" s="96">
        <f t="shared" si="9"/>
        <v>1.8778836294827468</v>
      </c>
      <c r="W29" s="96"/>
      <c r="X29" s="96">
        <f t="shared" si="10"/>
        <v>0.30047081373304879</v>
      </c>
      <c r="Y29" s="96">
        <f t="shared" si="13"/>
        <v>3.2879668372403565</v>
      </c>
      <c r="Z29" s="96">
        <f t="shared" si="13"/>
        <v>15.263509324734525</v>
      </c>
      <c r="AA29" s="96">
        <f t="shared" si="13"/>
        <v>4.6449869620234621</v>
      </c>
      <c r="AB29" s="96">
        <f t="shared" si="13"/>
        <v>5.9052535479447608</v>
      </c>
      <c r="AC29" s="96">
        <f t="shared" si="13"/>
        <v>27.78912648524074</v>
      </c>
      <c r="AD29" s="96">
        <f t="shared" si="13"/>
        <v>28.645218657485295</v>
      </c>
      <c r="AE29" s="96">
        <f t="shared" si="13"/>
        <v>10.299235030968662</v>
      </c>
      <c r="AF29" s="96">
        <f t="shared" si="13"/>
        <v>3.8642323406291541</v>
      </c>
      <c r="AG29" s="96">
        <f t="shared" si="13"/>
        <v>100</v>
      </c>
    </row>
    <row r="30" spans="1:33" x14ac:dyDescent="0.2">
      <c r="A30" s="10" t="str">
        <f>name!D26</f>
        <v>81 Process, plant and machine operatives</v>
      </c>
      <c r="B30" s="68">
        <f>'Basic T2'!D30</f>
        <v>5.8938737460019784E-2</v>
      </c>
      <c r="C30" s="68">
        <f>'Basic T2'!O30</f>
        <v>0.36009024832332875</v>
      </c>
      <c r="D30" s="68">
        <f>'Basic T2'!Z30</f>
        <v>1.0009554321170493</v>
      </c>
      <c r="E30" s="68">
        <f>'Basic T2'!AK30</f>
        <v>0.58673771919795781</v>
      </c>
      <c r="F30" s="68">
        <f>'Basic T2'!AV30</f>
        <v>0.90725185490609195</v>
      </c>
      <c r="G30" s="68">
        <f>'Basic T2'!BG30</f>
        <v>11.1580243574405</v>
      </c>
      <c r="H30" s="68">
        <f>'Basic T2'!BR30</f>
        <v>11.430917226311445</v>
      </c>
      <c r="I30" s="68">
        <f>'Basic T2'!CC30</f>
        <v>6.1699581719401113</v>
      </c>
      <c r="J30" s="68">
        <f>'Basic T2'!CN30</f>
        <v>3.2043293662985737</v>
      </c>
      <c r="K30" s="309">
        <f t="shared" si="12"/>
        <v>34.877203113995073</v>
      </c>
      <c r="L30" s="96"/>
      <c r="M30" s="96">
        <f t="shared" si="0"/>
        <v>0.36868545218916693</v>
      </c>
      <c r="N30" s="96">
        <f t="shared" si="1"/>
        <v>0.35111942765882298</v>
      </c>
      <c r="O30" s="96">
        <f t="shared" si="2"/>
        <v>0.46689976425855612</v>
      </c>
      <c r="P30" s="96">
        <f t="shared" si="3"/>
        <v>0.89037040834298709</v>
      </c>
      <c r="Q30" s="96">
        <f t="shared" si="4"/>
        <v>1.6394283482949399</v>
      </c>
      <c r="R30" s="96">
        <f t="shared" si="5"/>
        <v>3.7890903981931006</v>
      </c>
      <c r="S30" s="96">
        <f t="shared" si="6"/>
        <v>4.2943449063493864</v>
      </c>
      <c r="T30" s="96">
        <f t="shared" si="7"/>
        <v>4.8342569437542044</v>
      </c>
      <c r="U30" s="96">
        <f t="shared" si="8"/>
        <v>6.834601896331451</v>
      </c>
      <c r="V30" s="96">
        <f t="shared" si="9"/>
        <v>2.9324862897783195</v>
      </c>
      <c r="W30" s="96"/>
      <c r="X30" s="96">
        <f t="shared" si="10"/>
        <v>0.16898928869777868</v>
      </c>
      <c r="Y30" s="96">
        <f t="shared" si="13"/>
        <v>1.0324516193181683</v>
      </c>
      <c r="Z30" s="96">
        <f t="shared" si="13"/>
        <v>2.8699418036631466</v>
      </c>
      <c r="AA30" s="96">
        <f t="shared" si="13"/>
        <v>1.6822957886853012</v>
      </c>
      <c r="AB30" s="96">
        <f t="shared" si="13"/>
        <v>2.6012746834680724</v>
      </c>
      <c r="AC30" s="96">
        <f t="shared" si="13"/>
        <v>31.992314065353344</v>
      </c>
      <c r="AD30" s="96">
        <f t="shared" si="13"/>
        <v>32.774753150216327</v>
      </c>
      <c r="AE30" s="96">
        <f t="shared" si="13"/>
        <v>17.690518794680273</v>
      </c>
      <c r="AF30" s="96">
        <f t="shared" si="13"/>
        <v>9.1874608059176097</v>
      </c>
      <c r="AG30" s="96">
        <f t="shared" si="13"/>
        <v>100</v>
      </c>
    </row>
    <row r="31" spans="1:33" x14ac:dyDescent="0.2">
      <c r="A31" s="10" t="str">
        <f>name!D27</f>
        <v>82 Transport and mobile machine drivers and operatives</v>
      </c>
      <c r="B31" s="68">
        <f>'Basic T2'!D31</f>
        <v>7.6517245794771094E-2</v>
      </c>
      <c r="C31" s="68">
        <f>'Basic T2'!O31</f>
        <v>0.43432984073134573</v>
      </c>
      <c r="D31" s="68">
        <f>'Basic T2'!Z31</f>
        <v>1.6443570211485443</v>
      </c>
      <c r="E31" s="68">
        <f>'Basic T2'!AK31</f>
        <v>0.76197166240611824</v>
      </c>
      <c r="F31" s="68">
        <f>'Basic T2'!AV31</f>
        <v>1.2144396357328515</v>
      </c>
      <c r="G31" s="68">
        <f>'Basic T2'!BG31</f>
        <v>11.479892623343604</v>
      </c>
      <c r="H31" s="68">
        <f>'Basic T2'!BR31</f>
        <v>15.009239675703284</v>
      </c>
      <c r="I31" s="68">
        <f>'Basic T2'!CC31</f>
        <v>8.592192444678874</v>
      </c>
      <c r="J31" s="68">
        <f>'Basic T2'!CN31</f>
        <v>4.5443945404608055</v>
      </c>
      <c r="K31" s="309">
        <f t="shared" si="12"/>
        <v>43.757334690000199</v>
      </c>
      <c r="L31" s="96"/>
      <c r="M31" s="96">
        <f t="shared" si="0"/>
        <v>0.47864607526164232</v>
      </c>
      <c r="N31" s="96">
        <f t="shared" si="1"/>
        <v>0.42350951130396908</v>
      </c>
      <c r="O31" s="96">
        <f t="shared" si="2"/>
        <v>0.76701707278549247</v>
      </c>
      <c r="P31" s="96">
        <f t="shared" si="3"/>
        <v>1.156286698475276</v>
      </c>
      <c r="Q31" s="96">
        <f t="shared" si="4"/>
        <v>2.1945248779011872</v>
      </c>
      <c r="R31" s="96">
        <f t="shared" si="5"/>
        <v>3.8983918225983323</v>
      </c>
      <c r="S31" s="96">
        <f t="shared" si="6"/>
        <v>5.6386421731033698</v>
      </c>
      <c r="T31" s="96">
        <f t="shared" si="7"/>
        <v>6.7321146805603398</v>
      </c>
      <c r="U31" s="96">
        <f t="shared" si="8"/>
        <v>9.6928636208796277</v>
      </c>
      <c r="V31" s="96">
        <f t="shared" si="9"/>
        <v>3.6791305666415988</v>
      </c>
      <c r="W31" s="96"/>
      <c r="X31" s="96">
        <f t="shared" si="10"/>
        <v>0.17486724531294973</v>
      </c>
      <c r="Y31" s="96">
        <f t="shared" si="13"/>
        <v>0.99258751431814818</v>
      </c>
      <c r="Z31" s="96">
        <f t="shared" si="13"/>
        <v>3.7579003218501028</v>
      </c>
      <c r="AA31" s="96">
        <f t="shared" si="13"/>
        <v>1.7413575753741017</v>
      </c>
      <c r="AB31" s="96">
        <f t="shared" si="13"/>
        <v>2.7753967291119896</v>
      </c>
      <c r="AC31" s="96">
        <f t="shared" si="13"/>
        <v>26.235356208674855</v>
      </c>
      <c r="AD31" s="96">
        <f t="shared" si="13"/>
        <v>34.301082965945191</v>
      </c>
      <c r="AE31" s="96">
        <f t="shared" si="13"/>
        <v>19.636005039041912</v>
      </c>
      <c r="AF31" s="96">
        <f t="shared" si="13"/>
        <v>10.385446400370746</v>
      </c>
      <c r="AG31" s="96">
        <f t="shared" si="13"/>
        <v>100</v>
      </c>
    </row>
    <row r="32" spans="1:33" x14ac:dyDescent="0.2">
      <c r="A32" s="10" t="str">
        <f>name!D28</f>
        <v>91 Elementary trades and related occupations</v>
      </c>
      <c r="B32" s="68">
        <f>'Basic T2'!D32</f>
        <v>6.6504475281356805E-4</v>
      </c>
      <c r="C32" s="68">
        <f>'Basic T2'!O32</f>
        <v>0.10528127464294668</v>
      </c>
      <c r="D32" s="68">
        <f>'Basic T2'!Z32</f>
        <v>0.49159029463600057</v>
      </c>
      <c r="E32" s="68">
        <f>'Basic T2'!AK32</f>
        <v>0.36455281352391394</v>
      </c>
      <c r="F32" s="68">
        <f>'Basic T2'!AV32</f>
        <v>0.38552349277321724</v>
      </c>
      <c r="G32" s="68">
        <f>'Basic T2'!BG32</f>
        <v>2.9109763264099593</v>
      </c>
      <c r="H32" s="68">
        <f>'Basic T2'!BR32</f>
        <v>5.0673856004371052</v>
      </c>
      <c r="I32" s="68">
        <f>'Basic T2'!CC32</f>
        <v>4.1542132663259235</v>
      </c>
      <c r="J32" s="68">
        <f>'Basic T2'!CN32</f>
        <v>2.1577536274250257</v>
      </c>
      <c r="K32" s="309">
        <f t="shared" si="12"/>
        <v>15.637941740926905</v>
      </c>
      <c r="L32" s="96"/>
      <c r="M32" s="96">
        <f t="shared" si="0"/>
        <v>4.160121780406742E-3</v>
      </c>
      <c r="N32" s="96">
        <f t="shared" si="1"/>
        <v>0.10265843373417423</v>
      </c>
      <c r="O32" s="96">
        <f t="shared" si="2"/>
        <v>0.22930430797692389</v>
      </c>
      <c r="P32" s="96">
        <f t="shared" si="3"/>
        <v>0.55320635919498562</v>
      </c>
      <c r="Q32" s="96">
        <f t="shared" si="4"/>
        <v>0.69665125463040567</v>
      </c>
      <c r="R32" s="96">
        <f t="shared" si="5"/>
        <v>0.98852199049129197</v>
      </c>
      <c r="S32" s="96">
        <f t="shared" si="6"/>
        <v>1.9037056354197075</v>
      </c>
      <c r="T32" s="96">
        <f t="shared" si="7"/>
        <v>3.2548898661750703</v>
      </c>
      <c r="U32" s="96">
        <f t="shared" si="8"/>
        <v>4.6023318292183983</v>
      </c>
      <c r="V32" s="96">
        <f t="shared" si="9"/>
        <v>1.3148430969574774</v>
      </c>
      <c r="W32" s="96"/>
      <c r="X32" s="96">
        <f t="shared" si="10"/>
        <v>4.2527639751530942E-3</v>
      </c>
      <c r="Y32" s="96">
        <f t="shared" si="13"/>
        <v>0.67324253016884794</v>
      </c>
      <c r="Z32" s="96">
        <f t="shared" si="13"/>
        <v>3.1435741530449173</v>
      </c>
      <c r="AA32" s="96">
        <f t="shared" si="13"/>
        <v>2.33120713431118</v>
      </c>
      <c r="AB32" s="96">
        <f t="shared" si="13"/>
        <v>2.4653084092533915</v>
      </c>
      <c r="AC32" s="96">
        <f t="shared" si="13"/>
        <v>18.614830357063457</v>
      </c>
      <c r="AD32" s="96">
        <f t="shared" si="13"/>
        <v>32.404428181075616</v>
      </c>
      <c r="AE32" s="96">
        <f t="shared" si="13"/>
        <v>26.564961905783974</v>
      </c>
      <c r="AF32" s="96">
        <f t="shared" si="13"/>
        <v>13.798194565323463</v>
      </c>
      <c r="AG32" s="96">
        <f t="shared" si="13"/>
        <v>100</v>
      </c>
    </row>
    <row r="33" spans="1:33" x14ac:dyDescent="0.2">
      <c r="A33" s="10" t="str">
        <f>name!D29</f>
        <v>92 Elementary administration and service occupations</v>
      </c>
      <c r="B33" s="68">
        <f>'Basic T2'!D33</f>
        <v>8.258450549229801E-2</v>
      </c>
      <c r="C33" s="68">
        <f>'Basic T2'!O33</f>
        <v>2.164410175028177</v>
      </c>
      <c r="D33" s="68">
        <f>'Basic T2'!Z33</f>
        <v>7.8552428295030694</v>
      </c>
      <c r="E33" s="68">
        <f>'Basic T2'!AK33</f>
        <v>3.9637601671296028</v>
      </c>
      <c r="F33" s="68">
        <f>'Basic T2'!AV33</f>
        <v>3.3575475350816597</v>
      </c>
      <c r="G33" s="68">
        <f>'Basic T2'!BG33</f>
        <v>24.365201339023812</v>
      </c>
      <c r="H33" s="68">
        <f>'Basic T2'!BR33</f>
        <v>40.283028913344971</v>
      </c>
      <c r="I33" s="68">
        <f>'Basic T2'!CC33</f>
        <v>26.597907621703815</v>
      </c>
      <c r="J33" s="68">
        <f>'Basic T2'!CN33</f>
        <v>9.511061668641732</v>
      </c>
      <c r="K33" s="309">
        <f>SUM(B33:J33)</f>
        <v>118.18074475494913</v>
      </c>
      <c r="L33" s="96"/>
      <c r="M33" s="96">
        <f t="shared" si="0"/>
        <v>0.51659921917907348</v>
      </c>
      <c r="N33" s="96">
        <f t="shared" si="1"/>
        <v>2.1104888716465453</v>
      </c>
      <c r="O33" s="96">
        <f t="shared" si="2"/>
        <v>3.6641102167072463</v>
      </c>
      <c r="P33" s="96">
        <f t="shared" si="3"/>
        <v>6.0149784871596754</v>
      </c>
      <c r="Q33" s="96">
        <f t="shared" si="4"/>
        <v>6.0671781269936655</v>
      </c>
      <c r="R33" s="96">
        <f t="shared" si="5"/>
        <v>8.2740409490299971</v>
      </c>
      <c r="S33" s="96">
        <f t="shared" si="6"/>
        <v>15.133450501081844</v>
      </c>
      <c r="T33" s="96">
        <f t="shared" si="7"/>
        <v>20.839868930444126</v>
      </c>
      <c r="U33" s="96">
        <f t="shared" si="8"/>
        <v>20.286404013365448</v>
      </c>
      <c r="V33" s="96">
        <f t="shared" si="9"/>
        <v>9.9366744683324359</v>
      </c>
      <c r="W33" s="96"/>
      <c r="X33" s="96">
        <f>IF($K33&gt;0,B33/$K33*100,0)</f>
        <v>6.9879831662542941E-2</v>
      </c>
      <c r="Y33" s="96">
        <f t="shared" ref="Y33" si="14">IF($K33&gt;0,C33/$K33*100,0)</f>
        <v>1.8314406289418284</v>
      </c>
      <c r="Z33" s="96">
        <f t="shared" ref="Z33" si="15">IF($K33&gt;0,D33/$K33*100,0)</f>
        <v>6.6468043045346521</v>
      </c>
      <c r="AA33" s="96">
        <f t="shared" ref="AA33" si="16">IF($K33&gt;0,E33/$K33*100,0)</f>
        <v>3.353981374333495</v>
      </c>
      <c r="AB33" s="96">
        <f t="shared" ref="AB33" si="17">IF($K33&gt;0,F33/$K33*100,0)</f>
        <v>2.8410275650603003</v>
      </c>
      <c r="AC33" s="96">
        <f t="shared" ref="AC33" si="18">IF($K33&gt;0,G33/$K33*100,0)</f>
        <v>20.616896085352732</v>
      </c>
      <c r="AD33" s="96">
        <f t="shared" ref="AD33" si="19">IF($K33&gt;0,H33/$K33*100,0)</f>
        <v>34.085949447071847</v>
      </c>
      <c r="AE33" s="96">
        <f t="shared" ref="AE33" si="20">IF($K33&gt;0,I33/$K33*100,0)</f>
        <v>22.506126253354786</v>
      </c>
      <c r="AF33" s="96">
        <f>IF($K33&gt;0,J33/$K33*100,0)</f>
        <v>8.0478945096878238</v>
      </c>
      <c r="AG33" s="96">
        <f t="shared" ref="AG33" si="21">IF($K33&gt;0,K33/$K33*100,0)</f>
        <v>100</v>
      </c>
    </row>
    <row r="34" spans="1:33" x14ac:dyDescent="0.2">
      <c r="B34" s="309"/>
      <c r="C34" s="309"/>
      <c r="D34" s="309"/>
      <c r="E34" s="68"/>
      <c r="F34" s="68"/>
      <c r="G34" s="68"/>
      <c r="H34" s="68"/>
      <c r="I34" s="68"/>
      <c r="J34" s="68"/>
      <c r="K34" s="309"/>
      <c r="L34" s="96"/>
      <c r="M34" s="96"/>
      <c r="N34" s="96"/>
      <c r="O34" s="96"/>
      <c r="P34" s="96"/>
      <c r="Q34" s="96"/>
      <c r="R34" s="96"/>
      <c r="S34" s="96"/>
      <c r="T34" s="96"/>
      <c r="U34" s="96"/>
      <c r="V34" s="96"/>
      <c r="W34" s="96"/>
      <c r="X34" s="96"/>
      <c r="Y34" s="96"/>
      <c r="Z34" s="96"/>
      <c r="AA34" s="96"/>
      <c r="AB34" s="96"/>
      <c r="AC34" s="96"/>
      <c r="AD34" s="96"/>
      <c r="AE34" s="96"/>
      <c r="AF34" s="96"/>
      <c r="AG34" s="96"/>
    </row>
    <row r="35" spans="1:33" x14ac:dyDescent="0.2">
      <c r="A35" s="107" t="str">
        <f>name!D3</f>
        <v>All occupations</v>
      </c>
      <c r="B35" s="310">
        <f>SUM(B8:B33)</f>
        <v>15.986184730114932</v>
      </c>
      <c r="C35" s="310">
        <f t="shared" ref="C35:K35" si="22">SUM(C8:C33)</f>
        <v>102.55492005222297</v>
      </c>
      <c r="D35" s="310">
        <f t="shared" si="22"/>
        <v>214.38336635414277</v>
      </c>
      <c r="E35" s="310">
        <f t="shared" si="22"/>
        <v>65.898160327441573</v>
      </c>
      <c r="F35" s="310">
        <f t="shared" si="22"/>
        <v>55.33952464892193</v>
      </c>
      <c r="G35" s="310">
        <f t="shared" si="22"/>
        <v>294.47764990672732</v>
      </c>
      <c r="H35" s="310">
        <f t="shared" si="22"/>
        <v>266.18535482351007</v>
      </c>
      <c r="I35" s="310">
        <f t="shared" si="22"/>
        <v>127.62991797346673</v>
      </c>
      <c r="J35" s="310">
        <f t="shared" si="22"/>
        <v>46.883921183742004</v>
      </c>
      <c r="K35" s="310">
        <f t="shared" si="22"/>
        <v>1189.3390000002901</v>
      </c>
      <c r="L35" s="310"/>
      <c r="M35" s="97">
        <f>B35/B$35*100</f>
        <v>100</v>
      </c>
      <c r="N35" s="97">
        <f>C35/C$35*100</f>
        <v>100</v>
      </c>
      <c r="O35" s="97">
        <f>D35/D$35*100</f>
        <v>100</v>
      </c>
      <c r="P35" s="97">
        <f t="shared" ref="P35:U35" si="23">E35/E$35*100</f>
        <v>100</v>
      </c>
      <c r="Q35" s="97">
        <f t="shared" si="23"/>
        <v>100</v>
      </c>
      <c r="R35" s="97">
        <f t="shared" si="23"/>
        <v>100</v>
      </c>
      <c r="S35" s="97">
        <f t="shared" si="23"/>
        <v>100</v>
      </c>
      <c r="T35" s="97">
        <f t="shared" si="23"/>
        <v>100</v>
      </c>
      <c r="U35" s="97">
        <f t="shared" si="23"/>
        <v>100</v>
      </c>
      <c r="V35" s="97">
        <f>K35/K$35*100</f>
        <v>100</v>
      </c>
      <c r="W35" s="97"/>
      <c r="X35" s="97">
        <f>IF($K35&gt;0,B35/$K35*100,0)</f>
        <v>1.3441234778402988</v>
      </c>
      <c r="Y35" s="97">
        <f t="shared" ref="Y35:AG35" si="24">IF($K35&gt;0,C35/$K35*100,0)</f>
        <v>8.6228501757865459</v>
      </c>
      <c r="Z35" s="97">
        <f t="shared" si="24"/>
        <v>18.025421377260013</v>
      </c>
      <c r="AA35" s="97">
        <f t="shared" si="24"/>
        <v>5.5407382022640732</v>
      </c>
      <c r="AB35" s="97">
        <f t="shared" si="24"/>
        <v>4.6529647685738409</v>
      </c>
      <c r="AC35" s="97">
        <f t="shared" si="24"/>
        <v>24.759774118788293</v>
      </c>
      <c r="AD35" s="97">
        <f t="shared" si="24"/>
        <v>22.380948982875797</v>
      </c>
      <c r="AE35" s="97">
        <f t="shared" si="24"/>
        <v>10.73116394681715</v>
      </c>
      <c r="AF35" s="97">
        <f t="shared" si="24"/>
        <v>3.9420149497940091</v>
      </c>
      <c r="AG35" s="97">
        <f t="shared" si="24"/>
        <v>100</v>
      </c>
    </row>
    <row r="37" spans="1:33" x14ac:dyDescent="0.2">
      <c r="A37" s="90" t="str">
        <f ca="1">CELL("filename")</f>
        <v>M:\IE\Projects\Nuffield via NFER AI and automation\Data\Results\Workbooks\NE\[NE_MainTables.Main.xlsm]Manager</v>
      </c>
    </row>
  </sheetData>
  <pageMargins left="0.31496062992125984" right="0.31496062992125984" top="0.74803149606299213" bottom="0.74803149606299213" header="0.31496062992125984" footer="0.31496062992125984"/>
  <pageSetup paperSize="9" scale="71" orientation="landscape" r:id="rId1"/>
  <colBreaks count="2" manualBreakCount="2">
    <brk id="12" max="33" man="1"/>
    <brk id="23" max="33" man="1"/>
  </colBreaks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Sheet33"/>
  <dimension ref="A1:DP101"/>
  <sheetViews>
    <sheetView zoomScale="85" zoomScaleNormal="85" workbookViewId="0">
      <selection activeCell="J103" sqref="J103"/>
    </sheetView>
  </sheetViews>
  <sheetFormatPr defaultColWidth="9.140625" defaultRowHeight="12.75" x14ac:dyDescent="0.2"/>
  <cols>
    <col min="1" max="1" width="33.7109375" style="90" customWidth="1"/>
    <col min="2" max="2" width="5.7109375" style="90" customWidth="1"/>
    <col min="3" max="3" width="11.7109375" style="90" customWidth="1"/>
    <col min="4" max="4" width="7.85546875" style="90" customWidth="1"/>
    <col min="5" max="5" width="9.85546875" style="90" customWidth="1"/>
    <col min="6" max="6" width="10" style="90" customWidth="1"/>
    <col min="7" max="7" width="2.7109375" style="90" customWidth="1"/>
    <col min="8" max="8" width="5.7109375" style="90" customWidth="1"/>
    <col min="9" max="9" width="10.7109375" style="90" customWidth="1"/>
    <col min="10" max="12" width="8.7109375" style="90" customWidth="1"/>
    <col min="13" max="13" width="2.7109375" style="90" customWidth="1"/>
    <col min="14" max="14" width="5.7109375" style="90" customWidth="1"/>
    <col min="15" max="15" width="10.7109375" style="90" customWidth="1"/>
    <col min="16" max="18" width="8.7109375" style="90" customWidth="1"/>
    <col min="19" max="19" width="2.7109375" style="90" customWidth="1"/>
    <col min="20" max="20" width="5.7109375" style="90" customWidth="1"/>
    <col min="21" max="21" width="10.7109375" style="90" customWidth="1"/>
    <col min="22" max="24" width="8.7109375" style="90" customWidth="1"/>
    <col min="25" max="25" width="33.7109375" style="90" customWidth="1"/>
    <col min="26" max="26" width="5.7109375" style="90" customWidth="1"/>
    <col min="27" max="27" width="11.7109375" style="90" customWidth="1"/>
    <col min="28" max="28" width="7.42578125" style="90" customWidth="1"/>
    <col min="29" max="30" width="8.7109375" style="90" customWidth="1"/>
    <col min="31" max="31" width="2.7109375" style="90" customWidth="1"/>
    <col min="32" max="32" width="5.7109375" style="90" customWidth="1"/>
    <col min="33" max="33" width="10.7109375" style="90" customWidth="1"/>
    <col min="34" max="36" width="8.7109375" style="90" customWidth="1"/>
    <col min="37" max="37" width="2.7109375" style="90" customWidth="1"/>
    <col min="38" max="38" width="5.7109375" style="90" customWidth="1"/>
    <col min="39" max="39" width="10.7109375" style="90" customWidth="1"/>
    <col min="40" max="42" width="8.7109375" style="90" customWidth="1"/>
    <col min="43" max="43" width="2.7109375" style="90" customWidth="1"/>
    <col min="44" max="44" width="5.7109375" style="90" customWidth="1"/>
    <col min="45" max="45" width="10.7109375" style="90" customWidth="1"/>
    <col min="46" max="48" width="8.7109375" style="90" customWidth="1"/>
    <col min="49" max="49" width="33.7109375" style="90" customWidth="1"/>
    <col min="50" max="50" width="5.7109375" style="90" customWidth="1"/>
    <col min="51" max="51" width="11.7109375" style="90" customWidth="1"/>
    <col min="52" max="52" width="7.42578125" style="90" customWidth="1"/>
    <col min="53" max="54" width="8.7109375" style="90" customWidth="1"/>
    <col min="55" max="55" width="2.7109375" style="90" customWidth="1"/>
    <col min="56" max="56" width="5.7109375" style="90" customWidth="1"/>
    <col min="57" max="57" width="10.7109375" style="90" customWidth="1"/>
    <col min="58" max="60" width="8.7109375" style="90" customWidth="1"/>
    <col min="61" max="61" width="2.7109375" style="90" customWidth="1"/>
    <col min="62" max="62" width="5.7109375" style="90" customWidth="1"/>
    <col min="63" max="63" width="10.7109375" style="90" customWidth="1"/>
    <col min="64" max="66" width="8.7109375" style="90" customWidth="1"/>
    <col min="67" max="67" width="2.7109375" style="90" customWidth="1"/>
    <col min="68" max="68" width="5.7109375" style="90" customWidth="1"/>
    <col min="69" max="69" width="10.7109375" style="90" customWidth="1"/>
    <col min="70" max="72" width="8.7109375" style="90" customWidth="1"/>
    <col min="73" max="73" width="33.7109375" style="90" customWidth="1"/>
    <col min="74" max="74" width="5.7109375" style="90" customWidth="1"/>
    <col min="75" max="75" width="11.7109375" style="90" customWidth="1"/>
    <col min="76" max="76" width="7.42578125" style="90" customWidth="1"/>
    <col min="77" max="78" width="8.7109375" style="90" customWidth="1"/>
    <col min="79" max="79" width="2.7109375" style="90" customWidth="1"/>
    <col min="80" max="80" width="5.7109375" style="90" customWidth="1"/>
    <col min="81" max="81" width="10.7109375" style="90" customWidth="1"/>
    <col min="82" max="84" width="8.7109375" style="90" customWidth="1"/>
    <col min="85" max="85" width="2.7109375" style="90" customWidth="1"/>
    <col min="86" max="86" width="5.7109375" style="90" customWidth="1"/>
    <col min="87" max="87" width="10.7109375" style="90" customWidth="1"/>
    <col min="88" max="90" width="8.7109375" style="90" customWidth="1"/>
    <col min="91" max="91" width="2.7109375" style="90" customWidth="1"/>
    <col min="92" max="92" width="5.7109375" style="90" customWidth="1"/>
    <col min="93" max="93" width="10.7109375" style="90" customWidth="1"/>
    <col min="94" max="96" width="8.7109375" style="90" customWidth="1"/>
    <col min="97" max="97" width="33.7109375" style="90" customWidth="1"/>
    <col min="98" max="98" width="5.7109375" style="90" customWidth="1"/>
    <col min="99" max="99" width="11.7109375" style="90" customWidth="1"/>
    <col min="100" max="100" width="7.42578125" style="90" customWidth="1"/>
    <col min="101" max="102" width="8.7109375" style="90" customWidth="1"/>
    <col min="103" max="103" width="2.7109375" style="90" customWidth="1"/>
    <col min="104" max="104" width="5.7109375" style="90" customWidth="1"/>
    <col min="105" max="105" width="10.7109375" style="90" customWidth="1"/>
    <col min="106" max="108" width="8.7109375" style="90" customWidth="1"/>
    <col min="109" max="109" width="2.7109375" style="90" customWidth="1"/>
    <col min="110" max="110" width="5.7109375" style="90" customWidth="1"/>
    <col min="111" max="111" width="10.7109375" style="90" customWidth="1"/>
    <col min="112" max="114" width="8.7109375" style="90" customWidth="1"/>
    <col min="115" max="115" width="2.7109375" style="90" customWidth="1"/>
    <col min="116" max="116" width="5.7109375" style="90" customWidth="1"/>
    <col min="117" max="117" width="10.7109375" style="90" customWidth="1"/>
    <col min="118" max="120" width="8.7109375" style="90" customWidth="1"/>
    <col min="121" max="16384" width="9.140625" style="90"/>
  </cols>
  <sheetData>
    <row r="1" spans="1:120" ht="15.75" x14ac:dyDescent="0.25">
      <c r="A1" s="18" t="str">
        <f>CONCATENATE("Basic Table 5  Replacement Demand, ",A100,"-",A101,", by Industry and Qualification for ",name!$H$3)</f>
        <v>Basic Table 5  Replacement Demand, 2015-2025, by Industry and Qualification for M</v>
      </c>
      <c r="Y1" s="18" t="str">
        <f>CONCATENATE("Basic Table 5  Replacement Demand, ",A100,"-",A101,", by Industry and Qualification for ",name!$H$4)</f>
        <v>Basic Table 5  Replacement Demand, 2015-2025, by Industry and Qualification for F</v>
      </c>
      <c r="AW1" s="18" t="str">
        <f>CONCATENATE("Basic Table 5  Replacement Demand, ",A100,"-",A101,", by Industry and Qualification for ",name!$H$5)</f>
        <v xml:space="preserve">Basic Table 5  Replacement Demand, 2015-2025, by Industry and Qualification for </v>
      </c>
      <c r="BU1" s="18" t="str">
        <f>CONCATENATE("Basic Table 5  Replacement Demand, ",A100,"-",A101,", by Industry and Qualification for ",name!$H$6)</f>
        <v xml:space="preserve">Basic Table 5  Replacement Demand, 2015-2025, by Industry and Qualification for </v>
      </c>
      <c r="CS1" s="18" t="str">
        <f>CONCATENATE("Basic Table 5  Replacement Demand, ",A100,"-",A101,", by Industry and Qualification for ",name!$H$7)</f>
        <v xml:space="preserve">Basic Table 5  Replacement Demand, 2015-2025, by Industry and Qualification for </v>
      </c>
    </row>
    <row r="2" spans="1:120" ht="15.75" x14ac:dyDescent="0.25">
      <c r="A2" s="18"/>
      <c r="Y2" s="18"/>
      <c r="AW2" s="18"/>
      <c r="BU2" s="18"/>
      <c r="CS2" s="18"/>
    </row>
    <row r="3" spans="1:120" x14ac:dyDescent="0.2">
      <c r="B3" s="91"/>
      <c r="C3" s="91"/>
      <c r="D3" s="91"/>
      <c r="E3" s="91"/>
      <c r="F3" s="91"/>
      <c r="G3" s="91"/>
      <c r="H3" s="91"/>
      <c r="I3" s="91"/>
      <c r="J3" s="91"/>
      <c r="K3" s="91"/>
      <c r="L3" s="91"/>
      <c r="M3" s="91"/>
      <c r="N3" s="91"/>
      <c r="O3" s="91"/>
      <c r="P3" s="91"/>
      <c r="Q3" s="91"/>
      <c r="R3" s="91"/>
      <c r="S3" s="91"/>
      <c r="T3" s="91"/>
      <c r="U3" s="91"/>
      <c r="V3" s="91"/>
      <c r="W3" s="91"/>
      <c r="X3" s="115" t="s">
        <v>35</v>
      </c>
      <c r="Z3" s="91"/>
      <c r="AA3" s="91"/>
      <c r="AB3" s="91"/>
      <c r="AC3" s="91"/>
      <c r="AD3" s="91"/>
      <c r="AE3" s="91"/>
      <c r="AF3" s="91"/>
      <c r="AG3" s="91"/>
      <c r="AH3" s="91"/>
      <c r="AI3" s="91"/>
      <c r="AJ3" s="91"/>
      <c r="AK3" s="91"/>
      <c r="AL3" s="91"/>
      <c r="AM3" s="91"/>
      <c r="AN3" s="91"/>
      <c r="AO3" s="91"/>
      <c r="AP3" s="91"/>
      <c r="AQ3" s="91"/>
      <c r="AR3" s="91"/>
      <c r="AS3" s="91"/>
      <c r="AT3" s="91"/>
      <c r="AU3" s="91"/>
      <c r="AV3" s="115" t="str">
        <f>$X$3</f>
        <v>thousands</v>
      </c>
      <c r="AX3" s="91"/>
      <c r="AY3" s="91"/>
      <c r="AZ3" s="91"/>
      <c r="BA3" s="91"/>
      <c r="BB3" s="91"/>
      <c r="BC3" s="91"/>
      <c r="BD3" s="91"/>
      <c r="BE3" s="91"/>
      <c r="BF3" s="91"/>
      <c r="BG3" s="91"/>
      <c r="BH3" s="91"/>
      <c r="BI3" s="91"/>
      <c r="BJ3" s="91"/>
      <c r="BK3" s="91"/>
      <c r="BL3" s="91"/>
      <c r="BM3" s="91"/>
      <c r="BN3" s="91"/>
      <c r="BO3" s="91"/>
      <c r="BP3" s="91"/>
      <c r="BQ3" s="91"/>
      <c r="BR3" s="91"/>
      <c r="BS3" s="91"/>
      <c r="BT3" s="115" t="str">
        <f>$X$3</f>
        <v>thousands</v>
      </c>
      <c r="BV3" s="91"/>
      <c r="BW3" s="91"/>
      <c r="BX3" s="91"/>
      <c r="BY3" s="91"/>
      <c r="BZ3" s="91"/>
      <c r="CA3" s="91"/>
      <c r="CB3" s="91"/>
      <c r="CC3" s="91"/>
      <c r="CD3" s="91"/>
      <c r="CE3" s="91"/>
      <c r="CF3" s="91"/>
      <c r="CG3" s="91"/>
      <c r="CH3" s="91"/>
      <c r="CI3" s="91"/>
      <c r="CJ3" s="91"/>
      <c r="CK3" s="91"/>
      <c r="CL3" s="91"/>
      <c r="CM3" s="91"/>
      <c r="CN3" s="91"/>
      <c r="CO3" s="91"/>
      <c r="CP3" s="91"/>
      <c r="CQ3" s="91"/>
      <c r="CR3" s="115" t="str">
        <f>$X$3</f>
        <v>thousands</v>
      </c>
      <c r="CT3" s="91"/>
      <c r="CU3" s="91"/>
      <c r="CV3" s="91"/>
      <c r="CW3" s="91"/>
      <c r="CX3" s="91"/>
      <c r="CY3" s="91"/>
      <c r="CZ3" s="91"/>
      <c r="DA3" s="91"/>
      <c r="DB3" s="91"/>
      <c r="DC3" s="91"/>
      <c r="DD3" s="91"/>
      <c r="DE3" s="91"/>
      <c r="DF3" s="91"/>
      <c r="DG3" s="91"/>
      <c r="DH3" s="91"/>
      <c r="DI3" s="91"/>
      <c r="DJ3" s="91"/>
      <c r="DK3" s="91"/>
      <c r="DL3" s="91"/>
      <c r="DM3" s="91"/>
      <c r="DN3" s="91"/>
      <c r="DO3" s="91"/>
      <c r="DP3" s="115" t="str">
        <f>$X$3</f>
        <v>thousands</v>
      </c>
    </row>
    <row r="4" spans="1:120" x14ac:dyDescent="0.2">
      <c r="A4" s="95"/>
      <c r="B4" s="381" t="str">
        <f>name!F3</f>
        <v>All qualifications</v>
      </c>
      <c r="C4" s="381"/>
      <c r="D4" s="381"/>
      <c r="E4" s="381"/>
      <c r="F4" s="381"/>
      <c r="G4" s="102"/>
      <c r="H4" s="381" t="str">
        <f>name!F4</f>
        <v>RQF8 Doctorate</v>
      </c>
      <c r="I4" s="381"/>
      <c r="J4" s="381"/>
      <c r="K4" s="381"/>
      <c r="L4" s="381"/>
      <c r="N4" s="382" t="str">
        <f>name!F5</f>
        <v>RQF7 Other higher degree</v>
      </c>
      <c r="O4" s="382"/>
      <c r="P4" s="382"/>
      <c r="Q4" s="382"/>
      <c r="R4" s="382"/>
      <c r="S4" s="110"/>
      <c r="T4" s="382" t="str">
        <f>name!F6</f>
        <v>RQF6 First degree</v>
      </c>
      <c r="U4" s="382"/>
      <c r="V4" s="382"/>
      <c r="W4" s="382"/>
      <c r="X4" s="382"/>
      <c r="Y4" s="95"/>
      <c r="Z4" s="381" t="str">
        <f>$B$4</f>
        <v>All qualifications</v>
      </c>
      <c r="AA4" s="381"/>
      <c r="AB4" s="381"/>
      <c r="AC4" s="381"/>
      <c r="AD4" s="381"/>
      <c r="AE4" s="102"/>
      <c r="AF4" s="381" t="str">
        <f>$H$4</f>
        <v>RQF8 Doctorate</v>
      </c>
      <c r="AG4" s="381"/>
      <c r="AH4" s="381"/>
      <c r="AI4" s="381"/>
      <c r="AJ4" s="381"/>
      <c r="AL4" s="382" t="str">
        <f>$N$4</f>
        <v>RQF7 Other higher degree</v>
      </c>
      <c r="AM4" s="382"/>
      <c r="AN4" s="382"/>
      <c r="AO4" s="382"/>
      <c r="AP4" s="382"/>
      <c r="AQ4" s="110"/>
      <c r="AR4" s="382" t="str">
        <f>$T$4</f>
        <v>RQF6 First degree</v>
      </c>
      <c r="AS4" s="382"/>
      <c r="AT4" s="382"/>
      <c r="AU4" s="382"/>
      <c r="AV4" s="382"/>
      <c r="AW4" s="95"/>
      <c r="AX4" s="381" t="str">
        <f>$B$4</f>
        <v>All qualifications</v>
      </c>
      <c r="AY4" s="381"/>
      <c r="AZ4" s="381"/>
      <c r="BA4" s="381"/>
      <c r="BB4" s="381"/>
      <c r="BC4" s="102"/>
      <c r="BD4" s="381" t="str">
        <f>$H$4</f>
        <v>RQF8 Doctorate</v>
      </c>
      <c r="BE4" s="381"/>
      <c r="BF4" s="381"/>
      <c r="BG4" s="381"/>
      <c r="BH4" s="381"/>
      <c r="BJ4" s="382" t="str">
        <f>$N$4</f>
        <v>RQF7 Other higher degree</v>
      </c>
      <c r="BK4" s="382"/>
      <c r="BL4" s="382"/>
      <c r="BM4" s="382"/>
      <c r="BN4" s="382"/>
      <c r="BO4" s="110"/>
      <c r="BP4" s="382" t="str">
        <f>$T$4</f>
        <v>RQF6 First degree</v>
      </c>
      <c r="BQ4" s="382"/>
      <c r="BR4" s="382"/>
      <c r="BS4" s="382"/>
      <c r="BT4" s="382"/>
      <c r="BU4" s="95"/>
      <c r="BV4" s="381" t="str">
        <f>$B$4</f>
        <v>All qualifications</v>
      </c>
      <c r="BW4" s="381"/>
      <c r="BX4" s="381"/>
      <c r="BY4" s="381"/>
      <c r="BZ4" s="381"/>
      <c r="CA4" s="102"/>
      <c r="CB4" s="381" t="str">
        <f>$H$4</f>
        <v>RQF8 Doctorate</v>
      </c>
      <c r="CC4" s="381"/>
      <c r="CD4" s="381"/>
      <c r="CE4" s="381"/>
      <c r="CF4" s="381"/>
      <c r="CH4" s="382" t="str">
        <f>$N$4</f>
        <v>RQF7 Other higher degree</v>
      </c>
      <c r="CI4" s="382"/>
      <c r="CJ4" s="382"/>
      <c r="CK4" s="382"/>
      <c r="CL4" s="382"/>
      <c r="CM4" s="110"/>
      <c r="CN4" s="382" t="str">
        <f>$T$4</f>
        <v>RQF6 First degree</v>
      </c>
      <c r="CO4" s="382"/>
      <c r="CP4" s="382"/>
      <c r="CQ4" s="382"/>
      <c r="CR4" s="382"/>
      <c r="CS4" s="95"/>
      <c r="CT4" s="381" t="str">
        <f>$B$4</f>
        <v>All qualifications</v>
      </c>
      <c r="CU4" s="381"/>
      <c r="CV4" s="381"/>
      <c r="CW4" s="381"/>
      <c r="CX4" s="381"/>
      <c r="CY4" s="102"/>
      <c r="CZ4" s="381" t="str">
        <f>$H$4</f>
        <v>RQF8 Doctorate</v>
      </c>
      <c r="DA4" s="381"/>
      <c r="DB4" s="381"/>
      <c r="DC4" s="381"/>
      <c r="DD4" s="381"/>
      <c r="DF4" s="382" t="str">
        <f>$N$4</f>
        <v>RQF7 Other higher degree</v>
      </c>
      <c r="DG4" s="382"/>
      <c r="DH4" s="382"/>
      <c r="DI4" s="382"/>
      <c r="DJ4" s="382"/>
      <c r="DK4" s="110"/>
      <c r="DL4" s="382" t="str">
        <f>$T$4</f>
        <v>RQF6 First degree</v>
      </c>
      <c r="DM4" s="382"/>
      <c r="DN4" s="382"/>
      <c r="DO4" s="382"/>
      <c r="DP4" s="382"/>
    </row>
    <row r="6" spans="1:120" s="101" customFormat="1" ht="38.25" x14ac:dyDescent="0.2">
      <c r="A6" s="100"/>
      <c r="B6" s="105" t="s">
        <v>42</v>
      </c>
      <c r="C6" s="114" t="str">
        <f>CONCATENATE($A$100," Level")</f>
        <v>2015 Level</v>
      </c>
      <c r="D6" s="104" t="s">
        <v>40</v>
      </c>
      <c r="E6" s="114" t="s">
        <v>43</v>
      </c>
      <c r="F6" s="114" t="s">
        <v>44</v>
      </c>
      <c r="G6" s="103"/>
      <c r="H6" s="104" t="str">
        <f>B6</f>
        <v>RD p.a%</v>
      </c>
      <c r="I6" s="104" t="str">
        <f>C6</f>
        <v>2015 Level</v>
      </c>
      <c r="J6" s="104" t="str">
        <f>D6</f>
        <v>Net Change</v>
      </c>
      <c r="K6" s="104" t="str">
        <f>E6</f>
        <v>Replace-ment Demand</v>
      </c>
      <c r="L6" s="104" t="str">
        <f>F6</f>
        <v>Total Require-ment</v>
      </c>
      <c r="M6" s="103"/>
      <c r="N6" s="105" t="str">
        <f>H6</f>
        <v>RD p.a%</v>
      </c>
      <c r="O6" s="105" t="str">
        <f>I6</f>
        <v>2015 Level</v>
      </c>
      <c r="P6" s="105" t="str">
        <f>J6</f>
        <v>Net Change</v>
      </c>
      <c r="Q6" s="105" t="str">
        <f>K6</f>
        <v>Replace-ment Demand</v>
      </c>
      <c r="R6" s="105" t="str">
        <f>L6</f>
        <v>Total Require-ment</v>
      </c>
      <c r="S6" s="103"/>
      <c r="T6" s="105" t="str">
        <f>N6</f>
        <v>RD p.a%</v>
      </c>
      <c r="U6" s="105" t="str">
        <f>O6</f>
        <v>2015 Level</v>
      </c>
      <c r="V6" s="105" t="str">
        <f>P6</f>
        <v>Net Change</v>
      </c>
      <c r="W6" s="105" t="str">
        <f>Q6</f>
        <v>Replace-ment Demand</v>
      </c>
      <c r="X6" s="105" t="str">
        <f>R6</f>
        <v>Total Require-ment</v>
      </c>
      <c r="Y6" s="100"/>
      <c r="Z6" s="105" t="s">
        <v>42</v>
      </c>
      <c r="AA6" s="114" t="str">
        <f>CONCATENATE($A$100," Level")</f>
        <v>2015 Level</v>
      </c>
      <c r="AB6" s="104" t="s">
        <v>40</v>
      </c>
      <c r="AC6" s="114" t="s">
        <v>43</v>
      </c>
      <c r="AD6" s="114" t="s">
        <v>44</v>
      </c>
      <c r="AE6" s="103"/>
      <c r="AF6" s="104" t="str">
        <f>Z6</f>
        <v>RD p.a%</v>
      </c>
      <c r="AG6" s="104" t="str">
        <f>AA6</f>
        <v>2015 Level</v>
      </c>
      <c r="AH6" s="104" t="str">
        <f>AB6</f>
        <v>Net Change</v>
      </c>
      <c r="AI6" s="104" t="str">
        <f>AC6</f>
        <v>Replace-ment Demand</v>
      </c>
      <c r="AJ6" s="104" t="str">
        <f>AD6</f>
        <v>Total Require-ment</v>
      </c>
      <c r="AK6" s="103"/>
      <c r="AL6" s="105" t="str">
        <f>AF6</f>
        <v>RD p.a%</v>
      </c>
      <c r="AM6" s="105" t="str">
        <f>AG6</f>
        <v>2015 Level</v>
      </c>
      <c r="AN6" s="105" t="str">
        <f>AH6</f>
        <v>Net Change</v>
      </c>
      <c r="AO6" s="105" t="str">
        <f>AI6</f>
        <v>Replace-ment Demand</v>
      </c>
      <c r="AP6" s="105" t="str">
        <f>AJ6</f>
        <v>Total Require-ment</v>
      </c>
      <c r="AQ6" s="103"/>
      <c r="AR6" s="105" t="str">
        <f>AL6</f>
        <v>RD p.a%</v>
      </c>
      <c r="AS6" s="105" t="str">
        <f>AM6</f>
        <v>2015 Level</v>
      </c>
      <c r="AT6" s="105" t="str">
        <f>AN6</f>
        <v>Net Change</v>
      </c>
      <c r="AU6" s="105" t="str">
        <f>AO6</f>
        <v>Replace-ment Demand</v>
      </c>
      <c r="AV6" s="105" t="str">
        <f>AP6</f>
        <v>Total Require-ment</v>
      </c>
      <c r="AW6" s="100"/>
      <c r="AX6" s="105" t="s">
        <v>42</v>
      </c>
      <c r="AY6" s="114" t="str">
        <f>CONCATENATE($A$100," Level")</f>
        <v>2015 Level</v>
      </c>
      <c r="AZ6" s="104" t="s">
        <v>40</v>
      </c>
      <c r="BA6" s="114" t="s">
        <v>43</v>
      </c>
      <c r="BB6" s="114" t="s">
        <v>44</v>
      </c>
      <c r="BC6" s="103"/>
      <c r="BD6" s="104" t="str">
        <f>AX6</f>
        <v>RD p.a%</v>
      </c>
      <c r="BE6" s="104" t="str">
        <f>AY6</f>
        <v>2015 Level</v>
      </c>
      <c r="BF6" s="104" t="str">
        <f>AZ6</f>
        <v>Net Change</v>
      </c>
      <c r="BG6" s="104" t="str">
        <f>BA6</f>
        <v>Replace-ment Demand</v>
      </c>
      <c r="BH6" s="104" t="str">
        <f>BB6</f>
        <v>Total Require-ment</v>
      </c>
      <c r="BI6" s="103"/>
      <c r="BJ6" s="105" t="str">
        <f>BD6</f>
        <v>RD p.a%</v>
      </c>
      <c r="BK6" s="105" t="str">
        <f>BE6</f>
        <v>2015 Level</v>
      </c>
      <c r="BL6" s="105" t="str">
        <f>BF6</f>
        <v>Net Change</v>
      </c>
      <c r="BM6" s="105" t="str">
        <f>BG6</f>
        <v>Replace-ment Demand</v>
      </c>
      <c r="BN6" s="105" t="str">
        <f>BH6</f>
        <v>Total Require-ment</v>
      </c>
      <c r="BO6" s="103"/>
      <c r="BP6" s="105" t="str">
        <f>BJ6</f>
        <v>RD p.a%</v>
      </c>
      <c r="BQ6" s="105" t="str">
        <f>BK6</f>
        <v>2015 Level</v>
      </c>
      <c r="BR6" s="105" t="str">
        <f>BL6</f>
        <v>Net Change</v>
      </c>
      <c r="BS6" s="105" t="str">
        <f>BM6</f>
        <v>Replace-ment Demand</v>
      </c>
      <c r="BT6" s="105" t="str">
        <f>BN6</f>
        <v>Total Require-ment</v>
      </c>
      <c r="BU6" s="100"/>
      <c r="BV6" s="105" t="s">
        <v>42</v>
      </c>
      <c r="BW6" s="114" t="str">
        <f>CONCATENATE($A$100," Level")</f>
        <v>2015 Level</v>
      </c>
      <c r="BX6" s="104" t="s">
        <v>40</v>
      </c>
      <c r="BY6" s="114" t="s">
        <v>43</v>
      </c>
      <c r="BZ6" s="114" t="s">
        <v>44</v>
      </c>
      <c r="CA6" s="103"/>
      <c r="CB6" s="104" t="str">
        <f>BV6</f>
        <v>RD p.a%</v>
      </c>
      <c r="CC6" s="104" t="str">
        <f>BW6</f>
        <v>2015 Level</v>
      </c>
      <c r="CD6" s="104" t="str">
        <f>BX6</f>
        <v>Net Change</v>
      </c>
      <c r="CE6" s="104" t="str">
        <f>BY6</f>
        <v>Replace-ment Demand</v>
      </c>
      <c r="CF6" s="104" t="str">
        <f>BZ6</f>
        <v>Total Require-ment</v>
      </c>
      <c r="CG6" s="103"/>
      <c r="CH6" s="105" t="str">
        <f>CB6</f>
        <v>RD p.a%</v>
      </c>
      <c r="CI6" s="105" t="str">
        <f>CC6</f>
        <v>2015 Level</v>
      </c>
      <c r="CJ6" s="105" t="str">
        <f>CD6</f>
        <v>Net Change</v>
      </c>
      <c r="CK6" s="105" t="str">
        <f>CE6</f>
        <v>Replace-ment Demand</v>
      </c>
      <c r="CL6" s="105" t="str">
        <f>CF6</f>
        <v>Total Require-ment</v>
      </c>
      <c r="CM6" s="103"/>
      <c r="CN6" s="105" t="str">
        <f>CH6</f>
        <v>RD p.a%</v>
      </c>
      <c r="CO6" s="105" t="str">
        <f>CI6</f>
        <v>2015 Level</v>
      </c>
      <c r="CP6" s="105" t="str">
        <f>CJ6</f>
        <v>Net Change</v>
      </c>
      <c r="CQ6" s="105" t="str">
        <f>CK6</f>
        <v>Replace-ment Demand</v>
      </c>
      <c r="CR6" s="105" t="str">
        <f>CL6</f>
        <v>Total Require-ment</v>
      </c>
      <c r="CS6" s="100"/>
      <c r="CT6" s="105" t="s">
        <v>42</v>
      </c>
      <c r="CU6" s="114" t="str">
        <f>CONCATENATE($A$100," Level")</f>
        <v>2015 Level</v>
      </c>
      <c r="CV6" s="104" t="s">
        <v>40</v>
      </c>
      <c r="CW6" s="114" t="s">
        <v>43</v>
      </c>
      <c r="CX6" s="114" t="s">
        <v>44</v>
      </c>
      <c r="CY6" s="103"/>
      <c r="CZ6" s="104" t="str">
        <f>CT6</f>
        <v>RD p.a%</v>
      </c>
      <c r="DA6" s="104" t="str">
        <f>CU6</f>
        <v>2015 Level</v>
      </c>
      <c r="DB6" s="104" t="str">
        <f>CV6</f>
        <v>Net Change</v>
      </c>
      <c r="DC6" s="104" t="str">
        <f>CW6</f>
        <v>Replace-ment Demand</v>
      </c>
      <c r="DD6" s="104" t="str">
        <f>CX6</f>
        <v>Total Require-ment</v>
      </c>
      <c r="DE6" s="103"/>
      <c r="DF6" s="105" t="str">
        <f>CZ6</f>
        <v>RD p.a%</v>
      </c>
      <c r="DG6" s="105" t="str">
        <f>DA6</f>
        <v>2015 Level</v>
      </c>
      <c r="DH6" s="105" t="str">
        <f>DB6</f>
        <v>Net Change</v>
      </c>
      <c r="DI6" s="105" t="str">
        <f>DC6</f>
        <v>Replace-ment Demand</v>
      </c>
      <c r="DJ6" s="105" t="str">
        <f>DD6</f>
        <v>Total Require-ment</v>
      </c>
      <c r="DK6" s="103"/>
      <c r="DL6" s="105" t="str">
        <f>DF6</f>
        <v>RD p.a%</v>
      </c>
      <c r="DM6" s="105" t="str">
        <f>DG6</f>
        <v>2015 Level</v>
      </c>
      <c r="DN6" s="105" t="str">
        <f>DH6</f>
        <v>Net Change</v>
      </c>
      <c r="DO6" s="105" t="str">
        <f>DI6</f>
        <v>Replace-ment Demand</v>
      </c>
      <c r="DP6" s="105" t="str">
        <f>DJ6</f>
        <v>Total Require-ment</v>
      </c>
    </row>
    <row r="8" spans="1:120" x14ac:dyDescent="0.2">
      <c r="A8" s="90" t="str">
        <f>name!B4</f>
        <v>Agriculture</v>
      </c>
      <c r="B8" s="39">
        <f>IF(C8&gt;0,((1+(E8/C8))^(1/($A$101-$A$100))-1)*100,0)</f>
        <v>3.6286528043839583</v>
      </c>
      <c r="C8" s="11">
        <v>55.936999999999848</v>
      </c>
      <c r="D8" s="93">
        <v>-6.9799999999999773</v>
      </c>
      <c r="E8" s="93">
        <v>23.953969842292668</v>
      </c>
      <c r="F8" s="93">
        <f>SUM(D8:E8)</f>
        <v>16.973969842292689</v>
      </c>
      <c r="G8" s="93"/>
      <c r="H8" s="39">
        <f>IF(I8&gt;0,((1+(K8/I8))^(1/($A$101-$A$100))-1)*100,0)</f>
        <v>3.5263839839017708</v>
      </c>
      <c r="I8" s="93">
        <v>17.246149343314809</v>
      </c>
      <c r="J8" s="93">
        <v>-6.8895887133768028</v>
      </c>
      <c r="K8" s="93">
        <v>7.1433335785126539</v>
      </c>
      <c r="L8" s="93">
        <f>SUM(J8:K8)</f>
        <v>0.25374486513585115</v>
      </c>
      <c r="N8" s="39">
        <f>IF(O8&gt;0,((1+(Q8/O8))^(1/($A$101-$A$100))-1)*100,0)</f>
        <v>3.688575763403712</v>
      </c>
      <c r="O8" s="93">
        <v>26.89476620234856</v>
      </c>
      <c r="P8" s="93">
        <v>-1.7755328024279793</v>
      </c>
      <c r="Q8" s="93">
        <v>11.739873371498375</v>
      </c>
      <c r="R8" s="93">
        <f>SUM(P8:Q8)</f>
        <v>9.9643405690703943</v>
      </c>
      <c r="S8" s="106"/>
      <c r="T8" s="39">
        <f>IF(U8&gt;0,((1+(W8/U8))^(1/($A$101-$A$100))-1)*100,0)</f>
        <v>3.6405249613346236</v>
      </c>
      <c r="U8" s="93">
        <v>11.79608445433648</v>
      </c>
      <c r="V8" s="93">
        <v>1.6851215158048036</v>
      </c>
      <c r="W8" s="93">
        <v>5.0707628922816417</v>
      </c>
      <c r="X8" s="93">
        <f>SUM(V8:W8)</f>
        <v>6.7558844080864455</v>
      </c>
      <c r="Y8" s="90" t="str">
        <f t="shared" ref="Y8:Y48" si="0">A8</f>
        <v>Agriculture</v>
      </c>
      <c r="Z8" s="39">
        <f>IF(AA8&gt;0,((1+(AC8/AA8))^(1/($A$101-$A$100))-1)*100,0)</f>
        <v>3.2278133961415545</v>
      </c>
      <c r="AA8" s="11">
        <v>4.3826960714462242</v>
      </c>
      <c r="AB8" s="93">
        <v>3.8928451595904385</v>
      </c>
      <c r="AC8" s="93">
        <v>1.6388586204918438</v>
      </c>
      <c r="AD8" s="93">
        <f>SUM(AB8:AC8)</f>
        <v>5.5317037800822826</v>
      </c>
      <c r="AE8" s="93"/>
      <c r="AF8" s="39">
        <f>IF(AG8&gt;0,((1+(AI8/AG8))^(1/($A$101-$A$100))-1)*100,0)</f>
        <v>3.7281488295962228</v>
      </c>
      <c r="AG8" s="93">
        <v>0.36786575366769064</v>
      </c>
      <c r="AH8" s="93">
        <v>0.72586367094203585</v>
      </c>
      <c r="AI8" s="93">
        <v>0.16259790102888269</v>
      </c>
      <c r="AJ8" s="93">
        <f>SUM(AH8:AI8)</f>
        <v>0.88846157197091857</v>
      </c>
      <c r="AL8" s="39">
        <f>IF(AM8&gt;0,((1+(AO8/AM8))^(1/($A$101-$A$100))-1)*100,0)</f>
        <v>3.4098436752145078</v>
      </c>
      <c r="AM8" s="93">
        <v>1.6324139933768864</v>
      </c>
      <c r="AN8" s="93">
        <v>2.2923856880061342</v>
      </c>
      <c r="AO8" s="93">
        <v>0.65028751093123516</v>
      </c>
      <c r="AP8" s="93">
        <f>SUM(AN8:AO8)</f>
        <v>2.9426731989373693</v>
      </c>
      <c r="AQ8" s="106"/>
      <c r="AR8" s="39">
        <f>IF(AS8&gt;0,((1+(AU8/AS8))^(1/($A$101-$A$100))-1)*100,0)</f>
        <v>3.0212804601292831</v>
      </c>
      <c r="AS8" s="93">
        <v>2.382416324401647</v>
      </c>
      <c r="AT8" s="93">
        <v>0.87459580064226849</v>
      </c>
      <c r="AU8" s="93">
        <v>0.82597320853172596</v>
      </c>
      <c r="AV8" s="93">
        <f>SUM(AT8:AU8)</f>
        <v>1.7005690091739945</v>
      </c>
      <c r="AW8" s="90" t="str">
        <f>Y8</f>
        <v>Agriculture</v>
      </c>
      <c r="AX8" s="39">
        <f>IF(AY8&gt;0,((1+(BA8/AY8))^(1/($A$101-$A$100))-1)*100,0)</f>
        <v>2.6560490695816119</v>
      </c>
      <c r="AY8" s="11">
        <v>1.9992749386487922</v>
      </c>
      <c r="AZ8" s="93">
        <v>0.50024802314102146</v>
      </c>
      <c r="BA8" s="93">
        <v>0.59919667769333007</v>
      </c>
      <c r="BB8" s="93">
        <f>SUM(AZ8:BA8)</f>
        <v>1.0994447008343515</v>
      </c>
      <c r="BC8" s="93"/>
      <c r="BD8" s="39">
        <f>IF(BE8&gt;0,((1+(BG8/BE8))^(1/($A$101-$A$100))-1)*100,0)</f>
        <v>2.5886964610706498</v>
      </c>
      <c r="BE8" s="93">
        <v>0.35374225719986674</v>
      </c>
      <c r="BF8" s="93">
        <v>0.49967527486298247</v>
      </c>
      <c r="BG8" s="93">
        <v>0.1030114256045692</v>
      </c>
      <c r="BH8" s="93">
        <f>SUM(BF8:BG8)</f>
        <v>0.60268670046755168</v>
      </c>
      <c r="BJ8" s="39">
        <f>IF(BK8&gt;0,((1+(BM8/BK8))^(1/($A$101-$A$100))-1)*100,0)</f>
        <v>2.6156756899814892</v>
      </c>
      <c r="BK8" s="93">
        <v>0.79083739900797367</v>
      </c>
      <c r="BL8" s="93">
        <v>8.9741026511377109E-2</v>
      </c>
      <c r="BM8" s="93">
        <v>0.2329842080987119</v>
      </c>
      <c r="BN8" s="93">
        <f>SUM(BL8:BM8)</f>
        <v>0.32272523461008901</v>
      </c>
      <c r="BO8" s="106"/>
      <c r="BP8" s="39">
        <f>IF(BQ8&gt;0,((1+(BS8/BQ8))^(1/($A$101-$A$100))-1)*100,0)</f>
        <v>2.7209488084197098</v>
      </c>
      <c r="BQ8" s="93">
        <v>0.85469528244095183</v>
      </c>
      <c r="BR8" s="93">
        <v>-8.91682782333382E-2</v>
      </c>
      <c r="BS8" s="93">
        <v>0.26320104399004901</v>
      </c>
      <c r="BT8" s="93">
        <f>SUM(BR8:BS8)</f>
        <v>0.17403276575671081</v>
      </c>
      <c r="BU8" s="90" t="str">
        <f>AW8</f>
        <v>Agriculture</v>
      </c>
      <c r="BV8" s="39">
        <f>IF(BW8&gt;0,((1+(BY8/BW8))^(1/($A$101-$A$100))-1)*100,0)</f>
        <v>4.0147443282656514</v>
      </c>
      <c r="BW8" s="11">
        <v>39.351032099647234</v>
      </c>
      <c r="BX8" s="93">
        <v>-10.192568070379561</v>
      </c>
      <c r="BY8" s="93">
        <v>18.980742173027217</v>
      </c>
      <c r="BZ8" s="93">
        <f>SUM(BX8:BY8)</f>
        <v>8.7881741026476554</v>
      </c>
      <c r="CA8" s="93"/>
      <c r="CB8" s="39">
        <f>IF(CC8&gt;0,((1+(CE8/CC8))^(1/($A$101-$A$100))-1)*100,0)</f>
        <v>3.9264502862225381</v>
      </c>
      <c r="CC8" s="93">
        <v>12.261822191887621</v>
      </c>
      <c r="CD8" s="93">
        <v>-6.5032966118226403</v>
      </c>
      <c r="CE8" s="93">
        <v>5.7607158890505197</v>
      </c>
      <c r="CF8" s="93">
        <f>SUM(CD8:CE8)</f>
        <v>-0.74258072277212062</v>
      </c>
      <c r="CH8" s="39">
        <f>IF(CI8&gt;0,((1+(CK8/CI8))^(1/($A$101-$A$100))-1)*100,0)</f>
        <v>3.9924360846625317</v>
      </c>
      <c r="CI8" s="93">
        <v>20.383214444648981</v>
      </c>
      <c r="CJ8" s="93">
        <v>-4.2877513599355161</v>
      </c>
      <c r="CK8" s="93">
        <v>9.7669852444241734</v>
      </c>
      <c r="CL8" s="93">
        <f>SUM(CJ8:CK8)</f>
        <v>5.4792338844886572</v>
      </c>
      <c r="CM8" s="106"/>
      <c r="CN8" s="39">
        <f>IF(CO8&gt;0,((1+(CQ8/CO8))^(1/($A$101-$A$100))-1)*100,0)</f>
        <v>4.2410858263209894</v>
      </c>
      <c r="CO8" s="93">
        <v>6.7059954631106375</v>
      </c>
      <c r="CP8" s="93">
        <v>0.59847990137859675</v>
      </c>
      <c r="CQ8" s="93">
        <v>3.4530410395525251</v>
      </c>
      <c r="CR8" s="93">
        <f>SUM(CP8:CQ8)</f>
        <v>4.0515209409311215</v>
      </c>
      <c r="CS8" s="90" t="str">
        <f>BU8</f>
        <v>Agriculture</v>
      </c>
      <c r="CT8" s="39">
        <f>IF(CU8&gt;0,((1+(CW8/CU8))^(1/($A$101-$A$100))-1)*100,0)</f>
        <v>2.4032187492160517</v>
      </c>
      <c r="CU8" s="11">
        <v>10.203996890257596</v>
      </c>
      <c r="CV8" s="93">
        <v>-1.1805251123518785</v>
      </c>
      <c r="CW8" s="93">
        <v>2.7351723710802771</v>
      </c>
      <c r="CX8" s="93">
        <f>SUM(CV8:CW8)</f>
        <v>1.5546472587283986</v>
      </c>
      <c r="CY8" s="93"/>
      <c r="CZ8" s="39">
        <f>IF(DA8&gt;0,((1+(DC8/DA8))^(1/($A$101-$A$100))-1)*100,0)</f>
        <v>2.3545977595102796</v>
      </c>
      <c r="DA8" s="93">
        <v>4.2627191405596321</v>
      </c>
      <c r="DB8" s="93">
        <v>-1.6118310473591806</v>
      </c>
      <c r="DC8" s="93">
        <v>1.1170083628286818</v>
      </c>
      <c r="DD8" s="93">
        <f>SUM(DB8:DC8)</f>
        <v>-0.49482268453049882</v>
      </c>
      <c r="DF8" s="39">
        <f>IF(DG8&gt;0,((1+(DI8/DG8))^(1/($A$101-$A$100))-1)*100,0)</f>
        <v>2.3908685473913449</v>
      </c>
      <c r="DG8" s="93">
        <v>4.088300365314721</v>
      </c>
      <c r="DH8" s="93">
        <v>0.13009184299002535</v>
      </c>
      <c r="DI8" s="93">
        <v>1.0896164080442534</v>
      </c>
      <c r="DJ8" s="93">
        <f>SUM(DH8:DI8)</f>
        <v>1.2197082510342787</v>
      </c>
      <c r="DK8" s="106"/>
      <c r="DL8" s="39">
        <f>IF(DM8&gt;0,((1+(DO8/DM8))^(1/($A$101-$A$100))-1)*100,0)</f>
        <v>2.5412252196502561</v>
      </c>
      <c r="DM8" s="93">
        <v>1.8529773843832451</v>
      </c>
      <c r="DN8" s="93">
        <v>0.30121409201727667</v>
      </c>
      <c r="DO8" s="93">
        <v>0.52854760020734193</v>
      </c>
      <c r="DP8" s="93">
        <f>SUM(DN8:DO8)</f>
        <v>0.8297616922246186</v>
      </c>
    </row>
    <row r="9" spans="1:120" x14ac:dyDescent="0.2">
      <c r="A9" s="90" t="str">
        <f>name!B5</f>
        <v>Mining and quarrying</v>
      </c>
      <c r="B9" s="39">
        <f t="shared" ref="B9:B50" si="1">IF(C9&gt;0,((1+(E9/C9))^(1/($A$101-$A$100))-1)*100,0)</f>
        <v>2.5879456250919697</v>
      </c>
      <c r="C9" s="11">
        <v>2.8879999999999906</v>
      </c>
      <c r="D9" s="93">
        <v>0.31300000000000278</v>
      </c>
      <c r="E9" s="93">
        <v>0.84072640567762824</v>
      </c>
      <c r="F9" s="93">
        <f t="shared" ref="F9:F50" si="2">SUM(D9:E9)</f>
        <v>1.1537264056776311</v>
      </c>
      <c r="G9" s="93"/>
      <c r="H9" s="39">
        <f t="shared" ref="H9:H50" si="3">IF(I9&gt;0,((1+(K9/I9))^(1/($A$101-$A$100))-1)*100,0)</f>
        <v>2.4436532378282472</v>
      </c>
      <c r="I9" s="93">
        <v>0.56134327419487429</v>
      </c>
      <c r="J9" s="93">
        <v>-0.21770904065899815</v>
      </c>
      <c r="K9" s="93">
        <v>0.15328319439040927</v>
      </c>
      <c r="L9" s="93">
        <f t="shared" ref="L9:L48" si="4">SUM(J9:K9)</f>
        <v>-6.4425846268588882E-2</v>
      </c>
      <c r="N9" s="39">
        <f t="shared" ref="N9:N50" si="5">IF(O9&gt;0,((1+(Q9/O9))^(1/($A$101-$A$100))-1)*100,0)</f>
        <v>2.5068914334568815</v>
      </c>
      <c r="O9" s="93">
        <v>1.5400906331410087</v>
      </c>
      <c r="P9" s="93">
        <v>0.28375808682996728</v>
      </c>
      <c r="Q9" s="93">
        <v>0.43268145633424426</v>
      </c>
      <c r="R9" s="93">
        <f t="shared" ref="R9:R48" si="6">SUM(P9:Q9)</f>
        <v>0.71643954316421155</v>
      </c>
      <c r="S9" s="106"/>
      <c r="T9" s="39">
        <f t="shared" ref="T9:T50" si="7">IF(U9&gt;0,((1+(W9/U9))^(1/($A$101-$A$100))-1)*100,0)</f>
        <v>2.8454839589988623</v>
      </c>
      <c r="U9" s="93">
        <v>0.78656609266410804</v>
      </c>
      <c r="V9" s="93">
        <v>0.24695095382903356</v>
      </c>
      <c r="W9" s="93">
        <v>0.25476175495297482</v>
      </c>
      <c r="X9" s="93">
        <f t="shared" ref="X9:X48" si="8">SUM(V9:W9)</f>
        <v>0.50171270878200835</v>
      </c>
      <c r="Y9" s="90" t="str">
        <f t="shared" si="0"/>
        <v>Mining and quarrying</v>
      </c>
      <c r="Z9" s="39">
        <f t="shared" ref="Z9:Z48" si="9">IF(AA9&gt;0,((1+(AC9/AA9))^(1/($A$101-$A$100))-1)*100,0)</f>
        <v>2.8484964339744012</v>
      </c>
      <c r="AA9" s="11">
        <v>0.91916274125036446</v>
      </c>
      <c r="AB9" s="93">
        <v>0.31532613098932155</v>
      </c>
      <c r="AC9" s="93">
        <v>0.29806511305958167</v>
      </c>
      <c r="AD9" s="93">
        <f t="shared" ref="AD9:AD48" si="10">SUM(AB9:AC9)</f>
        <v>0.61339124404890322</v>
      </c>
      <c r="AE9" s="93"/>
      <c r="AF9" s="39">
        <f t="shared" ref="AF9:AF48" si="11">IF(AG9&gt;0,((1+(AI9/AG9))^(1/($A$101-$A$100))-1)*100,0)</f>
        <v>2.5647482470575023</v>
      </c>
      <c r="AG9" s="93">
        <v>6.0971942881735838E-2</v>
      </c>
      <c r="AH9" s="93">
        <v>-2.5168577316816716E-2</v>
      </c>
      <c r="AI9" s="93">
        <v>1.7571732105538661E-2</v>
      </c>
      <c r="AJ9" s="93">
        <f t="shared" ref="AJ9:AJ48" si="12">SUM(AH9:AI9)</f>
        <v>-7.5968452112780555E-3</v>
      </c>
      <c r="AL9" s="39">
        <f t="shared" ref="AL9:AL48" si="13">IF(AM9&gt;0,((1+(AO9/AM9))^(1/($A$101-$A$100))-1)*100,0)</f>
        <v>2.6969613560046124</v>
      </c>
      <c r="AM9" s="93">
        <v>0.23935227172586462</v>
      </c>
      <c r="AN9" s="93">
        <v>0.14142536362746669</v>
      </c>
      <c r="AO9" s="93">
        <v>7.2977576857019638E-2</v>
      </c>
      <c r="AP9" s="93">
        <f t="shared" ref="AP9:AP48" si="14">SUM(AN9:AO9)</f>
        <v>0.21440294048448633</v>
      </c>
      <c r="AQ9" s="106"/>
      <c r="AR9" s="39">
        <f t="shared" ref="AR9:AR48" si="15">IF(AS9&gt;0,((1+(AU9/AS9))^(1/($A$101-$A$100))-1)*100,0)</f>
        <v>2.9340110632854799</v>
      </c>
      <c r="AS9" s="93">
        <v>0.61883852664276406</v>
      </c>
      <c r="AT9" s="93">
        <v>0.19906934467867154</v>
      </c>
      <c r="AU9" s="93">
        <v>0.20751580409702336</v>
      </c>
      <c r="AV9" s="93">
        <f t="shared" ref="AV9:AV48" si="16">SUM(AT9:AU9)</f>
        <v>0.4065851487756949</v>
      </c>
      <c r="AW9" s="90" t="str">
        <f t="shared" ref="AW9:AW48" si="17">Y9</f>
        <v>Mining and quarrying</v>
      </c>
      <c r="AX9" s="39">
        <f t="shared" ref="AX9:AX48" si="18">IF(AY9&gt;0,((1+(BA9/AY9))^(1/($A$101-$A$100))-1)*100,0)</f>
        <v>2.6726206587082579</v>
      </c>
      <c r="AY9" s="11">
        <v>0.3067194252346826</v>
      </c>
      <c r="AZ9" s="93">
        <v>6.8760264538259452E-2</v>
      </c>
      <c r="BA9" s="93">
        <v>9.2569950318502167E-2</v>
      </c>
      <c r="BB9" s="93">
        <f t="shared" ref="BB9:BB48" si="19">SUM(AZ9:BA9)</f>
        <v>0.16133021485676163</v>
      </c>
      <c r="BC9" s="93"/>
      <c r="BD9" s="39">
        <f t="shared" ref="BD9:BD48" si="20">IF(BE9&gt;0,((1+(BG9/BE9))^(1/($A$101-$A$100))-1)*100,0)</f>
        <v>2.5499994113037161</v>
      </c>
      <c r="BE9" s="93">
        <v>4.8330458353493297E-2</v>
      </c>
      <c r="BF9" s="93">
        <v>1.4245064889474328E-2</v>
      </c>
      <c r="BG9" s="93">
        <v>1.3839064758290531E-2</v>
      </c>
      <c r="BH9" s="93">
        <f t="shared" ref="BH9:BH48" si="21">SUM(BF9:BG9)</f>
        <v>2.8084129647764858E-2</v>
      </c>
      <c r="BJ9" s="39">
        <f t="shared" ref="BJ9:BJ48" si="22">IF(BK9&gt;0,((1+(BM9/BK9))^(1/($A$101-$A$100))-1)*100,0)</f>
        <v>2.6327433470687112</v>
      </c>
      <c r="BK9" s="93">
        <v>0.1678509941154788</v>
      </c>
      <c r="BL9" s="93">
        <v>9.5539598382306211E-3</v>
      </c>
      <c r="BM9" s="93">
        <v>4.9811346068916303E-2</v>
      </c>
      <c r="BN9" s="93">
        <f t="shared" ref="BN9:BN48" si="23">SUM(BL9:BM9)</f>
        <v>5.936530590714692E-2</v>
      </c>
      <c r="BO9" s="106"/>
      <c r="BP9" s="39">
        <f t="shared" ref="BP9:BP48" si="24">IF(BQ9&gt;0,((1+(BS9/BQ9))^(1/($A$101-$A$100))-1)*100,0)</f>
        <v>2.8106890888395686</v>
      </c>
      <c r="BQ9" s="93">
        <v>9.0537972765710545E-2</v>
      </c>
      <c r="BR9" s="93">
        <v>4.4961239810554506E-2</v>
      </c>
      <c r="BS9" s="93">
        <v>2.8919539491295328E-2</v>
      </c>
      <c r="BT9" s="93">
        <f t="shared" ref="BT9:BT48" si="25">SUM(BR9:BS9)</f>
        <v>7.388077930184983E-2</v>
      </c>
      <c r="BU9" s="90" t="str">
        <f t="shared" ref="BU9:BU48" si="26">AW9</f>
        <v>Mining and quarrying</v>
      </c>
      <c r="BV9" s="39">
        <f t="shared" ref="BV9:BV48" si="27">IF(BW9&gt;0,((1+(BY9/BW9))^(1/($A$101-$A$100))-1)*100,0)</f>
        <v>2.4107447061383347</v>
      </c>
      <c r="BW9" s="11">
        <v>1.5632668821604008</v>
      </c>
      <c r="BX9" s="93">
        <v>-0.15103332096346828</v>
      </c>
      <c r="BY9" s="93">
        <v>0.42048964990866566</v>
      </c>
      <c r="BZ9" s="93">
        <f t="shared" ref="BZ9:BZ48" si="28">SUM(BX9:BY9)</f>
        <v>0.26945632894519739</v>
      </c>
      <c r="CA9" s="93"/>
      <c r="CB9" s="39">
        <f t="shared" ref="CB9:CB48" si="29">IF(CC9&gt;0,((1+(CE9/CC9))^(1/($A$101-$A$100))-1)*100,0)</f>
        <v>2.407525741530181</v>
      </c>
      <c r="CC9" s="93">
        <v>0.42499848743780899</v>
      </c>
      <c r="CD9" s="93">
        <v>-0.17974314270981959</v>
      </c>
      <c r="CE9" s="93">
        <v>0.11414717753563779</v>
      </c>
      <c r="CF9" s="93">
        <f t="shared" ref="CF9:CF48" si="30">SUM(CD9:CE9)</f>
        <v>-6.55959651741818E-2</v>
      </c>
      <c r="CH9" s="39">
        <f t="shared" ref="CH9:CH48" si="31">IF(CI9&gt;0,((1+(CK9/CI9))^(1/($A$101-$A$100))-1)*100,0)</f>
        <v>2.4305453687403666</v>
      </c>
      <c r="CI9" s="93">
        <v>1.0610788014669583</v>
      </c>
      <c r="CJ9" s="93">
        <v>2.578945240654381E-2</v>
      </c>
      <c r="CK9" s="93">
        <v>0.28801606100837185</v>
      </c>
      <c r="CL9" s="93">
        <f t="shared" ref="CL9:CL48" si="32">SUM(CJ9:CK9)</f>
        <v>0.31380551341491564</v>
      </c>
      <c r="CM9" s="106"/>
      <c r="CN9" s="39">
        <f t="shared" ref="CN9:CN48" si="33">IF(CO9&gt;0,((1+(CQ9/CO9))^(1/($A$101-$A$100))-1)*100,0)</f>
        <v>2.1531444581060377</v>
      </c>
      <c r="CO9" s="93">
        <v>7.7189593255633515E-2</v>
      </c>
      <c r="CP9" s="93">
        <v>2.9203693398075089E-3</v>
      </c>
      <c r="CQ9" s="93">
        <v>1.8326411364656129E-2</v>
      </c>
      <c r="CR9" s="93">
        <f t="shared" ref="CR9:CR48" si="34">SUM(CP9:CQ9)</f>
        <v>2.1246780704463637E-2</v>
      </c>
      <c r="CS9" s="90" t="str">
        <f t="shared" ref="CS9:CS48" si="35">BU9</f>
        <v>Mining and quarrying</v>
      </c>
      <c r="CT9" s="39">
        <f t="shared" ref="CT9:CT48" si="36">IF(CU9&gt;0,((1+(CW9/CU9))^(1/($A$101-$A$100))-1)*100,0)</f>
        <v>2.6540810004833215</v>
      </c>
      <c r="CU9" s="11">
        <v>9.8850951354543179E-2</v>
      </c>
      <c r="CV9" s="93">
        <v>7.9946925435890021E-2</v>
      </c>
      <c r="CW9" s="93">
        <v>2.9601692390878832E-2</v>
      </c>
      <c r="CX9" s="93">
        <f t="shared" ref="CX9:CX48" si="37">SUM(CV9:CW9)</f>
        <v>0.10954861782676885</v>
      </c>
      <c r="CY9" s="93"/>
      <c r="CZ9" s="39">
        <f t="shared" ref="CZ9:CZ48" si="38">IF(DA9&gt;0,((1+(DC9/DA9))^(1/($A$101-$A$100))-1)*100,0)</f>
        <v>2.5446431599745356</v>
      </c>
      <c r="DA9" s="93">
        <v>2.7042385521836187E-2</v>
      </c>
      <c r="DB9" s="93">
        <v>-2.7042385521836187E-2</v>
      </c>
      <c r="DC9" s="93">
        <v>7.7252199909423136E-3</v>
      </c>
      <c r="DD9" s="93">
        <f t="shared" ref="DD9:DD48" si="39">SUM(DB9:DC9)</f>
        <v>-1.9317165530893875E-2</v>
      </c>
      <c r="DF9" s="39">
        <f t="shared" ref="DF9:DF48" si="40">IF(DG9&gt;0,((1+(DI9/DG9))^(1/($A$101-$A$100))-1)*100,0)</f>
        <v>2.695023478374603</v>
      </c>
      <c r="DG9" s="93">
        <v>7.1808565832706991E-2</v>
      </c>
      <c r="DH9" s="93">
        <v>0.10698931095772621</v>
      </c>
      <c r="DI9" s="93">
        <v>2.1876472399936519E-2</v>
      </c>
      <c r="DJ9" s="93">
        <f t="shared" ref="DJ9:DJ48" si="41">SUM(DH9:DI9)</f>
        <v>0.12886578335766272</v>
      </c>
      <c r="DK9" s="106"/>
      <c r="DL9" s="39">
        <f t="shared" ref="DL9:DL48" si="42">IF(DM9&gt;0,((1+(DO9/DM9))^(1/($A$101-$A$100))-1)*100,0)</f>
        <v>0</v>
      </c>
      <c r="DM9" s="93">
        <v>0</v>
      </c>
      <c r="DN9" s="93">
        <v>0</v>
      </c>
      <c r="DO9" s="93">
        <v>0</v>
      </c>
      <c r="DP9" s="93">
        <f t="shared" ref="DP9:DP48" si="43">SUM(DN9:DO9)</f>
        <v>0</v>
      </c>
    </row>
    <row r="10" spans="1:120" x14ac:dyDescent="0.2">
      <c r="A10" s="90" t="str">
        <f>name!B6</f>
        <v>Food drink and tobacco</v>
      </c>
      <c r="B10" s="39">
        <f t="shared" si="1"/>
        <v>2.4974565282579464</v>
      </c>
      <c r="C10" s="11">
        <v>95.045497362862733</v>
      </c>
      <c r="D10" s="93">
        <v>-5.3306461845042801</v>
      </c>
      <c r="E10" s="93">
        <v>26.590587472903774</v>
      </c>
      <c r="F10" s="93">
        <f t="shared" si="2"/>
        <v>21.259941288399496</v>
      </c>
      <c r="G10" s="93"/>
      <c r="H10" s="39">
        <f t="shared" si="3"/>
        <v>2.284281579929015</v>
      </c>
      <c r="I10" s="93">
        <v>28.557886141186682</v>
      </c>
      <c r="J10" s="93">
        <v>-7.0859124796803128</v>
      </c>
      <c r="K10" s="93">
        <v>7.2365107328119995</v>
      </c>
      <c r="L10" s="93">
        <f t="shared" si="4"/>
        <v>0.15059825313168673</v>
      </c>
      <c r="N10" s="39">
        <f t="shared" si="5"/>
        <v>2.4310099949182096</v>
      </c>
      <c r="O10" s="93">
        <v>47.02342038156808</v>
      </c>
      <c r="P10" s="93">
        <v>2.711005058419897</v>
      </c>
      <c r="Q10" s="93">
        <v>12.766608810353613</v>
      </c>
      <c r="R10" s="93">
        <f t="shared" si="6"/>
        <v>15.47761386877351</v>
      </c>
      <c r="S10" s="106"/>
      <c r="T10" s="39">
        <f t="shared" si="7"/>
        <v>2.9579537866369021</v>
      </c>
      <c r="U10" s="93">
        <v>19.464190840107968</v>
      </c>
      <c r="V10" s="93">
        <v>-0.95573876324386542</v>
      </c>
      <c r="W10" s="93">
        <v>6.5874679297381604</v>
      </c>
      <c r="X10" s="93">
        <f t="shared" si="8"/>
        <v>5.6317291664942948</v>
      </c>
      <c r="Y10" s="90" t="str">
        <f t="shared" si="0"/>
        <v>Food drink and tobacco</v>
      </c>
      <c r="Z10" s="39">
        <f t="shared" si="9"/>
        <v>3.1266976916814349</v>
      </c>
      <c r="AA10" s="11">
        <v>21.34292323603459</v>
      </c>
      <c r="AB10" s="93">
        <v>-5.4147809911053627E-2</v>
      </c>
      <c r="AC10" s="93">
        <v>7.6949639013979727</v>
      </c>
      <c r="AD10" s="93">
        <f t="shared" si="10"/>
        <v>7.6408160914869194</v>
      </c>
      <c r="AE10" s="93"/>
      <c r="AF10" s="39">
        <f t="shared" si="11"/>
        <v>3.009575633743844</v>
      </c>
      <c r="AG10" s="93">
        <v>1.8592043302087065</v>
      </c>
      <c r="AH10" s="93">
        <v>-0.39908371390288427</v>
      </c>
      <c r="AI10" s="93">
        <v>0.64173468922880073</v>
      </c>
      <c r="AJ10" s="93">
        <f t="shared" si="12"/>
        <v>0.24265097532591645</v>
      </c>
      <c r="AL10" s="39">
        <f t="shared" si="13"/>
        <v>3.0478152738149689</v>
      </c>
      <c r="AM10" s="93">
        <v>7.0494146420033079</v>
      </c>
      <c r="AN10" s="93">
        <v>0.77249580975616283</v>
      </c>
      <c r="AO10" s="93">
        <v>2.4684810982893786</v>
      </c>
      <c r="AP10" s="93">
        <f t="shared" si="14"/>
        <v>3.2409769080455413</v>
      </c>
      <c r="AQ10" s="106"/>
      <c r="AR10" s="39">
        <f t="shared" si="15"/>
        <v>3.1885211674371972</v>
      </c>
      <c r="AS10" s="93">
        <v>12.434304263822574</v>
      </c>
      <c r="AT10" s="93">
        <v>-0.42755990576433228</v>
      </c>
      <c r="AU10" s="93">
        <v>4.5847481138797939</v>
      </c>
      <c r="AV10" s="93">
        <f t="shared" si="16"/>
        <v>4.1571882081154614</v>
      </c>
      <c r="AW10" s="90" t="str">
        <f t="shared" si="17"/>
        <v>Food drink and tobacco</v>
      </c>
      <c r="AX10" s="39">
        <f t="shared" si="18"/>
        <v>2.5235241914950635</v>
      </c>
      <c r="AY10" s="11">
        <v>17.336358924907866</v>
      </c>
      <c r="AZ10" s="93">
        <v>-0.12728232767007444</v>
      </c>
      <c r="BA10" s="93">
        <v>4.9066304279196737</v>
      </c>
      <c r="BB10" s="93">
        <f t="shared" si="19"/>
        <v>4.7793481002495994</v>
      </c>
      <c r="BC10" s="93"/>
      <c r="BD10" s="39">
        <f t="shared" si="20"/>
        <v>2.4363702313833224</v>
      </c>
      <c r="BE10" s="93">
        <v>3.9959783673326772</v>
      </c>
      <c r="BF10" s="93">
        <v>-0.83348086360043461</v>
      </c>
      <c r="BG10" s="93">
        <v>1.0875463509002989</v>
      </c>
      <c r="BH10" s="93">
        <f t="shared" si="21"/>
        <v>0.25406548729986433</v>
      </c>
      <c r="BJ10" s="39">
        <f t="shared" si="22"/>
        <v>2.5027216432235821</v>
      </c>
      <c r="BK10" s="93">
        <v>10.073083832716854</v>
      </c>
      <c r="BL10" s="93">
        <v>1.512717786678091</v>
      </c>
      <c r="BM10" s="93">
        <v>2.8247393034036694</v>
      </c>
      <c r="BN10" s="93">
        <f t="shared" si="23"/>
        <v>4.3374570900817604</v>
      </c>
      <c r="BO10" s="106"/>
      <c r="BP10" s="39">
        <f t="shared" si="24"/>
        <v>2.6925252680388922</v>
      </c>
      <c r="BQ10" s="93">
        <v>3.2672967248583333</v>
      </c>
      <c r="BR10" s="93">
        <v>-0.80651925074773079</v>
      </c>
      <c r="BS10" s="93">
        <v>0.9943447736157055</v>
      </c>
      <c r="BT10" s="93">
        <f t="shared" si="25"/>
        <v>0.18782552286797471</v>
      </c>
      <c r="BU10" s="90" t="str">
        <f t="shared" si="26"/>
        <v>Food drink and tobacco</v>
      </c>
      <c r="BV10" s="39">
        <f t="shared" si="27"/>
        <v>2.2441836744385046</v>
      </c>
      <c r="BW10" s="11">
        <v>49.598564072912936</v>
      </c>
      <c r="BX10" s="93">
        <v>-3.6306790931946717</v>
      </c>
      <c r="BY10" s="93">
        <v>12.324896934512662</v>
      </c>
      <c r="BZ10" s="93">
        <f t="shared" si="28"/>
        <v>8.6942178413179896</v>
      </c>
      <c r="CA10" s="93"/>
      <c r="CB10" s="39">
        <f t="shared" si="29"/>
        <v>2.1888664422200721</v>
      </c>
      <c r="CC10" s="93">
        <v>19.525240563492041</v>
      </c>
      <c r="CD10" s="93">
        <v>-4.8301674544914821</v>
      </c>
      <c r="CE10" s="93">
        <v>4.7203188998071877</v>
      </c>
      <c r="CF10" s="93">
        <f t="shared" si="30"/>
        <v>-0.10984855468429444</v>
      </c>
      <c r="CH10" s="39">
        <f t="shared" si="31"/>
        <v>2.2613705769742198</v>
      </c>
      <c r="CI10" s="93">
        <v>26.537310513901321</v>
      </c>
      <c r="CJ10" s="93">
        <v>0.90730570853380754</v>
      </c>
      <c r="CK10" s="93">
        <v>6.6500717395964477</v>
      </c>
      <c r="CL10" s="93">
        <f t="shared" si="32"/>
        <v>7.5573774481302554</v>
      </c>
      <c r="CM10" s="106"/>
      <c r="CN10" s="39">
        <f t="shared" si="33"/>
        <v>2.4184670868230285</v>
      </c>
      <c r="CO10" s="93">
        <v>3.5360129955195734</v>
      </c>
      <c r="CP10" s="93">
        <v>0.29218265276300265</v>
      </c>
      <c r="CQ10" s="93">
        <v>0.95450629510902829</v>
      </c>
      <c r="CR10" s="93">
        <f t="shared" si="34"/>
        <v>1.2466889478720309</v>
      </c>
      <c r="CS10" s="90" t="str">
        <f t="shared" si="35"/>
        <v>Food drink and tobacco</v>
      </c>
      <c r="CT10" s="39">
        <f t="shared" si="36"/>
        <v>2.2228446109720412</v>
      </c>
      <c r="CU10" s="11">
        <v>6.7676511290073389</v>
      </c>
      <c r="CV10" s="93">
        <v>-1.5185369537284803</v>
      </c>
      <c r="CW10" s="93">
        <v>1.6640962090734628</v>
      </c>
      <c r="CX10" s="93">
        <f t="shared" si="37"/>
        <v>0.14555925534498249</v>
      </c>
      <c r="CY10" s="93"/>
      <c r="CZ10" s="39">
        <f t="shared" si="38"/>
        <v>2.2373089799467394</v>
      </c>
      <c r="DA10" s="93">
        <v>3.1774628801532612</v>
      </c>
      <c r="DB10" s="93">
        <v>-1.0231804476855118</v>
      </c>
      <c r="DC10" s="93">
        <v>0.78691079287571253</v>
      </c>
      <c r="DD10" s="93">
        <f t="shared" si="39"/>
        <v>-0.23626965480979922</v>
      </c>
      <c r="DF10" s="39">
        <f t="shared" si="40"/>
        <v>2.2136668085149358</v>
      </c>
      <c r="DG10" s="93">
        <v>3.3636113929465901</v>
      </c>
      <c r="DH10" s="93">
        <v>-0.48151424654816377</v>
      </c>
      <c r="DI10" s="93">
        <v>0.82331666906411805</v>
      </c>
      <c r="DJ10" s="93">
        <f t="shared" si="41"/>
        <v>0.34180242251595427</v>
      </c>
      <c r="DK10" s="106"/>
      <c r="DL10" s="39">
        <f t="shared" si="42"/>
        <v>2.1558658032539757</v>
      </c>
      <c r="DM10" s="93">
        <v>0.22657685590748641</v>
      </c>
      <c r="DN10" s="93">
        <v>-1.3842259494804953E-2</v>
      </c>
      <c r="DO10" s="93">
        <v>5.3868747133632294E-2</v>
      </c>
      <c r="DP10" s="93">
        <f t="shared" si="43"/>
        <v>4.0026487638827338E-2</v>
      </c>
    </row>
    <row r="11" spans="1:120" x14ac:dyDescent="0.2">
      <c r="A11" s="90" t="str">
        <f>name!B7</f>
        <v>Engineering</v>
      </c>
      <c r="B11" s="39">
        <f t="shared" si="1"/>
        <v>2.3974240716110096</v>
      </c>
      <c r="C11" s="11">
        <v>26.682999999999964</v>
      </c>
      <c r="D11" s="93">
        <v>2.1359999999999681</v>
      </c>
      <c r="E11" s="93">
        <v>7.1332131341977885</v>
      </c>
      <c r="F11" s="93">
        <f t="shared" si="2"/>
        <v>9.2692131341977557</v>
      </c>
      <c r="G11" s="93"/>
      <c r="H11" s="39">
        <f t="shared" si="3"/>
        <v>2.1428388473321736</v>
      </c>
      <c r="I11" s="93">
        <v>7.7290127378228242</v>
      </c>
      <c r="J11" s="93">
        <v>-0.85964814638885922</v>
      </c>
      <c r="K11" s="93">
        <v>1.8253838239565419</v>
      </c>
      <c r="L11" s="93">
        <f t="shared" si="4"/>
        <v>0.96573567756768264</v>
      </c>
      <c r="N11" s="39">
        <f t="shared" si="5"/>
        <v>2.2704847424125818</v>
      </c>
      <c r="O11" s="93">
        <v>12.694060205112665</v>
      </c>
      <c r="P11" s="93">
        <v>1.750762648197131</v>
      </c>
      <c r="Q11" s="93">
        <v>3.1952007619921963</v>
      </c>
      <c r="R11" s="93">
        <f t="shared" si="6"/>
        <v>4.9459634101893268</v>
      </c>
      <c r="S11" s="106"/>
      <c r="T11" s="39">
        <f t="shared" si="7"/>
        <v>2.9505987528880562</v>
      </c>
      <c r="U11" s="93">
        <v>6.2599270570644734</v>
      </c>
      <c r="V11" s="93">
        <v>1.2448854981916966</v>
      </c>
      <c r="W11" s="93">
        <v>2.112628548249051</v>
      </c>
      <c r="X11" s="93">
        <f t="shared" si="8"/>
        <v>3.3575140464407474</v>
      </c>
      <c r="Y11" s="90" t="str">
        <f t="shared" si="0"/>
        <v>Engineering</v>
      </c>
      <c r="Z11" s="39">
        <f t="shared" si="9"/>
        <v>2.9893837262348733</v>
      </c>
      <c r="AA11" s="11">
        <v>6.5504971882441936</v>
      </c>
      <c r="AB11" s="93">
        <v>0.7414598842641813</v>
      </c>
      <c r="AC11" s="93">
        <v>2.243753846340574</v>
      </c>
      <c r="AD11" s="93">
        <f t="shared" si="10"/>
        <v>2.9852137306047553</v>
      </c>
      <c r="AE11" s="93"/>
      <c r="AF11" s="39">
        <f t="shared" si="11"/>
        <v>2.6484123810696314</v>
      </c>
      <c r="AG11" s="93">
        <v>0.62605054755772271</v>
      </c>
      <c r="AH11" s="93">
        <v>-4.0708044204614172E-2</v>
      </c>
      <c r="AI11" s="93">
        <v>0.18702662236296508</v>
      </c>
      <c r="AJ11" s="93">
        <f t="shared" si="12"/>
        <v>0.14631857815835092</v>
      </c>
      <c r="AL11" s="39">
        <f t="shared" si="13"/>
        <v>2.8200029669356086</v>
      </c>
      <c r="AM11" s="93">
        <v>1.9725323922654858</v>
      </c>
      <c r="AN11" s="93">
        <v>5.7186726837409781E-2</v>
      </c>
      <c r="AO11" s="93">
        <v>0.63242284192617815</v>
      </c>
      <c r="AP11" s="93">
        <f t="shared" si="14"/>
        <v>0.68960956876358792</v>
      </c>
      <c r="AQ11" s="106"/>
      <c r="AR11" s="39">
        <f t="shared" si="15"/>
        <v>3.1257074628290971</v>
      </c>
      <c r="AS11" s="93">
        <v>3.9519142484209846</v>
      </c>
      <c r="AT11" s="93">
        <v>0.72498120163138557</v>
      </c>
      <c r="AU11" s="93">
        <v>1.4243043820514307</v>
      </c>
      <c r="AV11" s="93">
        <f t="shared" si="16"/>
        <v>2.1492855836828162</v>
      </c>
      <c r="AW11" s="90" t="str">
        <f t="shared" si="17"/>
        <v>Engineering</v>
      </c>
      <c r="AX11" s="39">
        <f t="shared" si="18"/>
        <v>2.6610076636430335</v>
      </c>
      <c r="AY11" s="11">
        <v>3.2443503982662985</v>
      </c>
      <c r="AZ11" s="93">
        <v>0.14772454699359541</v>
      </c>
      <c r="BA11" s="93">
        <v>0.97439173559588765</v>
      </c>
      <c r="BB11" s="93">
        <f t="shared" si="19"/>
        <v>1.122116282589483</v>
      </c>
      <c r="BC11" s="93"/>
      <c r="BD11" s="39">
        <f t="shared" si="20"/>
        <v>2.5177966298219889</v>
      </c>
      <c r="BE11" s="93">
        <v>0.76061810370622518</v>
      </c>
      <c r="BF11" s="93">
        <v>-8.6613615501482388E-2</v>
      </c>
      <c r="BG11" s="93">
        <v>0.21472921204151713</v>
      </c>
      <c r="BH11" s="93">
        <f t="shared" si="21"/>
        <v>0.12811559654003474</v>
      </c>
      <c r="BJ11" s="39">
        <f t="shared" si="22"/>
        <v>2.6414518363808703</v>
      </c>
      <c r="BK11" s="93">
        <v>1.3612202522776553</v>
      </c>
      <c r="BL11" s="93">
        <v>-9.1457270541903425E-3</v>
      </c>
      <c r="BM11" s="93">
        <v>0.40545313032121294</v>
      </c>
      <c r="BN11" s="93">
        <f t="shared" si="23"/>
        <v>0.39630740326702257</v>
      </c>
      <c r="BO11" s="106"/>
      <c r="BP11" s="39">
        <f t="shared" si="24"/>
        <v>2.7805073211446985</v>
      </c>
      <c r="BQ11" s="93">
        <v>1.122512042282418</v>
      </c>
      <c r="BR11" s="93">
        <v>0.24348388954926817</v>
      </c>
      <c r="BS11" s="93">
        <v>0.35420939323315764</v>
      </c>
      <c r="BT11" s="93">
        <f t="shared" si="25"/>
        <v>0.59769328278242584</v>
      </c>
      <c r="BU11" s="90" t="str">
        <f t="shared" si="26"/>
        <v>Engineering</v>
      </c>
      <c r="BV11" s="39">
        <f t="shared" si="27"/>
        <v>2.0986442989320508</v>
      </c>
      <c r="BW11" s="11">
        <v>15.307841962071205</v>
      </c>
      <c r="BX11" s="93">
        <v>0.41022057712335003</v>
      </c>
      <c r="BY11" s="93">
        <v>3.5335820893340286</v>
      </c>
      <c r="BZ11" s="93">
        <f t="shared" si="28"/>
        <v>3.9438026664573789</v>
      </c>
      <c r="CA11" s="93"/>
      <c r="CB11" s="39">
        <f t="shared" si="29"/>
        <v>2.0210770566263747</v>
      </c>
      <c r="CC11" s="93">
        <v>5.8033468392667986</v>
      </c>
      <c r="CD11" s="93">
        <v>-0.34664652297871712</v>
      </c>
      <c r="CE11" s="93">
        <v>1.2855322454287512</v>
      </c>
      <c r="CF11" s="93">
        <f t="shared" si="30"/>
        <v>0.9388857224500341</v>
      </c>
      <c r="CH11" s="39">
        <f t="shared" si="31"/>
        <v>2.0955416811876404</v>
      </c>
      <c r="CI11" s="93">
        <v>8.3881190579667813</v>
      </c>
      <c r="CJ11" s="93">
        <v>0.46878350843430538</v>
      </c>
      <c r="CK11" s="93">
        <v>1.9331324937867693</v>
      </c>
      <c r="CL11" s="93">
        <f t="shared" si="32"/>
        <v>2.4019160022210748</v>
      </c>
      <c r="CM11" s="106"/>
      <c r="CN11" s="39">
        <f t="shared" si="33"/>
        <v>2.5160385347847258</v>
      </c>
      <c r="CO11" s="93">
        <v>1.1163760648376253</v>
      </c>
      <c r="CP11" s="93">
        <v>0.28808359166776182</v>
      </c>
      <c r="CQ11" s="93">
        <v>0.31491735011850813</v>
      </c>
      <c r="CR11" s="93">
        <f t="shared" si="34"/>
        <v>0.60300094178626995</v>
      </c>
      <c r="CS11" s="90" t="str">
        <f t="shared" si="35"/>
        <v>Engineering</v>
      </c>
      <c r="CT11" s="39">
        <f t="shared" si="36"/>
        <v>2.1859392974191483</v>
      </c>
      <c r="CU11" s="11">
        <v>1.5803104514182647</v>
      </c>
      <c r="CV11" s="93">
        <v>0.83659499161884154</v>
      </c>
      <c r="CW11" s="93">
        <v>0.38148546292729896</v>
      </c>
      <c r="CX11" s="93">
        <f t="shared" si="37"/>
        <v>1.2180804545461406</v>
      </c>
      <c r="CY11" s="93"/>
      <c r="CZ11" s="39">
        <f t="shared" si="38"/>
        <v>2.307194889511166</v>
      </c>
      <c r="DA11" s="93">
        <v>0.53899724729207821</v>
      </c>
      <c r="DB11" s="93">
        <v>-0.3856799637040455</v>
      </c>
      <c r="DC11" s="93">
        <v>0.13809574412330866</v>
      </c>
      <c r="DD11" s="93">
        <f t="shared" si="39"/>
        <v>-0.24758421958073684</v>
      </c>
      <c r="DF11" s="39">
        <f t="shared" si="40"/>
        <v>2.0967447677556317</v>
      </c>
      <c r="DG11" s="93">
        <v>0.97218850260274148</v>
      </c>
      <c r="DH11" s="93">
        <v>1.2339381399796061</v>
      </c>
      <c r="DI11" s="93">
        <v>0.22419229595803594</v>
      </c>
      <c r="DJ11" s="93">
        <f t="shared" si="41"/>
        <v>1.4581304359376421</v>
      </c>
      <c r="DK11" s="106"/>
      <c r="DL11" s="39">
        <f t="shared" si="42"/>
        <v>2.4810635165479544</v>
      </c>
      <c r="DM11" s="93">
        <v>6.9124701523444784E-2</v>
      </c>
      <c r="DN11" s="93">
        <v>-1.1663184656719028E-2</v>
      </c>
      <c r="DO11" s="93">
        <v>1.9197422845954378E-2</v>
      </c>
      <c r="DP11" s="93">
        <f t="shared" si="43"/>
        <v>7.53423818923535E-3</v>
      </c>
    </row>
    <row r="12" spans="1:120" x14ac:dyDescent="0.2">
      <c r="A12" s="90" t="str">
        <f>name!B8</f>
        <v>Rest of manufacturing</v>
      </c>
      <c r="B12" s="39">
        <f t="shared" si="1"/>
        <v>2.6164350010096316</v>
      </c>
      <c r="C12" s="11">
        <v>42.15199999999993</v>
      </c>
      <c r="D12" s="93">
        <v>-3.3299999999999712</v>
      </c>
      <c r="E12" s="93">
        <v>12.422204390941479</v>
      </c>
      <c r="F12" s="93">
        <f t="shared" si="2"/>
        <v>9.0922043909415073</v>
      </c>
      <c r="G12" s="93"/>
      <c r="H12" s="39">
        <f t="shared" si="3"/>
        <v>2.4469808961299799</v>
      </c>
      <c r="I12" s="93">
        <v>9.6089439679508644</v>
      </c>
      <c r="J12" s="93">
        <v>-2.1975561779706503</v>
      </c>
      <c r="K12" s="93">
        <v>2.6278403106316235</v>
      </c>
      <c r="L12" s="93">
        <f t="shared" si="4"/>
        <v>0.43028413266097321</v>
      </c>
      <c r="N12" s="39">
        <f t="shared" si="5"/>
        <v>2.5333579555699037</v>
      </c>
      <c r="O12" s="93">
        <v>22.575808590792999</v>
      </c>
      <c r="P12" s="93">
        <v>-0.95500589125711122</v>
      </c>
      <c r="Q12" s="93">
        <v>6.4173226387381153</v>
      </c>
      <c r="R12" s="93">
        <f t="shared" si="6"/>
        <v>5.4623167474810037</v>
      </c>
      <c r="S12" s="106"/>
      <c r="T12" s="39">
        <f t="shared" si="7"/>
        <v>2.9608263556274439</v>
      </c>
      <c r="U12" s="93">
        <v>9.9672474412560668</v>
      </c>
      <c r="V12" s="93">
        <v>-0.17743793077220946</v>
      </c>
      <c r="W12" s="93">
        <v>3.3770414415717394</v>
      </c>
      <c r="X12" s="93">
        <f t="shared" si="8"/>
        <v>3.19960351079953</v>
      </c>
      <c r="Y12" s="90" t="str">
        <f t="shared" si="0"/>
        <v>Rest of manufacturing</v>
      </c>
      <c r="Z12" s="39">
        <f t="shared" si="9"/>
        <v>2.9763942733826543</v>
      </c>
      <c r="AA12" s="11">
        <v>10.498945664126412</v>
      </c>
      <c r="AB12" s="93">
        <v>0.34529888283838883</v>
      </c>
      <c r="AC12" s="93">
        <v>3.5784558313106598</v>
      </c>
      <c r="AD12" s="93">
        <f t="shared" si="10"/>
        <v>3.9237547141490485</v>
      </c>
      <c r="AE12" s="93"/>
      <c r="AF12" s="39">
        <f t="shared" si="11"/>
        <v>2.7040649618628176</v>
      </c>
      <c r="AG12" s="93">
        <v>0.75816764967198691</v>
      </c>
      <c r="AH12" s="93">
        <v>-0.14426412804349217</v>
      </c>
      <c r="AI12" s="93">
        <v>0.23184690614128767</v>
      </c>
      <c r="AJ12" s="93">
        <f t="shared" si="12"/>
        <v>8.7582778097795494E-2</v>
      </c>
      <c r="AL12" s="39">
        <f t="shared" si="13"/>
        <v>2.8324908960291717</v>
      </c>
      <c r="AM12" s="93">
        <v>3.7458067354035878</v>
      </c>
      <c r="AN12" s="93">
        <v>-2.1430511128079324E-2</v>
      </c>
      <c r="AO12" s="93">
        <v>1.2069719734322446</v>
      </c>
      <c r="AP12" s="93">
        <f t="shared" si="14"/>
        <v>1.1855414623041653</v>
      </c>
      <c r="AQ12" s="106"/>
      <c r="AR12" s="39">
        <f t="shared" si="15"/>
        <v>3.0991188393576063</v>
      </c>
      <c r="AS12" s="93">
        <v>5.9949712790508363</v>
      </c>
      <c r="AT12" s="93">
        <v>0.51099352200996029</v>
      </c>
      <c r="AU12" s="93">
        <v>2.1396369517371276</v>
      </c>
      <c r="AV12" s="93">
        <f t="shared" si="16"/>
        <v>2.6506304737470878</v>
      </c>
      <c r="AW12" s="90" t="str">
        <f t="shared" si="17"/>
        <v>Rest of manufacturing</v>
      </c>
      <c r="AX12" s="39">
        <f t="shared" si="18"/>
        <v>2.667464938337738</v>
      </c>
      <c r="AY12" s="11">
        <v>4.3775371772570599</v>
      </c>
      <c r="AZ12" s="93">
        <v>-1.2645538867862174</v>
      </c>
      <c r="BA12" s="93">
        <v>1.3183086935944921</v>
      </c>
      <c r="BB12" s="93">
        <f t="shared" si="19"/>
        <v>5.3754806808274713E-2</v>
      </c>
      <c r="BC12" s="93"/>
      <c r="BD12" s="39">
        <f t="shared" si="20"/>
        <v>2.5806373974742502</v>
      </c>
      <c r="BE12" s="93">
        <v>0.50445012564800362</v>
      </c>
      <c r="BF12" s="93">
        <v>-0.13667993756951582</v>
      </c>
      <c r="BG12" s="93">
        <v>0.14638677364194702</v>
      </c>
      <c r="BH12" s="93">
        <f t="shared" si="21"/>
        <v>9.7068360724311964E-3</v>
      </c>
      <c r="BJ12" s="39">
        <f t="shared" si="22"/>
        <v>2.6049115123564892</v>
      </c>
      <c r="BK12" s="93">
        <v>2.2466979729709307</v>
      </c>
      <c r="BL12" s="93">
        <v>-0.58280055442252565</v>
      </c>
      <c r="BM12" s="93">
        <v>0.65883758800710124</v>
      </c>
      <c r="BN12" s="93">
        <f t="shared" si="23"/>
        <v>7.6037033584575586E-2</v>
      </c>
      <c r="BO12" s="106"/>
      <c r="BP12" s="39">
        <f t="shared" si="24"/>
        <v>2.779912687566588</v>
      </c>
      <c r="BQ12" s="93">
        <v>1.6263890786381248</v>
      </c>
      <c r="BR12" s="93">
        <v>-0.54507339479417605</v>
      </c>
      <c r="BS12" s="93">
        <v>0.51308433194544378</v>
      </c>
      <c r="BT12" s="93">
        <f t="shared" si="25"/>
        <v>-3.1989062848732264E-2</v>
      </c>
      <c r="BU12" s="90" t="str">
        <f t="shared" si="26"/>
        <v>Rest of manufacturing</v>
      </c>
      <c r="BV12" s="39">
        <f t="shared" si="27"/>
        <v>2.4731834060013336</v>
      </c>
      <c r="BW12" s="11">
        <v>26.112763020344723</v>
      </c>
      <c r="BX12" s="93">
        <v>-1.8174984546461121</v>
      </c>
      <c r="BY12" s="93">
        <v>7.2264319158956178</v>
      </c>
      <c r="BZ12" s="93">
        <f t="shared" si="28"/>
        <v>5.4089334612495055</v>
      </c>
      <c r="CA12" s="93"/>
      <c r="CB12" s="39">
        <f t="shared" si="29"/>
        <v>2.4168124747555364</v>
      </c>
      <c r="CC12" s="93">
        <v>7.7759473470029352</v>
      </c>
      <c r="CD12" s="93">
        <v>-1.7158164744931881</v>
      </c>
      <c r="CE12" s="93">
        <v>2.0974328886080462</v>
      </c>
      <c r="CF12" s="93">
        <f t="shared" si="30"/>
        <v>0.38161641411485814</v>
      </c>
      <c r="CH12" s="39">
        <f t="shared" si="31"/>
        <v>2.4638206980051702</v>
      </c>
      <c r="CI12" s="93">
        <v>16.01397145403611</v>
      </c>
      <c r="CJ12" s="93">
        <v>5.414488253187176E-2</v>
      </c>
      <c r="CK12" s="93">
        <v>4.4130248025048795</v>
      </c>
      <c r="CL12" s="93">
        <f t="shared" si="32"/>
        <v>4.467169685036751</v>
      </c>
      <c r="CM12" s="106"/>
      <c r="CN12" s="39">
        <f t="shared" si="33"/>
        <v>2.7231827177615964</v>
      </c>
      <c r="CO12" s="93">
        <v>2.3228442193056784</v>
      </c>
      <c r="CP12" s="93">
        <v>-0.15582686268479601</v>
      </c>
      <c r="CQ12" s="93">
        <v>0.71597422478269179</v>
      </c>
      <c r="CR12" s="93">
        <f t="shared" si="34"/>
        <v>0.56014736209789584</v>
      </c>
      <c r="CS12" s="90" t="str">
        <f t="shared" si="35"/>
        <v>Rest of manufacturing</v>
      </c>
      <c r="CT12" s="39">
        <f t="shared" si="36"/>
        <v>2.3148990339762587</v>
      </c>
      <c r="CU12" s="11">
        <v>1.1627541382717359</v>
      </c>
      <c r="CV12" s="93">
        <v>-0.59324654140603028</v>
      </c>
      <c r="CW12" s="93">
        <v>0.2990079501407093</v>
      </c>
      <c r="CX12" s="93">
        <f t="shared" si="37"/>
        <v>-0.29423859126532098</v>
      </c>
      <c r="CY12" s="93"/>
      <c r="CZ12" s="39">
        <f t="shared" si="38"/>
        <v>2.3930795875785948</v>
      </c>
      <c r="DA12" s="93">
        <v>0.57037884562794017</v>
      </c>
      <c r="DB12" s="93">
        <v>-0.20079563786445448</v>
      </c>
      <c r="DC12" s="93">
        <v>0.15217374224034305</v>
      </c>
      <c r="DD12" s="93">
        <f t="shared" si="39"/>
        <v>-4.8621895624111428E-2</v>
      </c>
      <c r="DF12" s="39">
        <f t="shared" si="40"/>
        <v>2.201138550303483</v>
      </c>
      <c r="DG12" s="93">
        <v>0.56933242838237019</v>
      </c>
      <c r="DH12" s="93">
        <v>-0.40491970823837808</v>
      </c>
      <c r="DI12" s="93">
        <v>0.13848827479389025</v>
      </c>
      <c r="DJ12" s="93">
        <f t="shared" si="41"/>
        <v>-0.26643143344448783</v>
      </c>
      <c r="DK12" s="106"/>
      <c r="DL12" s="39">
        <f t="shared" si="42"/>
        <v>3.1392149650770529</v>
      </c>
      <c r="DM12" s="93">
        <v>2.3042864261425509E-2</v>
      </c>
      <c r="DN12" s="93">
        <v>1.2468804696802241E-2</v>
      </c>
      <c r="DO12" s="93">
        <v>8.3459331064760084E-3</v>
      </c>
      <c r="DP12" s="93">
        <f t="shared" si="43"/>
        <v>2.0814737803278249E-2</v>
      </c>
    </row>
    <row r="13" spans="1:120" x14ac:dyDescent="0.2">
      <c r="A13" s="90" t="str">
        <f>name!B9</f>
        <v>Electricity and gas</v>
      </c>
      <c r="B13" s="39">
        <f t="shared" si="1"/>
        <v>2.751547529508569</v>
      </c>
      <c r="C13" s="11">
        <v>5.0589999999999913</v>
      </c>
      <c r="D13" s="93">
        <v>2.0489999999999946</v>
      </c>
      <c r="E13" s="93">
        <v>1.5776420433154477</v>
      </c>
      <c r="F13" s="93">
        <f t="shared" si="2"/>
        <v>3.6266420433154423</v>
      </c>
      <c r="G13" s="93"/>
      <c r="H13" s="39">
        <f t="shared" si="3"/>
        <v>2.5733600826927994</v>
      </c>
      <c r="I13" s="93">
        <v>0.31361419735656709</v>
      </c>
      <c r="J13" s="93">
        <v>7.8773033073184756E-2</v>
      </c>
      <c r="K13" s="93">
        <v>9.0720990468516644E-2</v>
      </c>
      <c r="L13" s="93">
        <f t="shared" si="4"/>
        <v>0.1694940235417014</v>
      </c>
      <c r="N13" s="39">
        <f t="shared" si="5"/>
        <v>2.5323926518590278</v>
      </c>
      <c r="O13" s="93">
        <v>1.1279969424904663</v>
      </c>
      <c r="P13" s="93">
        <v>0.17361487914005555</v>
      </c>
      <c r="Q13" s="93">
        <v>0.32050420132079388</v>
      </c>
      <c r="R13" s="93">
        <f t="shared" si="6"/>
        <v>0.4941190804608494</v>
      </c>
      <c r="S13" s="106"/>
      <c r="T13" s="39">
        <f t="shared" si="7"/>
        <v>2.8342615174113073</v>
      </c>
      <c r="U13" s="93">
        <v>3.6173888601529574</v>
      </c>
      <c r="V13" s="93">
        <v>1.7966120877867537</v>
      </c>
      <c r="W13" s="93">
        <v>1.1664168515261377</v>
      </c>
      <c r="X13" s="93">
        <f t="shared" si="8"/>
        <v>2.9630289393128915</v>
      </c>
      <c r="Y13" s="90" t="str">
        <f t="shared" si="0"/>
        <v>Electricity and gas</v>
      </c>
      <c r="Z13" s="39">
        <f t="shared" si="9"/>
        <v>2.8458192992028453</v>
      </c>
      <c r="AA13" s="11">
        <v>3.4150679378844369</v>
      </c>
      <c r="AB13" s="93">
        <v>1.4840300025780557</v>
      </c>
      <c r="AC13" s="93">
        <v>1.1062575228637768</v>
      </c>
      <c r="AD13" s="93">
        <f t="shared" si="10"/>
        <v>2.5902875254418323</v>
      </c>
      <c r="AE13" s="93"/>
      <c r="AF13" s="39">
        <f t="shared" si="11"/>
        <v>2.7430555154363878</v>
      </c>
      <c r="AG13" s="93">
        <v>0.11612647673624334</v>
      </c>
      <c r="AH13" s="93">
        <v>0.11035323287716786</v>
      </c>
      <c r="AI13" s="93">
        <v>3.6088022100809053E-2</v>
      </c>
      <c r="AJ13" s="93">
        <f t="shared" si="12"/>
        <v>0.14644125497797691</v>
      </c>
      <c r="AL13" s="39">
        <f t="shared" si="13"/>
        <v>2.6040221070196878</v>
      </c>
      <c r="AM13" s="93">
        <v>0.78807550212350175</v>
      </c>
      <c r="AN13" s="93">
        <v>0.1640515512066609</v>
      </c>
      <c r="AO13" s="93">
        <v>0.23101248718210923</v>
      </c>
      <c r="AP13" s="93">
        <f t="shared" si="14"/>
        <v>0.39506403838877013</v>
      </c>
      <c r="AQ13" s="106"/>
      <c r="AR13" s="39">
        <f t="shared" si="15"/>
        <v>2.9253673336995467</v>
      </c>
      <c r="AS13" s="93">
        <v>2.510865959024692</v>
      </c>
      <c r="AT13" s="93">
        <v>1.2096252184942269</v>
      </c>
      <c r="AU13" s="93">
        <v>0.83915701358085859</v>
      </c>
      <c r="AV13" s="93">
        <f t="shared" si="16"/>
        <v>2.0487822320750855</v>
      </c>
      <c r="AW13" s="90" t="str">
        <f t="shared" si="17"/>
        <v>Electricity and gas</v>
      </c>
      <c r="AX13" s="39">
        <f t="shared" si="18"/>
        <v>2.7527088286745105</v>
      </c>
      <c r="AY13" s="11">
        <v>0.957602688269793</v>
      </c>
      <c r="AZ13" s="93">
        <v>0.25026458116444267</v>
      </c>
      <c r="BA13" s="93">
        <v>0.29876903958455009</v>
      </c>
      <c r="BB13" s="93">
        <f t="shared" si="19"/>
        <v>0.54903362074899276</v>
      </c>
      <c r="BC13" s="93"/>
      <c r="BD13" s="39">
        <f t="shared" si="20"/>
        <v>2.6027440742423469</v>
      </c>
      <c r="BE13" s="93">
        <v>6.6675648433861312E-2</v>
      </c>
      <c r="BF13" s="93">
        <v>1.2223965695389253E-2</v>
      </c>
      <c r="BG13" s="93">
        <v>1.953422506429308E-2</v>
      </c>
      <c r="BH13" s="93">
        <f t="shared" si="21"/>
        <v>3.1758190759682337E-2</v>
      </c>
      <c r="BJ13" s="39">
        <f t="shared" si="22"/>
        <v>2.595302754086215</v>
      </c>
      <c r="BK13" s="93">
        <v>0.10025366029317774</v>
      </c>
      <c r="BL13" s="93">
        <v>-4.2143802914000279E-2</v>
      </c>
      <c r="BM13" s="93">
        <v>2.9277725477586596E-2</v>
      </c>
      <c r="BN13" s="93">
        <f t="shared" si="23"/>
        <v>-1.2866077436413683E-2</v>
      </c>
      <c r="BO13" s="106"/>
      <c r="BP13" s="39">
        <f t="shared" si="24"/>
        <v>2.7850477621075731</v>
      </c>
      <c r="BQ13" s="93">
        <v>0.79067337954275396</v>
      </c>
      <c r="BR13" s="93">
        <v>0.28018441838305369</v>
      </c>
      <c r="BS13" s="93">
        <v>0.24995708904267042</v>
      </c>
      <c r="BT13" s="93">
        <f t="shared" si="25"/>
        <v>0.53014150742572408</v>
      </c>
      <c r="BU13" s="90" t="str">
        <f t="shared" si="26"/>
        <v>Electricity and gas</v>
      </c>
      <c r="BV13" s="39">
        <f t="shared" si="27"/>
        <v>2.30166568848158</v>
      </c>
      <c r="BW13" s="11">
        <v>0.58372112403374876</v>
      </c>
      <c r="BX13" s="93">
        <v>0.29400518186205293</v>
      </c>
      <c r="BY13" s="93">
        <v>0.14915818412575702</v>
      </c>
      <c r="BZ13" s="93">
        <f t="shared" si="28"/>
        <v>0.44316336598780992</v>
      </c>
      <c r="CA13" s="93"/>
      <c r="CB13" s="39">
        <f t="shared" si="29"/>
        <v>2.5209593858770862</v>
      </c>
      <c r="CC13" s="93">
        <v>7.9538399802440748E-2</v>
      </c>
      <c r="CD13" s="93">
        <v>-3.8996824091237468E-2</v>
      </c>
      <c r="CE13" s="93">
        <v>2.2485863083774052E-2</v>
      </c>
      <c r="CF13" s="93">
        <f t="shared" si="30"/>
        <v>-1.6510961007463416E-2</v>
      </c>
      <c r="CH13" s="39">
        <f t="shared" si="31"/>
        <v>2.2948013168675008</v>
      </c>
      <c r="CI13" s="93">
        <v>0.22333516849225249</v>
      </c>
      <c r="CJ13" s="93">
        <v>4.7374479843118752E-2</v>
      </c>
      <c r="CK13" s="93">
        <v>5.6880714680897067E-2</v>
      </c>
      <c r="CL13" s="93">
        <f t="shared" si="32"/>
        <v>0.10425519452401583</v>
      </c>
      <c r="CM13" s="106"/>
      <c r="CN13" s="39">
        <f t="shared" si="33"/>
        <v>2.2442696745849977</v>
      </c>
      <c r="CO13" s="93">
        <v>0.28084755573905562</v>
      </c>
      <c r="CP13" s="93">
        <v>0.28562752611017167</v>
      </c>
      <c r="CQ13" s="93">
        <v>6.9791606361085889E-2</v>
      </c>
      <c r="CR13" s="93">
        <f t="shared" si="34"/>
        <v>0.35541913247125756</v>
      </c>
      <c r="CS13" s="90" t="str">
        <f t="shared" si="35"/>
        <v>Electricity and gas</v>
      </c>
      <c r="CT13" s="39">
        <f t="shared" si="36"/>
        <v>2.0801766936642485</v>
      </c>
      <c r="CU13" s="11">
        <v>0.10260824981201205</v>
      </c>
      <c r="CV13" s="93">
        <v>2.0700234395443017E-2</v>
      </c>
      <c r="CW13" s="93">
        <v>2.3457296741363907E-2</v>
      </c>
      <c r="CX13" s="93">
        <f t="shared" si="37"/>
        <v>4.4157531136806927E-2</v>
      </c>
      <c r="CY13" s="93"/>
      <c r="CZ13" s="39">
        <f t="shared" si="38"/>
        <v>2.2236780417191238</v>
      </c>
      <c r="DA13" s="93">
        <v>5.1273672384021723E-2</v>
      </c>
      <c r="DB13" s="93">
        <v>-4.8073414081348711E-3</v>
      </c>
      <c r="DC13" s="93">
        <v>1.2612880219640452E-2</v>
      </c>
      <c r="DD13" s="93">
        <f t="shared" si="39"/>
        <v>7.8055388115055805E-3</v>
      </c>
      <c r="DF13" s="39">
        <f t="shared" si="40"/>
        <v>1.8745697006633089</v>
      </c>
      <c r="DG13" s="93">
        <v>1.6332611581534422E-2</v>
      </c>
      <c r="DH13" s="93">
        <v>4.3326510042762225E-3</v>
      </c>
      <c r="DI13" s="93">
        <v>3.3332739802009429E-3</v>
      </c>
      <c r="DJ13" s="93">
        <f t="shared" si="41"/>
        <v>7.6659249844771658E-3</v>
      </c>
      <c r="DK13" s="106"/>
      <c r="DL13" s="39">
        <f t="shared" si="42"/>
        <v>1.9631026785993377</v>
      </c>
      <c r="DM13" s="93">
        <v>3.5001965846455901E-2</v>
      </c>
      <c r="DN13" s="93">
        <v>2.1174924799301664E-2</v>
      </c>
      <c r="DO13" s="93">
        <v>7.5111425415225128E-3</v>
      </c>
      <c r="DP13" s="93">
        <f t="shared" si="43"/>
        <v>2.8686067340824177E-2</v>
      </c>
    </row>
    <row r="14" spans="1:120" x14ac:dyDescent="0.2">
      <c r="A14" s="90" t="str">
        <f>name!B10</f>
        <v>Water and sewerage</v>
      </c>
      <c r="B14" s="39">
        <f t="shared" si="1"/>
        <v>2.6630267727114409</v>
      </c>
      <c r="C14" s="11">
        <v>34.689999999999941</v>
      </c>
      <c r="D14" s="93">
        <v>3.4039999999999937</v>
      </c>
      <c r="E14" s="93">
        <v>10.427491197200341</v>
      </c>
      <c r="F14" s="93">
        <f t="shared" si="2"/>
        <v>13.831491197200336</v>
      </c>
      <c r="G14" s="93"/>
      <c r="H14" s="39">
        <f t="shared" si="3"/>
        <v>2.3746340922261355</v>
      </c>
      <c r="I14" s="93">
        <v>2.9582746497764263</v>
      </c>
      <c r="J14" s="93">
        <v>-1.2426718264022578</v>
      </c>
      <c r="K14" s="93">
        <v>0.78250491573356684</v>
      </c>
      <c r="L14" s="93">
        <f t="shared" si="4"/>
        <v>-0.46016691066869098</v>
      </c>
      <c r="N14" s="39">
        <f t="shared" si="5"/>
        <v>2.45146859998846</v>
      </c>
      <c r="O14" s="93">
        <v>15.931406757331569</v>
      </c>
      <c r="P14" s="93">
        <v>2.6141692288467828</v>
      </c>
      <c r="Q14" s="93">
        <v>4.3657875010183442</v>
      </c>
      <c r="R14" s="93">
        <f t="shared" si="6"/>
        <v>6.9799567298651271</v>
      </c>
      <c r="S14" s="106"/>
      <c r="T14" s="39">
        <f t="shared" si="7"/>
        <v>2.9246696914869474</v>
      </c>
      <c r="U14" s="93">
        <v>15.800318592891939</v>
      </c>
      <c r="V14" s="93">
        <v>2.0325025975554691</v>
      </c>
      <c r="W14" s="93">
        <v>5.2791987804484268</v>
      </c>
      <c r="X14" s="93">
        <f t="shared" si="8"/>
        <v>7.311701378003896</v>
      </c>
      <c r="Y14" s="90" t="str">
        <f t="shared" si="0"/>
        <v>Water and sewerage</v>
      </c>
      <c r="Z14" s="39">
        <f t="shared" si="9"/>
        <v>2.8935452968317898</v>
      </c>
      <c r="AA14" s="11">
        <v>20.179018387941738</v>
      </c>
      <c r="AB14" s="93">
        <v>3.7043393079638052</v>
      </c>
      <c r="AC14" s="93">
        <v>6.6609099076503337</v>
      </c>
      <c r="AD14" s="93">
        <f t="shared" si="10"/>
        <v>10.365249215614138</v>
      </c>
      <c r="AE14" s="93"/>
      <c r="AF14" s="39">
        <f t="shared" si="11"/>
        <v>2.7725711511966233</v>
      </c>
      <c r="AG14" s="93">
        <v>0.72465647374450293</v>
      </c>
      <c r="AH14" s="93">
        <v>-0.21196589918901296</v>
      </c>
      <c r="AI14" s="93">
        <v>0.227929964406863</v>
      </c>
      <c r="AJ14" s="93">
        <f t="shared" si="12"/>
        <v>1.5964065217850043E-2</v>
      </c>
      <c r="AL14" s="39">
        <f t="shared" si="13"/>
        <v>2.6836776039042443</v>
      </c>
      <c r="AM14" s="93">
        <v>7.1689586080821419</v>
      </c>
      <c r="AN14" s="93">
        <v>1.9626686993660245</v>
      </c>
      <c r="AO14" s="93">
        <v>2.1736943685039085</v>
      </c>
      <c r="AP14" s="93">
        <f t="shared" si="14"/>
        <v>4.136363067869933</v>
      </c>
      <c r="AQ14" s="106"/>
      <c r="AR14" s="39">
        <f t="shared" si="15"/>
        <v>3.0212745785094253</v>
      </c>
      <c r="AS14" s="93">
        <v>12.285403306115091</v>
      </c>
      <c r="AT14" s="93">
        <v>1.9536365077867941</v>
      </c>
      <c r="AU14" s="93">
        <v>4.2592855747395628</v>
      </c>
      <c r="AV14" s="93">
        <f t="shared" si="16"/>
        <v>6.2129220825263571</v>
      </c>
      <c r="AW14" s="90" t="str">
        <f t="shared" si="17"/>
        <v>Water and sewerage</v>
      </c>
      <c r="AX14" s="39">
        <f t="shared" si="18"/>
        <v>2.6934634376716282</v>
      </c>
      <c r="AY14" s="11">
        <v>3.8772019161776843</v>
      </c>
      <c r="AZ14" s="93">
        <v>-0.76962711358062519</v>
      </c>
      <c r="BA14" s="93">
        <v>1.1804208080754564</v>
      </c>
      <c r="BB14" s="93">
        <f t="shared" si="19"/>
        <v>0.41079369449483116</v>
      </c>
      <c r="BC14" s="93"/>
      <c r="BD14" s="39">
        <f t="shared" si="20"/>
        <v>2.5916879181504093</v>
      </c>
      <c r="BE14" s="93">
        <v>0.39518397605304539</v>
      </c>
      <c r="BF14" s="93">
        <v>-0.11728323585066727</v>
      </c>
      <c r="BG14" s="93">
        <v>0.11522826186981429</v>
      </c>
      <c r="BH14" s="93">
        <f t="shared" si="21"/>
        <v>-2.0549739808529838E-3</v>
      </c>
      <c r="BJ14" s="39">
        <f t="shared" si="22"/>
        <v>2.6108631762737033</v>
      </c>
      <c r="BK14" s="93">
        <v>1.6388021332720251</v>
      </c>
      <c r="BL14" s="93">
        <v>-0.45140915346675231</v>
      </c>
      <c r="BM14" s="93">
        <v>0.48180359544498619</v>
      </c>
      <c r="BN14" s="93">
        <f t="shared" si="23"/>
        <v>3.0394441978233877E-2</v>
      </c>
      <c r="BO14" s="106"/>
      <c r="BP14" s="39">
        <f t="shared" si="24"/>
        <v>2.7879692353027563</v>
      </c>
      <c r="BQ14" s="93">
        <v>1.8432158068526141</v>
      </c>
      <c r="BR14" s="93">
        <v>-0.20093472426320558</v>
      </c>
      <c r="BS14" s="93">
        <v>0.58338895076065578</v>
      </c>
      <c r="BT14" s="93">
        <f t="shared" si="25"/>
        <v>0.3824542264974502</v>
      </c>
      <c r="BU14" s="90" t="str">
        <f t="shared" si="26"/>
        <v>Water and sewerage</v>
      </c>
      <c r="BV14" s="39">
        <f t="shared" si="27"/>
        <v>2.1639959971873068</v>
      </c>
      <c r="BW14" s="11">
        <v>9.217599475239167</v>
      </c>
      <c r="BX14" s="93">
        <v>0.61442646269312895</v>
      </c>
      <c r="BY14" s="93">
        <v>2.2005716372862962</v>
      </c>
      <c r="BZ14" s="93">
        <f t="shared" si="28"/>
        <v>2.8149980999794253</v>
      </c>
      <c r="CA14" s="93"/>
      <c r="CB14" s="39">
        <f t="shared" si="29"/>
        <v>2.1322524388695197</v>
      </c>
      <c r="CC14" s="93">
        <v>1.3746236467462931</v>
      </c>
      <c r="CD14" s="93">
        <v>-0.6797332330802186</v>
      </c>
      <c r="CE14" s="93">
        <v>0.32288857798608317</v>
      </c>
      <c r="CF14" s="93">
        <f t="shared" si="30"/>
        <v>-0.35684465509413543</v>
      </c>
      <c r="CH14" s="39">
        <f t="shared" si="31"/>
        <v>2.1183476609150542</v>
      </c>
      <c r="CI14" s="93">
        <v>6.2987020393754678</v>
      </c>
      <c r="CJ14" s="93">
        <v>1.0586789669999686</v>
      </c>
      <c r="CK14" s="93">
        <v>1.4689337630531381</v>
      </c>
      <c r="CL14" s="93">
        <f t="shared" si="32"/>
        <v>2.5276127300531064</v>
      </c>
      <c r="CM14" s="106"/>
      <c r="CN14" s="39">
        <f t="shared" si="33"/>
        <v>2.3760355283215739</v>
      </c>
      <c r="CO14" s="93">
        <v>1.5442737891174063</v>
      </c>
      <c r="CP14" s="93">
        <v>0.23548072877337922</v>
      </c>
      <c r="CQ14" s="93">
        <v>0.40874929624707479</v>
      </c>
      <c r="CR14" s="93">
        <f t="shared" si="34"/>
        <v>0.64423002502045401</v>
      </c>
      <c r="CS14" s="90" t="str">
        <f t="shared" si="35"/>
        <v>Water and sewerage</v>
      </c>
      <c r="CT14" s="39">
        <f t="shared" si="36"/>
        <v>2.4372851811505392</v>
      </c>
      <c r="CU14" s="11">
        <v>1.4161802206413483</v>
      </c>
      <c r="CV14" s="93">
        <v>-0.14513865707631529</v>
      </c>
      <c r="CW14" s="93">
        <v>0.38558884418825223</v>
      </c>
      <c r="CX14" s="93">
        <f t="shared" si="37"/>
        <v>0.24045018711193694</v>
      </c>
      <c r="CY14" s="93"/>
      <c r="CZ14" s="39">
        <f t="shared" si="38"/>
        <v>2.2654301118374853</v>
      </c>
      <c r="DA14" s="93">
        <v>0.46381055323258502</v>
      </c>
      <c r="DB14" s="93">
        <v>-0.23368945828235915</v>
      </c>
      <c r="DC14" s="93">
        <v>0.11645811147080638</v>
      </c>
      <c r="DD14" s="93">
        <f t="shared" si="39"/>
        <v>-0.11723134681155277</v>
      </c>
      <c r="DF14" s="39">
        <f t="shared" si="40"/>
        <v>2.5995569001085794</v>
      </c>
      <c r="DG14" s="93">
        <v>0.82494397660193552</v>
      </c>
      <c r="DH14" s="93">
        <v>4.4230715947542278E-2</v>
      </c>
      <c r="DI14" s="93">
        <v>0.24135577401631172</v>
      </c>
      <c r="DJ14" s="93">
        <f t="shared" si="41"/>
        <v>0.285586489963854</v>
      </c>
      <c r="DK14" s="106"/>
      <c r="DL14" s="39">
        <f t="shared" si="42"/>
        <v>1.9914236116268524</v>
      </c>
      <c r="DM14" s="93">
        <v>0.12742569080682786</v>
      </c>
      <c r="DN14" s="93">
        <v>4.4320085258501563E-2</v>
      </c>
      <c r="DO14" s="93">
        <v>2.7774958701134087E-2</v>
      </c>
      <c r="DP14" s="93">
        <f t="shared" si="43"/>
        <v>7.2095043959635646E-2</v>
      </c>
    </row>
    <row r="15" spans="1:120" x14ac:dyDescent="0.2">
      <c r="A15" s="90" t="str">
        <f>name!B11</f>
        <v>Construction</v>
      </c>
      <c r="B15" s="39">
        <f t="shared" si="1"/>
        <v>2.6332713124259444</v>
      </c>
      <c r="C15" s="11">
        <v>24.70699999999993</v>
      </c>
      <c r="D15" s="93">
        <v>2.4850000000000203</v>
      </c>
      <c r="E15" s="93">
        <v>7.3336805968811847</v>
      </c>
      <c r="F15" s="93">
        <f t="shared" si="2"/>
        <v>9.8186805968812045</v>
      </c>
      <c r="G15" s="93"/>
      <c r="H15" s="39">
        <f t="shared" si="3"/>
        <v>2.4423074235861542</v>
      </c>
      <c r="I15" s="93">
        <v>2.0674298031287628</v>
      </c>
      <c r="J15" s="93">
        <v>-0.8828890757342569</v>
      </c>
      <c r="K15" s="93">
        <v>0.56419694936710085</v>
      </c>
      <c r="L15" s="93">
        <f t="shared" si="4"/>
        <v>-0.31869212636715605</v>
      </c>
      <c r="N15" s="39">
        <f t="shared" si="5"/>
        <v>2.3615173214244889</v>
      </c>
      <c r="O15" s="93">
        <v>11.395959885205716</v>
      </c>
      <c r="P15" s="93">
        <v>1.9703829749125323</v>
      </c>
      <c r="Q15" s="93">
        <v>2.9959377256495925</v>
      </c>
      <c r="R15" s="93">
        <f t="shared" si="6"/>
        <v>4.9663207005621253</v>
      </c>
      <c r="S15" s="106"/>
      <c r="T15" s="39">
        <f t="shared" si="7"/>
        <v>2.9362141326216173</v>
      </c>
      <c r="U15" s="93">
        <v>11.243610311665455</v>
      </c>
      <c r="V15" s="93">
        <v>1.3975061008217451</v>
      </c>
      <c r="W15" s="93">
        <v>3.7735459218644927</v>
      </c>
      <c r="X15" s="93">
        <f t="shared" si="8"/>
        <v>5.1710520226862382</v>
      </c>
      <c r="Y15" s="90" t="str">
        <f t="shared" si="0"/>
        <v>Construction</v>
      </c>
      <c r="Z15" s="39">
        <f t="shared" si="9"/>
        <v>2.9275517647755267</v>
      </c>
      <c r="AA15" s="11">
        <v>13.046434238680172</v>
      </c>
      <c r="AB15" s="93">
        <v>2.1329718598151204</v>
      </c>
      <c r="AC15" s="93">
        <v>4.3639460437985305</v>
      </c>
      <c r="AD15" s="93">
        <f t="shared" si="10"/>
        <v>6.4969179036136513</v>
      </c>
      <c r="AE15" s="93"/>
      <c r="AF15" s="39">
        <f t="shared" si="11"/>
        <v>2.9029598767563725</v>
      </c>
      <c r="AG15" s="93">
        <v>0.51780999831305174</v>
      </c>
      <c r="AH15" s="93">
        <v>-0.14508224440278034</v>
      </c>
      <c r="AI15" s="93">
        <v>0.17155479671456894</v>
      </c>
      <c r="AJ15" s="93">
        <f t="shared" si="12"/>
        <v>2.6472552311788605E-2</v>
      </c>
      <c r="AL15" s="39">
        <f t="shared" si="13"/>
        <v>2.7138731733564292</v>
      </c>
      <c r="AM15" s="93">
        <v>3.3696565084990735</v>
      </c>
      <c r="AN15" s="93">
        <v>0.87665708871403969</v>
      </c>
      <c r="AO15" s="93">
        <v>1.0346414621905302</v>
      </c>
      <c r="AP15" s="93">
        <f t="shared" si="14"/>
        <v>1.9112985509045699</v>
      </c>
      <c r="AQ15" s="106"/>
      <c r="AR15" s="39">
        <f t="shared" si="15"/>
        <v>3.0065508595138457</v>
      </c>
      <c r="AS15" s="93">
        <v>9.1589677318680476</v>
      </c>
      <c r="AT15" s="93">
        <v>1.4013970155038609</v>
      </c>
      <c r="AU15" s="93">
        <v>3.1577497848934315</v>
      </c>
      <c r="AV15" s="93">
        <f t="shared" si="16"/>
        <v>4.5591468003972926</v>
      </c>
      <c r="AW15" s="90" t="str">
        <f t="shared" si="17"/>
        <v>Construction</v>
      </c>
      <c r="AX15" s="39">
        <f t="shared" si="18"/>
        <v>2.6925526136312605</v>
      </c>
      <c r="AY15" s="11">
        <v>3.651919924567808</v>
      </c>
      <c r="AZ15" s="93">
        <v>-0.23040618198892773</v>
      </c>
      <c r="BA15" s="93">
        <v>1.1114108203418209</v>
      </c>
      <c r="BB15" s="93">
        <f t="shared" si="19"/>
        <v>0.88100463835289322</v>
      </c>
      <c r="BC15" s="93"/>
      <c r="BD15" s="39">
        <f t="shared" si="20"/>
        <v>2.6003566607783579</v>
      </c>
      <c r="BE15" s="93">
        <v>0.34954045938527362</v>
      </c>
      <c r="BF15" s="93">
        <v>-0.11400742632184735</v>
      </c>
      <c r="BG15" s="93">
        <v>0.10230108293418085</v>
      </c>
      <c r="BH15" s="93">
        <f t="shared" si="21"/>
        <v>-1.1706343387666504E-2</v>
      </c>
      <c r="BJ15" s="39">
        <f t="shared" si="22"/>
        <v>2.6391873139546718</v>
      </c>
      <c r="BK15" s="93">
        <v>2.0072722798125366</v>
      </c>
      <c r="BL15" s="93">
        <v>2.1946743765527334E-2</v>
      </c>
      <c r="BM15" s="93">
        <v>0.59731151369132662</v>
      </c>
      <c r="BN15" s="93">
        <f t="shared" si="23"/>
        <v>0.61925825745685392</v>
      </c>
      <c r="BO15" s="106"/>
      <c r="BP15" s="39">
        <f t="shared" si="24"/>
        <v>2.799351314050047</v>
      </c>
      <c r="BQ15" s="93">
        <v>1.2951071853699978</v>
      </c>
      <c r="BR15" s="93">
        <v>-0.13834549943260771</v>
      </c>
      <c r="BS15" s="93">
        <v>0.41179822371631336</v>
      </c>
      <c r="BT15" s="93">
        <f t="shared" si="25"/>
        <v>0.27345272428370565</v>
      </c>
      <c r="BU15" s="90" t="str">
        <f t="shared" si="26"/>
        <v>Construction</v>
      </c>
      <c r="BV15" s="39">
        <f t="shared" si="27"/>
        <v>2.0481137979190267</v>
      </c>
      <c r="BW15" s="11">
        <v>6.6723347132595512</v>
      </c>
      <c r="BX15" s="93">
        <v>0.63046525507421236</v>
      </c>
      <c r="BY15" s="93">
        <v>1.4996518315416651</v>
      </c>
      <c r="BZ15" s="93">
        <f t="shared" si="28"/>
        <v>2.1301170866158774</v>
      </c>
      <c r="CA15" s="93"/>
      <c r="CB15" s="39">
        <f t="shared" si="29"/>
        <v>1.885726525584519</v>
      </c>
      <c r="CC15" s="93">
        <v>0.79401322796632245</v>
      </c>
      <c r="CD15" s="93">
        <v>-0.42251424724113457</v>
      </c>
      <c r="CE15" s="93">
        <v>0.16309534060812603</v>
      </c>
      <c r="CF15" s="93">
        <f t="shared" si="30"/>
        <v>-0.25941890663300854</v>
      </c>
      <c r="CH15" s="39">
        <f t="shared" si="31"/>
        <v>2.0349710354922612</v>
      </c>
      <c r="CI15" s="93">
        <v>5.1117136268203991</v>
      </c>
      <c r="CJ15" s="93">
        <v>0.94026718064231962</v>
      </c>
      <c r="CK15" s="93">
        <v>1.1408334558665532</v>
      </c>
      <c r="CL15" s="93">
        <f t="shared" si="32"/>
        <v>2.0811006365088729</v>
      </c>
      <c r="CM15" s="106"/>
      <c r="CN15" s="39">
        <f t="shared" si="33"/>
        <v>2.2998780793422213</v>
      </c>
      <c r="CO15" s="93">
        <v>0.7666078584728292</v>
      </c>
      <c r="CP15" s="93">
        <v>0.11271232167302715</v>
      </c>
      <c r="CQ15" s="93">
        <v>0.19572303506698607</v>
      </c>
      <c r="CR15" s="93">
        <f t="shared" si="34"/>
        <v>0.30843535674001321</v>
      </c>
      <c r="CS15" s="90" t="str">
        <f t="shared" si="35"/>
        <v>Construction</v>
      </c>
      <c r="CT15" s="39">
        <f t="shared" si="36"/>
        <v>2.406088217429958</v>
      </c>
      <c r="CU15" s="11">
        <v>1.3363111234924001</v>
      </c>
      <c r="CV15" s="93">
        <v>-4.8030932900384203E-2</v>
      </c>
      <c r="CW15" s="93">
        <v>0.3586719011991692</v>
      </c>
      <c r="CX15" s="93">
        <f t="shared" si="37"/>
        <v>0.31064096829878501</v>
      </c>
      <c r="CY15" s="93"/>
      <c r="CZ15" s="39">
        <f t="shared" si="38"/>
        <v>2.7633959791856677</v>
      </c>
      <c r="DA15" s="93">
        <v>0.40606611746411458</v>
      </c>
      <c r="DB15" s="93">
        <v>-0.20128515776849468</v>
      </c>
      <c r="DC15" s="93">
        <v>0.12724572911022497</v>
      </c>
      <c r="DD15" s="93">
        <f t="shared" si="39"/>
        <v>-7.4039428658269707E-2</v>
      </c>
      <c r="DF15" s="39">
        <f t="shared" si="40"/>
        <v>2.2233076528841211</v>
      </c>
      <c r="DG15" s="93">
        <v>0.90731747007370689</v>
      </c>
      <c r="DH15" s="93">
        <v>0.1315119617906455</v>
      </c>
      <c r="DI15" s="93">
        <v>0.22315129390118218</v>
      </c>
      <c r="DJ15" s="93">
        <f t="shared" si="41"/>
        <v>0.35466325569182766</v>
      </c>
      <c r="DK15" s="106"/>
      <c r="DL15" s="39">
        <f t="shared" si="42"/>
        <v>3.1295401767871711</v>
      </c>
      <c r="DM15" s="93">
        <v>2.2927535954578668E-2</v>
      </c>
      <c r="DN15" s="93">
        <v>2.174226307746498E-2</v>
      </c>
      <c r="DO15" s="93">
        <v>8.2748781877620605E-3</v>
      </c>
      <c r="DP15" s="93">
        <f t="shared" si="43"/>
        <v>3.0017141265227039E-2</v>
      </c>
    </row>
    <row r="16" spans="1:120" x14ac:dyDescent="0.2">
      <c r="A16" s="90" t="str">
        <f>name!B12</f>
        <v>Wholesale and retail trade</v>
      </c>
      <c r="B16" s="39">
        <f t="shared" si="1"/>
        <v>2.48357468355489</v>
      </c>
      <c r="C16" s="11">
        <v>49.360999999999891</v>
      </c>
      <c r="D16" s="93">
        <v>-3.0089999999999963</v>
      </c>
      <c r="E16" s="93">
        <v>13.724072101712224</v>
      </c>
      <c r="F16" s="93">
        <f t="shared" si="2"/>
        <v>10.715072101712227</v>
      </c>
      <c r="G16" s="93"/>
      <c r="H16" s="39">
        <f t="shared" si="3"/>
        <v>2.319061330483807</v>
      </c>
      <c r="I16" s="93">
        <v>11.754763181562106</v>
      </c>
      <c r="J16" s="93">
        <v>-3.3383043230730345</v>
      </c>
      <c r="K16" s="93">
        <v>3.0288080072024135</v>
      </c>
      <c r="L16" s="93">
        <f t="shared" si="4"/>
        <v>-0.30949631587062099</v>
      </c>
      <c r="N16" s="39">
        <f t="shared" si="5"/>
        <v>2.3679923975928441</v>
      </c>
      <c r="O16" s="93">
        <v>27.464527750604109</v>
      </c>
      <c r="P16" s="93">
        <v>1.036637643813106</v>
      </c>
      <c r="Q16" s="93">
        <v>7.242226228936425</v>
      </c>
      <c r="R16" s="93">
        <f t="shared" si="6"/>
        <v>8.2788638727495307</v>
      </c>
      <c r="S16" s="106"/>
      <c r="T16" s="39">
        <f t="shared" si="7"/>
        <v>2.9736241479119574</v>
      </c>
      <c r="U16" s="93">
        <v>10.141709067833677</v>
      </c>
      <c r="V16" s="93">
        <v>-0.70733332074006794</v>
      </c>
      <c r="W16" s="93">
        <v>3.4530378655733838</v>
      </c>
      <c r="X16" s="93">
        <f t="shared" si="8"/>
        <v>2.7457045448333157</v>
      </c>
      <c r="Y16" s="90" t="str">
        <f t="shared" si="0"/>
        <v>Wholesale and retail trade</v>
      </c>
      <c r="Z16" s="39">
        <f t="shared" si="9"/>
        <v>2.9998517165961136</v>
      </c>
      <c r="AA16" s="11">
        <v>14.421904529312432</v>
      </c>
      <c r="AB16" s="93">
        <v>-7.9946079548302407E-2</v>
      </c>
      <c r="AC16" s="93">
        <v>4.9596501612339017</v>
      </c>
      <c r="AD16" s="93">
        <f t="shared" si="10"/>
        <v>4.879704081685599</v>
      </c>
      <c r="AE16" s="93"/>
      <c r="AF16" s="39">
        <f t="shared" si="11"/>
        <v>2.9265331251565607</v>
      </c>
      <c r="AG16" s="93">
        <v>1.7446046239912303</v>
      </c>
      <c r="AH16" s="93">
        <v>-0.27919872461291689</v>
      </c>
      <c r="AI16" s="93">
        <v>0.58332831832535181</v>
      </c>
      <c r="AJ16" s="93">
        <f t="shared" si="12"/>
        <v>0.30412959371243492</v>
      </c>
      <c r="AL16" s="39">
        <f t="shared" si="13"/>
        <v>2.8733806306549425</v>
      </c>
      <c r="AM16" s="93">
        <v>5.4383562760409712</v>
      </c>
      <c r="AN16" s="93">
        <v>0.60778084248681408</v>
      </c>
      <c r="AO16" s="93">
        <v>1.780988355750744</v>
      </c>
      <c r="AP16" s="93">
        <f t="shared" si="14"/>
        <v>2.3887691982375578</v>
      </c>
      <c r="AQ16" s="106"/>
      <c r="AR16" s="39">
        <f t="shared" si="15"/>
        <v>3.111409774959073</v>
      </c>
      <c r="AS16" s="93">
        <v>7.2389436292802296</v>
      </c>
      <c r="AT16" s="93">
        <v>-0.40852819742219959</v>
      </c>
      <c r="AU16" s="93">
        <v>2.5953334871578053</v>
      </c>
      <c r="AV16" s="93">
        <f t="shared" si="16"/>
        <v>2.1868052897356058</v>
      </c>
      <c r="AW16" s="90" t="str">
        <f t="shared" si="17"/>
        <v>Wholesale and retail trade</v>
      </c>
      <c r="AX16" s="39">
        <f t="shared" si="18"/>
        <v>2.6838321004912791</v>
      </c>
      <c r="AY16" s="11">
        <v>4.7602092359720407</v>
      </c>
      <c r="AZ16" s="93">
        <v>-1.3205133909931142</v>
      </c>
      <c r="BA16" s="93">
        <v>1.4434326816980343</v>
      </c>
      <c r="BB16" s="93">
        <f t="shared" si="19"/>
        <v>0.12291929070492014</v>
      </c>
      <c r="BC16" s="93"/>
      <c r="BD16" s="39">
        <f t="shared" si="20"/>
        <v>2.6307138684356079</v>
      </c>
      <c r="BE16" s="93">
        <v>0.55533861181731692</v>
      </c>
      <c r="BF16" s="93">
        <v>-0.19194769411417067</v>
      </c>
      <c r="BG16" s="93">
        <v>0.16465951691361003</v>
      </c>
      <c r="BH16" s="93">
        <f t="shared" si="21"/>
        <v>-2.7288177200560648E-2</v>
      </c>
      <c r="BJ16" s="39">
        <f t="shared" si="22"/>
        <v>2.6257921936491346</v>
      </c>
      <c r="BK16" s="93">
        <v>2.4972687404973635</v>
      </c>
      <c r="BL16" s="93">
        <v>-0.56905832335257489</v>
      </c>
      <c r="BM16" s="93">
        <v>0.73889514198640793</v>
      </c>
      <c r="BN16" s="93">
        <f t="shared" si="23"/>
        <v>0.16983681863383304</v>
      </c>
      <c r="BO16" s="106"/>
      <c r="BP16" s="39">
        <f t="shared" si="24"/>
        <v>2.7852790413730899</v>
      </c>
      <c r="BQ16" s="93">
        <v>1.7076018836573603</v>
      </c>
      <c r="BR16" s="93">
        <v>-0.55950737352636859</v>
      </c>
      <c r="BS16" s="93">
        <v>0.53987802279801622</v>
      </c>
      <c r="BT16" s="93">
        <f t="shared" si="25"/>
        <v>-1.9629350728352368E-2</v>
      </c>
      <c r="BU16" s="90" t="str">
        <f t="shared" si="26"/>
        <v>Wholesale and retail trade</v>
      </c>
      <c r="BV16" s="39">
        <f t="shared" si="27"/>
        <v>2.1993314042800582</v>
      </c>
      <c r="BW16" s="11">
        <v>28.021593521784599</v>
      </c>
      <c r="BX16" s="93">
        <v>-1.4714034279099568</v>
      </c>
      <c r="BY16" s="93">
        <v>6.8100025319772302</v>
      </c>
      <c r="BZ16" s="93">
        <f t="shared" si="28"/>
        <v>5.3385991040672733</v>
      </c>
      <c r="CA16" s="93"/>
      <c r="CB16" s="39">
        <f t="shared" si="29"/>
        <v>2.1988160207137231</v>
      </c>
      <c r="CC16" s="93">
        <v>8.4984348827263929</v>
      </c>
      <c r="CD16" s="93">
        <v>-2.4130544809912187</v>
      </c>
      <c r="CE16" s="93">
        <v>2.0648160354020404</v>
      </c>
      <c r="CF16" s="93">
        <f t="shared" si="30"/>
        <v>-0.34823844558917827</v>
      </c>
      <c r="CH16" s="39">
        <f t="shared" si="31"/>
        <v>2.1891934571730776</v>
      </c>
      <c r="CI16" s="93">
        <v>18.363284813948471</v>
      </c>
      <c r="CJ16" s="93">
        <v>0.79472514229380931</v>
      </c>
      <c r="CK16" s="93">
        <v>4.4401403431475641</v>
      </c>
      <c r="CL16" s="93">
        <f t="shared" si="32"/>
        <v>5.2348654854413734</v>
      </c>
      <c r="CM16" s="106"/>
      <c r="CN16" s="39">
        <f t="shared" si="33"/>
        <v>2.3623659563032362</v>
      </c>
      <c r="CO16" s="93">
        <v>1.1598738251097345</v>
      </c>
      <c r="CP16" s="93">
        <v>0.14692591078745226</v>
      </c>
      <c r="CQ16" s="93">
        <v>0.30504615342762553</v>
      </c>
      <c r="CR16" s="93">
        <f t="shared" si="34"/>
        <v>0.4519720642150778</v>
      </c>
      <c r="CS16" s="90" t="str">
        <f t="shared" si="35"/>
        <v>Wholesale and retail trade</v>
      </c>
      <c r="CT16" s="39">
        <f t="shared" si="36"/>
        <v>2.1485540302156547</v>
      </c>
      <c r="CU16" s="11">
        <v>2.1572927129308224</v>
      </c>
      <c r="CV16" s="93">
        <v>-0.13713710154862277</v>
      </c>
      <c r="CW16" s="93">
        <v>0.51098672680305779</v>
      </c>
      <c r="CX16" s="93">
        <f t="shared" si="37"/>
        <v>0.37384962525443499</v>
      </c>
      <c r="CY16" s="93"/>
      <c r="CZ16" s="39">
        <f t="shared" si="38"/>
        <v>2.0572595476436195</v>
      </c>
      <c r="DA16" s="93">
        <v>0.95638506302716597</v>
      </c>
      <c r="DB16" s="93">
        <v>-0.4541034233547282</v>
      </c>
      <c r="DC16" s="93">
        <v>0.2160041365614109</v>
      </c>
      <c r="DD16" s="93">
        <f t="shared" si="39"/>
        <v>-0.23809928679331729</v>
      </c>
      <c r="DF16" s="39">
        <f t="shared" si="40"/>
        <v>2.1917519950891196</v>
      </c>
      <c r="DG16" s="93">
        <v>1.1656179201173043</v>
      </c>
      <c r="DH16" s="93">
        <v>0.20318998238505742</v>
      </c>
      <c r="DI16" s="93">
        <v>0.28220238805171</v>
      </c>
      <c r="DJ16" s="93">
        <f t="shared" si="41"/>
        <v>0.48539237043676742</v>
      </c>
      <c r="DK16" s="106"/>
      <c r="DL16" s="39">
        <f t="shared" si="42"/>
        <v>3.1389052752660129</v>
      </c>
      <c r="DM16" s="93">
        <v>3.5289729786351975E-2</v>
      </c>
      <c r="DN16" s="93">
        <v>0.11377633942104799</v>
      </c>
      <c r="DO16" s="93">
        <v>1.2780202189936939E-2</v>
      </c>
      <c r="DP16" s="93">
        <f t="shared" si="43"/>
        <v>0.12655654161098492</v>
      </c>
    </row>
    <row r="17" spans="1:120" x14ac:dyDescent="0.2">
      <c r="A17" s="90" t="str">
        <f>name!B13</f>
        <v>Transport and storage</v>
      </c>
      <c r="B17" s="39">
        <f t="shared" si="1"/>
        <v>2.5826643707438812</v>
      </c>
      <c r="C17" s="11">
        <v>92.525231401581493</v>
      </c>
      <c r="D17" s="93">
        <v>4.8062010655220337</v>
      </c>
      <c r="E17" s="93">
        <v>26.873559144521298</v>
      </c>
      <c r="F17" s="93">
        <f t="shared" si="2"/>
        <v>31.679760210043334</v>
      </c>
      <c r="G17" s="93"/>
      <c r="H17" s="39">
        <f t="shared" si="3"/>
        <v>2.4248789617356659</v>
      </c>
      <c r="I17" s="93">
        <v>21.198729637120138</v>
      </c>
      <c r="J17" s="93">
        <v>-6.0725510822499817</v>
      </c>
      <c r="K17" s="93">
        <v>5.7392133920891153</v>
      </c>
      <c r="L17" s="93">
        <f t="shared" si="4"/>
        <v>-0.33333769016086645</v>
      </c>
      <c r="N17" s="39">
        <f t="shared" si="5"/>
        <v>2.5234952437853897</v>
      </c>
      <c r="O17" s="93">
        <v>52.658868908190932</v>
      </c>
      <c r="P17" s="93">
        <v>7.0048539847493405</v>
      </c>
      <c r="Q17" s="93">
        <v>14.903608217095815</v>
      </c>
      <c r="R17" s="93">
        <f t="shared" si="6"/>
        <v>21.908462201845154</v>
      </c>
      <c r="S17" s="106"/>
      <c r="T17" s="39">
        <f t="shared" si="7"/>
        <v>2.9219882284781784</v>
      </c>
      <c r="U17" s="93">
        <v>18.667632856270426</v>
      </c>
      <c r="V17" s="93">
        <v>3.8738981630226754</v>
      </c>
      <c r="W17" s="93">
        <v>6.230737535336365</v>
      </c>
      <c r="X17" s="93">
        <f t="shared" si="8"/>
        <v>10.10463569835904</v>
      </c>
      <c r="Y17" s="90" t="str">
        <f t="shared" si="0"/>
        <v>Transport and storage</v>
      </c>
      <c r="Z17" s="39">
        <f t="shared" si="9"/>
        <v>2.9241425329038728</v>
      </c>
      <c r="AA17" s="11">
        <v>29.870782206299452</v>
      </c>
      <c r="AB17" s="93">
        <v>4.3408339188767497</v>
      </c>
      <c r="AC17" s="93">
        <v>9.9783777687739459</v>
      </c>
      <c r="AD17" s="93">
        <f t="shared" si="10"/>
        <v>14.319211687650697</v>
      </c>
      <c r="AE17" s="93"/>
      <c r="AF17" s="39">
        <f t="shared" si="11"/>
        <v>2.7318686124567781</v>
      </c>
      <c r="AG17" s="93">
        <v>3.8081615228264192</v>
      </c>
      <c r="AH17" s="93">
        <v>-0.6689481531577417</v>
      </c>
      <c r="AI17" s="93">
        <v>1.1780102671881654</v>
      </c>
      <c r="AJ17" s="93">
        <f t="shared" si="12"/>
        <v>0.50906211403042367</v>
      </c>
      <c r="AL17" s="39">
        <f t="shared" si="13"/>
        <v>2.8609218734994002</v>
      </c>
      <c r="AM17" s="93">
        <v>13.572153033741255</v>
      </c>
      <c r="AN17" s="93">
        <v>3.0025944902352135</v>
      </c>
      <c r="AO17" s="93">
        <v>4.4228892241268012</v>
      </c>
      <c r="AP17" s="93">
        <f t="shared" si="14"/>
        <v>7.4254837143620147</v>
      </c>
      <c r="AQ17" s="106"/>
      <c r="AR17" s="39">
        <f t="shared" si="15"/>
        <v>3.0500840000298179</v>
      </c>
      <c r="AS17" s="93">
        <v>12.490467649731778</v>
      </c>
      <c r="AT17" s="93">
        <v>2.0071875817992777</v>
      </c>
      <c r="AU17" s="93">
        <v>4.3774782774589784</v>
      </c>
      <c r="AV17" s="93">
        <f t="shared" si="16"/>
        <v>6.3846658592582557</v>
      </c>
      <c r="AW17" s="90" t="str">
        <f t="shared" si="17"/>
        <v>Transport and storage</v>
      </c>
      <c r="AX17" s="39">
        <f t="shared" si="18"/>
        <v>2.6816272634551552</v>
      </c>
      <c r="AY17" s="11">
        <v>8.998417639409773</v>
      </c>
      <c r="AZ17" s="93">
        <v>0.46368333377022369</v>
      </c>
      <c r="BA17" s="93">
        <v>2.7260618724368122</v>
      </c>
      <c r="BB17" s="93">
        <f t="shared" si="19"/>
        <v>3.1897452062070357</v>
      </c>
      <c r="BC17" s="93"/>
      <c r="BD17" s="39">
        <f t="shared" si="20"/>
        <v>2.6174041078364407</v>
      </c>
      <c r="BE17" s="93">
        <v>1.0668407233699537</v>
      </c>
      <c r="BF17" s="93">
        <v>3.2513509332090844E-2</v>
      </c>
      <c r="BG17" s="93">
        <v>0.31452866341566049</v>
      </c>
      <c r="BH17" s="93">
        <f t="shared" si="21"/>
        <v>0.34704217274775134</v>
      </c>
      <c r="BJ17" s="39">
        <f t="shared" si="22"/>
        <v>2.6363264722116364</v>
      </c>
      <c r="BK17" s="93">
        <v>4.9047319312804847</v>
      </c>
      <c r="BL17" s="93">
        <v>0.14017890795839225</v>
      </c>
      <c r="BM17" s="93">
        <v>1.4577457375951082</v>
      </c>
      <c r="BN17" s="93">
        <f t="shared" si="23"/>
        <v>1.5979246455535003</v>
      </c>
      <c r="BO17" s="106"/>
      <c r="BP17" s="39">
        <f t="shared" si="24"/>
        <v>2.7770599340433355</v>
      </c>
      <c r="BQ17" s="93">
        <v>3.0268449847593342</v>
      </c>
      <c r="BR17" s="93">
        <v>0.29099091647974057</v>
      </c>
      <c r="BS17" s="93">
        <v>0.95378747142604337</v>
      </c>
      <c r="BT17" s="93">
        <f t="shared" si="25"/>
        <v>1.2447783879057839</v>
      </c>
      <c r="BU17" s="90" t="str">
        <f t="shared" si="26"/>
        <v>Transport and storage</v>
      </c>
      <c r="BV17" s="39">
        <f t="shared" si="27"/>
        <v>2.3754907319287089</v>
      </c>
      <c r="BW17" s="11">
        <v>50.110811503507264</v>
      </c>
      <c r="BX17" s="93">
        <v>0.37983071614327241</v>
      </c>
      <c r="BY17" s="93">
        <v>13.260311196398852</v>
      </c>
      <c r="BZ17" s="93">
        <f t="shared" si="28"/>
        <v>13.640141912542125</v>
      </c>
      <c r="CA17" s="93"/>
      <c r="CB17" s="39">
        <f t="shared" si="29"/>
        <v>2.3338534370635156</v>
      </c>
      <c r="CC17" s="93">
        <v>14.74166253806875</v>
      </c>
      <c r="CD17" s="93">
        <v>-4.5191002676533572</v>
      </c>
      <c r="CE17" s="93">
        <v>3.8252523053004484</v>
      </c>
      <c r="CF17" s="93">
        <f t="shared" si="30"/>
        <v>-0.6938479623529088</v>
      </c>
      <c r="CH17" s="39">
        <f t="shared" si="31"/>
        <v>2.3772663395688065</v>
      </c>
      <c r="CI17" s="93">
        <v>32.323025931939064</v>
      </c>
      <c r="CJ17" s="93">
        <v>3.459835793309614</v>
      </c>
      <c r="CK17" s="93">
        <v>8.5604017208804635</v>
      </c>
      <c r="CL17" s="93">
        <f t="shared" si="32"/>
        <v>12.020237514190077</v>
      </c>
      <c r="CM17" s="106"/>
      <c r="CN17" s="39">
        <f t="shared" si="33"/>
        <v>2.5563381424586806</v>
      </c>
      <c r="CO17" s="93">
        <v>3.0461230334994571</v>
      </c>
      <c r="CP17" s="93">
        <v>1.4390951904870155</v>
      </c>
      <c r="CQ17" s="93">
        <v>0.87465717021794065</v>
      </c>
      <c r="CR17" s="93">
        <f t="shared" si="34"/>
        <v>2.3137523607049562</v>
      </c>
      <c r="CS17" s="90" t="str">
        <f t="shared" si="35"/>
        <v>Transport and storage</v>
      </c>
      <c r="CT17" s="39">
        <f t="shared" si="36"/>
        <v>2.3083258626595438</v>
      </c>
      <c r="CU17" s="11">
        <v>3.5452200523650017</v>
      </c>
      <c r="CV17" s="93">
        <v>-0.37814690326821171</v>
      </c>
      <c r="CW17" s="93">
        <v>0.90880830691168701</v>
      </c>
      <c r="CX17" s="93">
        <f t="shared" si="37"/>
        <v>0.53066140364347536</v>
      </c>
      <c r="CY17" s="93"/>
      <c r="CZ17" s="39">
        <f t="shared" si="38"/>
        <v>2.3896892286912941</v>
      </c>
      <c r="DA17" s="93">
        <v>1.5820648528550136</v>
      </c>
      <c r="DB17" s="93">
        <v>-0.91701617077097408</v>
      </c>
      <c r="DC17" s="93">
        <v>0.42142215618484119</v>
      </c>
      <c r="DD17" s="93">
        <f t="shared" si="39"/>
        <v>-0.49559401458613289</v>
      </c>
      <c r="DF17" s="39">
        <f t="shared" si="40"/>
        <v>2.2469738978732945</v>
      </c>
      <c r="DG17" s="93">
        <v>1.8589580112301323</v>
      </c>
      <c r="DH17" s="93">
        <v>0.40224479324612111</v>
      </c>
      <c r="DI17" s="93">
        <v>0.4625715344934439</v>
      </c>
      <c r="DJ17" s="93">
        <f t="shared" si="41"/>
        <v>0.86481632773956507</v>
      </c>
      <c r="DK17" s="106"/>
      <c r="DL17" s="39">
        <f t="shared" si="42"/>
        <v>2.1591674565122787</v>
      </c>
      <c r="DM17" s="93">
        <v>0.10419718827985559</v>
      </c>
      <c r="DN17" s="93">
        <v>0.13662447425664134</v>
      </c>
      <c r="DO17" s="93">
        <v>2.4814616233402073E-2</v>
      </c>
      <c r="DP17" s="93">
        <f t="shared" si="43"/>
        <v>0.1614390904900434</v>
      </c>
    </row>
    <row r="18" spans="1:120" x14ac:dyDescent="0.2">
      <c r="A18" s="90" t="str">
        <f>name!B14</f>
        <v>Accommodation and food</v>
      </c>
      <c r="B18" s="39">
        <f t="shared" si="1"/>
        <v>2.7290326750703198</v>
      </c>
      <c r="C18" s="11">
        <v>12.952999999999982</v>
      </c>
      <c r="D18" s="93">
        <v>0.38799999999999019</v>
      </c>
      <c r="E18" s="93">
        <v>4.0021779615326993</v>
      </c>
      <c r="F18" s="93">
        <f t="shared" si="2"/>
        <v>4.3901779615326895</v>
      </c>
      <c r="G18" s="93"/>
      <c r="H18" s="39">
        <f t="shared" si="3"/>
        <v>2.439043046528111</v>
      </c>
      <c r="I18" s="93">
        <v>0.98180011788807253</v>
      </c>
      <c r="J18" s="93">
        <v>-0.31823538887421476</v>
      </c>
      <c r="K18" s="93">
        <v>0.26753287063716108</v>
      </c>
      <c r="L18" s="93">
        <f t="shared" si="4"/>
        <v>-5.0702518237053684E-2</v>
      </c>
      <c r="N18" s="39">
        <f t="shared" si="5"/>
        <v>2.4753153877203893</v>
      </c>
      <c r="O18" s="93">
        <v>4.3897999117505364</v>
      </c>
      <c r="P18" s="93">
        <v>-3.3729018992914917E-3</v>
      </c>
      <c r="Q18" s="93">
        <v>1.2159970209281907</v>
      </c>
      <c r="R18" s="93">
        <f t="shared" si="6"/>
        <v>1.2126241190288993</v>
      </c>
      <c r="S18" s="106"/>
      <c r="T18" s="39">
        <f t="shared" si="7"/>
        <v>2.9099584906887133</v>
      </c>
      <c r="U18" s="93">
        <v>7.5813999703613737</v>
      </c>
      <c r="V18" s="93">
        <v>0.70960829077349641</v>
      </c>
      <c r="W18" s="93">
        <v>2.5186480699673486</v>
      </c>
      <c r="X18" s="93">
        <f t="shared" si="8"/>
        <v>3.2282563607408452</v>
      </c>
      <c r="Y18" s="90" t="str">
        <f t="shared" si="0"/>
        <v>Accommodation and food</v>
      </c>
      <c r="Z18" s="39">
        <f t="shared" si="9"/>
        <v>2.9001988046052141</v>
      </c>
      <c r="AA18" s="11">
        <v>8.41715005869405</v>
      </c>
      <c r="AB18" s="93">
        <v>1.2401845545007941</v>
      </c>
      <c r="AC18" s="93">
        <v>2.7856660704349108</v>
      </c>
      <c r="AD18" s="93">
        <f t="shared" si="10"/>
        <v>4.0258506249357051</v>
      </c>
      <c r="AE18" s="93"/>
      <c r="AF18" s="39">
        <f t="shared" si="11"/>
        <v>2.6294544068126147</v>
      </c>
      <c r="AG18" s="93">
        <v>0.26152951231038224</v>
      </c>
      <c r="AH18" s="93">
        <v>-4.5405475739936016E-2</v>
      </c>
      <c r="AI18" s="93">
        <v>7.7502654523601097E-2</v>
      </c>
      <c r="AJ18" s="93">
        <f t="shared" si="12"/>
        <v>3.2097178783665081E-2</v>
      </c>
      <c r="AL18" s="39">
        <f t="shared" si="13"/>
        <v>2.7712915947119443</v>
      </c>
      <c r="AM18" s="93">
        <v>1.603753842229815</v>
      </c>
      <c r="AN18" s="93">
        <v>0.37014463186933377</v>
      </c>
      <c r="AO18" s="93">
        <v>0.50417456272407901</v>
      </c>
      <c r="AP18" s="93">
        <f t="shared" si="14"/>
        <v>0.87431919459341279</v>
      </c>
      <c r="AQ18" s="106"/>
      <c r="AR18" s="39">
        <f t="shared" si="15"/>
        <v>2.9421782199993585</v>
      </c>
      <c r="AS18" s="93">
        <v>6.5518667041538512</v>
      </c>
      <c r="AT18" s="93">
        <v>0.91544539837139627</v>
      </c>
      <c r="AU18" s="93">
        <v>2.2039888531872305</v>
      </c>
      <c r="AV18" s="93">
        <f t="shared" si="16"/>
        <v>3.1194342515586269</v>
      </c>
      <c r="AW18" s="90" t="str">
        <f t="shared" si="17"/>
        <v>Accommodation and food</v>
      </c>
      <c r="AX18" s="39">
        <f t="shared" si="18"/>
        <v>2.6824624047876666</v>
      </c>
      <c r="AY18" s="11">
        <v>1.5529698962248977</v>
      </c>
      <c r="AZ18" s="93">
        <v>-0.46999464299830562</v>
      </c>
      <c r="BA18" s="93">
        <v>0.47063529840578655</v>
      </c>
      <c r="BB18" s="93">
        <f t="shared" si="19"/>
        <v>6.4065540748092786E-4</v>
      </c>
      <c r="BC18" s="93"/>
      <c r="BD18" s="39">
        <f t="shared" si="20"/>
        <v>2.5523204536911814</v>
      </c>
      <c r="BE18" s="93">
        <v>0.13614442022126955</v>
      </c>
      <c r="BF18" s="93">
        <v>-6.3296157131409597E-2</v>
      </c>
      <c r="BG18" s="93">
        <v>3.9023576340022549E-2</v>
      </c>
      <c r="BH18" s="93">
        <f t="shared" si="21"/>
        <v>-2.4272580791387048E-2</v>
      </c>
      <c r="BJ18" s="39">
        <f t="shared" si="22"/>
        <v>2.6286177015529599</v>
      </c>
      <c r="BK18" s="93">
        <v>0.68908932411816504</v>
      </c>
      <c r="BL18" s="93">
        <v>-0.20218556619821521</v>
      </c>
      <c r="BM18" s="93">
        <v>0.20413453714844726</v>
      </c>
      <c r="BN18" s="93">
        <f t="shared" si="23"/>
        <v>1.948970950232054E-3</v>
      </c>
      <c r="BO18" s="106"/>
      <c r="BP18" s="39">
        <f t="shared" si="24"/>
        <v>2.7572901368161595</v>
      </c>
      <c r="BQ18" s="93">
        <v>0.72773615188546292</v>
      </c>
      <c r="BR18" s="93">
        <v>-0.20451291966868082</v>
      </c>
      <c r="BS18" s="93">
        <v>0.22747718491731678</v>
      </c>
      <c r="BT18" s="93">
        <f t="shared" si="25"/>
        <v>2.2964265248635957E-2</v>
      </c>
      <c r="BU18" s="90" t="str">
        <f t="shared" si="26"/>
        <v>Accommodation and food</v>
      </c>
      <c r="BV18" s="39">
        <f t="shared" si="27"/>
        <v>2.2597619936791435</v>
      </c>
      <c r="BW18" s="11">
        <v>2.763662773835291</v>
      </c>
      <c r="BX18" s="93">
        <v>-0.23042163432403942</v>
      </c>
      <c r="BY18" s="93">
        <v>0.69201169643440363</v>
      </c>
      <c r="BZ18" s="93">
        <f t="shared" si="28"/>
        <v>0.46159006211036424</v>
      </c>
      <c r="CA18" s="93"/>
      <c r="CB18" s="39">
        <f t="shared" si="29"/>
        <v>2.2744187655870496</v>
      </c>
      <c r="CC18" s="93">
        <v>0.53420672462394658</v>
      </c>
      <c r="CD18" s="93">
        <v>-0.18314245506199275</v>
      </c>
      <c r="CE18" s="93">
        <v>0.13472154653176011</v>
      </c>
      <c r="CF18" s="93">
        <f t="shared" si="30"/>
        <v>-4.8420908530232648E-2</v>
      </c>
      <c r="CH18" s="39">
        <f t="shared" si="31"/>
        <v>2.2063029939758838</v>
      </c>
      <c r="CI18" s="93">
        <v>1.9276589348892854</v>
      </c>
      <c r="CJ18" s="93">
        <v>-4.5954991332827419E-2</v>
      </c>
      <c r="CK18" s="93">
        <v>0.47010811803984248</v>
      </c>
      <c r="CL18" s="93">
        <f t="shared" si="32"/>
        <v>0.42415312670701505</v>
      </c>
      <c r="CM18" s="106"/>
      <c r="CN18" s="39">
        <f t="shared" si="33"/>
        <v>2.5701813988873834</v>
      </c>
      <c r="CO18" s="93">
        <v>0.30179711432205908</v>
      </c>
      <c r="CP18" s="93">
        <v>-1.3241879292192368E-3</v>
      </c>
      <c r="CQ18" s="93">
        <v>8.7182031862801102E-2</v>
      </c>
      <c r="CR18" s="93">
        <f t="shared" si="34"/>
        <v>8.5857843933581868E-2</v>
      </c>
      <c r="CS18" s="90" t="str">
        <f t="shared" si="35"/>
        <v>Accommodation and food</v>
      </c>
      <c r="CT18" s="39">
        <f t="shared" si="36"/>
        <v>2.2214077027330692</v>
      </c>
      <c r="CU18" s="11">
        <v>0.21921727124574525</v>
      </c>
      <c r="CV18" s="93">
        <v>-0.15176827717845895</v>
      </c>
      <c r="CW18" s="93">
        <v>5.386489625759925E-2</v>
      </c>
      <c r="CX18" s="93">
        <f t="shared" si="37"/>
        <v>-9.7903380920859706E-2</v>
      </c>
      <c r="CY18" s="93"/>
      <c r="CZ18" s="39">
        <f t="shared" si="38"/>
        <v>2.8636185424038896</v>
      </c>
      <c r="DA18" s="93">
        <v>4.9919460732474302E-2</v>
      </c>
      <c r="DB18" s="93">
        <v>-2.6391300940876338E-2</v>
      </c>
      <c r="DC18" s="93">
        <v>1.6285093241777283E-2</v>
      </c>
      <c r="DD18" s="93">
        <f t="shared" si="39"/>
        <v>-1.0106207699099055E-2</v>
      </c>
      <c r="DF18" s="39">
        <f t="shared" si="40"/>
        <v>2.0249088908695478</v>
      </c>
      <c r="DG18" s="93">
        <v>0.16929781051327095</v>
      </c>
      <c r="DH18" s="93">
        <v>-0.12537697623758262</v>
      </c>
      <c r="DI18" s="93">
        <v>3.7579803015821964E-2</v>
      </c>
      <c r="DJ18" s="93">
        <f t="shared" si="41"/>
        <v>-8.7797173221760658E-2</v>
      </c>
      <c r="DK18" s="106"/>
      <c r="DL18" s="39">
        <f t="shared" si="42"/>
        <v>0</v>
      </c>
      <c r="DM18" s="93">
        <v>0</v>
      </c>
      <c r="DN18" s="93">
        <v>0</v>
      </c>
      <c r="DO18" s="93">
        <v>0</v>
      </c>
      <c r="DP18" s="93">
        <f t="shared" si="43"/>
        <v>0</v>
      </c>
    </row>
    <row r="19" spans="1:120" x14ac:dyDescent="0.2">
      <c r="A19" s="90" t="str">
        <f>name!B15</f>
        <v>Media</v>
      </c>
      <c r="B19" s="39">
        <f t="shared" si="1"/>
        <v>2.650879874909351</v>
      </c>
      <c r="C19" s="11">
        <v>16.661999999999964</v>
      </c>
      <c r="D19" s="93">
        <v>-1.8919999999999957</v>
      </c>
      <c r="E19" s="93">
        <v>4.9828157385534926</v>
      </c>
      <c r="F19" s="93">
        <f t="shared" si="2"/>
        <v>3.0908157385534967</v>
      </c>
      <c r="G19" s="93"/>
      <c r="H19" s="39">
        <f t="shared" si="3"/>
        <v>2.421853726448564</v>
      </c>
      <c r="I19" s="93">
        <v>1.9434405643167627</v>
      </c>
      <c r="J19" s="93">
        <v>-0.90855133713639524</v>
      </c>
      <c r="K19" s="93">
        <v>0.52542579270375545</v>
      </c>
      <c r="L19" s="93">
        <f t="shared" si="4"/>
        <v>-0.3831255444326398</v>
      </c>
      <c r="N19" s="39">
        <f t="shared" si="5"/>
        <v>2.4061732586688978</v>
      </c>
      <c r="O19" s="93">
        <v>7.733476770699653</v>
      </c>
      <c r="P19" s="93">
        <v>-1.0294803032346584</v>
      </c>
      <c r="Q19" s="93">
        <v>2.0757813219951484</v>
      </c>
      <c r="R19" s="93">
        <f t="shared" si="6"/>
        <v>1.04630101876049</v>
      </c>
      <c r="S19" s="106"/>
      <c r="T19" s="39">
        <f t="shared" si="7"/>
        <v>2.9772916903296753</v>
      </c>
      <c r="U19" s="93">
        <v>6.9850826649835493</v>
      </c>
      <c r="V19" s="93">
        <v>4.6031640371057968E-2</v>
      </c>
      <c r="W19" s="93">
        <v>2.3816086238545888</v>
      </c>
      <c r="X19" s="93">
        <f t="shared" si="8"/>
        <v>2.4276402642256469</v>
      </c>
      <c r="Y19" s="90" t="str">
        <f t="shared" si="0"/>
        <v>Media</v>
      </c>
      <c r="Z19" s="39">
        <f t="shared" si="9"/>
        <v>2.9185657815322896</v>
      </c>
      <c r="AA19" s="11">
        <v>8.3794062941985281</v>
      </c>
      <c r="AB19" s="93">
        <v>-0.17587640052692693</v>
      </c>
      <c r="AC19" s="93">
        <v>2.7930973117040807</v>
      </c>
      <c r="AD19" s="93">
        <f t="shared" si="10"/>
        <v>2.6172209111771538</v>
      </c>
      <c r="AE19" s="93"/>
      <c r="AF19" s="39">
        <f t="shared" si="11"/>
        <v>2.7459576371490213</v>
      </c>
      <c r="AG19" s="93">
        <v>0.31243496317011898</v>
      </c>
      <c r="AH19" s="93">
        <v>-0.10738960201360218</v>
      </c>
      <c r="AI19" s="93">
        <v>9.7209482795084096E-2</v>
      </c>
      <c r="AJ19" s="93">
        <f t="shared" si="12"/>
        <v>-1.018011921851808E-2</v>
      </c>
      <c r="AL19" s="39">
        <f t="shared" si="13"/>
        <v>2.6372520747176109</v>
      </c>
      <c r="AM19" s="93">
        <v>2.000766979672798</v>
      </c>
      <c r="AN19" s="93">
        <v>-0.14537129206384908</v>
      </c>
      <c r="AO19" s="93">
        <v>0.59488625177063192</v>
      </c>
      <c r="AP19" s="93">
        <f t="shared" si="14"/>
        <v>0.44951495970678285</v>
      </c>
      <c r="AQ19" s="106"/>
      <c r="AR19" s="39">
        <f t="shared" si="15"/>
        <v>3.0186007978292295</v>
      </c>
      <c r="AS19" s="93">
        <v>6.0662043513556112</v>
      </c>
      <c r="AT19" s="93">
        <v>7.6884493550524291E-2</v>
      </c>
      <c r="AU19" s="93">
        <v>2.1010015771383648</v>
      </c>
      <c r="AV19" s="93">
        <f t="shared" si="16"/>
        <v>2.177886070688889</v>
      </c>
      <c r="AW19" s="90" t="str">
        <f t="shared" si="17"/>
        <v>Media</v>
      </c>
      <c r="AX19" s="39">
        <f t="shared" si="18"/>
        <v>2.6651859485115947</v>
      </c>
      <c r="AY19" s="11">
        <v>1.664971822536162</v>
      </c>
      <c r="AZ19" s="93">
        <v>-0.7022088254799439</v>
      </c>
      <c r="BA19" s="93">
        <v>0.50093050963156127</v>
      </c>
      <c r="BB19" s="93">
        <f t="shared" si="19"/>
        <v>-0.20127831584838263</v>
      </c>
      <c r="BC19" s="93"/>
      <c r="BD19" s="39">
        <f t="shared" si="20"/>
        <v>2.581820000482149</v>
      </c>
      <c r="BE19" s="93">
        <v>0.26372544688368038</v>
      </c>
      <c r="BF19" s="93">
        <v>-0.10831956062703628</v>
      </c>
      <c r="BG19" s="93">
        <v>7.6569920735424277E-2</v>
      </c>
      <c r="BH19" s="93">
        <f t="shared" si="21"/>
        <v>-3.1749639891612003E-2</v>
      </c>
      <c r="BJ19" s="39">
        <f t="shared" si="22"/>
        <v>2.6382225672916038</v>
      </c>
      <c r="BK19" s="93">
        <v>0.90622693590093328</v>
      </c>
      <c r="BL19" s="93">
        <v>-0.31112932759164502</v>
      </c>
      <c r="BM19" s="93">
        <v>0.26955881347514621</v>
      </c>
      <c r="BN19" s="93">
        <f t="shared" si="23"/>
        <v>-4.1570514116498813E-2</v>
      </c>
      <c r="BO19" s="106"/>
      <c r="BP19" s="39">
        <f t="shared" si="24"/>
        <v>2.7583597057282416</v>
      </c>
      <c r="BQ19" s="93">
        <v>0.4950194397515485</v>
      </c>
      <c r="BR19" s="93">
        <v>-0.28275993726126269</v>
      </c>
      <c r="BS19" s="93">
        <v>0.15480177542099077</v>
      </c>
      <c r="BT19" s="93">
        <f t="shared" si="25"/>
        <v>-0.12795816184027192</v>
      </c>
      <c r="BU19" s="90" t="str">
        <f t="shared" si="26"/>
        <v>Media</v>
      </c>
      <c r="BV19" s="39">
        <f t="shared" si="27"/>
        <v>2.301250253200271</v>
      </c>
      <c r="BW19" s="11">
        <v>5.9165033698801821</v>
      </c>
      <c r="BX19" s="93">
        <v>-1.0278366832146471</v>
      </c>
      <c r="BY19" s="93">
        <v>1.5115416978807021</v>
      </c>
      <c r="BZ19" s="93">
        <f t="shared" si="28"/>
        <v>0.48370501466605509</v>
      </c>
      <c r="CA19" s="93"/>
      <c r="CB19" s="39">
        <f t="shared" si="29"/>
        <v>2.3115008885774335</v>
      </c>
      <c r="CC19" s="93">
        <v>1.2498018824231734</v>
      </c>
      <c r="CD19" s="93">
        <v>-0.61465964280907215</v>
      </c>
      <c r="CE19" s="93">
        <v>0.32087094919664594</v>
      </c>
      <c r="CF19" s="93">
        <f t="shared" si="30"/>
        <v>-0.29378869361242621</v>
      </c>
      <c r="CH19" s="39">
        <f t="shared" si="31"/>
        <v>2.2668844506140928</v>
      </c>
      <c r="CI19" s="93">
        <v>4.2539717403366248</v>
      </c>
      <c r="CJ19" s="93">
        <v>-0.61145217832122922</v>
      </c>
      <c r="CK19" s="93">
        <v>1.0688859433031883</v>
      </c>
      <c r="CL19" s="93">
        <f t="shared" si="32"/>
        <v>0.45743376498195909</v>
      </c>
      <c r="CM19" s="106"/>
      <c r="CN19" s="39">
        <f t="shared" si="33"/>
        <v>2.6193775887513038</v>
      </c>
      <c r="CO19" s="93">
        <v>0.41272974712038374</v>
      </c>
      <c r="CP19" s="93">
        <v>0.19827513791565432</v>
      </c>
      <c r="CQ19" s="93">
        <v>0.12178480538086794</v>
      </c>
      <c r="CR19" s="93">
        <f t="shared" si="34"/>
        <v>0.32005994329652226</v>
      </c>
      <c r="CS19" s="90" t="str">
        <f t="shared" si="35"/>
        <v>Media</v>
      </c>
      <c r="CT19" s="39">
        <f t="shared" si="36"/>
        <v>2.2794409399427673</v>
      </c>
      <c r="CU19" s="11">
        <v>0.70111851338509235</v>
      </c>
      <c r="CV19" s="93">
        <v>1.3921909221522149E-2</v>
      </c>
      <c r="CW19" s="93">
        <v>0.17724621933714907</v>
      </c>
      <c r="CX19" s="93">
        <f t="shared" si="37"/>
        <v>0.19116812855867121</v>
      </c>
      <c r="CY19" s="93"/>
      <c r="CZ19" s="39">
        <f t="shared" si="38"/>
        <v>2.3539960057005649</v>
      </c>
      <c r="DA19" s="93">
        <v>0.11747827183979</v>
      </c>
      <c r="DB19" s="93">
        <v>-7.8182531686684584E-2</v>
      </c>
      <c r="DC19" s="93">
        <v>3.0775439976601052E-2</v>
      </c>
      <c r="DD19" s="93">
        <f t="shared" si="39"/>
        <v>-4.7407091710083532E-2</v>
      </c>
      <c r="DF19" s="39">
        <f t="shared" si="40"/>
        <v>2.2468339355165234</v>
      </c>
      <c r="DG19" s="93">
        <v>0.57251111478929684</v>
      </c>
      <c r="DH19" s="93">
        <v>3.8472494742064697E-2</v>
      </c>
      <c r="DI19" s="93">
        <v>0.14245031344618231</v>
      </c>
      <c r="DJ19" s="93">
        <f t="shared" si="41"/>
        <v>0.18092280818824702</v>
      </c>
      <c r="DK19" s="106"/>
      <c r="DL19" s="39">
        <f t="shared" si="42"/>
        <v>3.132129843378717</v>
      </c>
      <c r="DM19" s="93">
        <v>1.1129126756005558E-2</v>
      </c>
      <c r="DN19" s="93">
        <v>5.3631946166142037E-2</v>
      </c>
      <c r="DO19" s="93">
        <v>4.0204659143656838E-3</v>
      </c>
      <c r="DP19" s="93">
        <f t="shared" si="43"/>
        <v>5.7652412080507719E-2</v>
      </c>
    </row>
    <row r="20" spans="1:120" x14ac:dyDescent="0.2">
      <c r="A20" s="90" t="str">
        <f>name!B16</f>
        <v>Information technology</v>
      </c>
      <c r="B20" s="39">
        <f t="shared" si="1"/>
        <v>2.630000270050048</v>
      </c>
      <c r="C20" s="11">
        <v>34.601999999999876</v>
      </c>
      <c r="D20" s="93">
        <v>-3.8549999999999471</v>
      </c>
      <c r="E20" s="93">
        <v>10.256474686233423</v>
      </c>
      <c r="F20" s="93">
        <f t="shared" si="2"/>
        <v>6.4014746862334757</v>
      </c>
      <c r="G20" s="93"/>
      <c r="H20" s="39">
        <f t="shared" si="3"/>
        <v>2.4896239324975644</v>
      </c>
      <c r="I20" s="93">
        <v>6.3842523172142389</v>
      </c>
      <c r="J20" s="93">
        <v>-1.3027470433857931</v>
      </c>
      <c r="K20" s="93">
        <v>1.7798612708286927</v>
      </c>
      <c r="L20" s="93">
        <f t="shared" si="4"/>
        <v>0.47711422744289966</v>
      </c>
      <c r="N20" s="39">
        <f t="shared" si="5"/>
        <v>2.5461854565335118</v>
      </c>
      <c r="O20" s="93">
        <v>18.08880807286123</v>
      </c>
      <c r="P20" s="93">
        <v>-2.1012037936311048</v>
      </c>
      <c r="Q20" s="93">
        <v>5.1709423641740262</v>
      </c>
      <c r="R20" s="93">
        <f t="shared" si="6"/>
        <v>3.0697385705429214</v>
      </c>
      <c r="S20" s="106"/>
      <c r="T20" s="39">
        <f t="shared" si="7"/>
        <v>2.8646399549337564</v>
      </c>
      <c r="U20" s="93">
        <v>10.128939609924409</v>
      </c>
      <c r="V20" s="93">
        <v>-0.45104916298304948</v>
      </c>
      <c r="W20" s="93">
        <v>3.3056710512307044</v>
      </c>
      <c r="X20" s="93">
        <f t="shared" si="8"/>
        <v>2.8546218882476548</v>
      </c>
      <c r="Y20" s="90" t="str">
        <f t="shared" si="0"/>
        <v>Information technology</v>
      </c>
      <c r="Z20" s="39">
        <f t="shared" si="9"/>
        <v>2.8552821094793401</v>
      </c>
      <c r="AA20" s="11">
        <v>13.953182859548033</v>
      </c>
      <c r="AB20" s="93">
        <v>-1.67980428374619</v>
      </c>
      <c r="AC20" s="93">
        <v>4.5369181113981396</v>
      </c>
      <c r="AD20" s="93">
        <f t="shared" si="10"/>
        <v>2.8571138276519497</v>
      </c>
      <c r="AE20" s="93"/>
      <c r="AF20" s="39">
        <f t="shared" si="11"/>
        <v>2.798663449076022</v>
      </c>
      <c r="AG20" s="93">
        <v>1.2847958755225881</v>
      </c>
      <c r="AH20" s="93">
        <v>-0.12384047360641834</v>
      </c>
      <c r="AI20" s="93">
        <v>0.40840629030865233</v>
      </c>
      <c r="AJ20" s="93">
        <f t="shared" si="12"/>
        <v>0.28456581670223402</v>
      </c>
      <c r="AL20" s="39">
        <f t="shared" si="13"/>
        <v>2.7559320611477256</v>
      </c>
      <c r="AM20" s="93">
        <v>4.8268191334861674</v>
      </c>
      <c r="AN20" s="93">
        <v>-0.57107107367591969</v>
      </c>
      <c r="AO20" s="93">
        <v>1.5079392492593697</v>
      </c>
      <c r="AP20" s="93">
        <f t="shared" si="14"/>
        <v>0.93686817558345004</v>
      </c>
      <c r="AQ20" s="106"/>
      <c r="AR20" s="39">
        <f t="shared" si="15"/>
        <v>2.9252105333952505</v>
      </c>
      <c r="AS20" s="93">
        <v>7.8415678505392767</v>
      </c>
      <c r="AT20" s="93">
        <v>-0.98489273646385189</v>
      </c>
      <c r="AU20" s="93">
        <v>2.6205725718301167</v>
      </c>
      <c r="AV20" s="93">
        <f t="shared" si="16"/>
        <v>1.6356798353662647</v>
      </c>
      <c r="AW20" s="90" t="str">
        <f t="shared" si="17"/>
        <v>Information technology</v>
      </c>
      <c r="AX20" s="39">
        <f t="shared" si="18"/>
        <v>2.6748514920266198</v>
      </c>
      <c r="AY20" s="11">
        <v>4.2099312351777032</v>
      </c>
      <c r="AZ20" s="93">
        <v>-0.56161412539516631</v>
      </c>
      <c r="BA20" s="93">
        <v>1.2717759825285015</v>
      </c>
      <c r="BB20" s="93">
        <f t="shared" si="19"/>
        <v>0.71016185713333524</v>
      </c>
      <c r="BC20" s="93"/>
      <c r="BD20" s="39">
        <f t="shared" si="20"/>
        <v>2.5994582145060452</v>
      </c>
      <c r="BE20" s="93">
        <v>0.53565838194452042</v>
      </c>
      <c r="BF20" s="93">
        <v>-7.8618004194655866E-2</v>
      </c>
      <c r="BG20" s="93">
        <v>0.15671215650903289</v>
      </c>
      <c r="BH20" s="93">
        <f t="shared" si="21"/>
        <v>7.8094152314377024E-2</v>
      </c>
      <c r="BJ20" s="39">
        <f t="shared" si="22"/>
        <v>2.6483527756445246</v>
      </c>
      <c r="BK20" s="93">
        <v>2.2560634885597532</v>
      </c>
      <c r="BL20" s="93">
        <v>-0.30542322205299727</v>
      </c>
      <c r="BM20" s="93">
        <v>0.67396040804007895</v>
      </c>
      <c r="BN20" s="93">
        <f t="shared" si="23"/>
        <v>0.36853718598708168</v>
      </c>
      <c r="BO20" s="106"/>
      <c r="BP20" s="39">
        <f t="shared" si="24"/>
        <v>2.7451216362557762</v>
      </c>
      <c r="BQ20" s="93">
        <v>1.4182093646734297</v>
      </c>
      <c r="BR20" s="93">
        <v>-0.17757289914751315</v>
      </c>
      <c r="BS20" s="93">
        <v>0.44110341797938962</v>
      </c>
      <c r="BT20" s="93">
        <f t="shared" si="25"/>
        <v>0.2635305188318765</v>
      </c>
      <c r="BU20" s="90" t="str">
        <f t="shared" si="26"/>
        <v>Information technology</v>
      </c>
      <c r="BV20" s="39">
        <f t="shared" si="27"/>
        <v>2.4242377604531073</v>
      </c>
      <c r="BW20" s="11">
        <v>15.223628532016798</v>
      </c>
      <c r="BX20" s="93">
        <v>-1.9724996964398605</v>
      </c>
      <c r="BY20" s="93">
        <v>4.1203403348407761</v>
      </c>
      <c r="BZ20" s="93">
        <f t="shared" si="28"/>
        <v>2.1478406384009157</v>
      </c>
      <c r="CA20" s="93"/>
      <c r="CB20" s="39">
        <f t="shared" si="29"/>
        <v>2.4043230891266143</v>
      </c>
      <c r="CC20" s="93">
        <v>4.0549670831540263</v>
      </c>
      <c r="CD20" s="93">
        <v>-0.87521384736118646</v>
      </c>
      <c r="CE20" s="93">
        <v>1.0874848929554206</v>
      </c>
      <c r="CF20" s="93">
        <f t="shared" si="30"/>
        <v>0.21227104559423415</v>
      </c>
      <c r="CH20" s="39">
        <f t="shared" si="31"/>
        <v>2.4287404250380895</v>
      </c>
      <c r="CI20" s="93">
        <v>10.383652468950638</v>
      </c>
      <c r="CJ20" s="93">
        <v>-1.3016002996443403</v>
      </c>
      <c r="CK20" s="93">
        <v>2.8161814283025186</v>
      </c>
      <c r="CL20" s="93">
        <f t="shared" si="32"/>
        <v>1.5145811286581783</v>
      </c>
      <c r="CM20" s="106"/>
      <c r="CN20" s="39">
        <f t="shared" si="33"/>
        <v>2.4673648385086233</v>
      </c>
      <c r="CO20" s="93">
        <v>0.78500897991213381</v>
      </c>
      <c r="CP20" s="93">
        <v>0.20431445056566661</v>
      </c>
      <c r="CQ20" s="93">
        <v>0.21667401358283661</v>
      </c>
      <c r="CR20" s="93">
        <f t="shared" si="34"/>
        <v>0.42098846414850322</v>
      </c>
      <c r="CS20" s="90" t="str">
        <f t="shared" si="35"/>
        <v>Information technology</v>
      </c>
      <c r="CT20" s="39">
        <f t="shared" si="36"/>
        <v>2.4144541847002987</v>
      </c>
      <c r="CU20" s="11">
        <v>1.2152573732573435</v>
      </c>
      <c r="CV20" s="93">
        <v>0.35891810558126896</v>
      </c>
      <c r="CW20" s="93">
        <v>0.32744025746600702</v>
      </c>
      <c r="CX20" s="93">
        <f t="shared" si="37"/>
        <v>0.68635836304727604</v>
      </c>
      <c r="CY20" s="93"/>
      <c r="CZ20" s="39">
        <f t="shared" si="38"/>
        <v>2.2573250871402939</v>
      </c>
      <c r="DA20" s="93">
        <v>0.50883097659310417</v>
      </c>
      <c r="DB20" s="93">
        <v>-0.22507471822353237</v>
      </c>
      <c r="DC20" s="93">
        <v>0.12725793105558686</v>
      </c>
      <c r="DD20" s="93">
        <f t="shared" si="39"/>
        <v>-9.7816787167945507E-2</v>
      </c>
      <c r="DF20" s="39">
        <f t="shared" si="40"/>
        <v>2.4816129596337833</v>
      </c>
      <c r="DG20" s="93">
        <v>0.62227298186467062</v>
      </c>
      <c r="DH20" s="93">
        <v>7.6890801742152348E-2</v>
      </c>
      <c r="DI20" s="93">
        <v>0.1728612785720591</v>
      </c>
      <c r="DJ20" s="93">
        <f t="shared" si="41"/>
        <v>0.24975208031421145</v>
      </c>
      <c r="DK20" s="106"/>
      <c r="DL20" s="39">
        <f t="shared" si="42"/>
        <v>2.8514371248256065</v>
      </c>
      <c r="DM20" s="93">
        <v>8.4153414799568824E-2</v>
      </c>
      <c r="DN20" s="93">
        <v>0.50710202206264898</v>
      </c>
      <c r="DO20" s="93">
        <v>2.7321047838361107E-2</v>
      </c>
      <c r="DP20" s="93">
        <f t="shared" si="43"/>
        <v>0.53442306990101007</v>
      </c>
    </row>
    <row r="21" spans="1:120" x14ac:dyDescent="0.2">
      <c r="A21" s="90" t="str">
        <f>name!B17</f>
        <v>Finance and insurance</v>
      </c>
      <c r="B21" s="39">
        <f t="shared" si="1"/>
        <v>2.4812804219719098</v>
      </c>
      <c r="C21" s="11">
        <v>33.322999999999901</v>
      </c>
      <c r="D21" s="93">
        <v>-3.4569999999999741</v>
      </c>
      <c r="E21" s="93">
        <v>9.2554181233713848</v>
      </c>
      <c r="F21" s="93">
        <f t="shared" si="2"/>
        <v>5.7984181233714107</v>
      </c>
      <c r="G21" s="93"/>
      <c r="H21" s="39">
        <f t="shared" si="3"/>
        <v>2.3436986854765918</v>
      </c>
      <c r="I21" s="93">
        <v>7.7779668974735596</v>
      </c>
      <c r="J21" s="93">
        <v>-2.1913610207501648</v>
      </c>
      <c r="K21" s="93">
        <v>2.0277008362964004</v>
      </c>
      <c r="L21" s="93">
        <f t="shared" si="4"/>
        <v>-0.1636601844537644</v>
      </c>
      <c r="N21" s="39">
        <f t="shared" si="5"/>
        <v>2.3961637037624106</v>
      </c>
      <c r="O21" s="93">
        <v>18.946833896500934</v>
      </c>
      <c r="P21" s="93">
        <v>-1.9125527829377933</v>
      </c>
      <c r="Q21" s="93">
        <v>5.0621349318084921</v>
      </c>
      <c r="R21" s="93">
        <f t="shared" si="6"/>
        <v>3.1495821488706985</v>
      </c>
      <c r="S21" s="106"/>
      <c r="T21" s="39">
        <f t="shared" si="7"/>
        <v>2.878971077935244</v>
      </c>
      <c r="U21" s="93">
        <v>6.5981992060254084</v>
      </c>
      <c r="V21" s="93">
        <v>0.64691380368798412</v>
      </c>
      <c r="W21" s="93">
        <v>2.1655823552664915</v>
      </c>
      <c r="X21" s="93">
        <f t="shared" si="8"/>
        <v>2.8124961589544757</v>
      </c>
      <c r="Y21" s="90" t="str">
        <f t="shared" si="0"/>
        <v>Finance and insurance</v>
      </c>
      <c r="Z21" s="39">
        <f t="shared" si="9"/>
        <v>2.798959749955654</v>
      </c>
      <c r="AA21" s="11">
        <v>12.270868694716109</v>
      </c>
      <c r="AB21" s="93">
        <v>2.9764862885854111</v>
      </c>
      <c r="AC21" s="93">
        <v>3.9010857145843958</v>
      </c>
      <c r="AD21" s="93">
        <f t="shared" si="10"/>
        <v>6.8775720031698064</v>
      </c>
      <c r="AE21" s="93"/>
      <c r="AF21" s="39">
        <f t="shared" si="11"/>
        <v>2.7178804906447418</v>
      </c>
      <c r="AG21" s="93">
        <v>1.4082979674661906</v>
      </c>
      <c r="AH21" s="93">
        <v>5.2896058974020416E-2</v>
      </c>
      <c r="AI21" s="93">
        <v>0.43313132387053488</v>
      </c>
      <c r="AJ21" s="93">
        <f t="shared" si="12"/>
        <v>0.48602738284455527</v>
      </c>
      <c r="AL21" s="39">
        <f t="shared" si="13"/>
        <v>2.6905674486324749</v>
      </c>
      <c r="AM21" s="93">
        <v>5.7129298402976092</v>
      </c>
      <c r="AN21" s="93">
        <v>2.2476050941027323</v>
      </c>
      <c r="AO21" s="93">
        <v>1.737210049999393</v>
      </c>
      <c r="AP21" s="93">
        <f t="shared" si="14"/>
        <v>3.9848151441021251</v>
      </c>
      <c r="AQ21" s="106"/>
      <c r="AR21" s="39">
        <f t="shared" si="15"/>
        <v>2.939861842779945</v>
      </c>
      <c r="AS21" s="93">
        <v>5.1496408869523096</v>
      </c>
      <c r="AT21" s="93">
        <v>0.67598513550865802</v>
      </c>
      <c r="AU21" s="93">
        <v>1.7307443407144678</v>
      </c>
      <c r="AV21" s="93">
        <f t="shared" si="16"/>
        <v>2.4067294762231257</v>
      </c>
      <c r="AW21" s="90" t="str">
        <f t="shared" si="17"/>
        <v>Finance and insurance</v>
      </c>
      <c r="AX21" s="39">
        <f t="shared" si="18"/>
        <v>2.6672196716569507</v>
      </c>
      <c r="AY21" s="11">
        <v>3.1291828896233556</v>
      </c>
      <c r="AZ21" s="93">
        <v>4.7662543576286416E-2</v>
      </c>
      <c r="BA21" s="93">
        <v>0.94226572050611046</v>
      </c>
      <c r="BB21" s="93">
        <f t="shared" si="19"/>
        <v>0.98992826408239687</v>
      </c>
      <c r="BC21" s="93"/>
      <c r="BD21" s="39">
        <f t="shared" si="20"/>
        <v>2.6037899995889902</v>
      </c>
      <c r="BE21" s="93">
        <v>0.61592438154919227</v>
      </c>
      <c r="BF21" s="93">
        <v>-3.7382232284277769E-2</v>
      </c>
      <c r="BG21" s="93">
        <v>0.18053095656887813</v>
      </c>
      <c r="BH21" s="93">
        <f t="shared" si="21"/>
        <v>0.14314872428460035</v>
      </c>
      <c r="BJ21" s="39">
        <f t="shared" si="22"/>
        <v>2.6401755891724665</v>
      </c>
      <c r="BK21" s="93">
        <v>1.812577752323878</v>
      </c>
      <c r="BL21" s="93">
        <v>-1.6849737964863366E-2</v>
      </c>
      <c r="BM21" s="93">
        <v>0.53960200635034938</v>
      </c>
      <c r="BN21" s="93">
        <f t="shared" si="23"/>
        <v>0.52275226838548605</v>
      </c>
      <c r="BO21" s="106"/>
      <c r="BP21" s="39">
        <f t="shared" si="24"/>
        <v>2.7920140765933743</v>
      </c>
      <c r="BQ21" s="93">
        <v>0.70068075575028521</v>
      </c>
      <c r="BR21" s="93">
        <v>0.10189451382542755</v>
      </c>
      <c r="BS21" s="93">
        <v>0.22213275758688292</v>
      </c>
      <c r="BT21" s="93">
        <f t="shared" si="25"/>
        <v>0.32402727141231047</v>
      </c>
      <c r="BU21" s="90" t="str">
        <f t="shared" si="26"/>
        <v>Finance and insurance</v>
      </c>
      <c r="BV21" s="39">
        <f t="shared" si="27"/>
        <v>2.2225807612637372</v>
      </c>
      <c r="BW21" s="11">
        <v>17.010496310706994</v>
      </c>
      <c r="BX21" s="93">
        <v>-6.2268929517639569</v>
      </c>
      <c r="BY21" s="93">
        <v>4.1821600833902677</v>
      </c>
      <c r="BZ21" s="93">
        <f t="shared" si="28"/>
        <v>-2.0447328683736892</v>
      </c>
      <c r="CA21" s="93"/>
      <c r="CB21" s="39">
        <f t="shared" si="29"/>
        <v>2.2178133748506523</v>
      </c>
      <c r="CC21" s="93">
        <v>5.361386794682045</v>
      </c>
      <c r="CD21" s="93">
        <v>-2.3999699747148724</v>
      </c>
      <c r="CE21" s="93">
        <v>1.3150232829970165</v>
      </c>
      <c r="CF21" s="93">
        <f t="shared" si="30"/>
        <v>-1.0849466917178558</v>
      </c>
      <c r="CH21" s="39">
        <f t="shared" si="31"/>
        <v>2.2046166739490669</v>
      </c>
      <c r="CI21" s="93">
        <v>10.966559197882978</v>
      </c>
      <c r="CJ21" s="93">
        <v>-3.7501749723874718</v>
      </c>
      <c r="CK21" s="93">
        <v>2.6722208134635381</v>
      </c>
      <c r="CL21" s="93">
        <f t="shared" si="32"/>
        <v>-1.0779541589239336</v>
      </c>
      <c r="CM21" s="106"/>
      <c r="CN21" s="39">
        <f t="shared" si="33"/>
        <v>2.5438402112385017</v>
      </c>
      <c r="CO21" s="93">
        <v>0.68255031814196876</v>
      </c>
      <c r="CP21" s="93">
        <v>-7.6748004661612662E-2</v>
      </c>
      <c r="CQ21" s="93">
        <v>0.19491598692971274</v>
      </c>
      <c r="CR21" s="93">
        <f t="shared" si="34"/>
        <v>0.11816798226810007</v>
      </c>
      <c r="CS21" s="90" t="str">
        <f t="shared" si="35"/>
        <v>Finance and insurance</v>
      </c>
      <c r="CT21" s="39">
        <f t="shared" si="36"/>
        <v>2.2725870846393104</v>
      </c>
      <c r="CU21" s="11">
        <v>0.91245210495344775</v>
      </c>
      <c r="CV21" s="93">
        <v>-0.25425588039771407</v>
      </c>
      <c r="CW21" s="93">
        <v>0.22990660489061099</v>
      </c>
      <c r="CX21" s="93">
        <f t="shared" si="37"/>
        <v>-2.4349275507103085E-2</v>
      </c>
      <c r="CY21" s="93"/>
      <c r="CZ21" s="39">
        <f t="shared" si="38"/>
        <v>2.2758052007650242</v>
      </c>
      <c r="DA21" s="93">
        <v>0.3923577537761323</v>
      </c>
      <c r="DB21" s="93">
        <v>0.19309512727496547</v>
      </c>
      <c r="DC21" s="93">
        <v>9.9015272859970554E-2</v>
      </c>
      <c r="DD21" s="93">
        <f t="shared" si="39"/>
        <v>0.29211040013493605</v>
      </c>
      <c r="DF21" s="39">
        <f t="shared" si="40"/>
        <v>2.2459052950809522</v>
      </c>
      <c r="DG21" s="93">
        <v>0.4547671059964703</v>
      </c>
      <c r="DH21" s="93">
        <v>-0.3931331666881907</v>
      </c>
      <c r="DI21" s="93">
        <v>0.11310206199521274</v>
      </c>
      <c r="DJ21" s="93">
        <f t="shared" si="41"/>
        <v>-0.28003110469297798</v>
      </c>
      <c r="DK21" s="106"/>
      <c r="DL21" s="39">
        <f t="shared" si="42"/>
        <v>2.4375771949586511</v>
      </c>
      <c r="DM21" s="93">
        <v>6.5327245180845164E-2</v>
      </c>
      <c r="DN21" s="93">
        <v>-5.4217840984488806E-2</v>
      </c>
      <c r="DO21" s="93">
        <v>1.7789270035427705E-2</v>
      </c>
      <c r="DP21" s="93">
        <f t="shared" si="43"/>
        <v>-3.6428570949061101E-2</v>
      </c>
    </row>
    <row r="22" spans="1:120" x14ac:dyDescent="0.2">
      <c r="A22" s="90" t="str">
        <f>name!B18</f>
        <v>Real estate</v>
      </c>
      <c r="B22" s="39">
        <f t="shared" si="1"/>
        <v>2.6116897758494684</v>
      </c>
      <c r="C22" s="11">
        <v>6.1683349428474763</v>
      </c>
      <c r="D22" s="93">
        <v>0.196627540592925</v>
      </c>
      <c r="E22" s="93">
        <v>1.8141175570326864</v>
      </c>
      <c r="F22" s="93">
        <f t="shared" si="2"/>
        <v>2.0107450976256116</v>
      </c>
      <c r="G22" s="93"/>
      <c r="H22" s="39">
        <f t="shared" si="3"/>
        <v>2.514226030268718</v>
      </c>
      <c r="I22" s="93">
        <v>1.4414399971181822</v>
      </c>
      <c r="J22" s="93">
        <v>-0.35250015246161959</v>
      </c>
      <c r="K22" s="93">
        <v>0.40628757914793828</v>
      </c>
      <c r="L22" s="93">
        <f t="shared" si="4"/>
        <v>5.3787426686318696E-2</v>
      </c>
      <c r="N22" s="39">
        <f t="shared" si="5"/>
        <v>2.6214470082087438</v>
      </c>
      <c r="O22" s="93">
        <v>2.3753843717507803</v>
      </c>
      <c r="P22" s="93">
        <v>0.12579529520222252</v>
      </c>
      <c r="Q22" s="93">
        <v>0.701528764239294</v>
      </c>
      <c r="R22" s="93">
        <f t="shared" si="6"/>
        <v>0.82732405944151655</v>
      </c>
      <c r="S22" s="106"/>
      <c r="T22" s="39">
        <f t="shared" si="7"/>
        <v>2.6612106513108635</v>
      </c>
      <c r="U22" s="93">
        <v>2.3515105739785147</v>
      </c>
      <c r="V22" s="93">
        <v>0.42333239785232213</v>
      </c>
      <c r="W22" s="93">
        <v>0.70630121364545417</v>
      </c>
      <c r="X22" s="93">
        <f t="shared" si="8"/>
        <v>1.1296336114977763</v>
      </c>
      <c r="Y22" s="90" t="str">
        <f t="shared" si="0"/>
        <v>Real estate</v>
      </c>
      <c r="Z22" s="39">
        <f t="shared" si="9"/>
        <v>2.7183631629002836</v>
      </c>
      <c r="AA22" s="11">
        <v>3.1732901245624543</v>
      </c>
      <c r="AB22" s="93">
        <v>0.6841817025054634</v>
      </c>
      <c r="AC22" s="93">
        <v>0.97616127527036756</v>
      </c>
      <c r="AD22" s="93">
        <f t="shared" si="10"/>
        <v>1.660342977775831</v>
      </c>
      <c r="AE22" s="93"/>
      <c r="AF22" s="39">
        <f t="shared" si="11"/>
        <v>2.6131607505413434</v>
      </c>
      <c r="AG22" s="93">
        <v>0.19250680994422617</v>
      </c>
      <c r="AH22" s="93">
        <v>0.16401414967811412</v>
      </c>
      <c r="AI22" s="93">
        <v>5.6652287723932618E-2</v>
      </c>
      <c r="AJ22" s="93">
        <f t="shared" si="12"/>
        <v>0.22066643740204672</v>
      </c>
      <c r="AL22" s="39">
        <f t="shared" si="13"/>
        <v>2.8445633977957741</v>
      </c>
      <c r="AM22" s="93">
        <v>0.85860730100895899</v>
      </c>
      <c r="AN22" s="93">
        <v>4.2190547756578954E-2</v>
      </c>
      <c r="AO22" s="93">
        <v>0.27799351979985232</v>
      </c>
      <c r="AP22" s="93">
        <f t="shared" si="14"/>
        <v>0.32018406755643125</v>
      </c>
      <c r="AQ22" s="106"/>
      <c r="AR22" s="39">
        <f t="shared" si="15"/>
        <v>2.6764431790775811</v>
      </c>
      <c r="AS22" s="93">
        <v>2.1221760136092689</v>
      </c>
      <c r="AT22" s="93">
        <v>0.47797700507077023</v>
      </c>
      <c r="AU22" s="93">
        <v>0.64151546774658263</v>
      </c>
      <c r="AV22" s="93">
        <f t="shared" si="16"/>
        <v>1.119492472817353</v>
      </c>
      <c r="AW22" s="90" t="str">
        <f t="shared" si="17"/>
        <v>Real estate</v>
      </c>
      <c r="AX22" s="39">
        <f t="shared" si="18"/>
        <v>2.6817205379647824</v>
      </c>
      <c r="AY22" s="11">
        <v>0.48397528340046003</v>
      </c>
      <c r="AZ22" s="93">
        <v>-0.12994053725972496</v>
      </c>
      <c r="BA22" s="93">
        <v>0.14662556967400292</v>
      </c>
      <c r="BB22" s="93">
        <f t="shared" si="19"/>
        <v>1.6685032414277962E-2</v>
      </c>
      <c r="BC22" s="93"/>
      <c r="BD22" s="39">
        <f t="shared" si="20"/>
        <v>2.6291172026759568</v>
      </c>
      <c r="BE22" s="93">
        <v>9.4966037850212306E-2</v>
      </c>
      <c r="BF22" s="93">
        <v>-2.1192060628218386E-2</v>
      </c>
      <c r="BG22" s="93">
        <v>2.8138553500052236E-2</v>
      </c>
      <c r="BH22" s="93">
        <f t="shared" si="21"/>
        <v>6.9464928718338502E-3</v>
      </c>
      <c r="BJ22" s="39">
        <f t="shared" si="22"/>
        <v>2.6564659717416284</v>
      </c>
      <c r="BK22" s="93">
        <v>0.28934641044130943</v>
      </c>
      <c r="BL22" s="93">
        <v>-6.9725317303981571E-2</v>
      </c>
      <c r="BM22" s="93">
        <v>8.6734415154016753E-2</v>
      </c>
      <c r="BN22" s="93">
        <f t="shared" si="23"/>
        <v>1.7009097850035182E-2</v>
      </c>
      <c r="BO22" s="106"/>
      <c r="BP22" s="39">
        <f t="shared" si="24"/>
        <v>2.8043080569318812</v>
      </c>
      <c r="BQ22" s="93">
        <v>9.9662835108938322E-2</v>
      </c>
      <c r="BR22" s="93">
        <v>-3.9023159327524995E-2</v>
      </c>
      <c r="BS22" s="93">
        <v>3.1752601019933914E-2</v>
      </c>
      <c r="BT22" s="93">
        <f t="shared" si="25"/>
        <v>-7.270558307591081E-3</v>
      </c>
      <c r="BU22" s="90" t="str">
        <f t="shared" si="26"/>
        <v>Real estate</v>
      </c>
      <c r="BV22" s="39">
        <f t="shared" si="27"/>
        <v>2.4416221739186561</v>
      </c>
      <c r="BW22" s="11">
        <v>2.2997640416194169</v>
      </c>
      <c r="BX22" s="93">
        <v>-0.8033658212946152</v>
      </c>
      <c r="BY22" s="93">
        <v>0.6274046319250105</v>
      </c>
      <c r="BZ22" s="93">
        <f t="shared" si="28"/>
        <v>-0.1759611893696047</v>
      </c>
      <c r="CA22" s="93"/>
      <c r="CB22" s="39">
        <f t="shared" si="29"/>
        <v>2.4552545911513901</v>
      </c>
      <c r="CC22" s="93">
        <v>1.0388676866360598</v>
      </c>
      <c r="CD22" s="93">
        <v>-0.38022277882383149</v>
      </c>
      <c r="CE22" s="93">
        <v>0.285176888828165</v>
      </c>
      <c r="CF22" s="93">
        <f t="shared" si="30"/>
        <v>-9.5045889995666488E-2</v>
      </c>
      <c r="CH22" s="39">
        <f t="shared" si="31"/>
        <v>2.4368885305120269</v>
      </c>
      <c r="CI22" s="93">
        <v>1.1528693059881228</v>
      </c>
      <c r="CJ22" s="93">
        <v>-0.40179371550567344</v>
      </c>
      <c r="CK22" s="93">
        <v>0.31383937301156528</v>
      </c>
      <c r="CL22" s="93">
        <f t="shared" si="32"/>
        <v>-8.7954342494108162E-2</v>
      </c>
      <c r="CM22" s="106"/>
      <c r="CN22" s="39">
        <f t="shared" si="33"/>
        <v>2.3606641104796822</v>
      </c>
      <c r="CO22" s="93">
        <v>0.10802704899523392</v>
      </c>
      <c r="CP22" s="93">
        <v>-2.134932696511032E-2</v>
      </c>
      <c r="CQ22" s="93">
        <v>2.8388370085280102E-2</v>
      </c>
      <c r="CR22" s="93">
        <f t="shared" si="34"/>
        <v>7.0390431201697821E-3</v>
      </c>
      <c r="CS22" s="90" t="str">
        <f t="shared" si="35"/>
        <v>Real estate</v>
      </c>
      <c r="CT22" s="39">
        <f t="shared" si="36"/>
        <v>2.6783181831917302</v>
      </c>
      <c r="CU22" s="11">
        <v>0.21130549326514642</v>
      </c>
      <c r="CV22" s="93">
        <v>0.44575219664180188</v>
      </c>
      <c r="CW22" s="93">
        <v>6.3926080163305615E-2</v>
      </c>
      <c r="CX22" s="93">
        <f t="shared" si="37"/>
        <v>0.50967827680510747</v>
      </c>
      <c r="CY22" s="93"/>
      <c r="CZ22" s="39">
        <f t="shared" si="38"/>
        <v>2.7805168236047173</v>
      </c>
      <c r="DA22" s="93">
        <v>0.11509946268768383</v>
      </c>
      <c r="DB22" s="93">
        <v>-0.11509946268768383</v>
      </c>
      <c r="DC22" s="93">
        <v>3.6319849095788476E-2</v>
      </c>
      <c r="DD22" s="93">
        <f t="shared" si="39"/>
        <v>-7.8779613591895351E-2</v>
      </c>
      <c r="DF22" s="39">
        <f t="shared" si="40"/>
        <v>2.7210008218849335</v>
      </c>
      <c r="DG22" s="93">
        <v>7.4561354312388889E-2</v>
      </c>
      <c r="DH22" s="93">
        <v>0.55512378025529863</v>
      </c>
      <c r="DI22" s="93">
        <v>2.2961456273859673E-2</v>
      </c>
      <c r="DJ22" s="93">
        <f t="shared" si="41"/>
        <v>0.57808523652915833</v>
      </c>
      <c r="DK22" s="106"/>
      <c r="DL22" s="39">
        <f t="shared" si="42"/>
        <v>1.9631026785993377</v>
      </c>
      <c r="DM22" s="93">
        <v>2.1644676265073697E-2</v>
      </c>
      <c r="DN22" s="93">
        <v>5.7278790741871642E-3</v>
      </c>
      <c r="DO22" s="93">
        <v>4.64477479365746E-3</v>
      </c>
      <c r="DP22" s="93">
        <f t="shared" si="43"/>
        <v>1.0372653867844625E-2</v>
      </c>
    </row>
    <row r="23" spans="1:120" x14ac:dyDescent="0.2">
      <c r="A23" s="90" t="str">
        <f>name!B19</f>
        <v>Professional services</v>
      </c>
      <c r="B23" s="39">
        <f t="shared" si="1"/>
        <v>2.6743157766083714</v>
      </c>
      <c r="C23" s="11">
        <v>38.965266386568921</v>
      </c>
      <c r="D23" s="93">
        <v>11.458986137276469</v>
      </c>
      <c r="E23" s="93">
        <v>11.768350327197798</v>
      </c>
      <c r="F23" s="93">
        <f t="shared" si="2"/>
        <v>23.227336464474266</v>
      </c>
      <c r="G23" s="93"/>
      <c r="H23" s="39">
        <f t="shared" si="3"/>
        <v>2.5161455631662166</v>
      </c>
      <c r="I23" s="93">
        <v>10.746753519096059</v>
      </c>
      <c r="J23" s="93">
        <v>0.60470899426028668</v>
      </c>
      <c r="K23" s="93">
        <v>3.0316842468873038</v>
      </c>
      <c r="L23" s="93">
        <f t="shared" si="4"/>
        <v>3.6363932411475903</v>
      </c>
      <c r="N23" s="39">
        <f t="shared" si="5"/>
        <v>2.6382849635641303</v>
      </c>
      <c r="O23" s="93">
        <v>19.377813500619759</v>
      </c>
      <c r="P23" s="93">
        <v>6.3961252707032488</v>
      </c>
      <c r="Q23" s="93">
        <v>5.7641179254827515</v>
      </c>
      <c r="R23" s="93">
        <f t="shared" si="6"/>
        <v>12.160243196186</v>
      </c>
      <c r="S23" s="106"/>
      <c r="T23" s="39">
        <f t="shared" si="7"/>
        <v>2.9409728215002984</v>
      </c>
      <c r="U23" s="93">
        <v>8.8406993668531033</v>
      </c>
      <c r="V23" s="93">
        <v>4.4581518723129312</v>
      </c>
      <c r="W23" s="93">
        <v>2.972548154827741</v>
      </c>
      <c r="X23" s="93">
        <f t="shared" si="8"/>
        <v>7.4307000271406718</v>
      </c>
      <c r="Y23" s="90" t="str">
        <f t="shared" si="0"/>
        <v>Professional services</v>
      </c>
      <c r="Z23" s="39">
        <f t="shared" si="9"/>
        <v>3.0111146972381153</v>
      </c>
      <c r="AA23" s="11">
        <v>12.983727410431358</v>
      </c>
      <c r="AB23" s="93">
        <v>7.3161535468635082</v>
      </c>
      <c r="AC23" s="93">
        <v>4.4841548751658866</v>
      </c>
      <c r="AD23" s="93">
        <f t="shared" si="10"/>
        <v>11.800308422029396</v>
      </c>
      <c r="AE23" s="93"/>
      <c r="AF23" s="39">
        <f t="shared" si="11"/>
        <v>2.8731628500449968</v>
      </c>
      <c r="AG23" s="93">
        <v>1.9378479390650463</v>
      </c>
      <c r="AH23" s="93">
        <v>1.549926671508655</v>
      </c>
      <c r="AI23" s="93">
        <v>0.63456461426776711</v>
      </c>
      <c r="AJ23" s="93">
        <f t="shared" si="12"/>
        <v>2.184491285776422</v>
      </c>
      <c r="AL23" s="39">
        <f t="shared" si="13"/>
        <v>3.0369546647093459</v>
      </c>
      <c r="AM23" s="93">
        <v>4.9791010176174728</v>
      </c>
      <c r="AN23" s="93">
        <v>2.6541784276946645</v>
      </c>
      <c r="AO23" s="93">
        <v>1.7364411510950009</v>
      </c>
      <c r="AP23" s="93">
        <f t="shared" si="14"/>
        <v>4.3906195787896651</v>
      </c>
      <c r="AQ23" s="106"/>
      <c r="AR23" s="39">
        <f t="shared" si="15"/>
        <v>3.0336611731275553</v>
      </c>
      <c r="AS23" s="93">
        <v>6.0667784537488378</v>
      </c>
      <c r="AT23" s="93">
        <v>3.1120484476601886</v>
      </c>
      <c r="AU23" s="93">
        <v>2.113149109803119</v>
      </c>
      <c r="AV23" s="93">
        <f t="shared" si="16"/>
        <v>5.2251975574633072</v>
      </c>
      <c r="AW23" s="90" t="str">
        <f t="shared" si="17"/>
        <v>Professional services</v>
      </c>
      <c r="AX23" s="39">
        <f t="shared" si="18"/>
        <v>2.6662390167296435</v>
      </c>
      <c r="AY23" s="11">
        <v>4.377709221482184</v>
      </c>
      <c r="AZ23" s="93">
        <v>0.80308463988107726</v>
      </c>
      <c r="BA23" s="93">
        <v>1.3176803910698349</v>
      </c>
      <c r="BB23" s="93">
        <f t="shared" si="19"/>
        <v>2.1207650309509121</v>
      </c>
      <c r="BC23" s="93"/>
      <c r="BD23" s="39">
        <f t="shared" si="20"/>
        <v>2.5700639379084178</v>
      </c>
      <c r="BE23" s="93">
        <v>0.73699369082515398</v>
      </c>
      <c r="BF23" s="93">
        <v>8.1502387714943961E-2</v>
      </c>
      <c r="BG23" s="93">
        <v>0.21288912804948243</v>
      </c>
      <c r="BH23" s="93">
        <f t="shared" si="21"/>
        <v>0.2943915157644264</v>
      </c>
      <c r="BJ23" s="39">
        <f t="shared" si="22"/>
        <v>2.6279165568233287</v>
      </c>
      <c r="BK23" s="93">
        <v>2.307013712695364</v>
      </c>
      <c r="BL23" s="93">
        <v>0.55219489458428639</v>
      </c>
      <c r="BM23" s="93">
        <v>0.6832211463125315</v>
      </c>
      <c r="BN23" s="93">
        <f t="shared" si="23"/>
        <v>1.2354160408968178</v>
      </c>
      <c r="BO23" s="106"/>
      <c r="BP23" s="39">
        <f t="shared" si="24"/>
        <v>2.784722232207959</v>
      </c>
      <c r="BQ23" s="93">
        <v>1.3337018179616666</v>
      </c>
      <c r="BR23" s="93">
        <v>0.16938735758184675</v>
      </c>
      <c r="BS23" s="93">
        <v>0.42157011670782107</v>
      </c>
      <c r="BT23" s="93">
        <f t="shared" si="25"/>
        <v>0.59095747428966783</v>
      </c>
      <c r="BU23" s="90" t="str">
        <f t="shared" si="26"/>
        <v>Professional services</v>
      </c>
      <c r="BV23" s="39">
        <f t="shared" si="27"/>
        <v>2.4703617034511627</v>
      </c>
      <c r="BW23" s="11">
        <v>20.365934087380882</v>
      </c>
      <c r="BX23" s="93">
        <v>2.1048678580900813</v>
      </c>
      <c r="BY23" s="93">
        <v>5.6288985612392128</v>
      </c>
      <c r="BZ23" s="93">
        <f t="shared" si="28"/>
        <v>7.7337664193292941</v>
      </c>
      <c r="CA23" s="93"/>
      <c r="CB23" s="39">
        <f t="shared" si="29"/>
        <v>2.4286762007679874</v>
      </c>
      <c r="CC23" s="93">
        <v>7.4477312798356223</v>
      </c>
      <c r="CD23" s="93">
        <v>-0.68225133953011141</v>
      </c>
      <c r="CE23" s="93">
        <v>2.0198621022347334</v>
      </c>
      <c r="CF23" s="93">
        <f t="shared" si="30"/>
        <v>1.3376107627046219</v>
      </c>
      <c r="CH23" s="39">
        <f t="shared" si="31"/>
        <v>2.4720591117074919</v>
      </c>
      <c r="CI23" s="93">
        <v>11.586627461599615</v>
      </c>
      <c r="CJ23" s="93">
        <v>1.943280535192967</v>
      </c>
      <c r="CK23" s="93">
        <v>3.2048540580010663</v>
      </c>
      <c r="CL23" s="93">
        <f t="shared" si="32"/>
        <v>5.1481345931940332</v>
      </c>
      <c r="CM23" s="106"/>
      <c r="CN23" s="39">
        <f t="shared" si="33"/>
        <v>2.6862600536722958</v>
      </c>
      <c r="CO23" s="93">
        <v>1.3315753459456456</v>
      </c>
      <c r="CP23" s="93">
        <v>0.84383866242722605</v>
      </c>
      <c r="CQ23" s="93">
        <v>0.40418240100341252</v>
      </c>
      <c r="CR23" s="93">
        <f t="shared" si="34"/>
        <v>1.2480210634306386</v>
      </c>
      <c r="CS23" s="90" t="str">
        <f t="shared" si="35"/>
        <v>Professional services</v>
      </c>
      <c r="CT23" s="39">
        <f t="shared" si="36"/>
        <v>2.4409911721383182</v>
      </c>
      <c r="CU23" s="11">
        <v>1.2378956672744925</v>
      </c>
      <c r="CV23" s="93">
        <v>1.2348800924418006</v>
      </c>
      <c r="CW23" s="93">
        <v>0.33761649972286273</v>
      </c>
      <c r="CX23" s="93">
        <f t="shared" si="37"/>
        <v>1.5724965921646634</v>
      </c>
      <c r="CY23" s="93"/>
      <c r="CZ23" s="39">
        <f t="shared" si="38"/>
        <v>2.365082760893733</v>
      </c>
      <c r="DA23" s="93">
        <v>0.62418060937023667</v>
      </c>
      <c r="DB23" s="93">
        <v>-0.34446872543320101</v>
      </c>
      <c r="DC23" s="93">
        <v>0.16436840233532063</v>
      </c>
      <c r="DD23" s="93">
        <f t="shared" si="39"/>
        <v>-0.18010032309788038</v>
      </c>
      <c r="DF23" s="39">
        <f t="shared" si="40"/>
        <v>2.4704563056764162</v>
      </c>
      <c r="DG23" s="93">
        <v>0.50507130870730466</v>
      </c>
      <c r="DH23" s="93">
        <v>1.2464714132313313</v>
      </c>
      <c r="DI23" s="93">
        <v>0.13960157007415316</v>
      </c>
      <c r="DJ23" s="93">
        <f t="shared" si="41"/>
        <v>1.3860729833054843</v>
      </c>
      <c r="DK23" s="106"/>
      <c r="DL23" s="39">
        <f t="shared" si="42"/>
        <v>2.7346741769566751</v>
      </c>
      <c r="DM23" s="93">
        <v>0.10864374919695106</v>
      </c>
      <c r="DN23" s="93">
        <v>0.33287740464367022</v>
      </c>
      <c r="DO23" s="93">
        <v>3.3646527313388873E-2</v>
      </c>
      <c r="DP23" s="93">
        <f t="shared" si="43"/>
        <v>0.36652393195705907</v>
      </c>
    </row>
    <row r="24" spans="1:120" x14ac:dyDescent="0.2">
      <c r="A24" s="90" t="str">
        <f>name!B20</f>
        <v>Support services</v>
      </c>
      <c r="B24" s="39">
        <f t="shared" si="1"/>
        <v>2.784566936730104</v>
      </c>
      <c r="C24" s="11">
        <v>18.720999999999954</v>
      </c>
      <c r="D24" s="93">
        <v>-3.057999999999971</v>
      </c>
      <c r="E24" s="93">
        <v>5.9171529721011353</v>
      </c>
      <c r="F24" s="93">
        <f t="shared" si="2"/>
        <v>2.8591529721011644</v>
      </c>
      <c r="G24" s="93"/>
      <c r="H24" s="39">
        <f t="shared" si="3"/>
        <v>2.6966927781337358</v>
      </c>
      <c r="I24" s="93">
        <v>1.8191700717908714</v>
      </c>
      <c r="J24" s="93">
        <v>6.4644504245958259E-2</v>
      </c>
      <c r="K24" s="93">
        <v>0.55459579978511464</v>
      </c>
      <c r="L24" s="93">
        <f t="shared" si="4"/>
        <v>0.61924030403107289</v>
      </c>
      <c r="N24" s="39">
        <f t="shared" si="5"/>
        <v>2.6438542588397285</v>
      </c>
      <c r="O24" s="93">
        <v>7.3253420053436527</v>
      </c>
      <c r="P24" s="93">
        <v>-2.4007825753231029</v>
      </c>
      <c r="Q24" s="93">
        <v>2.1841522273672624</v>
      </c>
      <c r="R24" s="93">
        <f t="shared" si="6"/>
        <v>-0.21663034795584046</v>
      </c>
      <c r="S24" s="106"/>
      <c r="T24" s="39">
        <f t="shared" si="7"/>
        <v>2.9075064601009837</v>
      </c>
      <c r="U24" s="93">
        <v>9.5764879228654252</v>
      </c>
      <c r="V24" s="93">
        <v>-0.72186192892282663</v>
      </c>
      <c r="W24" s="93">
        <v>3.1784049449487575</v>
      </c>
      <c r="X24" s="93">
        <f t="shared" si="8"/>
        <v>2.4565430160259307</v>
      </c>
      <c r="Y24" s="90" t="str">
        <f t="shared" si="0"/>
        <v>Support services</v>
      </c>
      <c r="Z24" s="39">
        <f t="shared" si="9"/>
        <v>2.8851376822058405</v>
      </c>
      <c r="AA24" s="11">
        <v>10.861879630593116</v>
      </c>
      <c r="AB24" s="93">
        <v>-1.2989925832272919</v>
      </c>
      <c r="AC24" s="93">
        <v>3.5736065944117534</v>
      </c>
      <c r="AD24" s="93">
        <f t="shared" si="10"/>
        <v>2.2746140111844615</v>
      </c>
      <c r="AE24" s="93"/>
      <c r="AF24" s="39">
        <f t="shared" si="11"/>
        <v>2.8363041726111371</v>
      </c>
      <c r="AG24" s="93">
        <v>0.7258796023165236</v>
      </c>
      <c r="AH24" s="93">
        <v>0.20317213116103808</v>
      </c>
      <c r="AI24" s="93">
        <v>0.23424852857398526</v>
      </c>
      <c r="AJ24" s="93">
        <f t="shared" si="12"/>
        <v>0.43742065973502331</v>
      </c>
      <c r="AL24" s="39">
        <f t="shared" si="13"/>
        <v>2.7318188913306285</v>
      </c>
      <c r="AM24" s="93">
        <v>2.8702469151779071</v>
      </c>
      <c r="AN24" s="93">
        <v>-1.1155443530893807</v>
      </c>
      <c r="AO24" s="93">
        <v>0.88785915434127438</v>
      </c>
      <c r="AP24" s="93">
        <f t="shared" si="14"/>
        <v>-0.22768519874810633</v>
      </c>
      <c r="AQ24" s="106"/>
      <c r="AR24" s="39">
        <f t="shared" si="15"/>
        <v>2.949983891234198</v>
      </c>
      <c r="AS24" s="93">
        <v>7.2657531130986843</v>
      </c>
      <c r="AT24" s="93">
        <v>-0.38662036129894933</v>
      </c>
      <c r="AU24" s="93">
        <v>2.4514989114964938</v>
      </c>
      <c r="AV24" s="93">
        <f t="shared" si="16"/>
        <v>2.0648785501975446</v>
      </c>
      <c r="AW24" s="90" t="str">
        <f t="shared" si="17"/>
        <v>Support services</v>
      </c>
      <c r="AX24" s="39">
        <f t="shared" si="18"/>
        <v>2.6712682976482327</v>
      </c>
      <c r="AY24" s="11">
        <v>4.6040936604188767</v>
      </c>
      <c r="AZ24" s="93">
        <v>-0.6550004254648718</v>
      </c>
      <c r="BA24" s="93">
        <v>1.3887564948003865</v>
      </c>
      <c r="BB24" s="93">
        <f t="shared" si="19"/>
        <v>0.73375606933551474</v>
      </c>
      <c r="BC24" s="93"/>
      <c r="BD24" s="39">
        <f t="shared" si="20"/>
        <v>2.5535596624300272</v>
      </c>
      <c r="BE24" s="93">
        <v>0.37306162643140794</v>
      </c>
      <c r="BF24" s="93">
        <v>1.7209773799081063E-3</v>
      </c>
      <c r="BG24" s="93">
        <v>0.10699003130978606</v>
      </c>
      <c r="BH24" s="93">
        <f t="shared" si="21"/>
        <v>0.10871100868969416</v>
      </c>
      <c r="BJ24" s="39">
        <f t="shared" si="22"/>
        <v>2.6033003151062717</v>
      </c>
      <c r="BK24" s="93">
        <v>2.3193614224732308</v>
      </c>
      <c r="BL24" s="93">
        <v>-0.3840544144532913</v>
      </c>
      <c r="BM24" s="93">
        <v>0.67967495424035318</v>
      </c>
      <c r="BN24" s="93">
        <f t="shared" si="23"/>
        <v>0.29562053978706188</v>
      </c>
      <c r="BO24" s="106"/>
      <c r="BP24" s="39">
        <f t="shared" si="24"/>
        <v>2.7758580766296781</v>
      </c>
      <c r="BQ24" s="93">
        <v>1.9116706115142377</v>
      </c>
      <c r="BR24" s="93">
        <v>-0.27266698839148851</v>
      </c>
      <c r="BS24" s="93">
        <v>0.60209150925024713</v>
      </c>
      <c r="BT24" s="93">
        <f t="shared" si="25"/>
        <v>0.32942452085875862</v>
      </c>
      <c r="BU24" s="90" t="str">
        <f t="shared" si="26"/>
        <v>Support services</v>
      </c>
      <c r="BV24" s="39">
        <f t="shared" si="27"/>
        <v>2.5698479897015236</v>
      </c>
      <c r="BW24" s="11">
        <v>2.8786585131525628</v>
      </c>
      <c r="BX24" s="93">
        <v>-1.0291019906527104</v>
      </c>
      <c r="BY24" s="93">
        <v>0.83145560121971473</v>
      </c>
      <c r="BZ24" s="93">
        <f t="shared" si="28"/>
        <v>-0.19764638943299562</v>
      </c>
      <c r="CA24" s="93"/>
      <c r="CB24" s="39">
        <f t="shared" si="29"/>
        <v>2.5646022644531197</v>
      </c>
      <c r="CC24" s="93">
        <v>0.59910933522220677</v>
      </c>
      <c r="CD24" s="93">
        <v>-0.12449271037143683</v>
      </c>
      <c r="CE24" s="93">
        <v>0.17264857384459545</v>
      </c>
      <c r="CF24" s="93">
        <f t="shared" si="30"/>
        <v>4.8155863473158617E-2</v>
      </c>
      <c r="CH24" s="39">
        <f t="shared" si="31"/>
        <v>2.551043008047893</v>
      </c>
      <c r="CI24" s="93">
        <v>1.9475203609870202</v>
      </c>
      <c r="CJ24" s="93">
        <v>-0.84938831927492153</v>
      </c>
      <c r="CK24" s="93">
        <v>0.55791281892363431</v>
      </c>
      <c r="CL24" s="93">
        <f t="shared" si="32"/>
        <v>-0.29147550035128722</v>
      </c>
      <c r="CM24" s="106"/>
      <c r="CN24" s="39">
        <f t="shared" si="33"/>
        <v>2.6888973859664045</v>
      </c>
      <c r="CO24" s="93">
        <v>0.33202881694333602</v>
      </c>
      <c r="CP24" s="93">
        <v>-5.5220961006352098E-2</v>
      </c>
      <c r="CQ24" s="93">
        <v>0.10089420845148493</v>
      </c>
      <c r="CR24" s="93">
        <f t="shared" si="34"/>
        <v>4.5673247445132834E-2</v>
      </c>
      <c r="CS24" s="90" t="str">
        <f t="shared" si="35"/>
        <v>Support services</v>
      </c>
      <c r="CT24" s="39">
        <f t="shared" si="36"/>
        <v>2.8750024457964374</v>
      </c>
      <c r="CU24" s="11">
        <v>0.37636819583539599</v>
      </c>
      <c r="CV24" s="93">
        <v>-7.4905000655096768E-2</v>
      </c>
      <c r="CW24" s="93">
        <v>0.12333428166928057</v>
      </c>
      <c r="CX24" s="93">
        <f t="shared" si="37"/>
        <v>4.8429281014183798E-2</v>
      </c>
      <c r="CY24" s="93"/>
      <c r="CZ24" s="39">
        <f t="shared" si="38"/>
        <v>2.9399620026260287</v>
      </c>
      <c r="DA24" s="93">
        <v>0.12111950782073322</v>
      </c>
      <c r="DB24" s="93">
        <v>-1.5755893923551086E-2</v>
      </c>
      <c r="DC24" s="93">
        <v>4.0708666056747972E-2</v>
      </c>
      <c r="DD24" s="93">
        <f t="shared" si="39"/>
        <v>2.4952772133196886E-2</v>
      </c>
      <c r="DF24" s="39">
        <f t="shared" si="40"/>
        <v>2.7520154670829022</v>
      </c>
      <c r="DG24" s="93">
        <v>0.18821330670549469</v>
      </c>
      <c r="DH24" s="93">
        <v>-5.1795488505508955E-2</v>
      </c>
      <c r="DI24" s="93">
        <v>5.8705299862000827E-2</v>
      </c>
      <c r="DJ24" s="93">
        <f t="shared" si="41"/>
        <v>6.9098113564918726E-3</v>
      </c>
      <c r="DK24" s="106"/>
      <c r="DL24" s="39">
        <f t="shared" si="42"/>
        <v>3.0985559180604971</v>
      </c>
      <c r="DM24" s="93">
        <v>6.7035381309168043E-2</v>
      </c>
      <c r="DN24" s="93">
        <v>-7.3536182260367233E-3</v>
      </c>
      <c r="DO24" s="93">
        <v>2.3920315750531766E-2</v>
      </c>
      <c r="DP24" s="93">
        <f t="shared" si="43"/>
        <v>1.6566697524495043E-2</v>
      </c>
    </row>
    <row r="25" spans="1:120" x14ac:dyDescent="0.2">
      <c r="A25" s="90" t="str">
        <f>name!B21</f>
        <v>Public admin. and defence</v>
      </c>
      <c r="B25" s="39">
        <f t="shared" si="1"/>
        <v>2.7845669367305037</v>
      </c>
      <c r="C25" s="11">
        <v>1.4539999999999971</v>
      </c>
      <c r="D25" s="93">
        <v>0.21500000000000094</v>
      </c>
      <c r="E25" s="93">
        <v>0.45956628499740532</v>
      </c>
      <c r="F25" s="93">
        <f t="shared" si="2"/>
        <v>0.67456628499740623</v>
      </c>
      <c r="G25" s="93"/>
      <c r="H25" s="39">
        <f t="shared" si="3"/>
        <v>2.6966927781336025</v>
      </c>
      <c r="I25" s="93">
        <v>0.14128910231210851</v>
      </c>
      <c r="J25" s="93">
        <v>5.9444251924195786E-2</v>
      </c>
      <c r="K25" s="93">
        <v>4.3073676239935618E-2</v>
      </c>
      <c r="L25" s="93">
        <f t="shared" si="4"/>
        <v>0.10251792816413141</v>
      </c>
      <c r="N25" s="39">
        <f t="shared" si="5"/>
        <v>2.6438542588399061</v>
      </c>
      <c r="O25" s="93">
        <v>0.56893580875873839</v>
      </c>
      <c r="P25" s="93">
        <v>-4.4190249880834614E-2</v>
      </c>
      <c r="Q25" s="93">
        <v>0.1696360952189005</v>
      </c>
      <c r="R25" s="93">
        <f t="shared" si="6"/>
        <v>0.12544584533806588</v>
      </c>
      <c r="S25" s="106"/>
      <c r="T25" s="39">
        <f t="shared" si="7"/>
        <v>2.9075064601016942</v>
      </c>
      <c r="U25" s="93">
        <v>0.74377508892915023</v>
      </c>
      <c r="V25" s="93">
        <v>0.1997459979566398</v>
      </c>
      <c r="W25" s="93">
        <v>0.24685651353856922</v>
      </c>
      <c r="X25" s="93">
        <f t="shared" si="8"/>
        <v>0.44660251149520902</v>
      </c>
      <c r="Y25" s="90" t="str">
        <f t="shared" si="0"/>
        <v>Public admin. and defence</v>
      </c>
      <c r="Z25" s="39">
        <f t="shared" si="9"/>
        <v>2.8851376822067953</v>
      </c>
      <c r="AA25" s="11">
        <v>0.84360733843630331</v>
      </c>
      <c r="AB25" s="93">
        <v>0.17538381792273638</v>
      </c>
      <c r="AC25" s="93">
        <v>0.27755055757017433</v>
      </c>
      <c r="AD25" s="93">
        <f t="shared" si="10"/>
        <v>0.45293437549291071</v>
      </c>
      <c r="AE25" s="93"/>
      <c r="AF25" s="39">
        <f t="shared" si="11"/>
        <v>2.8363041726107818</v>
      </c>
      <c r="AG25" s="93">
        <v>5.6376739584906382E-2</v>
      </c>
      <c r="AH25" s="93">
        <v>4.262009008845738E-2</v>
      </c>
      <c r="AI25" s="93">
        <v>1.819333158200891E-2</v>
      </c>
      <c r="AJ25" s="93">
        <f t="shared" si="12"/>
        <v>6.0813421670466286E-2</v>
      </c>
      <c r="AL25" s="39">
        <f t="shared" si="13"/>
        <v>2.7318188913314945</v>
      </c>
      <c r="AM25" s="93">
        <v>0.2229228681509284</v>
      </c>
      <c r="AN25" s="93">
        <v>-3.594728389981916E-2</v>
      </c>
      <c r="AO25" s="93">
        <v>6.895717164724055E-2</v>
      </c>
      <c r="AP25" s="93">
        <f t="shared" si="14"/>
        <v>3.300988774742139E-2</v>
      </c>
      <c r="AQ25" s="106"/>
      <c r="AR25" s="39">
        <f t="shared" si="15"/>
        <v>2.9499838912350862</v>
      </c>
      <c r="AS25" s="93">
        <v>0.56430773070046847</v>
      </c>
      <c r="AT25" s="93">
        <v>0.16871101173409817</v>
      </c>
      <c r="AU25" s="93">
        <v>0.1904000543409248</v>
      </c>
      <c r="AV25" s="93">
        <f t="shared" si="16"/>
        <v>0.35911106607502297</v>
      </c>
      <c r="AW25" s="90" t="str">
        <f t="shared" si="17"/>
        <v>Public admin. and defence</v>
      </c>
      <c r="AX25" s="39">
        <f t="shared" si="18"/>
        <v>2.6712682976481661</v>
      </c>
      <c r="AY25" s="11">
        <v>0.35758518146798612</v>
      </c>
      <c r="AZ25" s="93">
        <v>6.3217768742032318E-2</v>
      </c>
      <c r="BA25" s="93">
        <v>0.10786026085378261</v>
      </c>
      <c r="BB25" s="93">
        <f t="shared" si="19"/>
        <v>0.17107802959581492</v>
      </c>
      <c r="BC25" s="93"/>
      <c r="BD25" s="39">
        <f t="shared" si="20"/>
        <v>2.5535596624299828</v>
      </c>
      <c r="BE25" s="93">
        <v>2.8974499483491539E-2</v>
      </c>
      <c r="BF25" s="93">
        <v>1.0961155611916022E-2</v>
      </c>
      <c r="BG25" s="93">
        <v>8.3095724333202906E-3</v>
      </c>
      <c r="BH25" s="93">
        <f t="shared" si="21"/>
        <v>1.9270728045236312E-2</v>
      </c>
      <c r="BJ25" s="39">
        <f t="shared" si="22"/>
        <v>2.6033003151064049</v>
      </c>
      <c r="BK25" s="93">
        <v>0.18013735955834875</v>
      </c>
      <c r="BL25" s="93">
        <v>2.6082866221255052E-2</v>
      </c>
      <c r="BM25" s="93">
        <v>5.2788172825711882E-2</v>
      </c>
      <c r="BN25" s="93">
        <f t="shared" si="23"/>
        <v>7.8871039046966934E-2</v>
      </c>
      <c r="BO25" s="106"/>
      <c r="BP25" s="39">
        <f t="shared" si="24"/>
        <v>2.7758580766297891</v>
      </c>
      <c r="BQ25" s="93">
        <v>0.1484733224261458</v>
      </c>
      <c r="BR25" s="93">
        <v>2.6173746908861251E-2</v>
      </c>
      <c r="BS25" s="93">
        <v>4.6762515594750455E-2</v>
      </c>
      <c r="BT25" s="93">
        <f t="shared" si="25"/>
        <v>7.293626250361171E-2</v>
      </c>
      <c r="BU25" s="90" t="str">
        <f t="shared" si="26"/>
        <v>Public admin. and defence</v>
      </c>
      <c r="BV25" s="39">
        <f t="shared" si="27"/>
        <v>2.5698479897014792</v>
      </c>
      <c r="BW25" s="11">
        <v>0.22357616997639901</v>
      </c>
      <c r="BX25" s="93">
        <v>-2.6493246139725597E-2</v>
      </c>
      <c r="BY25" s="93">
        <v>6.4576488658442441E-2</v>
      </c>
      <c r="BZ25" s="93">
        <f t="shared" si="28"/>
        <v>3.8083242518716844E-2</v>
      </c>
      <c r="CA25" s="93"/>
      <c r="CB25" s="39">
        <f t="shared" si="29"/>
        <v>2.5646022644530531</v>
      </c>
      <c r="CC25" s="93">
        <v>4.6530899706966611E-2</v>
      </c>
      <c r="CD25" s="93">
        <v>4.0427545658888358E-3</v>
      </c>
      <c r="CE25" s="93">
        <v>1.3409060753716812E-2</v>
      </c>
      <c r="CF25" s="93">
        <f t="shared" si="30"/>
        <v>1.7451815319605646E-2</v>
      </c>
      <c r="CH25" s="39">
        <f t="shared" si="31"/>
        <v>2.5510430080478264</v>
      </c>
      <c r="CI25" s="93">
        <v>0.1512576574370198</v>
      </c>
      <c r="CJ25" s="93">
        <v>-3.4244162090111052E-2</v>
      </c>
      <c r="CK25" s="93">
        <v>4.3331298473152743E-2</v>
      </c>
      <c r="CL25" s="93">
        <f t="shared" si="32"/>
        <v>9.0871363830416912E-3</v>
      </c>
      <c r="CM25" s="106"/>
      <c r="CN25" s="39">
        <f t="shared" si="33"/>
        <v>2.6888973859667598</v>
      </c>
      <c r="CO25" s="93">
        <v>2.5787612832412595E-2</v>
      </c>
      <c r="CP25" s="93">
        <v>3.7081613844966248E-3</v>
      </c>
      <c r="CQ25" s="93">
        <v>7.836129431572891E-3</v>
      </c>
      <c r="CR25" s="93">
        <f t="shared" si="34"/>
        <v>1.1544290816069516E-2</v>
      </c>
      <c r="CS25" s="90" t="str">
        <f t="shared" si="35"/>
        <v>Public admin. and defence</v>
      </c>
      <c r="CT25" s="39">
        <f t="shared" si="36"/>
        <v>2.8750024457971257</v>
      </c>
      <c r="CU25" s="11">
        <v>2.9231310119308785E-2</v>
      </c>
      <c r="CV25" s="93">
        <v>2.8916594749578122E-3</v>
      </c>
      <c r="CW25" s="93">
        <v>9.578977915005971E-3</v>
      </c>
      <c r="CX25" s="93">
        <f t="shared" si="37"/>
        <v>1.2470637389963783E-2</v>
      </c>
      <c r="CY25" s="93"/>
      <c r="CZ25" s="39">
        <f t="shared" si="38"/>
        <v>2.9399620026260287</v>
      </c>
      <c r="DA25" s="93">
        <v>9.4069635367439817E-3</v>
      </c>
      <c r="DB25" s="93">
        <v>1.8202516579335466E-3</v>
      </c>
      <c r="DC25" s="93">
        <v>3.1617114708896062E-3</v>
      </c>
      <c r="DD25" s="93">
        <f t="shared" si="39"/>
        <v>4.9819631288231525E-3</v>
      </c>
      <c r="DF25" s="39">
        <f t="shared" si="40"/>
        <v>2.7520154670842789</v>
      </c>
      <c r="DG25" s="93">
        <v>1.4617923612441512E-2</v>
      </c>
      <c r="DH25" s="93">
        <v>-8.1670112159448079E-5</v>
      </c>
      <c r="DI25" s="93">
        <v>4.5594522727953144E-3</v>
      </c>
      <c r="DJ25" s="93">
        <f t="shared" si="41"/>
        <v>4.4777821606358662E-3</v>
      </c>
      <c r="DK25" s="106"/>
      <c r="DL25" s="39">
        <f t="shared" si="42"/>
        <v>3.0985559180585875</v>
      </c>
      <c r="DM25" s="93">
        <v>5.2064229701232886E-3</v>
      </c>
      <c r="DN25" s="93">
        <v>1.1530779291837137E-3</v>
      </c>
      <c r="DO25" s="93">
        <v>1.8578141713210513E-3</v>
      </c>
      <c r="DP25" s="93">
        <f t="shared" si="43"/>
        <v>3.0108921005047649E-3</v>
      </c>
    </row>
    <row r="26" spans="1:120" x14ac:dyDescent="0.2">
      <c r="A26" s="90" t="str">
        <f>name!B22</f>
        <v>Education</v>
      </c>
      <c r="B26" s="39">
        <f t="shared" si="1"/>
        <v>2.7941946420653396</v>
      </c>
      <c r="C26" s="11">
        <v>27.519999999999932</v>
      </c>
      <c r="D26" s="93">
        <v>5.4400000000000306</v>
      </c>
      <c r="E26" s="93">
        <v>8.7321954612186001</v>
      </c>
      <c r="F26" s="93">
        <f t="shared" si="2"/>
        <v>14.172195461218632</v>
      </c>
      <c r="G26" s="93"/>
      <c r="H26" s="39">
        <f t="shared" si="3"/>
        <v>2.7029013910380817</v>
      </c>
      <c r="I26" s="93">
        <v>4.1940595367848887</v>
      </c>
      <c r="J26" s="93">
        <v>0.48827775119455635</v>
      </c>
      <c r="K26" s="93">
        <v>1.2819187642232284</v>
      </c>
      <c r="L26" s="93">
        <f t="shared" si="4"/>
        <v>1.7701965154177848</v>
      </c>
      <c r="N26" s="39">
        <f t="shared" si="5"/>
        <v>2.6641720196424856</v>
      </c>
      <c r="O26" s="93">
        <v>13.503625138933433</v>
      </c>
      <c r="P26" s="93">
        <v>0.84821921937760381</v>
      </c>
      <c r="Q26" s="93">
        <v>4.0610233469695309</v>
      </c>
      <c r="R26" s="93">
        <f t="shared" si="6"/>
        <v>4.9092425663471344</v>
      </c>
      <c r="S26" s="106"/>
      <c r="T26" s="39">
        <f t="shared" si="7"/>
        <v>3.008734431358584</v>
      </c>
      <c r="U26" s="93">
        <v>9.822315324281611</v>
      </c>
      <c r="V26" s="93">
        <v>4.1035030294278707</v>
      </c>
      <c r="W26" s="93">
        <v>3.3892533500258399</v>
      </c>
      <c r="X26" s="93">
        <f t="shared" si="8"/>
        <v>7.4927563794537111</v>
      </c>
      <c r="Y26" s="90" t="str">
        <f t="shared" si="0"/>
        <v>Education</v>
      </c>
      <c r="Z26" s="39">
        <f t="shared" si="9"/>
        <v>2.9117760664267189</v>
      </c>
      <c r="AA26" s="11">
        <v>12.395569669075353</v>
      </c>
      <c r="AB26" s="93">
        <v>5.0801062397678249</v>
      </c>
      <c r="AC26" s="93">
        <v>4.1209000120001473</v>
      </c>
      <c r="AD26" s="93">
        <f t="shared" si="10"/>
        <v>9.2010062517679714</v>
      </c>
      <c r="AE26" s="93"/>
      <c r="AF26" s="39">
        <f t="shared" si="11"/>
        <v>2.5937636321570645</v>
      </c>
      <c r="AG26" s="93">
        <v>0.81258397047140074</v>
      </c>
      <c r="AH26" s="93">
        <v>0.63966731573933144</v>
      </c>
      <c r="AI26" s="93">
        <v>0.23714666545277929</v>
      </c>
      <c r="AJ26" s="93">
        <f t="shared" si="12"/>
        <v>0.87681398119211074</v>
      </c>
      <c r="AL26" s="39">
        <f t="shared" si="13"/>
        <v>2.6939990649745837</v>
      </c>
      <c r="AM26" s="93">
        <v>4.0463139611233547</v>
      </c>
      <c r="AN26" s="93">
        <v>0.77655527040304539</v>
      </c>
      <c r="AO26" s="93">
        <v>1.2321825690004835</v>
      </c>
      <c r="AP26" s="93">
        <f t="shared" si="14"/>
        <v>2.0087378394035289</v>
      </c>
      <c r="AQ26" s="106"/>
      <c r="AR26" s="39">
        <f t="shared" si="15"/>
        <v>3.0604341026309489</v>
      </c>
      <c r="AS26" s="93">
        <v>7.5366717374805985</v>
      </c>
      <c r="AT26" s="93">
        <v>3.6638836536254487</v>
      </c>
      <c r="AU26" s="93">
        <v>2.6515707775468846</v>
      </c>
      <c r="AV26" s="93">
        <f t="shared" si="16"/>
        <v>6.3154544311723333</v>
      </c>
      <c r="AW26" s="90" t="str">
        <f t="shared" si="17"/>
        <v>Education</v>
      </c>
      <c r="AX26" s="39">
        <f t="shared" si="18"/>
        <v>2.6688337014858732</v>
      </c>
      <c r="AY26" s="11">
        <v>4.0745695684818486</v>
      </c>
      <c r="AZ26" s="93">
        <v>-0.65076923691411093</v>
      </c>
      <c r="BA26" s="93">
        <v>1.227775929825986</v>
      </c>
      <c r="BB26" s="93">
        <f t="shared" si="19"/>
        <v>0.57700669291187512</v>
      </c>
      <c r="BC26" s="93"/>
      <c r="BD26" s="39">
        <f t="shared" si="20"/>
        <v>2.5882032430875057</v>
      </c>
      <c r="BE26" s="93">
        <v>0.26691123725535981</v>
      </c>
      <c r="BF26" s="93">
        <v>-0.19380533282346687</v>
      </c>
      <c r="BG26" s="93">
        <v>7.7709251306618335E-2</v>
      </c>
      <c r="BH26" s="93">
        <f t="shared" si="21"/>
        <v>-0.11609608151684854</v>
      </c>
      <c r="BJ26" s="39">
        <f t="shared" si="22"/>
        <v>2.6104632834062169</v>
      </c>
      <c r="BK26" s="93">
        <v>2.4396136341847261</v>
      </c>
      <c r="BL26" s="93">
        <v>-0.51114595901616455</v>
      </c>
      <c r="BM26" s="93">
        <v>0.7171170827738349</v>
      </c>
      <c r="BN26" s="93">
        <f t="shared" si="23"/>
        <v>0.20597112375767035</v>
      </c>
      <c r="BO26" s="106"/>
      <c r="BP26" s="39">
        <f t="shared" si="24"/>
        <v>2.7877134101330858</v>
      </c>
      <c r="BQ26" s="93">
        <v>1.3680446970417623</v>
      </c>
      <c r="BR26" s="93">
        <v>5.4182054925520501E-2</v>
      </c>
      <c r="BS26" s="93">
        <v>0.43294959574553271</v>
      </c>
      <c r="BT26" s="93">
        <f t="shared" si="25"/>
        <v>0.48713165067105324</v>
      </c>
      <c r="BU26" s="90" t="str">
        <f t="shared" si="26"/>
        <v>Education</v>
      </c>
      <c r="BV26" s="39">
        <f t="shared" si="27"/>
        <v>2.5719174756100083</v>
      </c>
      <c r="BW26" s="11">
        <v>6.5723358416890418</v>
      </c>
      <c r="BX26" s="93">
        <v>-0.15751225654061013</v>
      </c>
      <c r="BY26" s="93">
        <v>1.9000258963583028</v>
      </c>
      <c r="BZ26" s="93">
        <f t="shared" si="28"/>
        <v>1.7425136398176926</v>
      </c>
      <c r="CA26" s="93"/>
      <c r="CB26" s="39">
        <f t="shared" si="29"/>
        <v>2.5863835000538682</v>
      </c>
      <c r="CC26" s="93">
        <v>1.6317851440554909</v>
      </c>
      <c r="CD26" s="93">
        <v>-0.43279551678413736</v>
      </c>
      <c r="CE26" s="93">
        <v>0.47470859686707906</v>
      </c>
      <c r="CF26" s="93">
        <f t="shared" si="30"/>
        <v>4.1913080082941701E-2</v>
      </c>
      <c r="CH26" s="39">
        <f t="shared" si="31"/>
        <v>2.542118825536166</v>
      </c>
      <c r="CI26" s="93">
        <v>4.3810752206434573</v>
      </c>
      <c r="CJ26" s="93">
        <v>2.5793305536142896E-2</v>
      </c>
      <c r="CK26" s="93">
        <v>1.250158852183944</v>
      </c>
      <c r="CL26" s="93">
        <f t="shared" si="32"/>
        <v>1.275952157720087</v>
      </c>
      <c r="CM26" s="106"/>
      <c r="CN26" s="39">
        <f t="shared" si="33"/>
        <v>2.7611586651374198</v>
      </c>
      <c r="CO26" s="93">
        <v>0.55947547699009315</v>
      </c>
      <c r="CP26" s="93">
        <v>0.24948995470738433</v>
      </c>
      <c r="CQ26" s="93">
        <v>0.17515844730727984</v>
      </c>
      <c r="CR26" s="93">
        <f t="shared" si="34"/>
        <v>0.42464840201466414</v>
      </c>
      <c r="CS26" s="90" t="str">
        <f t="shared" si="35"/>
        <v>Education</v>
      </c>
      <c r="CT26" s="39">
        <f t="shared" si="36"/>
        <v>2.9030497321535176</v>
      </c>
      <c r="CU26" s="11">
        <v>4.4775249207536891</v>
      </c>
      <c r="CV26" s="93">
        <v>1.168175253686927</v>
      </c>
      <c r="CW26" s="93">
        <v>1.4834936230341631</v>
      </c>
      <c r="CX26" s="93">
        <f t="shared" si="37"/>
        <v>2.6516688767210903</v>
      </c>
      <c r="CY26" s="93"/>
      <c r="CZ26" s="39">
        <f t="shared" si="38"/>
        <v>2.9086772572280095</v>
      </c>
      <c r="DA26" s="93">
        <v>1.4827791850026377</v>
      </c>
      <c r="DB26" s="93">
        <v>0.47521128506282911</v>
      </c>
      <c r="DC26" s="93">
        <v>0.4923542505967517</v>
      </c>
      <c r="DD26" s="93">
        <f t="shared" si="39"/>
        <v>0.96756553565958081</v>
      </c>
      <c r="DF26" s="39">
        <f t="shared" si="40"/>
        <v>2.8678141931647749</v>
      </c>
      <c r="DG26" s="93">
        <v>2.6366223229818955</v>
      </c>
      <c r="DH26" s="93">
        <v>0.55701660245458018</v>
      </c>
      <c r="DI26" s="93">
        <v>0.86156484301126879</v>
      </c>
      <c r="DJ26" s="93">
        <f t="shared" si="41"/>
        <v>1.418581445465849</v>
      </c>
      <c r="DK26" s="106"/>
      <c r="DL26" s="39">
        <f t="shared" si="42"/>
        <v>3.1363650139041965</v>
      </c>
      <c r="DM26" s="93">
        <v>0.35812341276915594</v>
      </c>
      <c r="DN26" s="93">
        <v>0.13594736616951764</v>
      </c>
      <c r="DO26" s="93">
        <v>0.12957452942614286</v>
      </c>
      <c r="DP26" s="93">
        <f t="shared" si="43"/>
        <v>0.26552189559566053</v>
      </c>
    </row>
    <row r="27" spans="1:120" x14ac:dyDescent="0.2">
      <c r="A27" s="90" t="str">
        <f>name!B23</f>
        <v>Health and social work</v>
      </c>
      <c r="B27" s="39">
        <f t="shared" si="1"/>
        <v>2.5950961839178666</v>
      </c>
      <c r="C27" s="11">
        <v>275.60199999999969</v>
      </c>
      <c r="D27" s="93">
        <v>-1.6730000000003524</v>
      </c>
      <c r="E27" s="93">
        <v>80.47866678861341</v>
      </c>
      <c r="F27" s="93">
        <f t="shared" si="2"/>
        <v>78.805666788613053</v>
      </c>
      <c r="G27" s="93"/>
      <c r="H27" s="39">
        <f t="shared" si="3"/>
        <v>2.4695756737683316</v>
      </c>
      <c r="I27" s="93">
        <v>81.511675089783012</v>
      </c>
      <c r="J27" s="93">
        <v>-19.797720579312639</v>
      </c>
      <c r="K27" s="93">
        <v>22.520863469623457</v>
      </c>
      <c r="L27" s="93">
        <f t="shared" si="4"/>
        <v>2.7231428903108181</v>
      </c>
      <c r="N27" s="39">
        <f t="shared" si="5"/>
        <v>2.5552337751491017</v>
      </c>
      <c r="O27" s="93">
        <v>150.28991841904894</v>
      </c>
      <c r="P27" s="93">
        <v>8.7057795230669974</v>
      </c>
      <c r="Q27" s="93">
        <v>43.133091870505552</v>
      </c>
      <c r="R27" s="93">
        <f t="shared" si="6"/>
        <v>51.838871393572546</v>
      </c>
      <c r="S27" s="106"/>
      <c r="T27" s="39">
        <f t="shared" si="7"/>
        <v>2.9581093378684198</v>
      </c>
      <c r="U27" s="93">
        <v>43.800406491167763</v>
      </c>
      <c r="V27" s="93">
        <v>9.418941056245286</v>
      </c>
      <c r="W27" s="93">
        <v>14.824711448484381</v>
      </c>
      <c r="X27" s="93">
        <f t="shared" si="8"/>
        <v>24.243652504729667</v>
      </c>
      <c r="Y27" s="90" t="str">
        <f t="shared" si="0"/>
        <v>Health and social work</v>
      </c>
      <c r="Z27" s="39">
        <f t="shared" si="9"/>
        <v>3.1186773432537507</v>
      </c>
      <c r="AA27" s="11">
        <v>64.293915126009693</v>
      </c>
      <c r="AB27" s="93">
        <v>17.722549991381833</v>
      </c>
      <c r="AC27" s="93">
        <v>23.112480454512202</v>
      </c>
      <c r="AD27" s="93">
        <f t="shared" si="10"/>
        <v>40.835030445894034</v>
      </c>
      <c r="AE27" s="93"/>
      <c r="AF27" s="39">
        <f t="shared" si="11"/>
        <v>3.0783063740929206</v>
      </c>
      <c r="AG27" s="93">
        <v>9.9195473983854772</v>
      </c>
      <c r="AH27" s="93">
        <v>1.4973424642898829</v>
      </c>
      <c r="AI27" s="93">
        <v>3.5131923201060649</v>
      </c>
      <c r="AJ27" s="93">
        <f t="shared" si="12"/>
        <v>5.010534784395948</v>
      </c>
      <c r="AL27" s="39">
        <f t="shared" si="13"/>
        <v>3.1315372831501653</v>
      </c>
      <c r="AM27" s="93">
        <v>25.525698517196087</v>
      </c>
      <c r="AN27" s="93">
        <v>10.147584573449684</v>
      </c>
      <c r="AO27" s="93">
        <v>9.2193201705336563</v>
      </c>
      <c r="AP27" s="93">
        <f t="shared" si="14"/>
        <v>19.366904743983341</v>
      </c>
      <c r="AQ27" s="106"/>
      <c r="AR27" s="39">
        <f t="shared" si="15"/>
        <v>3.121149070624285</v>
      </c>
      <c r="AS27" s="93">
        <v>28.848669210428131</v>
      </c>
      <c r="AT27" s="93">
        <v>6.0776229536422628</v>
      </c>
      <c r="AU27" s="93">
        <v>10.379967963872479</v>
      </c>
      <c r="AV27" s="93">
        <f t="shared" si="16"/>
        <v>16.457590917514743</v>
      </c>
      <c r="AW27" s="90" t="str">
        <f t="shared" si="17"/>
        <v>Health and social work</v>
      </c>
      <c r="AX27" s="39">
        <f t="shared" si="18"/>
        <v>2.6759668403012915</v>
      </c>
      <c r="AY27" s="11">
        <v>16.521747365931887</v>
      </c>
      <c r="AZ27" s="93">
        <v>-0.90533997621618789</v>
      </c>
      <c r="BA27" s="93">
        <v>4.9933832774217386</v>
      </c>
      <c r="BB27" s="93">
        <f t="shared" si="19"/>
        <v>4.088043301205551</v>
      </c>
      <c r="BC27" s="93"/>
      <c r="BD27" s="39">
        <f t="shared" si="20"/>
        <v>2.5787165892088737</v>
      </c>
      <c r="BE27" s="93">
        <v>2.1756544236878499</v>
      </c>
      <c r="BF27" s="93">
        <v>-0.17162265131127769</v>
      </c>
      <c r="BG27" s="93">
        <v>0.63082928217437373</v>
      </c>
      <c r="BH27" s="93">
        <f t="shared" si="21"/>
        <v>0.45920663086309604</v>
      </c>
      <c r="BJ27" s="39">
        <f t="shared" si="22"/>
        <v>2.6312555462310261</v>
      </c>
      <c r="BK27" s="93">
        <v>8.5774116106248197</v>
      </c>
      <c r="BL27" s="93">
        <v>-1.3110321038488253</v>
      </c>
      <c r="BM27" s="93">
        <v>2.5438144946044696</v>
      </c>
      <c r="BN27" s="93">
        <f t="shared" si="23"/>
        <v>1.2327823907556443</v>
      </c>
      <c r="BO27" s="106"/>
      <c r="BP27" s="39">
        <f t="shared" si="24"/>
        <v>2.7783786676990552</v>
      </c>
      <c r="BQ27" s="93">
        <v>5.7686813316192156</v>
      </c>
      <c r="BR27" s="93">
        <v>0.57731477894391503</v>
      </c>
      <c r="BS27" s="93">
        <v>1.8187395006428966</v>
      </c>
      <c r="BT27" s="93">
        <f t="shared" si="25"/>
        <v>2.3960542795868118</v>
      </c>
      <c r="BU27" s="90" t="str">
        <f t="shared" si="26"/>
        <v>Health and social work</v>
      </c>
      <c r="BV27" s="39">
        <f t="shared" si="27"/>
        <v>2.4185311777933372</v>
      </c>
      <c r="BW27" s="11">
        <v>185.64731569674743</v>
      </c>
      <c r="BX27" s="93">
        <v>-20.042065793695048</v>
      </c>
      <c r="BY27" s="93">
        <v>50.114846449207548</v>
      </c>
      <c r="BZ27" s="93">
        <f t="shared" si="28"/>
        <v>30.072780655512499</v>
      </c>
      <c r="CA27" s="93"/>
      <c r="CB27" s="39">
        <f t="shared" si="29"/>
        <v>2.3870453919311752</v>
      </c>
      <c r="CC27" s="93">
        <v>65.07948365464064</v>
      </c>
      <c r="CD27" s="93">
        <v>-20.422001047817911</v>
      </c>
      <c r="CE27" s="93">
        <v>17.314254108560334</v>
      </c>
      <c r="CF27" s="93">
        <f t="shared" si="30"/>
        <v>-3.1077469392575772</v>
      </c>
      <c r="CH27" s="39">
        <f t="shared" si="31"/>
        <v>2.4258065702267961</v>
      </c>
      <c r="CI27" s="93">
        <v>111.69445579336453</v>
      </c>
      <c r="CJ27" s="93">
        <v>-1.7999732059359685</v>
      </c>
      <c r="CK27" s="93">
        <v>30.252323208272195</v>
      </c>
      <c r="CL27" s="93">
        <f t="shared" si="32"/>
        <v>28.452350002336225</v>
      </c>
      <c r="CM27" s="106"/>
      <c r="CN27" s="39">
        <f t="shared" si="33"/>
        <v>2.5566857264312626</v>
      </c>
      <c r="CO27" s="93">
        <v>8.8733762487422378</v>
      </c>
      <c r="CP27" s="93">
        <v>2.1799084600588299</v>
      </c>
      <c r="CQ27" s="93">
        <v>2.5482691323750268</v>
      </c>
      <c r="CR27" s="93">
        <f t="shared" si="34"/>
        <v>4.7281775924338572</v>
      </c>
      <c r="CS27" s="90" t="str">
        <f t="shared" si="35"/>
        <v>Health and social work</v>
      </c>
      <c r="CT27" s="39">
        <f t="shared" si="36"/>
        <v>2.2325047123997521</v>
      </c>
      <c r="CU27" s="11">
        <v>9.139021811310748</v>
      </c>
      <c r="CV27" s="93">
        <v>1.5518557785290545</v>
      </c>
      <c r="CW27" s="93">
        <v>2.2579566074718973</v>
      </c>
      <c r="CX27" s="93">
        <f t="shared" si="37"/>
        <v>3.8098123860009521</v>
      </c>
      <c r="CY27" s="93"/>
      <c r="CZ27" s="39">
        <f t="shared" si="38"/>
        <v>2.2155897378276945</v>
      </c>
      <c r="DA27" s="93">
        <v>4.3369896130690391</v>
      </c>
      <c r="DB27" s="93">
        <v>-0.70143934447333278</v>
      </c>
      <c r="DC27" s="93">
        <v>1.0625877587826875</v>
      </c>
      <c r="DD27" s="93">
        <f t="shared" si="39"/>
        <v>0.36114841430935474</v>
      </c>
      <c r="DF27" s="39">
        <f t="shared" si="40"/>
        <v>2.2465820104417666</v>
      </c>
      <c r="DG27" s="93">
        <v>4.4923524978635268</v>
      </c>
      <c r="DH27" s="93">
        <v>1.6692002594021076</v>
      </c>
      <c r="DI27" s="93">
        <v>1.1176339970952323</v>
      </c>
      <c r="DJ27" s="93">
        <f t="shared" si="41"/>
        <v>2.7868342564973396</v>
      </c>
      <c r="DK27" s="106"/>
      <c r="DL27" s="39">
        <f t="shared" si="42"/>
        <v>2.2648343335861076</v>
      </c>
      <c r="DM27" s="93">
        <v>0.30967970037818215</v>
      </c>
      <c r="DN27" s="93">
        <v>0.58409486360027985</v>
      </c>
      <c r="DO27" s="93">
        <v>7.7734851593977319E-2</v>
      </c>
      <c r="DP27" s="93">
        <f t="shared" si="43"/>
        <v>0.66182971519425715</v>
      </c>
    </row>
    <row r="28" spans="1:120" x14ac:dyDescent="0.2">
      <c r="A28" s="90" t="str">
        <f>name!B24</f>
        <v>Arts and entertainment</v>
      </c>
      <c r="B28" s="39">
        <f t="shared" si="1"/>
        <v>2.6894345447805668</v>
      </c>
      <c r="C28" s="11">
        <v>583.99199872311158</v>
      </c>
      <c r="D28" s="93">
        <v>22.974992839555728</v>
      </c>
      <c r="E28" s="93">
        <v>177.49855672479771</v>
      </c>
      <c r="F28" s="93">
        <f t="shared" si="2"/>
        <v>200.47354956435345</v>
      </c>
      <c r="G28" s="93"/>
      <c r="H28" s="39">
        <f t="shared" si="3"/>
        <v>2.5241340757117703</v>
      </c>
      <c r="I28" s="93">
        <v>112.61142831364945</v>
      </c>
      <c r="J28" s="93">
        <v>-19.950461975362895</v>
      </c>
      <c r="K28" s="93">
        <v>31.880492992433172</v>
      </c>
      <c r="L28" s="93">
        <f t="shared" si="4"/>
        <v>11.930031017070277</v>
      </c>
      <c r="N28" s="39">
        <f t="shared" si="5"/>
        <v>2.5965813402446081</v>
      </c>
      <c r="O28" s="93">
        <v>322.09728549501801</v>
      </c>
      <c r="P28" s="93">
        <v>22.98072850143604</v>
      </c>
      <c r="Q28" s="93">
        <v>94.116022316887069</v>
      </c>
      <c r="R28" s="93">
        <f t="shared" si="6"/>
        <v>117.0967508183231</v>
      </c>
      <c r="S28" s="106"/>
      <c r="T28" s="39">
        <f t="shared" si="7"/>
        <v>3.0082665428908584</v>
      </c>
      <c r="U28" s="93">
        <v>149.28328491444404</v>
      </c>
      <c r="V28" s="93">
        <v>19.94472631348258</v>
      </c>
      <c r="W28" s="93">
        <v>51.5020414154775</v>
      </c>
      <c r="X28" s="93">
        <f t="shared" si="8"/>
        <v>71.446767728960083</v>
      </c>
      <c r="Y28" s="90" t="str">
        <f t="shared" si="0"/>
        <v>Arts and entertainment</v>
      </c>
      <c r="Z28" s="39">
        <f t="shared" si="9"/>
        <v>3.2588943559272998</v>
      </c>
      <c r="AA28" s="11">
        <v>161.66137310285907</v>
      </c>
      <c r="AB28" s="93">
        <v>1.3326548882882316</v>
      </c>
      <c r="AC28" s="93">
        <v>61.121073231490051</v>
      </c>
      <c r="AD28" s="93">
        <f t="shared" si="10"/>
        <v>62.453728119778283</v>
      </c>
      <c r="AE28" s="93"/>
      <c r="AF28" s="39">
        <f t="shared" si="11"/>
        <v>3.2768095159466437</v>
      </c>
      <c r="AG28" s="93">
        <v>13.303128548274954</v>
      </c>
      <c r="AH28" s="93">
        <v>-1.9338514027227476</v>
      </c>
      <c r="AI28" s="93">
        <v>5.0614902397360089</v>
      </c>
      <c r="AJ28" s="93">
        <f t="shared" si="12"/>
        <v>3.1276388370132615</v>
      </c>
      <c r="AL28" s="39">
        <f t="shared" si="13"/>
        <v>3.2222682296140004</v>
      </c>
      <c r="AM28" s="93">
        <v>61.167755464113846</v>
      </c>
      <c r="AN28" s="93">
        <v>-4.1267654969595462</v>
      </c>
      <c r="AO28" s="93">
        <v>22.827842408062001</v>
      </c>
      <c r="AP28" s="93">
        <f t="shared" si="14"/>
        <v>18.701076911102454</v>
      </c>
      <c r="AQ28" s="106"/>
      <c r="AR28" s="39">
        <f t="shared" si="15"/>
        <v>3.2817897264484586</v>
      </c>
      <c r="AS28" s="93">
        <v>87.190489090470265</v>
      </c>
      <c r="AT28" s="93">
        <v>7.3932717879705248</v>
      </c>
      <c r="AU28" s="93">
        <v>33.231740583692044</v>
      </c>
      <c r="AV28" s="93">
        <f t="shared" si="16"/>
        <v>40.625012371662571</v>
      </c>
      <c r="AW28" s="90" t="str">
        <f t="shared" si="17"/>
        <v>Arts and entertainment</v>
      </c>
      <c r="AX28" s="39">
        <f t="shared" si="18"/>
        <v>2.4581982255185597</v>
      </c>
      <c r="AY28" s="11">
        <v>274.12096692663408</v>
      </c>
      <c r="AZ28" s="93">
        <v>19.909375624336565</v>
      </c>
      <c r="BA28" s="93">
        <v>75.348629505054475</v>
      </c>
      <c r="BB28" s="93">
        <f t="shared" si="19"/>
        <v>95.258005129391037</v>
      </c>
      <c r="BC28" s="93"/>
      <c r="BD28" s="39">
        <f t="shared" si="20"/>
        <v>2.3965751535212299</v>
      </c>
      <c r="BE28" s="93">
        <v>52.434042602494252</v>
      </c>
      <c r="BF28" s="93">
        <v>-10.478560037555006</v>
      </c>
      <c r="BG28" s="93">
        <v>14.01177557326081</v>
      </c>
      <c r="BH28" s="93">
        <f t="shared" si="21"/>
        <v>3.5332155357058035</v>
      </c>
      <c r="BJ28" s="39">
        <f t="shared" si="22"/>
        <v>2.4303568044377055</v>
      </c>
      <c r="BK28" s="93">
        <v>169.82026195600062</v>
      </c>
      <c r="BL28" s="93">
        <v>22.045877770222617</v>
      </c>
      <c r="BM28" s="93">
        <v>46.091529986569107</v>
      </c>
      <c r="BN28" s="93">
        <f t="shared" si="23"/>
        <v>68.137407756791731</v>
      </c>
      <c r="BO28" s="106"/>
      <c r="BP28" s="39">
        <f t="shared" si="24"/>
        <v>2.6103523894776215</v>
      </c>
      <c r="BQ28" s="93">
        <v>51.866662368139195</v>
      </c>
      <c r="BR28" s="93">
        <v>8.3420578916689543</v>
      </c>
      <c r="BS28" s="93">
        <v>15.245323945224559</v>
      </c>
      <c r="BT28" s="93">
        <f t="shared" si="25"/>
        <v>23.587381836893513</v>
      </c>
      <c r="BU28" s="90" t="str">
        <f t="shared" si="26"/>
        <v>Arts and entertainment</v>
      </c>
      <c r="BV28" s="39">
        <f t="shared" si="27"/>
        <v>2.5546872517099084</v>
      </c>
      <c r="BW28" s="11">
        <v>107.2598983032326</v>
      </c>
      <c r="BX28" s="93">
        <v>-4.6347125764802879</v>
      </c>
      <c r="BY28" s="93">
        <v>30.776152696349076</v>
      </c>
      <c r="BZ28" s="93">
        <f t="shared" si="28"/>
        <v>26.14144011986879</v>
      </c>
      <c r="CA28" s="93"/>
      <c r="CB28" s="39">
        <f t="shared" si="29"/>
        <v>2.4937117735407188</v>
      </c>
      <c r="CC28" s="93">
        <v>30.58519142119675</v>
      </c>
      <c r="CD28" s="93">
        <v>-4.9664708583329622</v>
      </c>
      <c r="CE28" s="93">
        <v>8.5424270700257328</v>
      </c>
      <c r="CF28" s="93">
        <f t="shared" si="30"/>
        <v>3.5759562116927706</v>
      </c>
      <c r="CH28" s="39">
        <f t="shared" si="31"/>
        <v>2.5657893609980054</v>
      </c>
      <c r="CI28" s="93">
        <v>68.527793794387208</v>
      </c>
      <c r="CJ28" s="93">
        <v>-2.6111534978573356</v>
      </c>
      <c r="CK28" s="93">
        <v>19.75824225652681</v>
      </c>
      <c r="CL28" s="93">
        <f t="shared" si="32"/>
        <v>17.147088758669476</v>
      </c>
      <c r="CM28" s="106"/>
      <c r="CN28" s="39">
        <f t="shared" si="33"/>
        <v>2.6887677275016175</v>
      </c>
      <c r="CO28" s="93">
        <v>8.1469130876486417</v>
      </c>
      <c r="CP28" s="93">
        <v>2.9429117797100104</v>
      </c>
      <c r="CQ28" s="93">
        <v>2.4754833697965344</v>
      </c>
      <c r="CR28" s="93">
        <f t="shared" si="34"/>
        <v>5.4183951495065443</v>
      </c>
      <c r="CS28" s="90" t="str">
        <f t="shared" si="35"/>
        <v>Arts and entertainment</v>
      </c>
      <c r="CT28" s="39">
        <f t="shared" si="36"/>
        <v>2.2595665716523383</v>
      </c>
      <c r="CU28" s="11">
        <v>40.949760390385762</v>
      </c>
      <c r="CV28" s="93">
        <v>6.3676749034112179</v>
      </c>
      <c r="CW28" s="93">
        <v>10.252701291904129</v>
      </c>
      <c r="CX28" s="93">
        <f t="shared" si="37"/>
        <v>16.620376195315348</v>
      </c>
      <c r="CY28" s="93"/>
      <c r="CZ28" s="39">
        <f t="shared" si="38"/>
        <v>2.3528014807572273</v>
      </c>
      <c r="DA28" s="93">
        <v>16.289065741683487</v>
      </c>
      <c r="DB28" s="93">
        <v>-2.5715796767521768</v>
      </c>
      <c r="DC28" s="93">
        <v>4.264800109410622</v>
      </c>
      <c r="DD28" s="93">
        <f t="shared" si="39"/>
        <v>1.6932204326584452</v>
      </c>
      <c r="DF28" s="39">
        <f t="shared" si="40"/>
        <v>2.1812946342883111</v>
      </c>
      <c r="DG28" s="93">
        <v>22.581474280516332</v>
      </c>
      <c r="DH28" s="93">
        <v>7.6727697260303049</v>
      </c>
      <c r="DI28" s="93">
        <v>5.438407665729156</v>
      </c>
      <c r="DJ28" s="93">
        <f t="shared" si="41"/>
        <v>13.111177391759462</v>
      </c>
      <c r="DK28" s="106"/>
      <c r="DL28" s="39">
        <f t="shared" si="42"/>
        <v>2.372728806531299</v>
      </c>
      <c r="DM28" s="93">
        <v>2.0792203681859425</v>
      </c>
      <c r="DN28" s="93">
        <v>1.2664848541330906</v>
      </c>
      <c r="DO28" s="93">
        <v>0.54949351676435321</v>
      </c>
      <c r="DP28" s="93">
        <f t="shared" si="43"/>
        <v>1.8159783708974437</v>
      </c>
    </row>
    <row r="29" spans="1:120" x14ac:dyDescent="0.2">
      <c r="A29" s="90" t="str">
        <f>name!B25</f>
        <v>Other services</v>
      </c>
      <c r="B29" s="39">
        <f t="shared" si="1"/>
        <v>2.7838069142694266</v>
      </c>
      <c r="C29" s="11">
        <v>108.16125170522943</v>
      </c>
      <c r="D29" s="93">
        <v>8.1774730396989117</v>
      </c>
      <c r="E29" s="93">
        <v>34.176039083117807</v>
      </c>
      <c r="F29" s="93">
        <f t="shared" si="2"/>
        <v>42.353512122816717</v>
      </c>
      <c r="G29" s="93"/>
      <c r="H29" s="39">
        <f t="shared" si="3"/>
        <v>2.6834266880037649</v>
      </c>
      <c r="I29" s="93">
        <v>32.326959698464499</v>
      </c>
      <c r="J29" s="93">
        <v>-6.1167969801013387</v>
      </c>
      <c r="K29" s="93">
        <v>9.8008028887364027</v>
      </c>
      <c r="L29" s="93">
        <f t="shared" si="4"/>
        <v>3.6840059086350641</v>
      </c>
      <c r="N29" s="39">
        <f t="shared" si="5"/>
        <v>2.7760834170330817</v>
      </c>
      <c r="O29" s="93">
        <v>57.398886868822629</v>
      </c>
      <c r="P29" s="93">
        <v>7.6406602287910461</v>
      </c>
      <c r="Q29" s="93">
        <v>18.079760081959783</v>
      </c>
      <c r="R29" s="93">
        <f t="shared" si="6"/>
        <v>25.720420310750828</v>
      </c>
      <c r="S29" s="106"/>
      <c r="T29" s="39">
        <f t="shared" si="7"/>
        <v>2.981376043016648</v>
      </c>
      <c r="U29" s="93">
        <v>18.435405137942325</v>
      </c>
      <c r="V29" s="93">
        <v>6.6536097910092034</v>
      </c>
      <c r="W29" s="93">
        <v>6.2954761124216301</v>
      </c>
      <c r="X29" s="93">
        <f t="shared" si="8"/>
        <v>12.949085903430834</v>
      </c>
      <c r="Y29" s="90" t="str">
        <f t="shared" si="0"/>
        <v>Other services</v>
      </c>
      <c r="Z29" s="39">
        <f t="shared" si="9"/>
        <v>3.3946693153821483</v>
      </c>
      <c r="AA29" s="11">
        <v>18.73707769261355</v>
      </c>
      <c r="AB29" s="93">
        <v>3.9696712217231607</v>
      </c>
      <c r="AC29" s="93">
        <v>7.4256694078981278</v>
      </c>
      <c r="AD29" s="93">
        <f t="shared" si="10"/>
        <v>11.395340629621288</v>
      </c>
      <c r="AE29" s="93"/>
      <c r="AF29" s="39">
        <f t="shared" si="11"/>
        <v>3.6016336348735356</v>
      </c>
      <c r="AG29" s="93">
        <v>2.3415431027696858</v>
      </c>
      <c r="AH29" s="93">
        <v>0.24514900613498003</v>
      </c>
      <c r="AI29" s="93">
        <v>0.99401256180311637</v>
      </c>
      <c r="AJ29" s="93">
        <f t="shared" si="12"/>
        <v>1.2391615679380963</v>
      </c>
      <c r="AL29" s="39">
        <f t="shared" si="13"/>
        <v>3.5014338519299582</v>
      </c>
      <c r="AM29" s="93">
        <v>8.1965364975682427</v>
      </c>
      <c r="AN29" s="93">
        <v>1.8824630168780692</v>
      </c>
      <c r="AO29" s="93">
        <v>3.3670895885720658</v>
      </c>
      <c r="AP29" s="93">
        <f t="shared" si="14"/>
        <v>5.2495526054501349</v>
      </c>
      <c r="AQ29" s="106"/>
      <c r="AR29" s="39">
        <f t="shared" si="15"/>
        <v>3.2265730612790922</v>
      </c>
      <c r="AS29" s="93">
        <v>8.1989980922756232</v>
      </c>
      <c r="AT29" s="93">
        <v>1.8420591987101114</v>
      </c>
      <c r="AU29" s="93">
        <v>3.0645672575229463</v>
      </c>
      <c r="AV29" s="93">
        <f t="shared" si="16"/>
        <v>4.9066264562330577</v>
      </c>
      <c r="AW29" s="90" t="str">
        <f t="shared" si="17"/>
        <v>Other services</v>
      </c>
      <c r="AX29" s="39">
        <f t="shared" si="18"/>
        <v>2.6483238273837584</v>
      </c>
      <c r="AY29" s="11">
        <v>19.032176889267678</v>
      </c>
      <c r="AZ29" s="93">
        <v>1.0956652491419592</v>
      </c>
      <c r="BA29" s="93">
        <v>5.685467852803928</v>
      </c>
      <c r="BB29" s="93">
        <f t="shared" si="19"/>
        <v>6.7811331019458869</v>
      </c>
      <c r="BC29" s="93"/>
      <c r="BD29" s="39">
        <f t="shared" si="20"/>
        <v>2.5698311582555533</v>
      </c>
      <c r="BE29" s="93">
        <v>3.4123327833961343</v>
      </c>
      <c r="BF29" s="93">
        <v>-0.44962292514756064</v>
      </c>
      <c r="BG29" s="93">
        <v>0.9855918713750732</v>
      </c>
      <c r="BH29" s="93">
        <f t="shared" si="21"/>
        <v>0.53596894622751257</v>
      </c>
      <c r="BJ29" s="39">
        <f t="shared" si="22"/>
        <v>2.6113519594407553</v>
      </c>
      <c r="BK29" s="93">
        <v>10.441678809376455</v>
      </c>
      <c r="BL29" s="93">
        <v>0.67813132541245391</v>
      </c>
      <c r="BM29" s="93">
        <v>3.0704702368243959</v>
      </c>
      <c r="BN29" s="93">
        <f t="shared" si="23"/>
        <v>3.7486015622368498</v>
      </c>
      <c r="BO29" s="106"/>
      <c r="BP29" s="39">
        <f t="shared" si="24"/>
        <v>2.7736136732418482</v>
      </c>
      <c r="BQ29" s="93">
        <v>5.1781652964950879</v>
      </c>
      <c r="BR29" s="93">
        <v>0.86715684887706568</v>
      </c>
      <c r="BS29" s="93">
        <v>1.6294057446044583</v>
      </c>
      <c r="BT29" s="93">
        <f t="shared" si="25"/>
        <v>2.4965625934815239</v>
      </c>
      <c r="BU29" s="90" t="str">
        <f t="shared" si="26"/>
        <v>Other services</v>
      </c>
      <c r="BV29" s="39">
        <f t="shared" si="27"/>
        <v>2.6772484709001398</v>
      </c>
      <c r="BW29" s="11">
        <v>66.201397878138252</v>
      </c>
      <c r="BX29" s="93">
        <v>1.2456325163985658</v>
      </c>
      <c r="BY29" s="93">
        <v>20.01887239295467</v>
      </c>
      <c r="BZ29" s="93">
        <f t="shared" si="28"/>
        <v>21.264504909353235</v>
      </c>
      <c r="CA29" s="93"/>
      <c r="CB29" s="39">
        <f t="shared" si="29"/>
        <v>2.6461497895164943</v>
      </c>
      <c r="CC29" s="93">
        <v>24.360601420401576</v>
      </c>
      <c r="CD29" s="93">
        <v>-5.6900213912272246</v>
      </c>
      <c r="CE29" s="93">
        <v>7.2705240080694988</v>
      </c>
      <c r="CF29" s="93">
        <f t="shared" si="30"/>
        <v>1.5805026168422742</v>
      </c>
      <c r="CH29" s="39">
        <f t="shared" si="31"/>
        <v>2.6783758996457463</v>
      </c>
      <c r="CI29" s="93">
        <v>37.050128855405674</v>
      </c>
      <c r="CJ29" s="93">
        <v>3.896536363658667</v>
      </c>
      <c r="CK29" s="93">
        <v>11.209016818125267</v>
      </c>
      <c r="CL29" s="93">
        <f t="shared" si="32"/>
        <v>15.105553181783934</v>
      </c>
      <c r="CM29" s="106"/>
      <c r="CN29" s="39">
        <f t="shared" si="33"/>
        <v>2.8254837692558654</v>
      </c>
      <c r="CO29" s="93">
        <v>4.7906676023310046</v>
      </c>
      <c r="CP29" s="93">
        <v>3.0391175439671234</v>
      </c>
      <c r="CQ29" s="93">
        <v>1.5393315667599037</v>
      </c>
      <c r="CR29" s="93">
        <f t="shared" si="34"/>
        <v>4.5784491107270266</v>
      </c>
      <c r="CS29" s="90" t="str">
        <f t="shared" si="35"/>
        <v>Other services</v>
      </c>
      <c r="CT29" s="39">
        <f t="shared" si="36"/>
        <v>2.2533546481934286</v>
      </c>
      <c r="CU29" s="11">
        <v>4.1905992452099587</v>
      </c>
      <c r="CV29" s="93">
        <v>1.8665040524352257</v>
      </c>
      <c r="CW29" s="93">
        <v>1.046029429461087</v>
      </c>
      <c r="CX29" s="93">
        <f t="shared" si="37"/>
        <v>2.9125334818963129</v>
      </c>
      <c r="CY29" s="93"/>
      <c r="CZ29" s="39">
        <f t="shared" si="38"/>
        <v>2.2474701591650437</v>
      </c>
      <c r="DA29" s="93">
        <v>2.2124823918971015</v>
      </c>
      <c r="DB29" s="93">
        <v>-0.22230166986153393</v>
      </c>
      <c r="DC29" s="93">
        <v>0.55067444748871397</v>
      </c>
      <c r="DD29" s="93">
        <f t="shared" si="39"/>
        <v>0.32837277762718003</v>
      </c>
      <c r="DF29" s="39">
        <f t="shared" si="40"/>
        <v>2.2830190168655617</v>
      </c>
      <c r="DG29" s="93">
        <v>1.7105427064722503</v>
      </c>
      <c r="DH29" s="93">
        <v>1.1835295228418568</v>
      </c>
      <c r="DI29" s="93">
        <v>0.43318343843805091</v>
      </c>
      <c r="DJ29" s="93">
        <f t="shared" si="41"/>
        <v>1.6167129612799076</v>
      </c>
      <c r="DK29" s="106"/>
      <c r="DL29" s="39">
        <f t="shared" si="42"/>
        <v>2.1112277164391235</v>
      </c>
      <c r="DM29" s="93">
        <v>0.26757414684060715</v>
      </c>
      <c r="DN29" s="93">
        <v>0.90527619945490279</v>
      </c>
      <c r="DO29" s="93">
        <v>6.2171543534321853E-2</v>
      </c>
      <c r="DP29" s="93">
        <f t="shared" si="43"/>
        <v>0.96744774298922465</v>
      </c>
    </row>
    <row r="30" spans="1:120" x14ac:dyDescent="0.2">
      <c r="A30" s="90">
        <f>name!B26</f>
        <v>0</v>
      </c>
      <c r="B30" s="39">
        <f t="shared" si="1"/>
        <v>2.81853341281606</v>
      </c>
      <c r="C30" s="11">
        <v>3.6239999999999957</v>
      </c>
      <c r="D30" s="93">
        <v>0.24699999999999425</v>
      </c>
      <c r="E30" s="93">
        <v>1.161223619177874</v>
      </c>
      <c r="F30" s="93">
        <f t="shared" si="2"/>
        <v>1.4082236191778683</v>
      </c>
      <c r="G30" s="93"/>
      <c r="H30" s="39">
        <f t="shared" si="3"/>
        <v>2.6181998345442992</v>
      </c>
      <c r="I30" s="93">
        <v>0.8854137576985297</v>
      </c>
      <c r="J30" s="93">
        <v>-0.37920842251297887</v>
      </c>
      <c r="K30" s="93">
        <v>0.26112881202833382</v>
      </c>
      <c r="L30" s="93">
        <f t="shared" si="4"/>
        <v>-0.11807961048464505</v>
      </c>
      <c r="N30" s="39">
        <f t="shared" si="5"/>
        <v>2.6529788153066836</v>
      </c>
      <c r="O30" s="93">
        <v>1.3832584282800451</v>
      </c>
      <c r="P30" s="93">
        <v>0.23337200314420425</v>
      </c>
      <c r="Q30" s="93">
        <v>0.41403459662136033</v>
      </c>
      <c r="R30" s="93">
        <f t="shared" si="6"/>
        <v>0.64740659976556458</v>
      </c>
      <c r="S30" s="106"/>
      <c r="T30" s="39">
        <f t="shared" si="7"/>
        <v>3.1122102767148885</v>
      </c>
      <c r="U30" s="93">
        <v>1.3553278140214204</v>
      </c>
      <c r="V30" s="93">
        <v>0.39283641936876895</v>
      </c>
      <c r="W30" s="93">
        <v>0.48606021052817994</v>
      </c>
      <c r="X30" s="93">
        <f t="shared" si="8"/>
        <v>0.87889662989694894</v>
      </c>
      <c r="Y30" s="90">
        <f t="shared" si="0"/>
        <v>0</v>
      </c>
      <c r="Z30" s="39">
        <f t="shared" si="9"/>
        <v>2.9443653428279148</v>
      </c>
      <c r="AA30" s="11">
        <v>1.8811280324430137</v>
      </c>
      <c r="AB30" s="93">
        <v>0.12648602226143923</v>
      </c>
      <c r="AC30" s="93">
        <v>0.63332866226922047</v>
      </c>
      <c r="AD30" s="93">
        <f t="shared" si="10"/>
        <v>0.7598146845306597</v>
      </c>
      <c r="AE30" s="93"/>
      <c r="AF30" s="39">
        <f t="shared" si="11"/>
        <v>2.5616056481945648</v>
      </c>
      <c r="AG30" s="93">
        <v>0.39195326978431944</v>
      </c>
      <c r="AH30" s="93">
        <v>-0.20952388317933862</v>
      </c>
      <c r="AI30" s="93">
        <v>0.11280379340146277</v>
      </c>
      <c r="AJ30" s="93">
        <f t="shared" si="12"/>
        <v>-9.6720089777875856E-2</v>
      </c>
      <c r="AL30" s="39">
        <f t="shared" si="13"/>
        <v>2.6346340495356335</v>
      </c>
      <c r="AM30" s="93">
        <v>0.4129117991411031</v>
      </c>
      <c r="AN30" s="93">
        <v>-1.2440580648808345E-2</v>
      </c>
      <c r="AO30" s="93">
        <v>0.1226340711227917</v>
      </c>
      <c r="AP30" s="93">
        <f t="shared" si="14"/>
        <v>0.11019349047398336</v>
      </c>
      <c r="AQ30" s="106"/>
      <c r="AR30" s="39">
        <f t="shared" si="15"/>
        <v>3.1958990333170068</v>
      </c>
      <c r="AS30" s="93">
        <v>1.0762629635175913</v>
      </c>
      <c r="AT30" s="93">
        <v>0.34845048608958623</v>
      </c>
      <c r="AU30" s="93">
        <v>0.39789079774496594</v>
      </c>
      <c r="AV30" s="93">
        <f t="shared" si="16"/>
        <v>0.74634128383455223</v>
      </c>
      <c r="AW30" s="90">
        <f t="shared" si="17"/>
        <v>0</v>
      </c>
      <c r="AX30" s="39">
        <f t="shared" si="18"/>
        <v>2.6556901882889949</v>
      </c>
      <c r="AY30" s="11">
        <v>0.79016052016002847</v>
      </c>
      <c r="AZ30" s="93">
        <v>-5.5512159780558507E-3</v>
      </c>
      <c r="BA30" s="93">
        <v>0.23678073042517134</v>
      </c>
      <c r="BB30" s="93">
        <f t="shared" si="19"/>
        <v>0.23122951444711548</v>
      </c>
      <c r="BC30" s="93"/>
      <c r="BD30" s="39">
        <f t="shared" si="20"/>
        <v>2.6320188411371737</v>
      </c>
      <c r="BE30" s="93">
        <v>0.10890628043772764</v>
      </c>
      <c r="BF30" s="93">
        <v>-3.6714040606319942E-2</v>
      </c>
      <c r="BG30" s="93">
        <v>3.2308984136424024E-2</v>
      </c>
      <c r="BH30" s="93">
        <f t="shared" si="21"/>
        <v>-4.4050564698959183E-3</v>
      </c>
      <c r="BJ30" s="39">
        <f t="shared" si="22"/>
        <v>2.632798184440821</v>
      </c>
      <c r="BK30" s="93">
        <v>0.54343409949213617</v>
      </c>
      <c r="BL30" s="93">
        <v>6.5977065103502874E-2</v>
      </c>
      <c r="BM30" s="93">
        <v>0.16127289650651028</v>
      </c>
      <c r="BN30" s="93">
        <f t="shared" si="23"/>
        <v>0.22724996161001315</v>
      </c>
      <c r="BO30" s="106"/>
      <c r="BP30" s="39">
        <f t="shared" si="24"/>
        <v>2.7640342004974006</v>
      </c>
      <c r="BQ30" s="93">
        <v>0.13782014023016467</v>
      </c>
      <c r="BR30" s="93">
        <v>-3.4814240475238789E-2</v>
      </c>
      <c r="BS30" s="93">
        <v>4.319884978223705E-2</v>
      </c>
      <c r="BT30" s="93">
        <f t="shared" si="25"/>
        <v>8.3846093069982613E-3</v>
      </c>
      <c r="BU30" s="90">
        <f t="shared" si="26"/>
        <v>0</v>
      </c>
      <c r="BV30" s="39">
        <f t="shared" si="27"/>
        <v>2.7443857826882523</v>
      </c>
      <c r="BW30" s="11">
        <v>0.71149816309577474</v>
      </c>
      <c r="BX30" s="93">
        <v>0.24504437900903087</v>
      </c>
      <c r="BY30" s="93">
        <v>0.22122934558787391</v>
      </c>
      <c r="BZ30" s="93">
        <f t="shared" si="28"/>
        <v>0.46627372459690475</v>
      </c>
      <c r="CA30" s="93"/>
      <c r="CB30" s="39">
        <f t="shared" si="29"/>
        <v>2.6198589066564582</v>
      </c>
      <c r="CC30" s="93">
        <v>0.18443335988879814</v>
      </c>
      <c r="CD30" s="93">
        <v>-4.0323210155314967E-2</v>
      </c>
      <c r="CE30" s="93">
        <v>5.4432240278174497E-2</v>
      </c>
      <c r="CF30" s="93">
        <f t="shared" si="30"/>
        <v>1.410903012285953E-2</v>
      </c>
      <c r="CH30" s="39">
        <f t="shared" si="31"/>
        <v>2.782142672137855</v>
      </c>
      <c r="CI30" s="93">
        <v>0.38582009293331226</v>
      </c>
      <c r="CJ30" s="93">
        <v>0.20616741540992439</v>
      </c>
      <c r="CK30" s="93">
        <v>0.12182654230872253</v>
      </c>
      <c r="CL30" s="93">
        <f t="shared" si="32"/>
        <v>0.32799395771864692</v>
      </c>
      <c r="CM30" s="106"/>
      <c r="CN30" s="39">
        <f t="shared" si="33"/>
        <v>2.802650191366185</v>
      </c>
      <c r="CO30" s="93">
        <v>0.14124471027366434</v>
      </c>
      <c r="CP30" s="93">
        <v>7.9200173754421455E-2</v>
      </c>
      <c r="CQ30" s="93">
        <v>4.4970563000976925E-2</v>
      </c>
      <c r="CR30" s="93">
        <f t="shared" si="34"/>
        <v>0.12417073675539839</v>
      </c>
      <c r="CS30" s="90">
        <f t="shared" si="35"/>
        <v>0</v>
      </c>
      <c r="CT30" s="39">
        <f t="shared" si="36"/>
        <v>2.5769124618272299</v>
      </c>
      <c r="CU30" s="11">
        <v>0.24121328430117833</v>
      </c>
      <c r="CV30" s="93">
        <v>-0.11897918529242003</v>
      </c>
      <c r="CW30" s="93">
        <v>6.9884880895608265E-2</v>
      </c>
      <c r="CX30" s="93">
        <f t="shared" si="37"/>
        <v>-4.9094304396811769E-2</v>
      </c>
      <c r="CY30" s="93"/>
      <c r="CZ30" s="39">
        <f t="shared" si="38"/>
        <v>2.7192664271063816</v>
      </c>
      <c r="DA30" s="93">
        <v>0.20012084758768453</v>
      </c>
      <c r="DB30" s="93">
        <v>-9.2647288572005396E-2</v>
      </c>
      <c r="DC30" s="93">
        <v>6.1583794212272509E-2</v>
      </c>
      <c r="DD30" s="93">
        <f t="shared" si="39"/>
        <v>-3.1063494359732886E-2</v>
      </c>
      <c r="DF30" s="39">
        <f t="shared" si="40"/>
        <v>1.8569836908540527</v>
      </c>
      <c r="DG30" s="93">
        <v>4.1092436713493816E-2</v>
      </c>
      <c r="DH30" s="93">
        <v>-2.6331896720414642E-2</v>
      </c>
      <c r="DI30" s="93">
        <v>8.3010866833357552E-3</v>
      </c>
      <c r="DJ30" s="93">
        <f t="shared" si="41"/>
        <v>-1.8030810037078886E-2</v>
      </c>
      <c r="DK30" s="106"/>
      <c r="DL30" s="39">
        <f t="shared" si="42"/>
        <v>0</v>
      </c>
      <c r="DM30" s="93">
        <v>0</v>
      </c>
      <c r="DN30" s="93">
        <v>0</v>
      </c>
      <c r="DO30" s="93">
        <v>0</v>
      </c>
      <c r="DP30" s="93">
        <f t="shared" si="43"/>
        <v>0</v>
      </c>
    </row>
    <row r="31" spans="1:120" x14ac:dyDescent="0.2">
      <c r="A31" s="90">
        <f>name!B27</f>
        <v>0</v>
      </c>
      <c r="B31" s="39">
        <f t="shared" si="1"/>
        <v>2.6734729787020628</v>
      </c>
      <c r="C31" s="11">
        <v>5.3973840679838156</v>
      </c>
      <c r="D31" s="93">
        <v>1.1408021816129781</v>
      </c>
      <c r="E31" s="93">
        <v>1.6295494976716494</v>
      </c>
      <c r="F31" s="93">
        <f t="shared" si="2"/>
        <v>2.7703516792846274</v>
      </c>
      <c r="G31" s="93"/>
      <c r="H31" s="39">
        <f t="shared" si="3"/>
        <v>2.4242144760953321</v>
      </c>
      <c r="I31" s="93">
        <v>0.66792410715744144</v>
      </c>
      <c r="J31" s="93">
        <v>8.7081733597755159E-2</v>
      </c>
      <c r="K31" s="93">
        <v>0.18077459401533136</v>
      </c>
      <c r="L31" s="93">
        <f t="shared" si="4"/>
        <v>0.26785632761308653</v>
      </c>
      <c r="N31" s="39">
        <f t="shared" si="5"/>
        <v>2.609263332573919</v>
      </c>
      <c r="O31" s="93">
        <v>2.0775695012091084</v>
      </c>
      <c r="P31" s="93">
        <v>0.2544737074116219</v>
      </c>
      <c r="Q31" s="93">
        <v>0.6103809444492555</v>
      </c>
      <c r="R31" s="93">
        <f t="shared" si="6"/>
        <v>0.8648546518608774</v>
      </c>
      <c r="S31" s="106"/>
      <c r="T31" s="39">
        <f t="shared" si="7"/>
        <v>2.7851854419137734</v>
      </c>
      <c r="U31" s="93">
        <v>2.6518904596172663</v>
      </c>
      <c r="V31" s="93">
        <v>0.79924674060360146</v>
      </c>
      <c r="W31" s="93">
        <v>0.83839395920706195</v>
      </c>
      <c r="X31" s="93">
        <f t="shared" si="8"/>
        <v>1.6376406998106634</v>
      </c>
      <c r="Y31" s="90">
        <f t="shared" si="0"/>
        <v>0</v>
      </c>
      <c r="Z31" s="39">
        <f t="shared" si="9"/>
        <v>2.8165513572584899</v>
      </c>
      <c r="AA31" s="11">
        <v>2.214362158393115</v>
      </c>
      <c r="AB31" s="93">
        <v>0.76697330164247091</v>
      </c>
      <c r="AC31" s="93">
        <v>0.7089754858112105</v>
      </c>
      <c r="AD31" s="93">
        <f t="shared" si="10"/>
        <v>1.4759487874536814</v>
      </c>
      <c r="AE31" s="93"/>
      <c r="AF31" s="39">
        <f t="shared" si="11"/>
        <v>2.4947991741868014</v>
      </c>
      <c r="AG31" s="93">
        <v>9.3295900311954727E-2</v>
      </c>
      <c r="AH31" s="93">
        <v>7.3611029159494539E-3</v>
      </c>
      <c r="AI31" s="93">
        <v>2.6070156753053058E-2</v>
      </c>
      <c r="AJ31" s="93">
        <f t="shared" si="12"/>
        <v>3.3431259669002511E-2</v>
      </c>
      <c r="AL31" s="39">
        <f t="shared" si="13"/>
        <v>2.7753358006801676</v>
      </c>
      <c r="AM31" s="93">
        <v>0.4972447918516455</v>
      </c>
      <c r="AN31" s="93">
        <v>9.6394295735497987E-2</v>
      </c>
      <c r="AO31" s="93">
        <v>0.15657684325353696</v>
      </c>
      <c r="AP31" s="93">
        <f t="shared" si="14"/>
        <v>0.25297113898903495</v>
      </c>
      <c r="AQ31" s="106"/>
      <c r="AR31" s="39">
        <f t="shared" si="15"/>
        <v>2.8473360407721415</v>
      </c>
      <c r="AS31" s="93">
        <v>1.6238214662295147</v>
      </c>
      <c r="AT31" s="93">
        <v>0.66321790299102346</v>
      </c>
      <c r="AU31" s="93">
        <v>0.52632848580462055</v>
      </c>
      <c r="AV31" s="93">
        <f t="shared" si="16"/>
        <v>1.1895463887956441</v>
      </c>
      <c r="AW31" s="90">
        <f t="shared" si="17"/>
        <v>0</v>
      </c>
      <c r="AX31" s="39">
        <f t="shared" si="18"/>
        <v>2.6299606183572521</v>
      </c>
      <c r="AY31" s="11">
        <v>2.2783095768098032</v>
      </c>
      <c r="AZ31" s="93">
        <v>0.28087299486229567</v>
      </c>
      <c r="BA31" s="93">
        <v>0.67530864231188981</v>
      </c>
      <c r="BB31" s="93">
        <f t="shared" si="19"/>
        <v>0.95618163717418547</v>
      </c>
      <c r="BC31" s="93"/>
      <c r="BD31" s="39">
        <f t="shared" si="20"/>
        <v>2.5631080985660804</v>
      </c>
      <c r="BE31" s="93">
        <v>0.22101247964060855</v>
      </c>
      <c r="BF31" s="93">
        <v>-1.6947941898083588E-2</v>
      </c>
      <c r="BG31" s="93">
        <v>6.3648887364331108E-2</v>
      </c>
      <c r="BH31" s="93">
        <f t="shared" si="21"/>
        <v>4.670094546624752E-2</v>
      </c>
      <c r="BJ31" s="39">
        <f t="shared" si="22"/>
        <v>2.5856877347969265</v>
      </c>
      <c r="BK31" s="93">
        <v>1.1148096584511451</v>
      </c>
      <c r="BL31" s="93">
        <v>0.19268434666122614</v>
      </c>
      <c r="BM31" s="93">
        <v>0.32421576182958223</v>
      </c>
      <c r="BN31" s="93">
        <f t="shared" si="23"/>
        <v>0.51690010849080836</v>
      </c>
      <c r="BO31" s="106"/>
      <c r="BP31" s="39">
        <f t="shared" si="24"/>
        <v>2.6976564051442775</v>
      </c>
      <c r="BQ31" s="93">
        <v>0.94248743871804974</v>
      </c>
      <c r="BR31" s="93">
        <v>0.10513659009915316</v>
      </c>
      <c r="BS31" s="93">
        <v>0.28744399311797653</v>
      </c>
      <c r="BT31" s="93">
        <f t="shared" si="25"/>
        <v>0.39258058321712969</v>
      </c>
      <c r="BU31" s="90">
        <f t="shared" si="26"/>
        <v>0</v>
      </c>
      <c r="BV31" s="39">
        <f t="shared" si="27"/>
        <v>2.6073314286228833</v>
      </c>
      <c r="BW31" s="11">
        <v>0.44551231145339021</v>
      </c>
      <c r="BX31" s="93">
        <v>-8.3373030656131442E-3</v>
      </c>
      <c r="BY31" s="93">
        <v>0.13078107806231981</v>
      </c>
      <c r="BZ31" s="93">
        <f t="shared" si="28"/>
        <v>0.12244377499670667</v>
      </c>
      <c r="CA31" s="93"/>
      <c r="CB31" s="39">
        <f t="shared" si="29"/>
        <v>2.4365291604826034</v>
      </c>
      <c r="CC31" s="93">
        <v>8.6276945213152031E-2</v>
      </c>
      <c r="CD31" s="93">
        <v>-4.2074055456051036E-2</v>
      </c>
      <c r="CE31" s="93">
        <v>2.3482855274529982E-2</v>
      </c>
      <c r="CF31" s="93">
        <f t="shared" si="30"/>
        <v>-1.8591200181521054E-2</v>
      </c>
      <c r="CH31" s="39">
        <f t="shared" si="31"/>
        <v>2.6262299218310803</v>
      </c>
      <c r="CI31" s="93">
        <v>0.29498731949520918</v>
      </c>
      <c r="CJ31" s="93">
        <v>2.0855293533474064E-2</v>
      </c>
      <c r="CK31" s="93">
        <v>8.7297539162572352E-2</v>
      </c>
      <c r="CL31" s="93">
        <f t="shared" si="32"/>
        <v>0.10815283269604642</v>
      </c>
      <c r="CM31" s="106"/>
      <c r="CN31" s="39">
        <f t="shared" si="33"/>
        <v>2.7472823291570414</v>
      </c>
      <c r="CO31" s="93">
        <v>6.4248046745029E-2</v>
      </c>
      <c r="CP31" s="93">
        <v>1.2881458856963826E-2</v>
      </c>
      <c r="CQ31" s="93">
        <v>2.000068362521747E-2</v>
      </c>
      <c r="CR31" s="93">
        <f t="shared" si="34"/>
        <v>3.2882142482181298E-2</v>
      </c>
      <c r="CS31" s="90">
        <f t="shared" si="35"/>
        <v>0</v>
      </c>
      <c r="CT31" s="39">
        <f t="shared" si="36"/>
        <v>2.2508925088840614</v>
      </c>
      <c r="CU31" s="11">
        <v>0.45920002132750753</v>
      </c>
      <c r="CV31" s="93">
        <v>0.10129318817382489</v>
      </c>
      <c r="CW31" s="93">
        <v>0.11448429148622874</v>
      </c>
      <c r="CX31" s="93">
        <f t="shared" si="37"/>
        <v>0.21577747966005362</v>
      </c>
      <c r="CY31" s="93"/>
      <c r="CZ31" s="39">
        <f t="shared" si="38"/>
        <v>2.2790784934704211</v>
      </c>
      <c r="DA31" s="93">
        <v>0.26733878199172612</v>
      </c>
      <c r="DB31" s="93">
        <v>0.13874262803594034</v>
      </c>
      <c r="DC31" s="93">
        <v>6.7572694623417223E-2</v>
      </c>
      <c r="DD31" s="93">
        <f t="shared" si="39"/>
        <v>0.20631532265935756</v>
      </c>
      <c r="DF31" s="39">
        <f t="shared" si="40"/>
        <v>2.2401417134240154</v>
      </c>
      <c r="DG31" s="93">
        <v>0.17052773141110822</v>
      </c>
      <c r="DH31" s="93">
        <v>-5.5460228518576328E-2</v>
      </c>
      <c r="DI31" s="93">
        <v>4.2290800203563968E-2</v>
      </c>
      <c r="DJ31" s="93">
        <f t="shared" si="41"/>
        <v>-1.316942831501236E-2</v>
      </c>
      <c r="DK31" s="106"/>
      <c r="DL31" s="39">
        <f t="shared" si="42"/>
        <v>1.9799306613629053</v>
      </c>
      <c r="DM31" s="93">
        <v>2.1333507924673225E-2</v>
      </c>
      <c r="DN31" s="93">
        <v>1.8010788656460896E-2</v>
      </c>
      <c r="DO31" s="93">
        <v>4.6207966592475454E-3</v>
      </c>
      <c r="DP31" s="93">
        <f t="shared" si="43"/>
        <v>2.2631585315708441E-2</v>
      </c>
    </row>
    <row r="32" spans="1:120" x14ac:dyDescent="0.2">
      <c r="A32" s="90">
        <f>name!B28</f>
        <v>0</v>
      </c>
      <c r="B32" s="39">
        <f t="shared" si="1"/>
        <v>2.7212419765566098</v>
      </c>
      <c r="C32" s="11">
        <v>123.7608458367669</v>
      </c>
      <c r="D32" s="93">
        <v>13.119074771958418</v>
      </c>
      <c r="E32" s="93">
        <v>38.116429497024313</v>
      </c>
      <c r="F32" s="93">
        <f t="shared" si="2"/>
        <v>51.23550426898273</v>
      </c>
      <c r="G32" s="93"/>
      <c r="H32" s="39">
        <f t="shared" si="3"/>
        <v>2.5243885852895165</v>
      </c>
      <c r="I32" s="93">
        <v>26.847077802333636</v>
      </c>
      <c r="J32" s="93">
        <v>-7.8031435741815161</v>
      </c>
      <c r="K32" s="93">
        <v>7.6013099907891046</v>
      </c>
      <c r="L32" s="93">
        <f t="shared" si="4"/>
        <v>-0.20183358339241142</v>
      </c>
      <c r="N32" s="39">
        <f t="shared" si="5"/>
        <v>2.6624455318525975</v>
      </c>
      <c r="O32" s="93">
        <v>63.941359181744446</v>
      </c>
      <c r="P32" s="93">
        <v>7.8349731558739144</v>
      </c>
      <c r="Q32" s="93">
        <v>19.215469387990549</v>
      </c>
      <c r="R32" s="93">
        <f t="shared" si="6"/>
        <v>27.050442543864463</v>
      </c>
      <c r="S32" s="106"/>
      <c r="T32" s="39">
        <f t="shared" si="7"/>
        <v>2.9906749697417023</v>
      </c>
      <c r="U32" s="93">
        <v>32.972408852688829</v>
      </c>
      <c r="V32" s="93">
        <v>13.087245190266019</v>
      </c>
      <c r="W32" s="93">
        <v>11.299650118244649</v>
      </c>
      <c r="X32" s="93">
        <f t="shared" si="8"/>
        <v>24.386895308510667</v>
      </c>
      <c r="Y32" s="90">
        <f t="shared" si="0"/>
        <v>0</v>
      </c>
      <c r="Z32" s="39">
        <f t="shared" si="9"/>
        <v>3.0765850108950499</v>
      </c>
      <c r="AA32" s="11">
        <v>38.83635765848959</v>
      </c>
      <c r="AB32" s="93">
        <v>9.7986800365741935</v>
      </c>
      <c r="AC32" s="93">
        <v>13.745837027625093</v>
      </c>
      <c r="AD32" s="93">
        <f t="shared" si="10"/>
        <v>23.544517064199287</v>
      </c>
      <c r="AE32" s="93"/>
      <c r="AF32" s="39">
        <f t="shared" si="11"/>
        <v>3.0191901547181432</v>
      </c>
      <c r="AG32" s="93">
        <v>2.7303033528832836</v>
      </c>
      <c r="AH32" s="93">
        <v>7.5430584829441968E-2</v>
      </c>
      <c r="AI32" s="93">
        <v>0.94583812987341553</v>
      </c>
      <c r="AJ32" s="93">
        <f t="shared" si="12"/>
        <v>1.0212687147028574</v>
      </c>
      <c r="AL32" s="39">
        <f t="shared" si="13"/>
        <v>3.0173281094963533</v>
      </c>
      <c r="AM32" s="93">
        <v>15.834000720976697</v>
      </c>
      <c r="AN32" s="93">
        <v>4.2727073292572078</v>
      </c>
      <c r="AO32" s="93">
        <v>5.4813988049700901</v>
      </c>
      <c r="AP32" s="93">
        <f t="shared" si="14"/>
        <v>9.7541061342272979</v>
      </c>
      <c r="AQ32" s="106"/>
      <c r="AR32" s="39">
        <f t="shared" si="15"/>
        <v>3.1303340410858471</v>
      </c>
      <c r="AS32" s="93">
        <v>20.272053584629607</v>
      </c>
      <c r="AT32" s="93">
        <v>5.4505421224875432</v>
      </c>
      <c r="AU32" s="93">
        <v>7.3186000927815886</v>
      </c>
      <c r="AV32" s="93">
        <f t="shared" si="16"/>
        <v>12.769142215269131</v>
      </c>
      <c r="AW32" s="90">
        <f t="shared" si="17"/>
        <v>0</v>
      </c>
      <c r="AX32" s="39">
        <f t="shared" si="18"/>
        <v>2.6584881857450782</v>
      </c>
      <c r="AY32" s="11">
        <v>47.806403154901318</v>
      </c>
      <c r="AZ32" s="93">
        <v>-7.0421609841178725</v>
      </c>
      <c r="BA32" s="93">
        <v>14.342678022761262</v>
      </c>
      <c r="BB32" s="93">
        <f t="shared" si="19"/>
        <v>7.30051703864339</v>
      </c>
      <c r="BC32" s="93"/>
      <c r="BD32" s="39">
        <f t="shared" si="20"/>
        <v>2.6161806421257428</v>
      </c>
      <c r="BE32" s="93">
        <v>10.847301910693686</v>
      </c>
      <c r="BF32" s="93">
        <v>-4.5098176413100948</v>
      </c>
      <c r="BG32" s="93">
        <v>3.196354334448817</v>
      </c>
      <c r="BH32" s="93">
        <f t="shared" si="21"/>
        <v>-1.3134633068612778</v>
      </c>
      <c r="BJ32" s="39">
        <f t="shared" si="22"/>
        <v>2.6374751567947108</v>
      </c>
      <c r="BK32" s="93">
        <v>28.371369231702417</v>
      </c>
      <c r="BL32" s="93">
        <v>-3.0931884379730161</v>
      </c>
      <c r="BM32" s="93">
        <v>8.4364337781793513</v>
      </c>
      <c r="BN32" s="93">
        <f t="shared" si="23"/>
        <v>5.3432453402063356</v>
      </c>
      <c r="BO32" s="106"/>
      <c r="BP32" s="39">
        <f t="shared" si="24"/>
        <v>2.7805305911498435</v>
      </c>
      <c r="BQ32" s="93">
        <v>8.5877320125052172</v>
      </c>
      <c r="BR32" s="93">
        <v>0.56084509516523873</v>
      </c>
      <c r="BS32" s="93">
        <v>2.7098899101330933</v>
      </c>
      <c r="BT32" s="93">
        <f t="shared" si="25"/>
        <v>3.2707350052983322</v>
      </c>
      <c r="BU32" s="90">
        <f t="shared" si="26"/>
        <v>0</v>
      </c>
      <c r="BV32" s="39">
        <f t="shared" si="27"/>
        <v>2.6565095608896083</v>
      </c>
      <c r="BW32" s="11">
        <v>19.849533341962385</v>
      </c>
      <c r="BX32" s="93">
        <v>1.9836189361300114</v>
      </c>
      <c r="BY32" s="93">
        <v>5.9502012149531671</v>
      </c>
      <c r="BZ32" s="93">
        <f t="shared" si="28"/>
        <v>7.9338201510831787</v>
      </c>
      <c r="CA32" s="93"/>
      <c r="CB32" s="39">
        <f t="shared" si="29"/>
        <v>2.6205599538537738</v>
      </c>
      <c r="CC32" s="93">
        <v>6.8203543745401731</v>
      </c>
      <c r="CD32" s="93">
        <v>-1.6267924145713057</v>
      </c>
      <c r="CE32" s="93">
        <v>2.0135102832400635</v>
      </c>
      <c r="CF32" s="93">
        <f t="shared" si="30"/>
        <v>0.38671786866875779</v>
      </c>
      <c r="CH32" s="39">
        <f t="shared" si="31"/>
        <v>2.6438862721386736</v>
      </c>
      <c r="CI32" s="93">
        <v>10.586487257709154</v>
      </c>
      <c r="CJ32" s="93">
        <v>1.7602610215326151</v>
      </c>
      <c r="CK32" s="93">
        <v>3.1565507372840993</v>
      </c>
      <c r="CL32" s="93">
        <f t="shared" si="32"/>
        <v>4.9168117588167144</v>
      </c>
      <c r="CM32" s="106"/>
      <c r="CN32" s="39">
        <f t="shared" si="33"/>
        <v>2.8103646649090264</v>
      </c>
      <c r="CO32" s="93">
        <v>2.4426917097130554</v>
      </c>
      <c r="CP32" s="93">
        <v>1.850150329168702</v>
      </c>
      <c r="CQ32" s="93">
        <v>0.78014019442900417</v>
      </c>
      <c r="CR32" s="93">
        <f t="shared" si="34"/>
        <v>2.6302905235977061</v>
      </c>
      <c r="CS32" s="90">
        <f t="shared" si="35"/>
        <v>0</v>
      </c>
      <c r="CT32" s="39">
        <f t="shared" si="36"/>
        <v>2.1425269866725216</v>
      </c>
      <c r="CU32" s="11">
        <v>17.268551681413616</v>
      </c>
      <c r="CV32" s="93">
        <v>8.3789367833720867</v>
      </c>
      <c r="CW32" s="93">
        <v>4.0777132316847844</v>
      </c>
      <c r="CX32" s="93">
        <f t="shared" si="37"/>
        <v>12.456650015056871</v>
      </c>
      <c r="CY32" s="93"/>
      <c r="CZ32" s="39">
        <f t="shared" si="38"/>
        <v>2.0431060525095246</v>
      </c>
      <c r="DA32" s="93">
        <v>6.4491181642164932</v>
      </c>
      <c r="DB32" s="93">
        <v>-1.7419641031295572</v>
      </c>
      <c r="DC32" s="93">
        <v>1.4456072432268086</v>
      </c>
      <c r="DD32" s="93">
        <f t="shared" si="39"/>
        <v>-0.29635685990274863</v>
      </c>
      <c r="DF32" s="39">
        <f t="shared" si="40"/>
        <v>2.1249626362792373</v>
      </c>
      <c r="DG32" s="93">
        <v>9.1495019713561767</v>
      </c>
      <c r="DH32" s="93">
        <v>4.8951932430571077</v>
      </c>
      <c r="DI32" s="93">
        <v>2.1410860675570116</v>
      </c>
      <c r="DJ32" s="93">
        <f t="shared" si="41"/>
        <v>7.0362793106141197</v>
      </c>
      <c r="DK32" s="106"/>
      <c r="DL32" s="39">
        <f t="shared" si="42"/>
        <v>2.6111687821135154</v>
      </c>
      <c r="DM32" s="93">
        <v>1.6699315458409487</v>
      </c>
      <c r="DN32" s="93">
        <v>5.2257076434445349</v>
      </c>
      <c r="DO32" s="93">
        <v>0.49101992090096452</v>
      </c>
      <c r="DP32" s="93">
        <f t="shared" si="43"/>
        <v>5.7167275643454998</v>
      </c>
    </row>
    <row r="33" spans="1:120" x14ac:dyDescent="0.2">
      <c r="A33" s="90">
        <f>name!B29</f>
        <v>0</v>
      </c>
      <c r="B33" s="39">
        <f t="shared" si="1"/>
        <v>3.0653273318685947</v>
      </c>
      <c r="C33" s="11">
        <v>154.97099999999972</v>
      </c>
      <c r="D33" s="93">
        <v>3.3030000000000879</v>
      </c>
      <c r="E33" s="93">
        <v>54.621773436017577</v>
      </c>
      <c r="F33" s="93">
        <f t="shared" si="2"/>
        <v>57.924773436017666</v>
      </c>
      <c r="G33" s="93"/>
      <c r="H33" s="39">
        <f t="shared" si="3"/>
        <v>2.9436319407800893</v>
      </c>
      <c r="I33" s="93">
        <v>50.957790570188273</v>
      </c>
      <c r="J33" s="93">
        <v>-5.207332958391917</v>
      </c>
      <c r="K33" s="93">
        <v>17.151358481765701</v>
      </c>
      <c r="L33" s="93">
        <f t="shared" si="4"/>
        <v>11.944025523373785</v>
      </c>
      <c r="N33" s="39">
        <f t="shared" si="5"/>
        <v>3.080091904459592</v>
      </c>
      <c r="O33" s="93">
        <v>82.75191339584687</v>
      </c>
      <c r="P33" s="93">
        <v>5.6365125249630674</v>
      </c>
      <c r="Q33" s="93">
        <v>29.327542834156286</v>
      </c>
      <c r="R33" s="93">
        <f t="shared" si="6"/>
        <v>34.964055359119357</v>
      </c>
      <c r="S33" s="106"/>
      <c r="T33" s="39">
        <f t="shared" si="7"/>
        <v>3.2956222869682472</v>
      </c>
      <c r="U33" s="93">
        <v>21.261296033964598</v>
      </c>
      <c r="V33" s="93">
        <v>2.873820433428937</v>
      </c>
      <c r="W33" s="93">
        <v>8.1428721200955785</v>
      </c>
      <c r="X33" s="93">
        <f t="shared" si="8"/>
        <v>11.016692553524516</v>
      </c>
      <c r="Y33" s="90">
        <f t="shared" si="0"/>
        <v>0</v>
      </c>
      <c r="Z33" s="39">
        <f t="shared" si="9"/>
        <v>4.0504340600003408</v>
      </c>
      <c r="AA33" s="11">
        <v>43.296648877844632</v>
      </c>
      <c r="AB33" s="93">
        <v>-7.3473712231151156</v>
      </c>
      <c r="AC33" s="93">
        <v>21.104445332065058</v>
      </c>
      <c r="AD33" s="93">
        <f t="shared" si="10"/>
        <v>13.757074108949944</v>
      </c>
      <c r="AE33" s="93"/>
      <c r="AF33" s="39">
        <f t="shared" si="11"/>
        <v>4.0754800931313673</v>
      </c>
      <c r="AG33" s="93">
        <v>10.106732188154798</v>
      </c>
      <c r="AH33" s="93">
        <v>-4.7657768055697005</v>
      </c>
      <c r="AI33" s="93">
        <v>4.9626340231866539</v>
      </c>
      <c r="AJ33" s="93">
        <f t="shared" si="12"/>
        <v>0.19685721761695341</v>
      </c>
      <c r="AL33" s="39">
        <f t="shared" si="13"/>
        <v>4.032928627335286</v>
      </c>
      <c r="AM33" s="93">
        <v>24.904995907126381</v>
      </c>
      <c r="AN33" s="93">
        <v>-2.8493267756162344</v>
      </c>
      <c r="AO33" s="93">
        <v>12.077372396997415</v>
      </c>
      <c r="AP33" s="93">
        <f t="shared" si="14"/>
        <v>9.228045621381181</v>
      </c>
      <c r="AQ33" s="106"/>
      <c r="AR33" s="39">
        <f t="shared" si="15"/>
        <v>4.0724091362593917</v>
      </c>
      <c r="AS33" s="93">
        <v>8.2849207825634537</v>
      </c>
      <c r="AT33" s="93">
        <v>0.26773235807081874</v>
      </c>
      <c r="AU33" s="93">
        <v>4.0644389118809876</v>
      </c>
      <c r="AV33" s="93">
        <f t="shared" si="16"/>
        <v>4.3321712699518065</v>
      </c>
      <c r="AW33" s="90">
        <f t="shared" si="17"/>
        <v>0</v>
      </c>
      <c r="AX33" s="39">
        <f t="shared" si="18"/>
        <v>2.5547598396461035</v>
      </c>
      <c r="AY33" s="11">
        <v>78.997845710276223</v>
      </c>
      <c r="AZ33" s="93">
        <v>9.7021663700437788</v>
      </c>
      <c r="BA33" s="93">
        <v>22.667623064076533</v>
      </c>
      <c r="BB33" s="93">
        <f t="shared" si="19"/>
        <v>32.369789434120314</v>
      </c>
      <c r="BC33" s="93"/>
      <c r="BD33" s="39">
        <f t="shared" si="20"/>
        <v>2.5174195387168252</v>
      </c>
      <c r="BE33" s="93">
        <v>26.37395315468379</v>
      </c>
      <c r="BF33" s="93">
        <v>1.6686028083983007</v>
      </c>
      <c r="BG33" s="93">
        <v>7.4443560709851919</v>
      </c>
      <c r="BH33" s="93">
        <f t="shared" si="21"/>
        <v>9.112958879383493</v>
      </c>
      <c r="BJ33" s="39">
        <f t="shared" si="22"/>
        <v>2.5486671581746334</v>
      </c>
      <c r="BK33" s="93">
        <v>42.663657472306795</v>
      </c>
      <c r="BL33" s="93">
        <v>6.2773062085895344</v>
      </c>
      <c r="BM33" s="93">
        <v>12.209289576322305</v>
      </c>
      <c r="BN33" s="93">
        <f t="shared" si="23"/>
        <v>18.486595784911842</v>
      </c>
      <c r="BO33" s="106"/>
      <c r="BP33" s="39">
        <f t="shared" si="24"/>
        <v>2.6788844840362147</v>
      </c>
      <c r="BQ33" s="93">
        <v>9.9602350832856388</v>
      </c>
      <c r="BR33" s="93">
        <v>1.7562573530559429</v>
      </c>
      <c r="BS33" s="93">
        <v>3.0139774167690323</v>
      </c>
      <c r="BT33" s="93">
        <f t="shared" si="25"/>
        <v>4.7702347698249756</v>
      </c>
      <c r="BU33" s="90">
        <f t="shared" si="26"/>
        <v>0</v>
      </c>
      <c r="BV33" s="39">
        <f t="shared" si="27"/>
        <v>2.6173395636761576</v>
      </c>
      <c r="BW33" s="11">
        <v>3.1913404184740064</v>
      </c>
      <c r="BX33" s="93">
        <v>1.1226335486044625</v>
      </c>
      <c r="BY33" s="93">
        <v>0.94085301244670572</v>
      </c>
      <c r="BZ33" s="93">
        <f t="shared" si="28"/>
        <v>2.0634865610511683</v>
      </c>
      <c r="CA33" s="93"/>
      <c r="CB33" s="39">
        <f t="shared" si="29"/>
        <v>2.5929383707474774</v>
      </c>
      <c r="CC33" s="93">
        <v>1.3470262007787908</v>
      </c>
      <c r="CD33" s="93">
        <v>-0.26599294418410591</v>
      </c>
      <c r="CE33" s="93">
        <v>0.39297973448013812</v>
      </c>
      <c r="CF33" s="93">
        <f t="shared" si="30"/>
        <v>0.12698679029603221</v>
      </c>
      <c r="CH33" s="39">
        <f t="shared" si="31"/>
        <v>2.6512654768499289</v>
      </c>
      <c r="CI33" s="93">
        <v>1.6842985207880887</v>
      </c>
      <c r="CJ33" s="93">
        <v>1.2839192112138034</v>
      </c>
      <c r="CK33" s="93">
        <v>0.50377617701394806</v>
      </c>
      <c r="CL33" s="93">
        <f t="shared" si="32"/>
        <v>1.7876953882277515</v>
      </c>
      <c r="CM33" s="106"/>
      <c r="CN33" s="39">
        <f t="shared" si="33"/>
        <v>2.4638723480357561</v>
      </c>
      <c r="CO33" s="93">
        <v>0.16001569690712689</v>
      </c>
      <c r="CP33" s="93">
        <v>0.10470728157476483</v>
      </c>
      <c r="CQ33" s="93">
        <v>4.4097100952619553E-2</v>
      </c>
      <c r="CR33" s="93">
        <f t="shared" si="34"/>
        <v>0.14880438252738437</v>
      </c>
      <c r="CS33" s="90">
        <f t="shared" si="35"/>
        <v>0</v>
      </c>
      <c r="CT33" s="39">
        <f t="shared" si="36"/>
        <v>2.939646040038868</v>
      </c>
      <c r="CU33" s="11">
        <v>29.485164993404876</v>
      </c>
      <c r="CV33" s="93">
        <v>-0.17442869553303728</v>
      </c>
      <c r="CW33" s="93">
        <v>9.9088520274292744</v>
      </c>
      <c r="CX33" s="93">
        <f t="shared" si="37"/>
        <v>9.7344233318962363</v>
      </c>
      <c r="CY33" s="93"/>
      <c r="CZ33" s="39">
        <f t="shared" si="38"/>
        <v>2.9037153176336705</v>
      </c>
      <c r="DA33" s="93">
        <v>13.13007902657089</v>
      </c>
      <c r="DB33" s="93">
        <v>-1.8441660170364109</v>
      </c>
      <c r="DC33" s="93">
        <v>4.3513886531137187</v>
      </c>
      <c r="DD33" s="93">
        <f t="shared" si="39"/>
        <v>2.5072226360773078</v>
      </c>
      <c r="DF33" s="39">
        <f t="shared" si="40"/>
        <v>2.9399957923162523</v>
      </c>
      <c r="DG33" s="93">
        <v>13.498961495625606</v>
      </c>
      <c r="DH33" s="93">
        <v>0.92461388077596329</v>
      </c>
      <c r="DI33" s="93">
        <v>4.5371046838226157</v>
      </c>
      <c r="DJ33" s="93">
        <f t="shared" si="41"/>
        <v>5.4617185645985789</v>
      </c>
      <c r="DK33" s="106"/>
      <c r="DL33" s="39">
        <f t="shared" si="42"/>
        <v>3.1017595685842725</v>
      </c>
      <c r="DM33" s="93">
        <v>2.856124471208378</v>
      </c>
      <c r="DN33" s="93">
        <v>0.74512344072741044</v>
      </c>
      <c r="DO33" s="93">
        <v>1.0203586904929389</v>
      </c>
      <c r="DP33" s="93">
        <f t="shared" si="43"/>
        <v>1.7654821312203492</v>
      </c>
    </row>
    <row r="34" spans="1:120" x14ac:dyDescent="0.2">
      <c r="A34" s="90">
        <f>name!B30</f>
        <v>0</v>
      </c>
      <c r="B34" s="39">
        <f t="shared" si="1"/>
        <v>2.9160956930703641</v>
      </c>
      <c r="C34" s="11">
        <v>23.473999999999943</v>
      </c>
      <c r="D34" s="93">
        <v>1.4800000000000508</v>
      </c>
      <c r="E34" s="93">
        <v>7.8170489049169243</v>
      </c>
      <c r="F34" s="93">
        <f t="shared" si="2"/>
        <v>9.2970489049169753</v>
      </c>
      <c r="G34" s="93"/>
      <c r="H34" s="39">
        <f t="shared" si="3"/>
        <v>2.8413998152179376</v>
      </c>
      <c r="I34" s="93">
        <v>1.0959429864268337</v>
      </c>
      <c r="J34" s="93">
        <v>-0.1037259015403591</v>
      </c>
      <c r="K34" s="93">
        <v>0.35439010241011099</v>
      </c>
      <c r="L34" s="93">
        <f t="shared" si="4"/>
        <v>0.25066420086975189</v>
      </c>
      <c r="N34" s="39">
        <f t="shared" si="5"/>
        <v>2.7368083593868553</v>
      </c>
      <c r="O34" s="93">
        <v>5.7095877901633001</v>
      </c>
      <c r="P34" s="93">
        <v>-0.37327834266091714</v>
      </c>
      <c r="Q34" s="93">
        <v>1.7697896880944277</v>
      </c>
      <c r="R34" s="93">
        <f t="shared" si="6"/>
        <v>1.3965113454335105</v>
      </c>
      <c r="S34" s="106"/>
      <c r="T34" s="39">
        <f t="shared" si="7"/>
        <v>2.9817357423914226</v>
      </c>
      <c r="U34" s="93">
        <v>16.668469223409804</v>
      </c>
      <c r="V34" s="93">
        <v>1.9570042442013271</v>
      </c>
      <c r="W34" s="93">
        <v>5.6928691144123853</v>
      </c>
      <c r="X34" s="93">
        <f t="shared" si="8"/>
        <v>7.6498733586137124</v>
      </c>
      <c r="Y34" s="90">
        <f t="shared" si="0"/>
        <v>0</v>
      </c>
      <c r="Z34" s="39">
        <f t="shared" si="9"/>
        <v>2.9622047611067126</v>
      </c>
      <c r="AA34" s="11">
        <v>19.751750114413298</v>
      </c>
      <c r="AB34" s="93">
        <v>1.9847428369989049</v>
      </c>
      <c r="AC34" s="93">
        <v>6.6957068627363743</v>
      </c>
      <c r="AD34" s="93">
        <f t="shared" si="10"/>
        <v>8.6804496997352789</v>
      </c>
      <c r="AE34" s="93"/>
      <c r="AF34" s="39">
        <f t="shared" si="11"/>
        <v>2.8503434562277441</v>
      </c>
      <c r="AG34" s="93">
        <v>0.53141404120681335</v>
      </c>
      <c r="AH34" s="93">
        <v>5.7773207866578854E-3</v>
      </c>
      <c r="AI34" s="93">
        <v>0.17245277094298822</v>
      </c>
      <c r="AJ34" s="93">
        <f t="shared" si="12"/>
        <v>0.1782300917296461</v>
      </c>
      <c r="AL34" s="39">
        <f t="shared" si="13"/>
        <v>2.8052118952712313</v>
      </c>
      <c r="AM34" s="93">
        <v>3.8176590294715562</v>
      </c>
      <c r="AN34" s="93">
        <v>-9.3651610208796005E-2</v>
      </c>
      <c r="AO34" s="93">
        <v>1.2167495955135688</v>
      </c>
      <c r="AP34" s="93">
        <f t="shared" si="14"/>
        <v>1.1230979853047727</v>
      </c>
      <c r="AQ34" s="106"/>
      <c r="AR34" s="39">
        <f t="shared" si="15"/>
        <v>3.0046124829515852</v>
      </c>
      <c r="AS34" s="93">
        <v>15.402677043734929</v>
      </c>
      <c r="AT34" s="93">
        <v>2.0726171264210431</v>
      </c>
      <c r="AU34" s="93">
        <v>5.3065044962798176</v>
      </c>
      <c r="AV34" s="93">
        <f t="shared" si="16"/>
        <v>7.3791216227008611</v>
      </c>
      <c r="AW34" s="90">
        <f t="shared" si="17"/>
        <v>0</v>
      </c>
      <c r="AX34" s="39">
        <f t="shared" si="18"/>
        <v>2.6373612310459427</v>
      </c>
      <c r="AY34" s="11">
        <v>2.374731535280187</v>
      </c>
      <c r="AZ34" s="93">
        <v>-0.52610301968475415</v>
      </c>
      <c r="BA34" s="93">
        <v>0.70610956275344761</v>
      </c>
      <c r="BB34" s="93">
        <f t="shared" si="19"/>
        <v>0.18000654306869346</v>
      </c>
      <c r="BC34" s="93"/>
      <c r="BD34" s="39">
        <f t="shared" si="20"/>
        <v>2.6142974667533903</v>
      </c>
      <c r="BE34" s="93">
        <v>0.19374258077031151</v>
      </c>
      <c r="BF34" s="93">
        <v>-6.9067346278153099E-2</v>
      </c>
      <c r="BG34" s="93">
        <v>5.7043738869553398E-2</v>
      </c>
      <c r="BH34" s="93">
        <f t="shared" si="21"/>
        <v>-1.2023607408599701E-2</v>
      </c>
      <c r="BJ34" s="39">
        <f t="shared" si="22"/>
        <v>2.5779959595980673</v>
      </c>
      <c r="BK34" s="93">
        <v>1.3032102618231316</v>
      </c>
      <c r="BL34" s="93">
        <v>-0.29057782168208351</v>
      </c>
      <c r="BM34" s="93">
        <v>0.37774669225068269</v>
      </c>
      <c r="BN34" s="93">
        <f t="shared" si="23"/>
        <v>8.7168870568599177E-2</v>
      </c>
      <c r="BO34" s="106"/>
      <c r="BP34" s="39">
        <f t="shared" si="24"/>
        <v>2.7299783965388569</v>
      </c>
      <c r="BQ34" s="93">
        <v>0.87777869268674391</v>
      </c>
      <c r="BR34" s="93">
        <v>-0.16645785172451752</v>
      </c>
      <c r="BS34" s="93">
        <v>0.27131913163321136</v>
      </c>
      <c r="BT34" s="93">
        <f t="shared" si="25"/>
        <v>0.10486127990869384</v>
      </c>
      <c r="BU34" s="90">
        <f t="shared" si="26"/>
        <v>0</v>
      </c>
      <c r="BV34" s="39">
        <f t="shared" si="27"/>
        <v>2.6468617353205159</v>
      </c>
      <c r="BW34" s="11">
        <v>1.0085113638560528</v>
      </c>
      <c r="BX34" s="93">
        <v>-2.6892226884003306E-2</v>
      </c>
      <c r="BY34" s="93">
        <v>0.30108528970707676</v>
      </c>
      <c r="BZ34" s="93">
        <f t="shared" si="28"/>
        <v>0.27419306282307343</v>
      </c>
      <c r="CA34" s="93"/>
      <c r="CB34" s="39">
        <f t="shared" si="29"/>
        <v>2.9715317472071456</v>
      </c>
      <c r="CC34" s="93">
        <v>0.11005468485323042</v>
      </c>
      <c r="CD34" s="93">
        <v>-1.7792453645316623E-2</v>
      </c>
      <c r="CE34" s="93">
        <v>3.7441322944962968E-2</v>
      </c>
      <c r="CF34" s="93">
        <f t="shared" si="30"/>
        <v>1.9648869299646345E-2</v>
      </c>
      <c r="CH34" s="39">
        <f t="shared" si="31"/>
        <v>2.6078916675794428</v>
      </c>
      <c r="CI34" s="93">
        <v>0.53681981591731076</v>
      </c>
      <c r="CJ34" s="93">
        <v>-2.205025681449153E-2</v>
      </c>
      <c r="CK34" s="93">
        <v>0.1576225040625937</v>
      </c>
      <c r="CL34" s="93">
        <f t="shared" si="32"/>
        <v>0.13557224724810218</v>
      </c>
      <c r="CM34" s="106"/>
      <c r="CN34" s="39">
        <f t="shared" si="33"/>
        <v>2.604308479860018</v>
      </c>
      <c r="CO34" s="93">
        <v>0.36163686308551168</v>
      </c>
      <c r="CP34" s="93">
        <v>1.2950483575804845E-2</v>
      </c>
      <c r="CQ34" s="93">
        <v>0.10602146269952011</v>
      </c>
      <c r="CR34" s="93">
        <f t="shared" si="34"/>
        <v>0.11897194627532495</v>
      </c>
      <c r="CS34" s="90">
        <f t="shared" si="35"/>
        <v>0</v>
      </c>
      <c r="CT34" s="39">
        <f t="shared" si="36"/>
        <v>2.9446387229132842</v>
      </c>
      <c r="CU34" s="11">
        <v>0.33900698645039778</v>
      </c>
      <c r="CV34" s="93">
        <v>4.8252409569903426E-2</v>
      </c>
      <c r="CW34" s="93">
        <v>0.11414718972002513</v>
      </c>
      <c r="CX34" s="93">
        <f t="shared" si="37"/>
        <v>0.16239959928992856</v>
      </c>
      <c r="CY34" s="93"/>
      <c r="CZ34" s="39">
        <f t="shared" si="38"/>
        <v>2.9346268426516664</v>
      </c>
      <c r="DA34" s="93">
        <v>0.26073167959647875</v>
      </c>
      <c r="DB34" s="93">
        <v>-2.2643422403547261E-2</v>
      </c>
      <c r="DC34" s="93">
        <v>8.7452269652606385E-2</v>
      </c>
      <c r="DD34" s="93">
        <f t="shared" si="39"/>
        <v>6.4808847249059123E-2</v>
      </c>
      <c r="DF34" s="39">
        <f t="shared" si="40"/>
        <v>2.9736967059325492</v>
      </c>
      <c r="DG34" s="93">
        <v>5.1898682951301692E-2</v>
      </c>
      <c r="DH34" s="93">
        <v>3.3001346044453983E-2</v>
      </c>
      <c r="DI34" s="93">
        <v>1.7670896267582607E-2</v>
      </c>
      <c r="DJ34" s="93">
        <f t="shared" si="41"/>
        <v>5.067224231203659E-2</v>
      </c>
      <c r="DK34" s="106"/>
      <c r="DL34" s="39">
        <f t="shared" si="42"/>
        <v>2.986239445321015</v>
      </c>
      <c r="DM34" s="93">
        <v>2.637662390261741E-2</v>
      </c>
      <c r="DN34" s="93">
        <v>3.7894485928996711E-2</v>
      </c>
      <c r="DO34" s="93">
        <v>9.0240237998361478E-3</v>
      </c>
      <c r="DP34" s="93">
        <f t="shared" si="43"/>
        <v>4.6918509728832859E-2</v>
      </c>
    </row>
    <row r="35" spans="1:120" x14ac:dyDescent="0.2">
      <c r="A35" s="90">
        <f>name!B31</f>
        <v>0</v>
      </c>
      <c r="B35" s="39">
        <f t="shared" si="1"/>
        <v>2.8621080323697479</v>
      </c>
      <c r="C35" s="11">
        <v>28.894999999999936</v>
      </c>
      <c r="D35" s="93">
        <v>1.6460000000000381</v>
      </c>
      <c r="E35" s="93">
        <v>9.420712233917067</v>
      </c>
      <c r="F35" s="93">
        <f t="shared" si="2"/>
        <v>11.066712233917105</v>
      </c>
      <c r="G35" s="93"/>
      <c r="H35" s="39">
        <f t="shared" si="3"/>
        <v>2.6633825373017173</v>
      </c>
      <c r="I35" s="93">
        <v>1.9794220652335754</v>
      </c>
      <c r="J35" s="93">
        <v>-0.35248216003289656</v>
      </c>
      <c r="K35" s="93">
        <v>0.59508506788336712</v>
      </c>
      <c r="L35" s="93">
        <f t="shared" si="4"/>
        <v>0.24260290785047056</v>
      </c>
      <c r="N35" s="39">
        <f t="shared" si="5"/>
        <v>2.6696771260062091</v>
      </c>
      <c r="O35" s="93">
        <v>10.289648262531291</v>
      </c>
      <c r="P35" s="93">
        <v>0.71798490602012099</v>
      </c>
      <c r="Q35" s="93">
        <v>3.1016441026996522</v>
      </c>
      <c r="R35" s="93">
        <f t="shared" si="6"/>
        <v>3.8196290087197733</v>
      </c>
      <c r="S35" s="106"/>
      <c r="T35" s="39">
        <f t="shared" si="7"/>
        <v>3.0027901952621061</v>
      </c>
      <c r="U35" s="93">
        <v>16.625929672235067</v>
      </c>
      <c r="V35" s="93">
        <v>1.2804972540128137</v>
      </c>
      <c r="W35" s="93">
        <v>5.7239830633340478</v>
      </c>
      <c r="X35" s="93">
        <f t="shared" si="8"/>
        <v>7.0044803173468617</v>
      </c>
      <c r="Y35" s="90">
        <f t="shared" si="0"/>
        <v>0</v>
      </c>
      <c r="Z35" s="39">
        <f t="shared" si="9"/>
        <v>3.0215443790052143</v>
      </c>
      <c r="AA35" s="11">
        <v>17.580481963655998</v>
      </c>
      <c r="AB35" s="93">
        <v>2.8098087008328023</v>
      </c>
      <c r="AC35" s="93">
        <v>6.095681909765899</v>
      </c>
      <c r="AD35" s="93">
        <f t="shared" si="10"/>
        <v>8.9054906105987008</v>
      </c>
      <c r="AE35" s="93"/>
      <c r="AF35" s="39">
        <f t="shared" si="11"/>
        <v>2.9707695648767851</v>
      </c>
      <c r="AG35" s="93">
        <v>0.5967101275394916</v>
      </c>
      <c r="AH35" s="93">
        <v>0.21095192443473093</v>
      </c>
      <c r="AI35" s="93">
        <v>0.20294549270816775</v>
      </c>
      <c r="AJ35" s="93">
        <f t="shared" si="12"/>
        <v>0.41389741714289868</v>
      </c>
      <c r="AL35" s="39">
        <f t="shared" si="13"/>
        <v>2.828445336027241</v>
      </c>
      <c r="AM35" s="93">
        <v>4.2778021615675197</v>
      </c>
      <c r="AN35" s="93">
        <v>1.1605153808737563</v>
      </c>
      <c r="AO35" s="93">
        <v>1.3761664496642632</v>
      </c>
      <c r="AP35" s="93">
        <f t="shared" si="14"/>
        <v>2.5366818305380194</v>
      </c>
      <c r="AQ35" s="106"/>
      <c r="AR35" s="39">
        <f t="shared" si="15"/>
        <v>3.0881955582803711</v>
      </c>
      <c r="AS35" s="93">
        <v>12.705969674548985</v>
      </c>
      <c r="AT35" s="93">
        <v>1.4383413955243152</v>
      </c>
      <c r="AU35" s="93">
        <v>4.5165699673934689</v>
      </c>
      <c r="AV35" s="93">
        <f t="shared" si="16"/>
        <v>5.9549113629177839</v>
      </c>
      <c r="AW35" s="90">
        <f t="shared" si="17"/>
        <v>0</v>
      </c>
      <c r="AX35" s="39">
        <f t="shared" si="18"/>
        <v>2.6020134806948869</v>
      </c>
      <c r="AY35" s="11">
        <v>7.0600510279774715</v>
      </c>
      <c r="AZ35" s="93">
        <v>-0.82070299664328927</v>
      </c>
      <c r="BA35" s="93">
        <v>2.067760735617695</v>
      </c>
      <c r="BB35" s="93">
        <f t="shared" si="19"/>
        <v>1.2470577389744057</v>
      </c>
      <c r="BC35" s="93"/>
      <c r="BD35" s="39">
        <f t="shared" si="20"/>
        <v>2.5053318006841074</v>
      </c>
      <c r="BE35" s="93">
        <v>0.58242692656334427</v>
      </c>
      <c r="BF35" s="93">
        <v>-0.32828833435573068</v>
      </c>
      <c r="BG35" s="93">
        <v>0.16351669099146005</v>
      </c>
      <c r="BH35" s="93">
        <f t="shared" si="21"/>
        <v>-0.16477164336427064</v>
      </c>
      <c r="BJ35" s="39">
        <f t="shared" si="22"/>
        <v>2.528922957277846</v>
      </c>
      <c r="BK35" s="93">
        <v>3.4980513979754475</v>
      </c>
      <c r="BL35" s="93">
        <v>-0.21403758136916518</v>
      </c>
      <c r="BM35" s="93">
        <v>0.99240143264883662</v>
      </c>
      <c r="BN35" s="93">
        <f t="shared" si="23"/>
        <v>0.77836385127967145</v>
      </c>
      <c r="BO35" s="106"/>
      <c r="BP35" s="39">
        <f t="shared" si="24"/>
        <v>2.7058922134773455</v>
      </c>
      <c r="BQ35" s="93">
        <v>2.9795727034386803</v>
      </c>
      <c r="BR35" s="93">
        <v>-0.27837708091839342</v>
      </c>
      <c r="BS35" s="93">
        <v>0.91184261197739835</v>
      </c>
      <c r="BT35" s="93">
        <f t="shared" si="25"/>
        <v>0.63346553105900494</v>
      </c>
      <c r="BU35" s="90">
        <f t="shared" si="26"/>
        <v>0</v>
      </c>
      <c r="BV35" s="39">
        <f t="shared" si="27"/>
        <v>2.6025333799874595</v>
      </c>
      <c r="BW35" s="11">
        <v>3.9916086369088277</v>
      </c>
      <c r="BX35" s="93">
        <v>-0.36860749517507152</v>
      </c>
      <c r="BY35" s="93">
        <v>1.1693311871886336</v>
      </c>
      <c r="BZ35" s="93">
        <f t="shared" si="28"/>
        <v>0.80072369201356208</v>
      </c>
      <c r="CA35" s="93"/>
      <c r="CB35" s="39">
        <f t="shared" si="29"/>
        <v>2.5262794249925946</v>
      </c>
      <c r="CC35" s="93">
        <v>0.76479151317239202</v>
      </c>
      <c r="CD35" s="93">
        <v>-0.20773686960970486</v>
      </c>
      <c r="CE35" s="93">
        <v>0.21671918013294533</v>
      </c>
      <c r="CF35" s="93">
        <f t="shared" si="30"/>
        <v>8.9823105232404721E-3</v>
      </c>
      <c r="CH35" s="39">
        <f t="shared" si="31"/>
        <v>2.5896950806788999</v>
      </c>
      <c r="CI35" s="93">
        <v>2.4153471822787229</v>
      </c>
      <c r="CJ35" s="93">
        <v>-0.2502303844660983</v>
      </c>
      <c r="CK35" s="93">
        <v>0.70366416736616388</v>
      </c>
      <c r="CL35" s="93">
        <f t="shared" si="32"/>
        <v>0.45343378290006559</v>
      </c>
      <c r="CM35" s="106"/>
      <c r="CN35" s="39">
        <f t="shared" si="33"/>
        <v>2.7118274856430702</v>
      </c>
      <c r="CO35" s="93">
        <v>0.81146994145771245</v>
      </c>
      <c r="CP35" s="93">
        <v>8.9359758900731598E-2</v>
      </c>
      <c r="CQ35" s="93">
        <v>0.24894783968952428</v>
      </c>
      <c r="CR35" s="93">
        <f t="shared" si="34"/>
        <v>0.33830759859025589</v>
      </c>
      <c r="CS35" s="90">
        <f t="shared" si="35"/>
        <v>0</v>
      </c>
      <c r="CT35" s="39">
        <f t="shared" si="36"/>
        <v>2.9279629310322131</v>
      </c>
      <c r="CU35" s="11">
        <v>0.26285837145763702</v>
      </c>
      <c r="CV35" s="93">
        <v>2.5501790985596576E-2</v>
      </c>
      <c r="CW35" s="93">
        <v>8.7938401344838837E-2</v>
      </c>
      <c r="CX35" s="93">
        <f t="shared" si="37"/>
        <v>0.11344019233043541</v>
      </c>
      <c r="CY35" s="93"/>
      <c r="CZ35" s="39">
        <f t="shared" si="38"/>
        <v>2.9343651326463327</v>
      </c>
      <c r="DA35" s="93">
        <v>3.5493497958347456E-2</v>
      </c>
      <c r="DB35" s="93">
        <v>-2.740888050219192E-2</v>
      </c>
      <c r="DC35" s="93">
        <v>1.1903704050793999E-2</v>
      </c>
      <c r="DD35" s="93">
        <f t="shared" si="39"/>
        <v>-1.5505176451397921E-2</v>
      </c>
      <c r="DF35" s="39">
        <f t="shared" si="40"/>
        <v>2.6485565988142667</v>
      </c>
      <c r="DG35" s="93">
        <v>9.8447520709600847E-2</v>
      </c>
      <c r="DH35" s="93">
        <v>2.1737490981628024E-2</v>
      </c>
      <c r="DI35" s="93">
        <v>2.941205302038874E-2</v>
      </c>
      <c r="DJ35" s="93">
        <f t="shared" si="41"/>
        <v>5.1149544002016767E-2</v>
      </c>
      <c r="DK35" s="106"/>
      <c r="DL35" s="39">
        <f t="shared" si="42"/>
        <v>3.1350944801386671</v>
      </c>
      <c r="DM35" s="93">
        <v>0.12891735278968872</v>
      </c>
      <c r="DN35" s="93">
        <v>3.1173180506160469E-2</v>
      </c>
      <c r="DO35" s="93">
        <v>4.6622644273656109E-2</v>
      </c>
      <c r="DP35" s="93">
        <f t="shared" si="43"/>
        <v>7.7795824779816586E-2</v>
      </c>
    </row>
    <row r="36" spans="1:120" x14ac:dyDescent="0.2">
      <c r="A36" s="90">
        <f>name!B32</f>
        <v>0</v>
      </c>
      <c r="B36" s="39">
        <f t="shared" si="1"/>
        <v>2.9945367077332863</v>
      </c>
      <c r="C36" s="11">
        <v>56.486999999999881</v>
      </c>
      <c r="D36" s="93">
        <v>9.4270000000000458</v>
      </c>
      <c r="E36" s="93">
        <v>19.386548178062384</v>
      </c>
      <c r="F36" s="93">
        <f t="shared" si="2"/>
        <v>28.81354817806243</v>
      </c>
      <c r="G36" s="93"/>
      <c r="H36" s="39">
        <f t="shared" si="3"/>
        <v>2.6683655064911882</v>
      </c>
      <c r="I36" s="93">
        <v>3.0739661220094856</v>
      </c>
      <c r="J36" s="93">
        <v>1.6985913874363638</v>
      </c>
      <c r="K36" s="93">
        <v>0.92608514366015537</v>
      </c>
      <c r="L36" s="93">
        <f t="shared" si="4"/>
        <v>2.6246765310965192</v>
      </c>
      <c r="N36" s="39">
        <f t="shared" si="5"/>
        <v>2.7983270973520824</v>
      </c>
      <c r="O36" s="93">
        <v>10.80483185043264</v>
      </c>
      <c r="P36" s="93">
        <v>0.32429358730751345</v>
      </c>
      <c r="Q36" s="93">
        <v>3.4341351738504251</v>
      </c>
      <c r="R36" s="93">
        <f t="shared" si="6"/>
        <v>3.7584287611579388</v>
      </c>
      <c r="S36" s="106"/>
      <c r="T36" s="39">
        <f t="shared" si="7"/>
        <v>3.0668385216106264</v>
      </c>
      <c r="U36" s="93">
        <v>42.608202027557752</v>
      </c>
      <c r="V36" s="93">
        <v>7.4041150252561669</v>
      </c>
      <c r="W36" s="93">
        <v>15.026327860551801</v>
      </c>
      <c r="X36" s="93">
        <f t="shared" si="8"/>
        <v>22.430442885807967</v>
      </c>
      <c r="Y36" s="90">
        <f t="shared" si="0"/>
        <v>0</v>
      </c>
      <c r="Z36" s="39">
        <f t="shared" si="9"/>
        <v>3.0309771831799281</v>
      </c>
      <c r="AA36" s="11">
        <v>51.021735996170101</v>
      </c>
      <c r="AB36" s="93">
        <v>9.5647099325395999</v>
      </c>
      <c r="AC36" s="93">
        <v>17.753710691282151</v>
      </c>
      <c r="AD36" s="93">
        <f t="shared" si="10"/>
        <v>27.318420623821751</v>
      </c>
      <c r="AE36" s="93"/>
      <c r="AF36" s="39">
        <f t="shared" si="11"/>
        <v>2.7156970530987756</v>
      </c>
      <c r="AG36" s="93">
        <v>1.8966772091595998</v>
      </c>
      <c r="AH36" s="93">
        <v>1.1084660999032749</v>
      </c>
      <c r="AI36" s="93">
        <v>0.58280846211724435</v>
      </c>
      <c r="AJ36" s="93">
        <f t="shared" si="12"/>
        <v>1.6912745620205194</v>
      </c>
      <c r="AL36" s="39">
        <f t="shared" si="13"/>
        <v>2.8544377950161515</v>
      </c>
      <c r="AM36" s="93">
        <v>8.7151787782400429</v>
      </c>
      <c r="AN36" s="93">
        <v>0.37231764916359472</v>
      </c>
      <c r="AO36" s="93">
        <v>2.8328178136294691</v>
      </c>
      <c r="AP36" s="93">
        <f t="shared" si="14"/>
        <v>3.2051354627930637</v>
      </c>
      <c r="AQ36" s="106"/>
      <c r="AR36" s="39">
        <f t="shared" si="15"/>
        <v>3.0832355344662776</v>
      </c>
      <c r="AS36" s="93">
        <v>40.409880008770457</v>
      </c>
      <c r="AT36" s="93">
        <v>8.0839261834727303</v>
      </c>
      <c r="AU36" s="93">
        <v>14.338084415535439</v>
      </c>
      <c r="AV36" s="93">
        <f t="shared" si="16"/>
        <v>22.422010599008168</v>
      </c>
      <c r="AW36" s="90">
        <f t="shared" si="17"/>
        <v>0</v>
      </c>
      <c r="AX36" s="39">
        <f t="shared" si="18"/>
        <v>2.6442828612915692</v>
      </c>
      <c r="AY36" s="11">
        <v>4.1117223502687619</v>
      </c>
      <c r="AZ36" s="93">
        <v>-1.2602457015033561</v>
      </c>
      <c r="BA36" s="93">
        <v>1.2261898817352725</v>
      </c>
      <c r="BB36" s="93">
        <f t="shared" si="19"/>
        <v>-3.4055819768083584E-2</v>
      </c>
      <c r="BC36" s="93"/>
      <c r="BD36" s="39">
        <f t="shared" si="20"/>
        <v>2.5250973136344612</v>
      </c>
      <c r="BE36" s="93">
        <v>0.59212142104784216</v>
      </c>
      <c r="BF36" s="93">
        <v>5.5003227893673415E-2</v>
      </c>
      <c r="BG36" s="93">
        <v>0.1677019969682341</v>
      </c>
      <c r="BH36" s="93">
        <f t="shared" si="21"/>
        <v>0.22270522486190752</v>
      </c>
      <c r="BJ36" s="39">
        <f t="shared" si="22"/>
        <v>2.5953522288273634</v>
      </c>
      <c r="BK36" s="93">
        <v>1.6781048923637909</v>
      </c>
      <c r="BL36" s="93">
        <v>-0.50299398657548378</v>
      </c>
      <c r="BM36" s="93">
        <v>0.49007829174845352</v>
      </c>
      <c r="BN36" s="93">
        <f t="shared" si="23"/>
        <v>-1.2915694827030255E-2</v>
      </c>
      <c r="BO36" s="106"/>
      <c r="BP36" s="39">
        <f t="shared" si="24"/>
        <v>2.7266024857339533</v>
      </c>
      <c r="BQ36" s="93">
        <v>1.8414960368571291</v>
      </c>
      <c r="BR36" s="93">
        <v>-0.81225494282154564</v>
      </c>
      <c r="BS36" s="93">
        <v>0.56840959301858496</v>
      </c>
      <c r="BT36" s="93">
        <f t="shared" si="25"/>
        <v>-0.24384534980296069</v>
      </c>
      <c r="BU36" s="90">
        <f t="shared" si="26"/>
        <v>0</v>
      </c>
      <c r="BV36" s="39">
        <f t="shared" si="27"/>
        <v>2.6699286086445007</v>
      </c>
      <c r="BW36" s="11">
        <v>0.94096087042845011</v>
      </c>
      <c r="BX36" s="93">
        <v>1.0673588590067584</v>
      </c>
      <c r="BY36" s="93">
        <v>0.28366707092484866</v>
      </c>
      <c r="BZ36" s="93">
        <f t="shared" si="28"/>
        <v>1.3510259299316072</v>
      </c>
      <c r="CA36" s="93"/>
      <c r="CB36" s="39">
        <f t="shared" si="29"/>
        <v>2.4755931087015126</v>
      </c>
      <c r="CC36" s="93">
        <v>0.24637925552867021</v>
      </c>
      <c r="CD36" s="93">
        <v>0.45294770729803285</v>
      </c>
      <c r="CE36" s="93">
        <v>6.8256840443345096E-2</v>
      </c>
      <c r="CF36" s="93">
        <f t="shared" si="30"/>
        <v>0.52120454774137792</v>
      </c>
      <c r="CH36" s="39">
        <f t="shared" si="31"/>
        <v>2.5317857369329788</v>
      </c>
      <c r="CI36" s="93">
        <v>0.34250238229029917</v>
      </c>
      <c r="CJ36" s="93">
        <v>0.47722061778305425</v>
      </c>
      <c r="CK36" s="93">
        <v>9.7291120958866453E-2</v>
      </c>
      <c r="CL36" s="93">
        <f t="shared" si="32"/>
        <v>0.57451173874192074</v>
      </c>
      <c r="CM36" s="106"/>
      <c r="CN36" s="39">
        <f t="shared" si="33"/>
        <v>2.9352369214464158</v>
      </c>
      <c r="CO36" s="93">
        <v>0.35207923260948076</v>
      </c>
      <c r="CP36" s="93">
        <v>0.13719053392567115</v>
      </c>
      <c r="CQ36" s="93">
        <v>0.1181191095226371</v>
      </c>
      <c r="CR36" s="93">
        <f t="shared" si="34"/>
        <v>0.25530964344830825</v>
      </c>
      <c r="CS36" s="90">
        <f t="shared" si="35"/>
        <v>0</v>
      </c>
      <c r="CT36" s="39">
        <f t="shared" si="36"/>
        <v>2.6431615692057875</v>
      </c>
      <c r="CU36" s="11">
        <v>0.41258078313257079</v>
      </c>
      <c r="CV36" s="93">
        <v>5.5176909957042726E-2</v>
      </c>
      <c r="CW36" s="93">
        <v>0.12298053412010829</v>
      </c>
      <c r="CX36" s="93">
        <f t="shared" si="37"/>
        <v>0.17815744407715101</v>
      </c>
      <c r="CY36" s="93"/>
      <c r="CZ36" s="39">
        <f t="shared" si="38"/>
        <v>2.7900274591234453</v>
      </c>
      <c r="DA36" s="93">
        <v>0.33878823627337318</v>
      </c>
      <c r="DB36" s="93">
        <v>8.2174352341382664E-2</v>
      </c>
      <c r="DC36" s="93">
        <v>0.10731784413133177</v>
      </c>
      <c r="DD36" s="93">
        <f t="shared" si="39"/>
        <v>0.18949219647271442</v>
      </c>
      <c r="DF36" s="39">
        <f t="shared" si="40"/>
        <v>1.8569836908540527</v>
      </c>
      <c r="DG36" s="93">
        <v>6.9045797538509451E-2</v>
      </c>
      <c r="DH36" s="93">
        <v>-2.2250693063651759E-2</v>
      </c>
      <c r="DI36" s="93">
        <v>1.3947947513635921E-2</v>
      </c>
      <c r="DJ36" s="93">
        <f t="shared" si="41"/>
        <v>-8.3027455500158387E-3</v>
      </c>
      <c r="DK36" s="106"/>
      <c r="DL36" s="39">
        <f t="shared" si="42"/>
        <v>3.1320498905442085</v>
      </c>
      <c r="DM36" s="93">
        <v>4.7467493206881754E-3</v>
      </c>
      <c r="DN36" s="93">
        <v>-4.7467493206881754E-3</v>
      </c>
      <c r="DO36" s="93">
        <v>1.714742475140592E-3</v>
      </c>
      <c r="DP36" s="93">
        <f t="shared" si="43"/>
        <v>-3.0320068455475836E-3</v>
      </c>
    </row>
    <row r="37" spans="1:120" x14ac:dyDescent="0.2">
      <c r="A37" s="90">
        <f>name!B33</f>
        <v>0</v>
      </c>
      <c r="B37" s="39">
        <f t="shared" si="1"/>
        <v>3.0105219210724066</v>
      </c>
      <c r="C37" s="11">
        <v>138.06999999999971</v>
      </c>
      <c r="D37" s="93">
        <v>5.2479999999998874</v>
      </c>
      <c r="E37" s="93">
        <v>47.674174099563118</v>
      </c>
      <c r="F37" s="93">
        <f t="shared" si="2"/>
        <v>52.922174099563009</v>
      </c>
      <c r="G37" s="93"/>
      <c r="H37" s="39">
        <f t="shared" si="3"/>
        <v>2.7387217667445674</v>
      </c>
      <c r="I37" s="93">
        <v>5.0762170042485808</v>
      </c>
      <c r="J37" s="93">
        <v>-1.6886317271375544</v>
      </c>
      <c r="K37" s="93">
        <v>1.5747035569122914</v>
      </c>
      <c r="L37" s="93">
        <f t="shared" si="4"/>
        <v>-0.11392817022526303</v>
      </c>
      <c r="N37" s="39">
        <f t="shared" si="5"/>
        <v>2.8045296362573024</v>
      </c>
      <c r="O37" s="93">
        <v>28.306731283971203</v>
      </c>
      <c r="P37" s="93">
        <v>-8.2765906536960721</v>
      </c>
      <c r="Q37" s="93">
        <v>9.0193352638725663</v>
      </c>
      <c r="R37" s="93">
        <f t="shared" si="6"/>
        <v>0.74274461017649429</v>
      </c>
      <c r="S37" s="106"/>
      <c r="T37" s="39">
        <f t="shared" si="7"/>
        <v>3.078543964604763</v>
      </c>
      <c r="U37" s="93">
        <v>104.68705171177994</v>
      </c>
      <c r="V37" s="93">
        <v>15.213222380833514</v>
      </c>
      <c r="W37" s="93">
        <v>37.080135278778265</v>
      </c>
      <c r="X37" s="93">
        <f t="shared" si="8"/>
        <v>52.293357659611779</v>
      </c>
      <c r="Y37" s="90">
        <f t="shared" si="0"/>
        <v>0</v>
      </c>
      <c r="Z37" s="39">
        <f t="shared" si="9"/>
        <v>3.1854311581563932</v>
      </c>
      <c r="AA37" s="11">
        <v>84.169352157623123</v>
      </c>
      <c r="AB37" s="93">
        <v>11.293223881137797</v>
      </c>
      <c r="AC37" s="93">
        <v>31.000236702092703</v>
      </c>
      <c r="AD37" s="93">
        <f t="shared" si="10"/>
        <v>42.293460583230498</v>
      </c>
      <c r="AE37" s="93"/>
      <c r="AF37" s="39">
        <f t="shared" si="11"/>
        <v>2.8758144240809802</v>
      </c>
      <c r="AG37" s="93">
        <v>1.561209729824472</v>
      </c>
      <c r="AH37" s="93">
        <v>-0.14303116627554172</v>
      </c>
      <c r="AI37" s="93">
        <v>0.51176550062084825</v>
      </c>
      <c r="AJ37" s="93">
        <f t="shared" si="12"/>
        <v>0.36873433434530656</v>
      </c>
      <c r="AL37" s="39">
        <f t="shared" si="13"/>
        <v>3.0188955093647607</v>
      </c>
      <c r="AM37" s="93">
        <v>12.208732860551185</v>
      </c>
      <c r="AN37" s="93">
        <v>-2.5285459351532285</v>
      </c>
      <c r="AO37" s="93">
        <v>4.2289079044003817</v>
      </c>
      <c r="AP37" s="93">
        <f t="shared" si="14"/>
        <v>1.7003619692471532</v>
      </c>
      <c r="AQ37" s="106"/>
      <c r="AR37" s="39">
        <f t="shared" si="15"/>
        <v>3.2208226301510656</v>
      </c>
      <c r="AS37" s="93">
        <v>70.39940956724746</v>
      </c>
      <c r="AT37" s="93">
        <v>13.964800982566569</v>
      </c>
      <c r="AU37" s="93">
        <v>26.259563297071477</v>
      </c>
      <c r="AV37" s="93">
        <f t="shared" si="16"/>
        <v>40.224364279638046</v>
      </c>
      <c r="AW37" s="90">
        <f t="shared" si="17"/>
        <v>0</v>
      </c>
      <c r="AX37" s="39">
        <f t="shared" si="18"/>
        <v>2.7267134522667158</v>
      </c>
      <c r="AY37" s="11">
        <v>51.927409634180037</v>
      </c>
      <c r="AZ37" s="93">
        <v>-6.0856524291559531</v>
      </c>
      <c r="BA37" s="93">
        <v>16.029026927967443</v>
      </c>
      <c r="BB37" s="93">
        <f t="shared" si="19"/>
        <v>9.9433744988114903</v>
      </c>
      <c r="BC37" s="93"/>
      <c r="BD37" s="39">
        <f t="shared" si="20"/>
        <v>2.6091217857213467</v>
      </c>
      <c r="BE37" s="93">
        <v>2.7243795006504485</v>
      </c>
      <c r="BF37" s="93">
        <v>-1.1532037322243214</v>
      </c>
      <c r="BG37" s="93">
        <v>0.80036230481528592</v>
      </c>
      <c r="BH37" s="93">
        <f t="shared" si="21"/>
        <v>-0.35284142740903546</v>
      </c>
      <c r="BJ37" s="39">
        <f t="shared" si="22"/>
        <v>2.6299443244254261</v>
      </c>
      <c r="BK37" s="93">
        <v>15.359163285338358</v>
      </c>
      <c r="BL37" s="93">
        <v>-5.9558823651697637</v>
      </c>
      <c r="BM37" s="93">
        <v>4.5525435996448893</v>
      </c>
      <c r="BN37" s="93">
        <f t="shared" si="23"/>
        <v>-1.4033387655248744</v>
      </c>
      <c r="BO37" s="106"/>
      <c r="BP37" s="39">
        <f t="shared" si="24"/>
        <v>2.7797379262401334</v>
      </c>
      <c r="BQ37" s="93">
        <v>33.843866848191233</v>
      </c>
      <c r="BR37" s="93">
        <v>1.0234336682381324</v>
      </c>
      <c r="BS37" s="93">
        <v>10.676121023507269</v>
      </c>
      <c r="BT37" s="93">
        <f t="shared" si="25"/>
        <v>11.699554691745401</v>
      </c>
      <c r="BU37" s="90">
        <f t="shared" si="26"/>
        <v>0</v>
      </c>
      <c r="BV37" s="39">
        <f t="shared" si="27"/>
        <v>2.6792477491861755</v>
      </c>
      <c r="BW37" s="11">
        <v>0.56980182682378044</v>
      </c>
      <c r="BX37" s="93">
        <v>1.0313467302711063E-2</v>
      </c>
      <c r="BY37" s="93">
        <v>0.17244888032198771</v>
      </c>
      <c r="BZ37" s="93">
        <f t="shared" si="28"/>
        <v>0.18276234762469878</v>
      </c>
      <c r="CA37" s="93"/>
      <c r="CB37" s="39">
        <f t="shared" si="29"/>
        <v>2.8367883930212612</v>
      </c>
      <c r="CC37" s="93">
        <v>0.20099431010344829</v>
      </c>
      <c r="CD37" s="93">
        <v>-5.7907920738398629E-2</v>
      </c>
      <c r="CE37" s="93">
        <v>6.4875370800946713E-2</v>
      </c>
      <c r="CF37" s="93">
        <f t="shared" si="30"/>
        <v>6.9674500625480848E-3</v>
      </c>
      <c r="CH37" s="39">
        <f t="shared" si="31"/>
        <v>2.5723272891071236</v>
      </c>
      <c r="CI37" s="93">
        <v>0.24513927427280902</v>
      </c>
      <c r="CJ37" s="93">
        <v>6.3410914542454982E-2</v>
      </c>
      <c r="CK37" s="93">
        <v>7.0881032615846981E-2</v>
      </c>
      <c r="CL37" s="93">
        <f t="shared" si="32"/>
        <v>0.13429194715830195</v>
      </c>
      <c r="CM37" s="106"/>
      <c r="CN37" s="39">
        <f t="shared" si="33"/>
        <v>2.6322808837923928</v>
      </c>
      <c r="CO37" s="93">
        <v>0.12366824244752304</v>
      </c>
      <c r="CP37" s="93">
        <v>4.8104734986547104E-3</v>
      </c>
      <c r="CQ37" s="93">
        <v>3.6692476905194005E-2</v>
      </c>
      <c r="CR37" s="93">
        <f t="shared" si="34"/>
        <v>4.1502950403848715E-2</v>
      </c>
      <c r="CS37" s="90">
        <f t="shared" si="35"/>
        <v>0</v>
      </c>
      <c r="CT37" s="39">
        <f t="shared" si="36"/>
        <v>2.9441443737506567</v>
      </c>
      <c r="CU37" s="11">
        <v>1.4034363813727799</v>
      </c>
      <c r="CV37" s="93">
        <v>3.0115080715330519E-2</v>
      </c>
      <c r="CW37" s="93">
        <v>0.47246158918098952</v>
      </c>
      <c r="CX37" s="93">
        <f t="shared" si="37"/>
        <v>0.50257666989631999</v>
      </c>
      <c r="CY37" s="93"/>
      <c r="CZ37" s="39">
        <f t="shared" si="38"/>
        <v>2.9337226933785931</v>
      </c>
      <c r="DA37" s="93">
        <v>0.58963346367021108</v>
      </c>
      <c r="DB37" s="93">
        <v>-0.33448890789929281</v>
      </c>
      <c r="DC37" s="93">
        <v>0.19770038067521037</v>
      </c>
      <c r="DD37" s="93">
        <f t="shared" si="39"/>
        <v>-0.13678852722408244</v>
      </c>
      <c r="DF37" s="39">
        <f t="shared" si="40"/>
        <v>2.9566467111862726</v>
      </c>
      <c r="DG37" s="93">
        <v>0.49369586380885072</v>
      </c>
      <c r="DH37" s="93">
        <v>0.14442673208446449</v>
      </c>
      <c r="DI37" s="93">
        <v>0.16700272721144677</v>
      </c>
      <c r="DJ37" s="93">
        <f t="shared" si="41"/>
        <v>0.31142945929591126</v>
      </c>
      <c r="DK37" s="106"/>
      <c r="DL37" s="39">
        <f t="shared" si="42"/>
        <v>2.944039552625588</v>
      </c>
      <c r="DM37" s="93">
        <v>0.32010705389371841</v>
      </c>
      <c r="DN37" s="93">
        <v>0.22017725653015885</v>
      </c>
      <c r="DO37" s="93">
        <v>0.10775848129433241</v>
      </c>
      <c r="DP37" s="93">
        <f t="shared" si="43"/>
        <v>0.32793573782449126</v>
      </c>
    </row>
    <row r="38" spans="1:120" x14ac:dyDescent="0.2">
      <c r="A38" s="90">
        <f>name!B34</f>
        <v>0</v>
      </c>
      <c r="B38" s="39">
        <f t="shared" si="1"/>
        <v>2.8257154904523185</v>
      </c>
      <c r="C38" s="11">
        <v>26.81499999999993</v>
      </c>
      <c r="D38" s="93">
        <v>7.5369999999999937</v>
      </c>
      <c r="E38" s="93">
        <v>8.6169620938889029</v>
      </c>
      <c r="F38" s="93">
        <f t="shared" si="2"/>
        <v>16.153962093888897</v>
      </c>
      <c r="G38" s="93"/>
      <c r="H38" s="39">
        <f t="shared" si="3"/>
        <v>2.7595137651860391</v>
      </c>
      <c r="I38" s="93">
        <v>9.6078449399321268</v>
      </c>
      <c r="J38" s="93">
        <v>1.1945418938920125</v>
      </c>
      <c r="K38" s="93">
        <v>3.0059681556585636</v>
      </c>
      <c r="L38" s="93">
        <f t="shared" si="4"/>
        <v>4.2005100495505765</v>
      </c>
      <c r="N38" s="39">
        <f t="shared" si="5"/>
        <v>2.7341953758082793</v>
      </c>
      <c r="O38" s="93">
        <v>9.4171479489873615</v>
      </c>
      <c r="P38" s="93">
        <v>4.3258837135697759</v>
      </c>
      <c r="Q38" s="93">
        <v>2.9158776210009156</v>
      </c>
      <c r="R38" s="93">
        <f t="shared" si="6"/>
        <v>7.2417613345706915</v>
      </c>
      <c r="S38" s="106"/>
      <c r="T38" s="39">
        <f t="shared" si="7"/>
        <v>3.0157359045575483</v>
      </c>
      <c r="U38" s="93">
        <v>7.7900071110804436</v>
      </c>
      <c r="V38" s="93">
        <v>2.0165743925382058</v>
      </c>
      <c r="W38" s="93">
        <v>2.6951163172294232</v>
      </c>
      <c r="X38" s="93">
        <f t="shared" si="8"/>
        <v>4.7116907097676286</v>
      </c>
      <c r="Y38" s="90">
        <f t="shared" si="0"/>
        <v>0</v>
      </c>
      <c r="Z38" s="39">
        <f t="shared" si="9"/>
        <v>2.9620533437984875</v>
      </c>
      <c r="AA38" s="11">
        <v>14.110138053458403</v>
      </c>
      <c r="AB38" s="93">
        <v>3.9764107081502162</v>
      </c>
      <c r="AC38" s="93">
        <v>4.782961494721258</v>
      </c>
      <c r="AD38" s="93">
        <f t="shared" si="10"/>
        <v>8.7593722028714751</v>
      </c>
      <c r="AE38" s="93"/>
      <c r="AF38" s="39">
        <f t="shared" si="11"/>
        <v>3.0508290138248517</v>
      </c>
      <c r="AG38" s="93">
        <v>2.6202275395242833</v>
      </c>
      <c r="AH38" s="93">
        <v>0.73551593091479284</v>
      </c>
      <c r="AI38" s="93">
        <v>0.91855524570148372</v>
      </c>
      <c r="AJ38" s="93">
        <f t="shared" si="12"/>
        <v>1.6540711766162766</v>
      </c>
      <c r="AL38" s="39">
        <f t="shared" si="13"/>
        <v>2.7890299588156253</v>
      </c>
      <c r="AM38" s="93">
        <v>5.0463247440146821</v>
      </c>
      <c r="AN38" s="93">
        <v>1.6277822226639092</v>
      </c>
      <c r="AO38" s="93">
        <v>1.5978779135482615</v>
      </c>
      <c r="AP38" s="93">
        <f t="shared" si="14"/>
        <v>3.2256601362121708</v>
      </c>
      <c r="AQ38" s="106"/>
      <c r="AR38" s="39">
        <f t="shared" si="15"/>
        <v>3.0598777753332529</v>
      </c>
      <c r="AS38" s="93">
        <v>6.4435857699194363</v>
      </c>
      <c r="AT38" s="93">
        <v>1.6131125545715137</v>
      </c>
      <c r="AU38" s="93">
        <v>2.266528335471512</v>
      </c>
      <c r="AV38" s="93">
        <f t="shared" si="16"/>
        <v>3.8796408900430257</v>
      </c>
      <c r="AW38" s="90">
        <f t="shared" si="17"/>
        <v>0</v>
      </c>
      <c r="AX38" s="39">
        <f t="shared" si="18"/>
        <v>2.6178151526021098</v>
      </c>
      <c r="AY38" s="11">
        <v>7.6620754162084248</v>
      </c>
      <c r="AZ38" s="93">
        <v>4.1655399185813149</v>
      </c>
      <c r="BA38" s="93">
        <v>2.2593497360645594</v>
      </c>
      <c r="BB38" s="93">
        <f t="shared" si="19"/>
        <v>6.4248896546458738</v>
      </c>
      <c r="BC38" s="93"/>
      <c r="BD38" s="39">
        <f t="shared" si="20"/>
        <v>2.5608888175541633</v>
      </c>
      <c r="BE38" s="93">
        <v>3.3773615761310447</v>
      </c>
      <c r="BF38" s="93">
        <v>1.945929096670862</v>
      </c>
      <c r="BG38" s="93">
        <v>0.97169760077091438</v>
      </c>
      <c r="BH38" s="93">
        <f t="shared" si="21"/>
        <v>2.9176266974417766</v>
      </c>
      <c r="BJ38" s="39">
        <f t="shared" si="22"/>
        <v>2.6173073729337526</v>
      </c>
      <c r="BK38" s="93">
        <v>3.0704844325527145</v>
      </c>
      <c r="BL38" s="93">
        <v>1.9069257326115823</v>
      </c>
      <c r="BM38" s="93">
        <v>0.90521045953698565</v>
      </c>
      <c r="BN38" s="93">
        <f t="shared" si="23"/>
        <v>2.8121361921485679</v>
      </c>
      <c r="BO38" s="106"/>
      <c r="BP38" s="39">
        <f t="shared" si="24"/>
        <v>2.7759432511544002</v>
      </c>
      <c r="BQ38" s="93">
        <v>1.2142294075246651</v>
      </c>
      <c r="BR38" s="93">
        <v>0.31268508929887001</v>
      </c>
      <c r="BS38" s="93">
        <v>0.38244167575665899</v>
      </c>
      <c r="BT38" s="93">
        <f t="shared" si="25"/>
        <v>0.69512676505552906</v>
      </c>
      <c r="BU38" s="90">
        <f t="shared" si="26"/>
        <v>0</v>
      </c>
      <c r="BV38" s="39">
        <f t="shared" si="27"/>
        <v>2.414473236517467</v>
      </c>
      <c r="BW38" s="11">
        <v>1.7431494173157795</v>
      </c>
      <c r="BX38" s="93">
        <v>0.61248561781568023</v>
      </c>
      <c r="BY38" s="93">
        <v>0.46968017566679687</v>
      </c>
      <c r="BZ38" s="93">
        <f t="shared" si="28"/>
        <v>1.0821657934824771</v>
      </c>
      <c r="CA38" s="93"/>
      <c r="CB38" s="39">
        <f t="shared" si="29"/>
        <v>2.3405169267602499</v>
      </c>
      <c r="CC38" s="93">
        <v>1.2042700345147108</v>
      </c>
      <c r="CD38" s="93">
        <v>0.30980767932272152</v>
      </c>
      <c r="CE38" s="93">
        <v>0.31347892181305265</v>
      </c>
      <c r="CF38" s="93">
        <f t="shared" si="30"/>
        <v>0.62328660113577417</v>
      </c>
      <c r="CH38" s="39">
        <f t="shared" si="31"/>
        <v>2.5716323827520871</v>
      </c>
      <c r="CI38" s="93">
        <v>0.51030481802269645</v>
      </c>
      <c r="CJ38" s="93">
        <v>0.30519047738461286</v>
      </c>
      <c r="CK38" s="93">
        <v>0.14750801317099851</v>
      </c>
      <c r="CL38" s="93">
        <f t="shared" si="32"/>
        <v>0.4526984905556114</v>
      </c>
      <c r="CM38" s="106"/>
      <c r="CN38" s="39">
        <f t="shared" si="33"/>
        <v>2.6917180041436728</v>
      </c>
      <c r="CO38" s="93">
        <v>2.8574564778372218E-2</v>
      </c>
      <c r="CP38" s="93">
        <v>-2.5125388916541216E-3</v>
      </c>
      <c r="CQ38" s="93">
        <v>8.6932406827457485E-3</v>
      </c>
      <c r="CR38" s="93">
        <f t="shared" si="34"/>
        <v>6.1807017910916265E-3</v>
      </c>
      <c r="CS38" s="90">
        <f t="shared" si="35"/>
        <v>0</v>
      </c>
      <c r="CT38" s="39">
        <f t="shared" si="36"/>
        <v>2.930505677421591</v>
      </c>
      <c r="CU38" s="11">
        <v>3.299637113017325</v>
      </c>
      <c r="CV38" s="93">
        <v>-1.2174362445472158</v>
      </c>
      <c r="CW38" s="93">
        <v>1.1049706874362895</v>
      </c>
      <c r="CX38" s="93">
        <f t="shared" si="37"/>
        <v>-0.11246555711092632</v>
      </c>
      <c r="CY38" s="93"/>
      <c r="CZ38" s="39">
        <f t="shared" si="38"/>
        <v>2.919374445859102</v>
      </c>
      <c r="DA38" s="93">
        <v>2.4059857897620875</v>
      </c>
      <c r="DB38" s="93">
        <v>-1.7967108130163638</v>
      </c>
      <c r="DC38" s="93">
        <v>0.80223638737311287</v>
      </c>
      <c r="DD38" s="93">
        <f t="shared" si="39"/>
        <v>-0.99447442564325095</v>
      </c>
      <c r="DF38" s="39">
        <f t="shared" si="40"/>
        <v>2.937506325372885</v>
      </c>
      <c r="DG38" s="93">
        <v>0.79003395439726709</v>
      </c>
      <c r="DH38" s="93">
        <v>0.48598528090967197</v>
      </c>
      <c r="DI38" s="93">
        <v>0.26528123474467041</v>
      </c>
      <c r="DJ38" s="93">
        <f t="shared" si="41"/>
        <v>0.75126651565434233</v>
      </c>
      <c r="DK38" s="106"/>
      <c r="DL38" s="39">
        <f t="shared" si="42"/>
        <v>3.1336395897629599</v>
      </c>
      <c r="DM38" s="93">
        <v>0.10361736885797046</v>
      </c>
      <c r="DN38" s="93">
        <v>9.3289287559476172E-2</v>
      </c>
      <c r="DO38" s="93">
        <v>3.7453065318506049E-2</v>
      </c>
      <c r="DP38" s="93">
        <f t="shared" si="43"/>
        <v>0.13074235287798222</v>
      </c>
    </row>
    <row r="39" spans="1:120" x14ac:dyDescent="0.2">
      <c r="A39" s="90">
        <f>name!B35</f>
        <v>0</v>
      </c>
      <c r="B39" s="39">
        <f t="shared" si="1"/>
        <v>2.9211108203484271</v>
      </c>
      <c r="C39" s="11">
        <v>368.77606295320101</v>
      </c>
      <c r="D39" s="93">
        <v>84.761622092085645</v>
      </c>
      <c r="E39" s="93">
        <v>123.04528099391801</v>
      </c>
      <c r="F39" s="93">
        <f t="shared" si="2"/>
        <v>207.80690308600367</v>
      </c>
      <c r="G39" s="93"/>
      <c r="H39" s="39">
        <f t="shared" si="3"/>
        <v>2.7717249598931071</v>
      </c>
      <c r="I39" s="93">
        <v>32.837927119185728</v>
      </c>
      <c r="J39" s="93">
        <v>4.3237049506459986</v>
      </c>
      <c r="K39" s="93">
        <v>10.325129723137874</v>
      </c>
      <c r="L39" s="93">
        <f t="shared" si="4"/>
        <v>14.648834673783872</v>
      </c>
      <c r="N39" s="39">
        <f t="shared" si="5"/>
        <v>2.7656612940708758</v>
      </c>
      <c r="O39" s="93">
        <v>92.687769994006359</v>
      </c>
      <c r="P39" s="93">
        <v>19.710235186067983</v>
      </c>
      <c r="Q39" s="93">
        <v>29.071671128619347</v>
      </c>
      <c r="R39" s="93">
        <f t="shared" si="6"/>
        <v>48.781906314687333</v>
      </c>
      <c r="S39" s="106"/>
      <c r="T39" s="39">
        <f t="shared" si="7"/>
        <v>2.9997068221470746</v>
      </c>
      <c r="U39" s="93">
        <v>243.25036584000898</v>
      </c>
      <c r="V39" s="93">
        <v>60.727681955371672</v>
      </c>
      <c r="W39" s="93">
        <v>83.648480142160807</v>
      </c>
      <c r="X39" s="93">
        <f t="shared" si="8"/>
        <v>144.37616209753247</v>
      </c>
      <c r="Y39" s="90">
        <f t="shared" si="0"/>
        <v>0</v>
      </c>
      <c r="Z39" s="39">
        <f t="shared" si="9"/>
        <v>2.9792358460889012</v>
      </c>
      <c r="AA39" s="11">
        <v>289.04342517306725</v>
      </c>
      <c r="AB39" s="93">
        <v>66.861243610511465</v>
      </c>
      <c r="AC39" s="93">
        <v>98.624387051621596</v>
      </c>
      <c r="AD39" s="93">
        <f t="shared" si="10"/>
        <v>165.48563066213308</v>
      </c>
      <c r="AE39" s="93"/>
      <c r="AF39" s="39">
        <f t="shared" si="11"/>
        <v>2.8543057167711661</v>
      </c>
      <c r="AG39" s="93">
        <v>18.48236538854206</v>
      </c>
      <c r="AH39" s="93">
        <v>4.0960252972031945</v>
      </c>
      <c r="AI39" s="93">
        <v>6.0072701306023175</v>
      </c>
      <c r="AJ39" s="93">
        <f t="shared" si="12"/>
        <v>10.103295427805513</v>
      </c>
      <c r="AL39" s="39">
        <f t="shared" si="13"/>
        <v>2.8320236000210164</v>
      </c>
      <c r="AM39" s="93">
        <v>54.824002647872582</v>
      </c>
      <c r="AN39" s="93">
        <v>11.073850669427829</v>
      </c>
      <c r="AO39" s="93">
        <v>17.662068695155931</v>
      </c>
      <c r="AP39" s="93">
        <f t="shared" si="14"/>
        <v>28.735919364583758</v>
      </c>
      <c r="AQ39" s="106"/>
      <c r="AR39" s="39">
        <f t="shared" si="15"/>
        <v>3.0269513060553033</v>
      </c>
      <c r="AS39" s="93">
        <v>215.73705713665262</v>
      </c>
      <c r="AT39" s="93">
        <v>51.691367643880433</v>
      </c>
      <c r="AU39" s="93">
        <v>74.955048225863351</v>
      </c>
      <c r="AV39" s="93">
        <f t="shared" si="16"/>
        <v>126.64641586974378</v>
      </c>
      <c r="AW39" s="90">
        <f t="shared" si="17"/>
        <v>0</v>
      </c>
      <c r="AX39" s="39">
        <f t="shared" si="18"/>
        <v>2.6968748254135422</v>
      </c>
      <c r="AY39" s="11">
        <v>69.208761822942577</v>
      </c>
      <c r="AZ39" s="93">
        <v>17.364813908921313</v>
      </c>
      <c r="BA39" s="93">
        <v>21.100721406247324</v>
      </c>
      <c r="BB39" s="93">
        <f t="shared" si="19"/>
        <v>38.465535315168637</v>
      </c>
      <c r="BC39" s="93"/>
      <c r="BD39" s="39">
        <f t="shared" si="20"/>
        <v>2.6111478879813799</v>
      </c>
      <c r="BE39" s="93">
        <v>8.5643903989708114</v>
      </c>
      <c r="BF39" s="93">
        <v>2.5133510791903837</v>
      </c>
      <c r="BG39" s="93">
        <v>2.5182161637376153</v>
      </c>
      <c r="BH39" s="93">
        <f t="shared" si="21"/>
        <v>5.0315672429279985</v>
      </c>
      <c r="BJ39" s="39">
        <f t="shared" si="22"/>
        <v>2.646322122033018</v>
      </c>
      <c r="BK39" s="93">
        <v>33.438393051364635</v>
      </c>
      <c r="BL39" s="93">
        <v>5.8534198050841955</v>
      </c>
      <c r="BM39" s="93">
        <v>9.9805580750418521</v>
      </c>
      <c r="BN39" s="93">
        <f t="shared" si="23"/>
        <v>15.833977880126048</v>
      </c>
      <c r="BO39" s="106"/>
      <c r="BP39" s="39">
        <f t="shared" si="24"/>
        <v>2.7854120715325115</v>
      </c>
      <c r="BQ39" s="93">
        <v>27.205978372607124</v>
      </c>
      <c r="BR39" s="93">
        <v>8.9980430246467371</v>
      </c>
      <c r="BS39" s="93">
        <v>8.6019471674678574</v>
      </c>
      <c r="BT39" s="93">
        <f t="shared" si="25"/>
        <v>17.599990192114596</v>
      </c>
      <c r="BU39" s="90">
        <f t="shared" si="26"/>
        <v>0</v>
      </c>
      <c r="BV39" s="39">
        <f t="shared" si="27"/>
        <v>2.5118352045522041</v>
      </c>
      <c r="BW39" s="11">
        <v>3.8656530906609365</v>
      </c>
      <c r="BX39" s="93">
        <v>1.3479415735600602</v>
      </c>
      <c r="BY39" s="93">
        <v>1.08842630099127</v>
      </c>
      <c r="BZ39" s="93">
        <f t="shared" si="28"/>
        <v>2.4363678745513302</v>
      </c>
      <c r="CA39" s="93"/>
      <c r="CB39" s="39">
        <f t="shared" si="29"/>
        <v>2.415283547581426</v>
      </c>
      <c r="CC39" s="93">
        <v>1.9483930173046786</v>
      </c>
      <c r="CD39" s="93">
        <v>0.36760454555590533</v>
      </c>
      <c r="CE39" s="93">
        <v>0.52517741956185582</v>
      </c>
      <c r="CF39" s="93">
        <f t="shared" si="30"/>
        <v>0.89278196511776109</v>
      </c>
      <c r="CH39" s="39">
        <f t="shared" si="31"/>
        <v>2.60322084904967</v>
      </c>
      <c r="CI39" s="93">
        <v>1.6099297426070227</v>
      </c>
      <c r="CJ39" s="93">
        <v>0.94206574115965114</v>
      </c>
      <c r="CK39" s="93">
        <v>0.47176413259982158</v>
      </c>
      <c r="CL39" s="93">
        <f t="shared" si="32"/>
        <v>1.4138298737594728</v>
      </c>
      <c r="CM39" s="106"/>
      <c r="CN39" s="39">
        <f t="shared" si="33"/>
        <v>2.6399932413593952</v>
      </c>
      <c r="CO39" s="93">
        <v>0.30733033074923499</v>
      </c>
      <c r="CP39" s="93">
        <v>3.8271286844503753E-2</v>
      </c>
      <c r="CQ39" s="93">
        <v>9.148474882959258E-2</v>
      </c>
      <c r="CR39" s="93">
        <f t="shared" si="34"/>
        <v>0.12975603567409633</v>
      </c>
      <c r="CS39" s="90">
        <f t="shared" si="35"/>
        <v>0</v>
      </c>
      <c r="CT39" s="39">
        <f t="shared" si="36"/>
        <v>2.9328961439813339</v>
      </c>
      <c r="CU39" s="11">
        <v>6.6582228665302994</v>
      </c>
      <c r="CV39" s="93">
        <v>-0.81237700090717724</v>
      </c>
      <c r="CW39" s="93">
        <v>2.2317462350578254</v>
      </c>
      <c r="CX39" s="93">
        <f t="shared" si="37"/>
        <v>1.4193692341506483</v>
      </c>
      <c r="CY39" s="93"/>
      <c r="CZ39" s="39">
        <f t="shared" si="38"/>
        <v>2.9056172918835443</v>
      </c>
      <c r="DA39" s="93">
        <v>3.8427783143681786</v>
      </c>
      <c r="DB39" s="93">
        <v>-2.6532759713034841</v>
      </c>
      <c r="DC39" s="93">
        <v>1.2744660092360849</v>
      </c>
      <c r="DD39" s="93">
        <f t="shared" si="39"/>
        <v>-1.3788099620673993</v>
      </c>
      <c r="DF39" s="39">
        <f t="shared" si="40"/>
        <v>2.9700241427257357</v>
      </c>
      <c r="DG39" s="93">
        <v>2.8154445521621203</v>
      </c>
      <c r="DH39" s="93">
        <v>1.840898970396307</v>
      </c>
      <c r="DI39" s="93">
        <v>0.95728022582174022</v>
      </c>
      <c r="DJ39" s="93">
        <f t="shared" si="41"/>
        <v>2.7981791962180473</v>
      </c>
      <c r="DK39" s="106"/>
      <c r="DL39" s="39">
        <f t="shared" si="42"/>
        <v>0</v>
      </c>
      <c r="DM39" s="93">
        <v>0</v>
      </c>
      <c r="DN39" s="93">
        <v>0</v>
      </c>
      <c r="DO39" s="93">
        <v>0</v>
      </c>
      <c r="DP39" s="93">
        <f t="shared" si="43"/>
        <v>0</v>
      </c>
    </row>
    <row r="40" spans="1:120" x14ac:dyDescent="0.2">
      <c r="A40" s="90">
        <f>name!B36</f>
        <v>0</v>
      </c>
      <c r="B40" s="39">
        <f t="shared" si="1"/>
        <v>2.6156670918794589</v>
      </c>
      <c r="C40" s="11">
        <v>59.103598741996336</v>
      </c>
      <c r="D40" s="93">
        <v>10.931351340026987</v>
      </c>
      <c r="E40" s="93">
        <v>17.412118425033665</v>
      </c>
      <c r="F40" s="93">
        <f t="shared" si="2"/>
        <v>28.343469765060654</v>
      </c>
      <c r="G40" s="93"/>
      <c r="H40" s="39">
        <f t="shared" si="3"/>
        <v>2.9162137159606694</v>
      </c>
      <c r="I40" s="93">
        <v>7.0907516731659292</v>
      </c>
      <c r="J40" s="93">
        <v>1.9187056475680879</v>
      </c>
      <c r="K40" s="93">
        <v>2.3613912018919283</v>
      </c>
      <c r="L40" s="93">
        <f t="shared" si="4"/>
        <v>4.2800968494600165</v>
      </c>
      <c r="N40" s="39">
        <f t="shared" si="5"/>
        <v>2.7970408811855085</v>
      </c>
      <c r="O40" s="93">
        <v>18.191156691215305</v>
      </c>
      <c r="P40" s="93">
        <v>8.022238906562599</v>
      </c>
      <c r="Q40" s="93">
        <v>5.7787557135900602</v>
      </c>
      <c r="R40" s="93">
        <f t="shared" si="6"/>
        <v>13.800994620152659</v>
      </c>
      <c r="S40" s="106"/>
      <c r="T40" s="39">
        <f t="shared" si="7"/>
        <v>2.4523227678848292</v>
      </c>
      <c r="U40" s="93">
        <v>33.821690377615099</v>
      </c>
      <c r="V40" s="93">
        <v>0.99040678589629894</v>
      </c>
      <c r="W40" s="93">
        <v>9.2719715095516726</v>
      </c>
      <c r="X40" s="93">
        <f t="shared" si="8"/>
        <v>10.262378295447972</v>
      </c>
      <c r="Y40" s="90">
        <f t="shared" si="0"/>
        <v>0</v>
      </c>
      <c r="Z40" s="39">
        <f t="shared" si="9"/>
        <v>2.484409578072122</v>
      </c>
      <c r="AA40" s="11">
        <v>44.995646288457721</v>
      </c>
      <c r="AB40" s="93">
        <v>0.7961289357498379</v>
      </c>
      <c r="AC40" s="93">
        <v>12.515037145045216</v>
      </c>
      <c r="AD40" s="93">
        <f t="shared" si="10"/>
        <v>13.311166080795054</v>
      </c>
      <c r="AE40" s="93"/>
      <c r="AF40" s="39">
        <f t="shared" si="11"/>
        <v>2.5511173362787742</v>
      </c>
      <c r="AG40" s="93">
        <v>2.5406257516550319</v>
      </c>
      <c r="AH40" s="93">
        <v>0.3259075522826399</v>
      </c>
      <c r="AI40" s="93">
        <v>0.72784543832994497</v>
      </c>
      <c r="AJ40" s="93">
        <f t="shared" si="12"/>
        <v>1.0537529906125849</v>
      </c>
      <c r="AL40" s="39">
        <f t="shared" si="13"/>
        <v>2.6421330232528906</v>
      </c>
      <c r="AM40" s="93">
        <v>11.02643601927363</v>
      </c>
      <c r="AN40" s="93">
        <v>-0.16285332189494414</v>
      </c>
      <c r="AO40" s="93">
        <v>3.2852845394032442</v>
      </c>
      <c r="AP40" s="93">
        <f t="shared" si="14"/>
        <v>3.1224312175083</v>
      </c>
      <c r="AQ40" s="106"/>
      <c r="AR40" s="39">
        <f t="shared" si="15"/>
        <v>2.4231158731658597</v>
      </c>
      <c r="AS40" s="93">
        <v>31.42858451752906</v>
      </c>
      <c r="AT40" s="93">
        <v>0.63307470536214216</v>
      </c>
      <c r="AU40" s="93">
        <v>8.5019071673120266</v>
      </c>
      <c r="AV40" s="93">
        <f t="shared" si="16"/>
        <v>9.1349818726741692</v>
      </c>
      <c r="AW40" s="90">
        <f t="shared" si="17"/>
        <v>0</v>
      </c>
      <c r="AX40" s="39">
        <f t="shared" si="18"/>
        <v>2.675817093692956</v>
      </c>
      <c r="AY40" s="11">
        <v>5.0502971452334489</v>
      </c>
      <c r="AZ40" s="93">
        <v>0.88079477764455349</v>
      </c>
      <c r="BA40" s="93">
        <v>1.5262601500564552</v>
      </c>
      <c r="BB40" s="93">
        <f t="shared" si="19"/>
        <v>2.4070549277010089</v>
      </c>
      <c r="BC40" s="93"/>
      <c r="BD40" s="39">
        <f t="shared" si="20"/>
        <v>2.6176394496400412</v>
      </c>
      <c r="BE40" s="93">
        <v>0.56332121807974112</v>
      </c>
      <c r="BF40" s="93">
        <v>6.7884082218324399E-2</v>
      </c>
      <c r="BG40" s="93">
        <v>0.16609650552913752</v>
      </c>
      <c r="BH40" s="93">
        <f t="shared" si="21"/>
        <v>0.23398058774746192</v>
      </c>
      <c r="BJ40" s="39">
        <f t="shared" si="22"/>
        <v>2.6168774278747309</v>
      </c>
      <c r="BK40" s="93">
        <v>2.8001519292734307</v>
      </c>
      <c r="BL40" s="93">
        <v>0.57994096053429567</v>
      </c>
      <c r="BM40" s="93">
        <v>0.8253617461934516</v>
      </c>
      <c r="BN40" s="93">
        <f t="shared" si="23"/>
        <v>1.4053027067277473</v>
      </c>
      <c r="BO40" s="106"/>
      <c r="BP40" s="39">
        <f t="shared" si="24"/>
        <v>2.7921892804910087</v>
      </c>
      <c r="BQ40" s="93">
        <v>1.6868239978802764</v>
      </c>
      <c r="BR40" s="93">
        <v>0.23296973489193351</v>
      </c>
      <c r="BS40" s="93">
        <v>0.53480189833386615</v>
      </c>
      <c r="BT40" s="93">
        <f t="shared" si="25"/>
        <v>0.76777163322579967</v>
      </c>
      <c r="BU40" s="90">
        <f t="shared" si="26"/>
        <v>0</v>
      </c>
      <c r="BV40" s="39">
        <f t="shared" si="27"/>
        <v>3.3032406781256851</v>
      </c>
      <c r="BW40" s="11">
        <v>7.5734451294849583</v>
      </c>
      <c r="BX40" s="93">
        <v>9.9445968505973621</v>
      </c>
      <c r="BY40" s="93">
        <v>2.9082842096564585</v>
      </c>
      <c r="BZ40" s="93">
        <f t="shared" si="28"/>
        <v>12.852881060253821</v>
      </c>
      <c r="CA40" s="93"/>
      <c r="CB40" s="39">
        <f t="shared" si="29"/>
        <v>3.3739759257654933</v>
      </c>
      <c r="CC40" s="93">
        <v>2.7837448344029059</v>
      </c>
      <c r="CD40" s="93">
        <v>2.278224621913898</v>
      </c>
      <c r="CE40" s="93">
        <v>1.0954503018874868</v>
      </c>
      <c r="CF40" s="93">
        <f t="shared" si="30"/>
        <v>3.373674923801385</v>
      </c>
      <c r="CH40" s="39">
        <f t="shared" si="31"/>
        <v>3.3175945471649371</v>
      </c>
      <c r="CI40" s="93">
        <v>4.0993032054196004</v>
      </c>
      <c r="CJ40" s="93">
        <v>7.5439376770551005</v>
      </c>
      <c r="CK40" s="93">
        <v>1.582064592612429</v>
      </c>
      <c r="CL40" s="93">
        <f t="shared" si="32"/>
        <v>9.1260022696675289</v>
      </c>
      <c r="CM40" s="106"/>
      <c r="CN40" s="39">
        <f t="shared" si="33"/>
        <v>2.9257200385051085</v>
      </c>
      <c r="CO40" s="93">
        <v>0.69039708966245217</v>
      </c>
      <c r="CP40" s="93">
        <v>0.1224345516283623</v>
      </c>
      <c r="CQ40" s="93">
        <v>0.23076931515654289</v>
      </c>
      <c r="CR40" s="93">
        <f t="shared" si="34"/>
        <v>0.35320386678490517</v>
      </c>
      <c r="CS40" s="90">
        <f t="shared" si="35"/>
        <v>0</v>
      </c>
      <c r="CT40" s="39">
        <f t="shared" si="36"/>
        <v>2.7499012245735921</v>
      </c>
      <c r="CU40" s="11">
        <v>1.4842101788202127</v>
      </c>
      <c r="CV40" s="93">
        <v>-0.69016922396476632</v>
      </c>
      <c r="CW40" s="93">
        <v>0.46253692027553084</v>
      </c>
      <c r="CX40" s="93">
        <f t="shared" si="37"/>
        <v>-0.22763230368923548</v>
      </c>
      <c r="CY40" s="93"/>
      <c r="CZ40" s="39">
        <f t="shared" si="38"/>
        <v>2.7308671095884973</v>
      </c>
      <c r="DA40" s="93">
        <v>1.2030598690282495</v>
      </c>
      <c r="DB40" s="93">
        <v>-0.75331060884677437</v>
      </c>
      <c r="DC40" s="93">
        <v>0.37199895614535888</v>
      </c>
      <c r="DD40" s="93">
        <f t="shared" si="39"/>
        <v>-0.38131165270141548</v>
      </c>
      <c r="DF40" s="39">
        <f t="shared" si="40"/>
        <v>2.8492227911662393</v>
      </c>
      <c r="DG40" s="93">
        <v>0.26526553724864882</v>
      </c>
      <c r="DH40" s="93">
        <v>6.1213590868147122E-2</v>
      </c>
      <c r="DI40" s="93">
        <v>8.6044835380935866E-2</v>
      </c>
      <c r="DJ40" s="93">
        <f t="shared" si="41"/>
        <v>0.14725842624908297</v>
      </c>
      <c r="DK40" s="106"/>
      <c r="DL40" s="39">
        <f t="shared" si="42"/>
        <v>2.5221830839160519</v>
      </c>
      <c r="DM40" s="93">
        <v>1.5884772543314236E-2</v>
      </c>
      <c r="DN40" s="93">
        <v>1.9277940138610408E-3</v>
      </c>
      <c r="DO40" s="93">
        <v>4.4931287492361305E-3</v>
      </c>
      <c r="DP40" s="93">
        <f t="shared" si="43"/>
        <v>6.4209227630971713E-3</v>
      </c>
    </row>
    <row r="41" spans="1:120" x14ac:dyDescent="0.2">
      <c r="A41" s="90">
        <f>name!B37</f>
        <v>0</v>
      </c>
      <c r="B41" s="39">
        <f t="shared" si="1"/>
        <v>2.6219584526235851</v>
      </c>
      <c r="C41" s="11">
        <v>9.5199829855549893</v>
      </c>
      <c r="D41" s="93">
        <v>1.2808958930051737</v>
      </c>
      <c r="E41" s="93">
        <v>2.8121772094303279</v>
      </c>
      <c r="F41" s="93">
        <f t="shared" si="2"/>
        <v>4.0930731024355014</v>
      </c>
      <c r="G41" s="93"/>
      <c r="H41" s="39">
        <f t="shared" si="3"/>
        <v>2.4658199500782629</v>
      </c>
      <c r="I41" s="93">
        <v>0.81619786230081037</v>
      </c>
      <c r="J41" s="93">
        <v>0.237585138792064</v>
      </c>
      <c r="K41" s="93">
        <v>0.22512559128548079</v>
      </c>
      <c r="L41" s="93">
        <f t="shared" si="4"/>
        <v>0.46271073007754482</v>
      </c>
      <c r="N41" s="39">
        <f t="shared" si="5"/>
        <v>2.6634862095569645</v>
      </c>
      <c r="O41" s="93">
        <v>2.0711276399167695</v>
      </c>
      <c r="P41" s="93">
        <v>0.44161042637100889</v>
      </c>
      <c r="Q41" s="93">
        <v>0.62268224619976209</v>
      </c>
      <c r="R41" s="93">
        <f t="shared" si="6"/>
        <v>1.0642926725707711</v>
      </c>
      <c r="S41" s="106"/>
      <c r="T41" s="39">
        <f t="shared" si="7"/>
        <v>2.628048625603352</v>
      </c>
      <c r="U41" s="93">
        <v>6.6326574833374119</v>
      </c>
      <c r="V41" s="93">
        <v>0.60170032784210092</v>
      </c>
      <c r="W41" s="93">
        <v>1.9643693719450848</v>
      </c>
      <c r="X41" s="93">
        <f t="shared" si="8"/>
        <v>2.5660696997871857</v>
      </c>
      <c r="Y41" s="90">
        <f t="shared" si="0"/>
        <v>0</v>
      </c>
      <c r="Z41" s="39">
        <f t="shared" si="9"/>
        <v>2.6231625982701789</v>
      </c>
      <c r="AA41" s="11">
        <v>7.8178668346409639</v>
      </c>
      <c r="AB41" s="93">
        <v>0.85873650454850714</v>
      </c>
      <c r="AC41" s="93">
        <v>2.3105650783484251</v>
      </c>
      <c r="AD41" s="93">
        <f t="shared" si="10"/>
        <v>3.1693015828969324</v>
      </c>
      <c r="AE41" s="93"/>
      <c r="AF41" s="39">
        <f t="shared" si="11"/>
        <v>2.4078323200257934</v>
      </c>
      <c r="AG41" s="93">
        <v>0.42302413000387928</v>
      </c>
      <c r="AH41" s="93">
        <v>0.33710538828897285</v>
      </c>
      <c r="AI41" s="93">
        <v>0.11363296527709778</v>
      </c>
      <c r="AJ41" s="93">
        <f t="shared" si="12"/>
        <v>0.45073835356607062</v>
      </c>
      <c r="AL41" s="39">
        <f t="shared" si="13"/>
        <v>2.7256227849607129</v>
      </c>
      <c r="AM41" s="93">
        <v>1.0976496509709948</v>
      </c>
      <c r="AN41" s="93">
        <v>1.0248190705673856E-3</v>
      </c>
      <c r="AO41" s="93">
        <v>0.33867155545083699</v>
      </c>
      <c r="AP41" s="93">
        <f t="shared" si="14"/>
        <v>0.33969637452140439</v>
      </c>
      <c r="AQ41" s="106"/>
      <c r="AR41" s="39">
        <f t="shared" si="15"/>
        <v>2.6195513042214014</v>
      </c>
      <c r="AS41" s="93">
        <v>6.2971930536660903</v>
      </c>
      <c r="AT41" s="93">
        <v>0.52060629718896689</v>
      </c>
      <c r="AU41" s="93">
        <v>1.8582605576204905</v>
      </c>
      <c r="AV41" s="93">
        <f t="shared" si="16"/>
        <v>2.3788668548094574</v>
      </c>
      <c r="AW41" s="90">
        <f t="shared" si="17"/>
        <v>0</v>
      </c>
      <c r="AX41" s="39">
        <f t="shared" si="18"/>
        <v>2.6785764491621844</v>
      </c>
      <c r="AY41" s="11">
        <v>0.96217009441048162</v>
      </c>
      <c r="AZ41" s="93">
        <v>0.19915521880321993</v>
      </c>
      <c r="BA41" s="93">
        <v>0.29111606469515938</v>
      </c>
      <c r="BB41" s="93">
        <f t="shared" si="19"/>
        <v>0.49027128349837934</v>
      </c>
      <c r="BC41" s="93"/>
      <c r="BD41" s="39">
        <f t="shared" si="20"/>
        <v>2.6372048618027666</v>
      </c>
      <c r="BE41" s="93">
        <v>0.12023971653791019</v>
      </c>
      <c r="BF41" s="93">
        <v>4.7709276205164207E-3</v>
      </c>
      <c r="BG41" s="93">
        <v>3.5750049535400286E-2</v>
      </c>
      <c r="BH41" s="93">
        <f t="shared" si="21"/>
        <v>4.052097715591671E-2</v>
      </c>
      <c r="BJ41" s="39">
        <f t="shared" si="22"/>
        <v>2.6370907343919114</v>
      </c>
      <c r="BK41" s="93">
        <v>0.59167940202908853</v>
      </c>
      <c r="BL41" s="93">
        <v>0.15764745541630559</v>
      </c>
      <c r="BM41" s="93">
        <v>0.17591143975903728</v>
      </c>
      <c r="BN41" s="93">
        <f t="shared" si="23"/>
        <v>0.33355889517534287</v>
      </c>
      <c r="BO41" s="106"/>
      <c r="BP41" s="39">
        <f t="shared" si="24"/>
        <v>2.7957236007542408</v>
      </c>
      <c r="BQ41" s="93">
        <v>0.25025097584348277</v>
      </c>
      <c r="BR41" s="93">
        <v>3.6736835766397878E-2</v>
      </c>
      <c r="BS41" s="93">
        <v>7.945457540072183E-2</v>
      </c>
      <c r="BT41" s="93">
        <f t="shared" si="25"/>
        <v>0.1161914111671197</v>
      </c>
      <c r="BU41" s="90">
        <f t="shared" si="26"/>
        <v>0</v>
      </c>
      <c r="BV41" s="39">
        <f t="shared" si="27"/>
        <v>2.5508183926929773</v>
      </c>
      <c r="BW41" s="11">
        <v>0.50584005818189604</v>
      </c>
      <c r="BX41" s="93">
        <v>0.32238456824668921</v>
      </c>
      <c r="BY41" s="93">
        <v>0.1448954785012399</v>
      </c>
      <c r="BZ41" s="93">
        <f t="shared" si="28"/>
        <v>0.46728004674792911</v>
      </c>
      <c r="CA41" s="93"/>
      <c r="CB41" s="39">
        <f t="shared" si="29"/>
        <v>2.5367449852401247</v>
      </c>
      <c r="CC41" s="93">
        <v>9.1589573227019994E-2</v>
      </c>
      <c r="CD41" s="93">
        <v>-4.2808638867016524E-3</v>
      </c>
      <c r="CE41" s="93">
        <v>2.6073802070792795E-2</v>
      </c>
      <c r="CF41" s="93">
        <f t="shared" si="30"/>
        <v>2.1792938184091143E-2</v>
      </c>
      <c r="CH41" s="39">
        <f t="shared" si="31"/>
        <v>2.5204548632431933</v>
      </c>
      <c r="CI41" s="93">
        <v>0.33966700342259021</v>
      </c>
      <c r="CJ41" s="93">
        <v>0.28850292379729831</v>
      </c>
      <c r="CK41" s="93">
        <v>9.6003947721158597E-2</v>
      </c>
      <c r="CL41" s="93">
        <f t="shared" si="32"/>
        <v>0.38450687151845692</v>
      </c>
      <c r="CM41" s="106"/>
      <c r="CN41" s="39">
        <f t="shared" si="33"/>
        <v>2.7051379124598762</v>
      </c>
      <c r="CO41" s="93">
        <v>7.458348153228582E-2</v>
      </c>
      <c r="CP41" s="93">
        <v>3.8162508336092499E-2</v>
      </c>
      <c r="CQ41" s="93">
        <v>2.2817728709288516E-2</v>
      </c>
      <c r="CR41" s="93">
        <f t="shared" si="34"/>
        <v>6.0980237045381011E-2</v>
      </c>
      <c r="CS41" s="90">
        <f t="shared" si="35"/>
        <v>0</v>
      </c>
      <c r="CT41" s="39">
        <f t="shared" si="36"/>
        <v>2.5010642333554323</v>
      </c>
      <c r="CU41" s="11">
        <v>0.23410599832164924</v>
      </c>
      <c r="CV41" s="93">
        <v>-9.9380398593242464E-2</v>
      </c>
      <c r="CW41" s="93">
        <v>6.5600587885503062E-2</v>
      </c>
      <c r="CX41" s="93">
        <f t="shared" si="37"/>
        <v>-3.3779810707739402E-2</v>
      </c>
      <c r="CY41" s="93"/>
      <c r="CZ41" s="39">
        <f t="shared" si="38"/>
        <v>2.4503054838948435</v>
      </c>
      <c r="DA41" s="93">
        <v>0.18134444253200094</v>
      </c>
      <c r="DB41" s="93">
        <v>-0.10001031323072365</v>
      </c>
      <c r="DC41" s="93">
        <v>4.9668774402189947E-2</v>
      </c>
      <c r="DD41" s="93">
        <f t="shared" si="39"/>
        <v>-5.0341538828533705E-2</v>
      </c>
      <c r="DF41" s="39">
        <f t="shared" si="40"/>
        <v>2.5559091493363884</v>
      </c>
      <c r="DG41" s="93">
        <v>4.2131583494095966E-2</v>
      </c>
      <c r="DH41" s="93">
        <v>-5.5647719131624168E-3</v>
      </c>
      <c r="DI41" s="93">
        <v>1.2095303268729192E-2</v>
      </c>
      <c r="DJ41" s="93">
        <f t="shared" si="41"/>
        <v>6.5305313555667748E-3</v>
      </c>
      <c r="DK41" s="106"/>
      <c r="DL41" s="39">
        <f t="shared" si="42"/>
        <v>3.1295401767871711</v>
      </c>
      <c r="DM41" s="93">
        <v>1.0629972295552376E-2</v>
      </c>
      <c r="DN41" s="93">
        <v>6.1946865506436119E-3</v>
      </c>
      <c r="DO41" s="93">
        <v>3.8365102145839292E-3</v>
      </c>
      <c r="DP41" s="93">
        <f t="shared" si="43"/>
        <v>1.003119676522754E-2</v>
      </c>
    </row>
    <row r="42" spans="1:120" x14ac:dyDescent="0.2">
      <c r="A42" s="90">
        <f>name!B38</f>
        <v>0</v>
      </c>
      <c r="B42" s="39">
        <f t="shared" si="1"/>
        <v>2.7659066814350819</v>
      </c>
      <c r="C42" s="11">
        <v>41.327917877507424</v>
      </c>
      <c r="D42" s="93">
        <v>5.5428905332373821</v>
      </c>
      <c r="E42" s="93">
        <v>12.963865628503205</v>
      </c>
      <c r="F42" s="93">
        <f t="shared" si="2"/>
        <v>18.506756161740586</v>
      </c>
      <c r="G42" s="93"/>
      <c r="H42" s="39">
        <f t="shared" si="3"/>
        <v>2.5883895459776651</v>
      </c>
      <c r="I42" s="93">
        <v>6.6477909633603698</v>
      </c>
      <c r="J42" s="93">
        <v>0.46903863547743174</v>
      </c>
      <c r="K42" s="93">
        <v>1.9356115118566004</v>
      </c>
      <c r="L42" s="93">
        <f t="shared" si="4"/>
        <v>2.4046501473340323</v>
      </c>
      <c r="N42" s="39">
        <f t="shared" si="5"/>
        <v>2.6369495607399429</v>
      </c>
      <c r="O42" s="93">
        <v>13.326579267199337</v>
      </c>
      <c r="P42" s="93">
        <v>1.877839557749986</v>
      </c>
      <c r="Q42" s="93">
        <v>3.9618702925814446</v>
      </c>
      <c r="R42" s="93">
        <f t="shared" si="6"/>
        <v>5.8397098503314311</v>
      </c>
      <c r="S42" s="106"/>
      <c r="T42" s="39">
        <f t="shared" si="7"/>
        <v>2.8999820012332478</v>
      </c>
      <c r="U42" s="93">
        <v>21.35354764694771</v>
      </c>
      <c r="V42" s="93">
        <v>3.1960123400099647</v>
      </c>
      <c r="W42" s="93">
        <v>7.0663838240651593</v>
      </c>
      <c r="X42" s="93">
        <f t="shared" si="8"/>
        <v>10.262396164075124</v>
      </c>
      <c r="Y42" s="90">
        <f t="shared" si="0"/>
        <v>0</v>
      </c>
      <c r="Z42" s="39">
        <f t="shared" si="9"/>
        <v>2.8515281797403702</v>
      </c>
      <c r="AA42" s="11">
        <v>28.851400371214467</v>
      </c>
      <c r="AB42" s="93">
        <v>2.9117941769720685</v>
      </c>
      <c r="AC42" s="93">
        <v>9.3671654902328125</v>
      </c>
      <c r="AD42" s="93">
        <f t="shared" si="10"/>
        <v>12.27895966720488</v>
      </c>
      <c r="AE42" s="93"/>
      <c r="AF42" s="39">
        <f t="shared" si="11"/>
        <v>2.7312978006911237</v>
      </c>
      <c r="AG42" s="93">
        <v>2.3074493769266002</v>
      </c>
      <c r="AH42" s="93">
        <v>8.8154748807107802E-2</v>
      </c>
      <c r="AI42" s="93">
        <v>0.7136146359797787</v>
      </c>
      <c r="AJ42" s="93">
        <f t="shared" si="12"/>
        <v>0.80176938478688653</v>
      </c>
      <c r="AL42" s="39">
        <f t="shared" si="13"/>
        <v>2.6978647455589311</v>
      </c>
      <c r="AM42" s="93">
        <v>7.996889456722271</v>
      </c>
      <c r="AN42" s="93">
        <v>0.23978644928801202</v>
      </c>
      <c r="AO42" s="93">
        <v>2.4391384738532835</v>
      </c>
      <c r="AP42" s="93">
        <f t="shared" si="14"/>
        <v>2.6789249231412957</v>
      </c>
      <c r="AQ42" s="106"/>
      <c r="AR42" s="39">
        <f t="shared" si="15"/>
        <v>2.9319352041224489</v>
      </c>
      <c r="AS42" s="93">
        <v>18.547061537565593</v>
      </c>
      <c r="AT42" s="93">
        <v>2.5838529788769486</v>
      </c>
      <c r="AU42" s="93">
        <v>6.2144123803997511</v>
      </c>
      <c r="AV42" s="93">
        <f t="shared" si="16"/>
        <v>8.7982653592766997</v>
      </c>
      <c r="AW42" s="90">
        <f t="shared" si="17"/>
        <v>0</v>
      </c>
      <c r="AX42" s="39">
        <f t="shared" si="18"/>
        <v>2.5785306073743852</v>
      </c>
      <c r="AY42" s="11">
        <v>6.5037812929444394</v>
      </c>
      <c r="AZ42" s="93">
        <v>1.0757665767010658</v>
      </c>
      <c r="BA42" s="93">
        <v>1.8856141436015186</v>
      </c>
      <c r="BB42" s="93">
        <f t="shared" si="19"/>
        <v>2.9613807203025844</v>
      </c>
      <c r="BC42" s="93"/>
      <c r="BD42" s="39">
        <f t="shared" si="20"/>
        <v>2.4818332070334348</v>
      </c>
      <c r="BE42" s="93">
        <v>1.8237775728680967</v>
      </c>
      <c r="BF42" s="93">
        <v>0.40035255591572777</v>
      </c>
      <c r="BG42" s="93">
        <v>0.50667745232067052</v>
      </c>
      <c r="BH42" s="93">
        <f t="shared" si="21"/>
        <v>0.90703000823639823</v>
      </c>
      <c r="BJ42" s="39">
        <f t="shared" si="22"/>
        <v>2.5440839893432932</v>
      </c>
      <c r="BK42" s="93">
        <v>2.6329814450846953</v>
      </c>
      <c r="BL42" s="93">
        <v>0.36645710610714699</v>
      </c>
      <c r="BM42" s="93">
        <v>0.75198133827523139</v>
      </c>
      <c r="BN42" s="93">
        <f t="shared" si="23"/>
        <v>1.1184384443823783</v>
      </c>
      <c r="BO42" s="106"/>
      <c r="BP42" s="39">
        <f t="shared" si="24"/>
        <v>2.7078220766586059</v>
      </c>
      <c r="BQ42" s="93">
        <v>2.0470222749916469</v>
      </c>
      <c r="BR42" s="93">
        <v>0.30895691467819097</v>
      </c>
      <c r="BS42" s="93">
        <v>0.62695535300561678</v>
      </c>
      <c r="BT42" s="93">
        <f t="shared" si="25"/>
        <v>0.93591226768380775</v>
      </c>
      <c r="BU42" s="90">
        <f t="shared" si="26"/>
        <v>0</v>
      </c>
      <c r="BV42" s="39">
        <f t="shared" si="27"/>
        <v>2.4352549002091939</v>
      </c>
      <c r="BW42" s="11">
        <v>3.9926676757116213</v>
      </c>
      <c r="BX42" s="93">
        <v>1.3942061283114771</v>
      </c>
      <c r="BY42" s="93">
        <v>1.0860923018676825</v>
      </c>
      <c r="BZ42" s="93">
        <f t="shared" si="28"/>
        <v>2.4802984301791593</v>
      </c>
      <c r="CA42" s="93"/>
      <c r="CB42" s="39">
        <f t="shared" si="29"/>
        <v>2.3820319758712349</v>
      </c>
      <c r="CC42" s="93">
        <v>1.5804510737327937</v>
      </c>
      <c r="CD42" s="93">
        <v>0.54763313458440666</v>
      </c>
      <c r="CE42" s="93">
        <v>0.41949600254904829</v>
      </c>
      <c r="CF42" s="93">
        <f t="shared" si="30"/>
        <v>0.96712913713345494</v>
      </c>
      <c r="CH42" s="39">
        <f t="shared" si="31"/>
        <v>2.4397967914120189</v>
      </c>
      <c r="CI42" s="93">
        <v>1.8177774091588061</v>
      </c>
      <c r="CJ42" s="93">
        <v>0.71493905267938562</v>
      </c>
      <c r="CK42" s="93">
        <v>0.49550036268130071</v>
      </c>
      <c r="CL42" s="93">
        <f t="shared" si="32"/>
        <v>1.2104394153606863</v>
      </c>
      <c r="CM42" s="106"/>
      <c r="CN42" s="39">
        <f t="shared" si="33"/>
        <v>2.5618317898631338</v>
      </c>
      <c r="CO42" s="93">
        <v>0.59443919282002144</v>
      </c>
      <c r="CP42" s="93">
        <v>0.13163394104768467</v>
      </c>
      <c r="CQ42" s="93">
        <v>0.1710959366373333</v>
      </c>
      <c r="CR42" s="93">
        <f t="shared" si="34"/>
        <v>0.30272987768501797</v>
      </c>
      <c r="CS42" s="90">
        <f t="shared" si="35"/>
        <v>0</v>
      </c>
      <c r="CT42" s="39">
        <f t="shared" si="36"/>
        <v>2.7812246199814927</v>
      </c>
      <c r="CU42" s="11">
        <v>1.9800685376368916</v>
      </c>
      <c r="CV42" s="93">
        <v>0.16112365125277109</v>
      </c>
      <c r="CW42" s="93">
        <v>0.62499369280119021</v>
      </c>
      <c r="CX42" s="93">
        <f t="shared" si="37"/>
        <v>0.78611734405396128</v>
      </c>
      <c r="CY42" s="93"/>
      <c r="CZ42" s="39">
        <f t="shared" si="38"/>
        <v>2.7841153979467625</v>
      </c>
      <c r="DA42" s="93">
        <v>0.93611293983287924</v>
      </c>
      <c r="DB42" s="93">
        <v>-0.56710180382981035</v>
      </c>
      <c r="DC42" s="93">
        <v>0.29582342100710285</v>
      </c>
      <c r="DD42" s="93">
        <f t="shared" si="39"/>
        <v>-0.2712783828227075</v>
      </c>
      <c r="DF42" s="39">
        <f t="shared" si="40"/>
        <v>2.7618510900035087</v>
      </c>
      <c r="DG42" s="93">
        <v>0.87893095623356221</v>
      </c>
      <c r="DH42" s="93">
        <v>0.55665694967544133</v>
      </c>
      <c r="DI42" s="93">
        <v>0.275250117771629</v>
      </c>
      <c r="DJ42" s="93">
        <f t="shared" si="41"/>
        <v>0.83190706744707033</v>
      </c>
      <c r="DK42" s="106"/>
      <c r="DL42" s="39">
        <f t="shared" si="42"/>
        <v>2.8675941660104565</v>
      </c>
      <c r="DM42" s="93">
        <v>0.16502464157045005</v>
      </c>
      <c r="DN42" s="93">
        <v>0.17156850540714014</v>
      </c>
      <c r="DO42" s="93">
        <v>5.3920154022458346E-2</v>
      </c>
      <c r="DP42" s="93">
        <f t="shared" si="43"/>
        <v>0.22548865942959848</v>
      </c>
    </row>
    <row r="43" spans="1:120" x14ac:dyDescent="0.2">
      <c r="A43" s="90">
        <f>name!B39</f>
        <v>0</v>
      </c>
      <c r="B43" s="39">
        <f t="shared" si="1"/>
        <v>2.964323205894126</v>
      </c>
      <c r="C43" s="11">
        <v>366.60612974536059</v>
      </c>
      <c r="D43" s="93">
        <v>59.276568078745363</v>
      </c>
      <c r="E43" s="93">
        <v>124.37795424368858</v>
      </c>
      <c r="F43" s="93">
        <f t="shared" si="2"/>
        <v>183.65452232243393</v>
      </c>
      <c r="G43" s="93"/>
      <c r="H43" s="39">
        <f t="shared" si="3"/>
        <v>2.8629023744369153</v>
      </c>
      <c r="I43" s="93">
        <v>60.29612584772859</v>
      </c>
      <c r="J43" s="93">
        <v>6.2659503707421011</v>
      </c>
      <c r="K43" s="93">
        <v>19.664677844879822</v>
      </c>
      <c r="L43" s="93">
        <f t="shared" si="4"/>
        <v>25.930628215621923</v>
      </c>
      <c r="N43" s="39">
        <f t="shared" si="5"/>
        <v>2.910542307155306</v>
      </c>
      <c r="O43" s="93">
        <v>109.06467888707947</v>
      </c>
      <c r="P43" s="93">
        <v>29.524424023904043</v>
      </c>
      <c r="Q43" s="93">
        <v>36.241068661330416</v>
      </c>
      <c r="R43" s="93">
        <f t="shared" si="6"/>
        <v>65.765492685234463</v>
      </c>
      <c r="S43" s="106"/>
      <c r="T43" s="39">
        <f t="shared" si="7"/>
        <v>3.0246977932693042</v>
      </c>
      <c r="U43" s="93">
        <v>197.24532501055251</v>
      </c>
      <c r="V43" s="93">
        <v>23.486193684099216</v>
      </c>
      <c r="W43" s="93">
        <v>68.472207737478328</v>
      </c>
      <c r="X43" s="93">
        <f t="shared" si="8"/>
        <v>91.958401421577548</v>
      </c>
      <c r="Y43" s="90">
        <f t="shared" si="0"/>
        <v>0</v>
      </c>
      <c r="Z43" s="39">
        <f t="shared" si="9"/>
        <v>3.067775138448714</v>
      </c>
      <c r="AA43" s="11">
        <v>128.40645062723203</v>
      </c>
      <c r="AB43" s="93">
        <v>11.85508119620458</v>
      </c>
      <c r="AC43" s="93">
        <v>45.299963238210964</v>
      </c>
      <c r="AD43" s="93">
        <f t="shared" si="10"/>
        <v>57.155044434415544</v>
      </c>
      <c r="AE43" s="93"/>
      <c r="AF43" s="39">
        <f t="shared" si="11"/>
        <v>2.9973382412868288</v>
      </c>
      <c r="AG43" s="93">
        <v>2.355165456214976</v>
      </c>
      <c r="AH43" s="93">
        <v>0.9637811048672672</v>
      </c>
      <c r="AI43" s="93">
        <v>0.80916212463532233</v>
      </c>
      <c r="AJ43" s="93">
        <f t="shared" si="12"/>
        <v>1.7729432295025895</v>
      </c>
      <c r="AL43" s="39">
        <f t="shared" si="13"/>
        <v>2.9883483560949609</v>
      </c>
      <c r="AM43" s="93">
        <v>12.753554522103531</v>
      </c>
      <c r="AN43" s="93">
        <v>-1.189686119892166</v>
      </c>
      <c r="AO43" s="93">
        <v>4.3667772486974572</v>
      </c>
      <c r="AP43" s="93">
        <f t="shared" si="14"/>
        <v>3.1770911288052912</v>
      </c>
      <c r="AQ43" s="106"/>
      <c r="AR43" s="39">
        <f t="shared" si="15"/>
        <v>3.0781400233887757</v>
      </c>
      <c r="AS43" s="93">
        <v>113.29773064891354</v>
      </c>
      <c r="AT43" s="93">
        <v>12.080986211229478</v>
      </c>
      <c r="AU43" s="93">
        <v>40.124023864878183</v>
      </c>
      <c r="AV43" s="93">
        <f t="shared" si="16"/>
        <v>52.205010076107662</v>
      </c>
      <c r="AW43" s="90">
        <f t="shared" si="17"/>
        <v>0</v>
      </c>
      <c r="AX43" s="39">
        <f t="shared" si="18"/>
        <v>2.6535599438878954</v>
      </c>
      <c r="AY43" s="11">
        <v>85.340941379457291</v>
      </c>
      <c r="AZ43" s="93">
        <v>21.654635101028848</v>
      </c>
      <c r="BA43" s="93">
        <v>25.550385149909442</v>
      </c>
      <c r="BB43" s="93">
        <f t="shared" si="19"/>
        <v>47.20502025093829</v>
      </c>
      <c r="BC43" s="93"/>
      <c r="BD43" s="39">
        <f t="shared" si="20"/>
        <v>2.5369749451499946</v>
      </c>
      <c r="BE43" s="93">
        <v>7.9924706336224665</v>
      </c>
      <c r="BF43" s="93">
        <v>4.6323396613046155</v>
      </c>
      <c r="BG43" s="93">
        <v>2.275534005888348</v>
      </c>
      <c r="BH43" s="93">
        <f t="shared" si="21"/>
        <v>6.9078736671929635</v>
      </c>
      <c r="BJ43" s="39">
        <f t="shared" si="22"/>
        <v>2.5624762152512082</v>
      </c>
      <c r="BK43" s="93">
        <v>27.005268580631853</v>
      </c>
      <c r="BL43" s="93">
        <v>10.223864247757708</v>
      </c>
      <c r="BM43" s="93">
        <v>7.7750437532035859</v>
      </c>
      <c r="BN43" s="93">
        <f t="shared" si="23"/>
        <v>17.998908000961293</v>
      </c>
      <c r="BO43" s="106"/>
      <c r="BP43" s="39">
        <f t="shared" si="24"/>
        <v>2.7204430066313234</v>
      </c>
      <c r="BQ43" s="93">
        <v>50.343202165202975</v>
      </c>
      <c r="BR43" s="93">
        <v>6.7984311919665235</v>
      </c>
      <c r="BS43" s="93">
        <v>15.499807390817509</v>
      </c>
      <c r="BT43" s="93">
        <f t="shared" si="25"/>
        <v>22.29823858278403</v>
      </c>
      <c r="BU43" s="90">
        <f t="shared" si="26"/>
        <v>0</v>
      </c>
      <c r="BV43" s="39">
        <f t="shared" si="27"/>
        <v>3.5825178625260357</v>
      </c>
      <c r="BW43" s="11">
        <v>28.783589754031564</v>
      </c>
      <c r="BX43" s="93">
        <v>9.0490542940407099</v>
      </c>
      <c r="BY43" s="93">
        <v>12.143380105807763</v>
      </c>
      <c r="BZ43" s="93">
        <f t="shared" si="28"/>
        <v>21.192434399848473</v>
      </c>
      <c r="CA43" s="93"/>
      <c r="CB43" s="39">
        <f t="shared" si="29"/>
        <v>3.2872271423685318</v>
      </c>
      <c r="CC43" s="93">
        <v>6.0845432642854735</v>
      </c>
      <c r="CD43" s="93">
        <v>4.4133646639922466</v>
      </c>
      <c r="CE43" s="93">
        <v>2.3234851029341566</v>
      </c>
      <c r="CF43" s="93">
        <f t="shared" si="30"/>
        <v>6.7368497669264027</v>
      </c>
      <c r="CH43" s="39">
        <f t="shared" si="31"/>
        <v>3.5081488727088939</v>
      </c>
      <c r="CI43" s="93">
        <v>13.730317697403695</v>
      </c>
      <c r="CJ43" s="93">
        <v>4.0524808534125691</v>
      </c>
      <c r="CK43" s="93">
        <v>5.6529058299467811</v>
      </c>
      <c r="CL43" s="93">
        <f t="shared" si="32"/>
        <v>9.7053866833593503</v>
      </c>
      <c r="CM43" s="106"/>
      <c r="CN43" s="39">
        <f t="shared" si="33"/>
        <v>3.8896522062592975</v>
      </c>
      <c r="CO43" s="93">
        <v>8.9687287923423913</v>
      </c>
      <c r="CP43" s="93">
        <v>0.58320877663589499</v>
      </c>
      <c r="CQ43" s="93">
        <v>4.1669891729268249</v>
      </c>
      <c r="CR43" s="93">
        <f t="shared" si="34"/>
        <v>4.75019794956272</v>
      </c>
      <c r="CS43" s="90">
        <f t="shared" si="35"/>
        <v>0</v>
      </c>
      <c r="CT43" s="39">
        <f t="shared" si="36"/>
        <v>2.9202085195014771</v>
      </c>
      <c r="CU43" s="11">
        <v>124.07514798463968</v>
      </c>
      <c r="CV43" s="93">
        <v>16.717797487471227</v>
      </c>
      <c r="CW43" s="93">
        <v>41.384225749760404</v>
      </c>
      <c r="CX43" s="93">
        <f t="shared" si="37"/>
        <v>58.102023237231634</v>
      </c>
      <c r="CY43" s="93"/>
      <c r="CZ43" s="39">
        <f t="shared" si="38"/>
        <v>2.8542214955234568</v>
      </c>
      <c r="DA43" s="93">
        <v>43.863946493605674</v>
      </c>
      <c r="DB43" s="93">
        <v>-3.7435350594220274</v>
      </c>
      <c r="DC43" s="93">
        <v>14.256496611421996</v>
      </c>
      <c r="DD43" s="93">
        <f t="shared" si="39"/>
        <v>10.512961551999968</v>
      </c>
      <c r="DF43" s="39">
        <f t="shared" si="40"/>
        <v>2.9076458934621296</v>
      </c>
      <c r="DG43" s="93">
        <v>55.575538086940398</v>
      </c>
      <c r="DH43" s="93">
        <v>16.43776504262593</v>
      </c>
      <c r="DI43" s="93">
        <v>18.446341829482595</v>
      </c>
      <c r="DJ43" s="93">
        <f t="shared" si="41"/>
        <v>34.884106872108525</v>
      </c>
      <c r="DK43" s="106"/>
      <c r="DL43" s="39">
        <f t="shared" si="42"/>
        <v>3.0647677202802814</v>
      </c>
      <c r="DM43" s="93">
        <v>24.635663404093616</v>
      </c>
      <c r="DN43" s="93">
        <v>4.0235675042673211</v>
      </c>
      <c r="DO43" s="93">
        <v>8.6813873088558129</v>
      </c>
      <c r="DP43" s="93">
        <f t="shared" si="43"/>
        <v>12.704954813123134</v>
      </c>
    </row>
    <row r="44" spans="1:120" x14ac:dyDescent="0.2">
      <c r="A44" s="90">
        <f>name!B40</f>
        <v>0</v>
      </c>
      <c r="B44" s="39">
        <f t="shared" si="1"/>
        <v>2.8357475835989687</v>
      </c>
      <c r="C44" s="11">
        <v>393.35784380285861</v>
      </c>
      <c r="D44" s="93">
        <v>-15.846501627171115</v>
      </c>
      <c r="E44" s="93">
        <v>126.91230773625192</v>
      </c>
      <c r="F44" s="93">
        <f t="shared" si="2"/>
        <v>111.0658061090808</v>
      </c>
      <c r="G44" s="93"/>
      <c r="H44" s="39">
        <f t="shared" si="3"/>
        <v>2.7516949963118487</v>
      </c>
      <c r="I44" s="93">
        <v>59.61461044933764</v>
      </c>
      <c r="J44" s="93">
        <v>-20.900434984544614</v>
      </c>
      <c r="K44" s="93">
        <v>18.591854917813837</v>
      </c>
      <c r="L44" s="93">
        <f t="shared" si="4"/>
        <v>-2.3085800667307765</v>
      </c>
      <c r="N44" s="39">
        <f t="shared" si="5"/>
        <v>2.7239499243143506</v>
      </c>
      <c r="O44" s="93">
        <v>173.18501469973404</v>
      </c>
      <c r="P44" s="93">
        <v>-1.7972543490150141</v>
      </c>
      <c r="Q44" s="93">
        <v>53.398033728841654</v>
      </c>
      <c r="R44" s="93">
        <f t="shared" si="6"/>
        <v>51.600779379826641</v>
      </c>
      <c r="S44" s="106"/>
      <c r="T44" s="39">
        <f t="shared" si="7"/>
        <v>2.9858531510617459</v>
      </c>
      <c r="U44" s="93">
        <v>160.55821865378698</v>
      </c>
      <c r="V44" s="93">
        <v>6.8511877063885063</v>
      </c>
      <c r="W44" s="93">
        <v>54.922419089596445</v>
      </c>
      <c r="X44" s="93">
        <f t="shared" si="8"/>
        <v>61.773606795984954</v>
      </c>
      <c r="Y44" s="90">
        <f t="shared" si="0"/>
        <v>0</v>
      </c>
      <c r="Z44" s="39">
        <f t="shared" si="9"/>
        <v>2.9519471351278748</v>
      </c>
      <c r="AA44" s="11">
        <v>193.55143168230654</v>
      </c>
      <c r="AB44" s="93">
        <v>39.567328495072999</v>
      </c>
      <c r="AC44" s="93">
        <v>65.354521617917186</v>
      </c>
      <c r="AD44" s="93">
        <f t="shared" si="10"/>
        <v>104.92185011299019</v>
      </c>
      <c r="AE44" s="93"/>
      <c r="AF44" s="39">
        <f t="shared" si="11"/>
        <v>2.732765888214872</v>
      </c>
      <c r="AG44" s="93">
        <v>8.9496893108903919</v>
      </c>
      <c r="AH44" s="93">
        <v>-0.38086275940552278</v>
      </c>
      <c r="AI44" s="93">
        <v>2.7695053307141997</v>
      </c>
      <c r="AJ44" s="93">
        <f t="shared" si="12"/>
        <v>2.3886425713086767</v>
      </c>
      <c r="AL44" s="39">
        <f t="shared" si="13"/>
        <v>2.7942517550996859</v>
      </c>
      <c r="AM44" s="93">
        <v>63.890128782218703</v>
      </c>
      <c r="AN44" s="93">
        <v>26.216367345241078</v>
      </c>
      <c r="AO44" s="93">
        <v>20.273036384531288</v>
      </c>
      <c r="AP44" s="93">
        <f t="shared" si="14"/>
        <v>46.489403729772363</v>
      </c>
      <c r="AQ44" s="106"/>
      <c r="AR44" s="39">
        <f t="shared" si="15"/>
        <v>3.0505088630622845</v>
      </c>
      <c r="AS44" s="93">
        <v>120.71161358919746</v>
      </c>
      <c r="AT44" s="93">
        <v>13.731823909237447</v>
      </c>
      <c r="AU44" s="93">
        <v>42.311979902671695</v>
      </c>
      <c r="AV44" s="93">
        <f t="shared" si="16"/>
        <v>56.043803811909143</v>
      </c>
      <c r="AW44" s="90">
        <f t="shared" si="17"/>
        <v>0</v>
      </c>
      <c r="AX44" s="39">
        <f t="shared" si="18"/>
        <v>2.6545992493075765</v>
      </c>
      <c r="AY44" s="11">
        <v>136.55603857187839</v>
      </c>
      <c r="AZ44" s="93">
        <v>-43.002314866399423</v>
      </c>
      <c r="BA44" s="93">
        <v>40.901735073909045</v>
      </c>
      <c r="BB44" s="93">
        <f t="shared" si="19"/>
        <v>-2.1005797924903788</v>
      </c>
      <c r="BC44" s="93"/>
      <c r="BD44" s="39">
        <f t="shared" si="20"/>
        <v>2.5646880453044751</v>
      </c>
      <c r="BE44" s="93">
        <v>18.059085654406232</v>
      </c>
      <c r="BF44" s="93">
        <v>-9.0180538971045241</v>
      </c>
      <c r="BG44" s="93">
        <v>5.2043788432435791</v>
      </c>
      <c r="BH44" s="93">
        <f t="shared" si="21"/>
        <v>-3.813675053860945</v>
      </c>
      <c r="BJ44" s="39">
        <f t="shared" si="22"/>
        <v>2.6194787613104564</v>
      </c>
      <c r="BK44" s="93">
        <v>81.562939535953078</v>
      </c>
      <c r="BL44" s="93">
        <v>-26.535125434477635</v>
      </c>
      <c r="BM44" s="93">
        <v>24.06794423722156</v>
      </c>
      <c r="BN44" s="93">
        <f t="shared" si="23"/>
        <v>-2.4671811972560747</v>
      </c>
      <c r="BO44" s="106"/>
      <c r="BP44" s="39">
        <f t="shared" si="24"/>
        <v>2.775188253093952</v>
      </c>
      <c r="BQ44" s="93">
        <v>36.93401338151908</v>
      </c>
      <c r="BR44" s="93">
        <v>-7.4491355348172679</v>
      </c>
      <c r="BS44" s="93">
        <v>11.629411993443906</v>
      </c>
      <c r="BT44" s="93">
        <f t="shared" si="25"/>
        <v>4.1802764586266381</v>
      </c>
      <c r="BU44" s="90">
        <f t="shared" si="26"/>
        <v>0</v>
      </c>
      <c r="BV44" s="39">
        <f t="shared" si="27"/>
        <v>2.8583954213786456</v>
      </c>
      <c r="BW44" s="11">
        <v>20.489593186295824</v>
      </c>
      <c r="BX44" s="93">
        <v>-3.6169124626271385</v>
      </c>
      <c r="BY44" s="93">
        <v>6.6704706699605909</v>
      </c>
      <c r="BZ44" s="93">
        <f t="shared" si="28"/>
        <v>3.0535582073334524</v>
      </c>
      <c r="CA44" s="93"/>
      <c r="CB44" s="39">
        <f t="shared" si="29"/>
        <v>2.886706102007186</v>
      </c>
      <c r="CC44" s="93">
        <v>8.3246385618980643</v>
      </c>
      <c r="CD44" s="93">
        <v>-2.3561745304099531</v>
      </c>
      <c r="CE44" s="93">
        <v>2.7405296991725199</v>
      </c>
      <c r="CF44" s="93">
        <f t="shared" si="30"/>
        <v>0.38435516876256681</v>
      </c>
      <c r="CH44" s="39">
        <f t="shared" si="31"/>
        <v>2.8369795300950962</v>
      </c>
      <c r="CI44" s="93">
        <v>10.970091359887151</v>
      </c>
      <c r="CJ44" s="93">
        <v>-1.2157453343966669</v>
      </c>
      <c r="CK44" s="93">
        <v>3.541109966200767</v>
      </c>
      <c r="CL44" s="93">
        <f t="shared" si="32"/>
        <v>2.3253646318041001</v>
      </c>
      <c r="CM44" s="106"/>
      <c r="CN44" s="39">
        <f t="shared" si="33"/>
        <v>2.8573458698798015</v>
      </c>
      <c r="CO44" s="93">
        <v>1.1948632645106076</v>
      </c>
      <c r="CP44" s="93">
        <v>-4.4992597820518516E-2</v>
      </c>
      <c r="CQ44" s="93">
        <v>0.38883100458730496</v>
      </c>
      <c r="CR44" s="93">
        <f t="shared" si="34"/>
        <v>0.34383840676678645</v>
      </c>
      <c r="CS44" s="90">
        <f t="shared" si="35"/>
        <v>0</v>
      </c>
      <c r="CT44" s="39">
        <f t="shared" si="36"/>
        <v>2.8701182898648092</v>
      </c>
      <c r="CU44" s="11">
        <v>42.760780362377908</v>
      </c>
      <c r="CV44" s="93">
        <v>-8.7946027932175515</v>
      </c>
      <c r="CW44" s="93">
        <v>13.985580374465099</v>
      </c>
      <c r="CX44" s="93">
        <f t="shared" si="37"/>
        <v>5.190977581247548</v>
      </c>
      <c r="CY44" s="93"/>
      <c r="CZ44" s="39">
        <f t="shared" si="38"/>
        <v>2.8496351806148512</v>
      </c>
      <c r="DA44" s="93">
        <v>24.281196922142954</v>
      </c>
      <c r="DB44" s="93">
        <v>-9.1453437976246104</v>
      </c>
      <c r="DC44" s="93">
        <v>7.8774410446835388</v>
      </c>
      <c r="DD44" s="93">
        <f t="shared" si="39"/>
        <v>-1.2679027529410716</v>
      </c>
      <c r="DF44" s="39">
        <f t="shared" si="40"/>
        <v>2.8857004199172476</v>
      </c>
      <c r="DG44" s="93">
        <v>16.761855021675107</v>
      </c>
      <c r="DH44" s="93">
        <v>-0.26275092538178862</v>
      </c>
      <c r="DI44" s="93">
        <v>5.5159431408880319</v>
      </c>
      <c r="DJ44" s="93">
        <f t="shared" si="41"/>
        <v>5.2531922155062434</v>
      </c>
      <c r="DK44" s="106"/>
      <c r="DL44" s="39">
        <f t="shared" si="42"/>
        <v>3.0064287710700022</v>
      </c>
      <c r="DM44" s="93">
        <v>1.7177284185598474</v>
      </c>
      <c r="DN44" s="93">
        <v>0.61349192978884681</v>
      </c>
      <c r="DO44" s="93">
        <v>0.59219618889352987</v>
      </c>
      <c r="DP44" s="93">
        <f t="shared" si="43"/>
        <v>1.2056881186823767</v>
      </c>
    </row>
    <row r="45" spans="1:120" x14ac:dyDescent="0.2">
      <c r="A45" s="90">
        <f>name!B41</f>
        <v>0</v>
      </c>
      <c r="B45" s="39">
        <f t="shared" si="1"/>
        <v>2.5589515569040877</v>
      </c>
      <c r="C45" s="11">
        <v>378.65361093918506</v>
      </c>
      <c r="D45" s="93">
        <v>36.796399092126755</v>
      </c>
      <c r="E45" s="93">
        <v>108.84998948408384</v>
      </c>
      <c r="F45" s="93">
        <f t="shared" si="2"/>
        <v>145.6463885762106</v>
      </c>
      <c r="G45" s="93"/>
      <c r="H45" s="39">
        <f t="shared" si="3"/>
        <v>2.6970336356285651</v>
      </c>
      <c r="I45" s="93">
        <v>21.232264083662649</v>
      </c>
      <c r="J45" s="93">
        <v>5.5608874318156268E-2</v>
      </c>
      <c r="K45" s="93">
        <v>6.4738297499487887</v>
      </c>
      <c r="L45" s="93">
        <f t="shared" si="4"/>
        <v>6.5294386242669447</v>
      </c>
      <c r="N45" s="39">
        <f t="shared" si="5"/>
        <v>2.6178307858164995</v>
      </c>
      <c r="O45" s="93">
        <v>54.055750144900642</v>
      </c>
      <c r="P45" s="93">
        <v>7.7932985015424325</v>
      </c>
      <c r="Q45" s="93">
        <v>15.939762430606391</v>
      </c>
      <c r="R45" s="93">
        <f t="shared" si="6"/>
        <v>23.733060932148824</v>
      </c>
      <c r="S45" s="106"/>
      <c r="T45" s="39">
        <f t="shared" si="7"/>
        <v>2.5386919147606823</v>
      </c>
      <c r="U45" s="93">
        <v>303.36559671062184</v>
      </c>
      <c r="V45" s="93">
        <v>28.947491716266153</v>
      </c>
      <c r="W45" s="93">
        <v>86.436397303528679</v>
      </c>
      <c r="X45" s="93">
        <f t="shared" si="8"/>
        <v>115.38388901979484</v>
      </c>
      <c r="Y45" s="90">
        <f t="shared" si="0"/>
        <v>0</v>
      </c>
      <c r="Z45" s="39">
        <f t="shared" si="9"/>
        <v>2.5199611178011505</v>
      </c>
      <c r="AA45" s="11">
        <v>312.18144659946984</v>
      </c>
      <c r="AB45" s="93">
        <v>28.895682554218279</v>
      </c>
      <c r="AC45" s="93">
        <v>88.21610831482117</v>
      </c>
      <c r="AD45" s="93">
        <f t="shared" si="10"/>
        <v>117.11179086903945</v>
      </c>
      <c r="AE45" s="93"/>
      <c r="AF45" s="39">
        <f t="shared" si="11"/>
        <v>2.4310222459994479</v>
      </c>
      <c r="AG45" s="93">
        <v>3.9811352808305944</v>
      </c>
      <c r="AH45" s="93">
        <v>4.5008812227039625</v>
      </c>
      <c r="AI45" s="93">
        <v>1.0808631323162383</v>
      </c>
      <c r="AJ45" s="93">
        <f t="shared" si="12"/>
        <v>5.5817443550202004</v>
      </c>
      <c r="AL45" s="39">
        <f t="shared" si="13"/>
        <v>2.4685169170641119</v>
      </c>
      <c r="AM45" s="93">
        <v>20.509890701227175</v>
      </c>
      <c r="AN45" s="93">
        <v>4.1191890490955583</v>
      </c>
      <c r="AO45" s="93">
        <v>5.6639738538481845</v>
      </c>
      <c r="AP45" s="93">
        <f t="shared" si="14"/>
        <v>9.7831629029437437</v>
      </c>
      <c r="AQ45" s="106"/>
      <c r="AR45" s="39">
        <f t="shared" si="15"/>
        <v>2.524845301627332</v>
      </c>
      <c r="AS45" s="93">
        <v>287.69042061741203</v>
      </c>
      <c r="AT45" s="93">
        <v>20.275612282418756</v>
      </c>
      <c r="AU45" s="93">
        <v>81.471271328656755</v>
      </c>
      <c r="AV45" s="93">
        <f t="shared" si="16"/>
        <v>101.7468836110755</v>
      </c>
      <c r="AW45" s="90">
        <f t="shared" si="17"/>
        <v>0</v>
      </c>
      <c r="AX45" s="39">
        <f t="shared" si="18"/>
        <v>2.6549442218402941</v>
      </c>
      <c r="AY45" s="11">
        <v>41.892929155094187</v>
      </c>
      <c r="AZ45" s="93">
        <v>9.2492751468853793</v>
      </c>
      <c r="BA45" s="93">
        <v>12.549743972538471</v>
      </c>
      <c r="BB45" s="93">
        <f t="shared" si="19"/>
        <v>21.79901911942385</v>
      </c>
      <c r="BC45" s="93"/>
      <c r="BD45" s="39">
        <f t="shared" si="20"/>
        <v>2.5532327548231981</v>
      </c>
      <c r="BE45" s="93">
        <v>6.2009149306433597</v>
      </c>
      <c r="BF45" s="93">
        <v>-0.93789945412547293</v>
      </c>
      <c r="BG45" s="93">
        <v>1.7781008484106056</v>
      </c>
      <c r="BH45" s="93">
        <f t="shared" si="21"/>
        <v>0.84020139428513263</v>
      </c>
      <c r="BJ45" s="39">
        <f t="shared" si="22"/>
        <v>2.603317774412961</v>
      </c>
      <c r="BK45" s="93">
        <v>21.307415275332314</v>
      </c>
      <c r="BL45" s="93">
        <v>2.2423318572234603</v>
      </c>
      <c r="BM45" s="93">
        <v>6.2440571353848382</v>
      </c>
      <c r="BN45" s="93">
        <f t="shared" si="23"/>
        <v>8.4863889926082976</v>
      </c>
      <c r="BO45" s="106"/>
      <c r="BP45" s="39">
        <f t="shared" si="24"/>
        <v>2.7742686070164835</v>
      </c>
      <c r="BQ45" s="93">
        <v>14.384598949118512</v>
      </c>
      <c r="BR45" s="93">
        <v>7.9448427437873912</v>
      </c>
      <c r="BS45" s="93">
        <v>4.5275859887430272</v>
      </c>
      <c r="BT45" s="93">
        <f t="shared" si="25"/>
        <v>12.472428732530418</v>
      </c>
      <c r="BU45" s="90">
        <f t="shared" si="26"/>
        <v>0</v>
      </c>
      <c r="BV45" s="39">
        <f t="shared" si="27"/>
        <v>2.6192743149682007</v>
      </c>
      <c r="BW45" s="11">
        <v>2.9857552680997586</v>
      </c>
      <c r="BX45" s="93">
        <v>0.29752966440157663</v>
      </c>
      <c r="BY45" s="93">
        <v>0.88097251477732141</v>
      </c>
      <c r="BZ45" s="93">
        <f t="shared" si="28"/>
        <v>1.1785021791788981</v>
      </c>
      <c r="CA45" s="93"/>
      <c r="CB45" s="39">
        <f t="shared" si="29"/>
        <v>2.6102783759339943</v>
      </c>
      <c r="CC45" s="93">
        <v>1.0704246420939711</v>
      </c>
      <c r="CD45" s="93">
        <v>-0.11337152429818138</v>
      </c>
      <c r="CE45" s="93">
        <v>0.31462314152439591</v>
      </c>
      <c r="CF45" s="93">
        <f t="shared" si="30"/>
        <v>0.20125161722621454</v>
      </c>
      <c r="CH45" s="39">
        <f t="shared" si="31"/>
        <v>2.6315936742941082</v>
      </c>
      <c r="CI45" s="93">
        <v>1.5955005485136557</v>
      </c>
      <c r="CJ45" s="93">
        <v>0.30848080422027463</v>
      </c>
      <c r="CK45" s="93">
        <v>0.47324789856842298</v>
      </c>
      <c r="CL45" s="93">
        <f t="shared" si="32"/>
        <v>0.78172870278869766</v>
      </c>
      <c r="CM45" s="106"/>
      <c r="CN45" s="39">
        <f t="shared" si="33"/>
        <v>2.5878378150158365</v>
      </c>
      <c r="CO45" s="93">
        <v>0.31983007749213199</v>
      </c>
      <c r="CP45" s="93">
        <v>0.10242038447948336</v>
      </c>
      <c r="CQ45" s="93">
        <v>9.3101474684502514E-2</v>
      </c>
      <c r="CR45" s="93">
        <f t="shared" si="34"/>
        <v>0.19552185916398587</v>
      </c>
      <c r="CS45" s="90">
        <f t="shared" si="35"/>
        <v>0</v>
      </c>
      <c r="CT45" s="39">
        <f t="shared" si="36"/>
        <v>2.9205088963651926</v>
      </c>
      <c r="CU45" s="11">
        <v>21.593479916521417</v>
      </c>
      <c r="CV45" s="93">
        <v>-1.6460882733784852</v>
      </c>
      <c r="CW45" s="93">
        <v>7.2031646819468875</v>
      </c>
      <c r="CX45" s="93">
        <f t="shared" si="37"/>
        <v>5.5570764085684026</v>
      </c>
      <c r="CY45" s="93"/>
      <c r="CZ45" s="39">
        <f t="shared" si="38"/>
        <v>2.8981993026460096</v>
      </c>
      <c r="DA45" s="93">
        <v>9.979789230094724</v>
      </c>
      <c r="DB45" s="93">
        <v>-3.3940013699621523</v>
      </c>
      <c r="DC45" s="93">
        <v>3.3002426276975489</v>
      </c>
      <c r="DD45" s="93">
        <f t="shared" si="39"/>
        <v>-9.3758742264603345E-2</v>
      </c>
      <c r="DF45" s="39">
        <f t="shared" si="40"/>
        <v>2.9264568687984216</v>
      </c>
      <c r="DG45" s="93">
        <v>10.642943619827502</v>
      </c>
      <c r="DH45" s="93">
        <v>1.1232967910031393</v>
      </c>
      <c r="DI45" s="93">
        <v>3.5584835428049475</v>
      </c>
      <c r="DJ45" s="93">
        <f t="shared" si="41"/>
        <v>4.6817803338080868</v>
      </c>
      <c r="DK45" s="106"/>
      <c r="DL45" s="39">
        <f t="shared" si="42"/>
        <v>3.0832482448727161</v>
      </c>
      <c r="DM45" s="93">
        <v>0.97074706659919119</v>
      </c>
      <c r="DN45" s="93">
        <v>0.62461630558052772</v>
      </c>
      <c r="DO45" s="93">
        <v>0.34443851144439169</v>
      </c>
      <c r="DP45" s="93">
        <f t="shared" si="43"/>
        <v>0.96905481702491936</v>
      </c>
    </row>
    <row r="46" spans="1:120" x14ac:dyDescent="0.2">
      <c r="A46" s="90">
        <f>name!B42</f>
        <v>0</v>
      </c>
      <c r="B46" s="39">
        <f t="shared" si="1"/>
        <v>2.890259729191258</v>
      </c>
      <c r="C46" s="11">
        <v>596.16075467408132</v>
      </c>
      <c r="D46" s="93">
        <v>130.76412576439193</v>
      </c>
      <c r="E46" s="93">
        <v>196.53406172763593</v>
      </c>
      <c r="F46" s="93">
        <f t="shared" si="2"/>
        <v>327.29818749202786</v>
      </c>
      <c r="G46" s="93"/>
      <c r="H46" s="39">
        <f t="shared" si="3"/>
        <v>2.6788795437322488</v>
      </c>
      <c r="I46" s="93">
        <v>75.585819538445264</v>
      </c>
      <c r="J46" s="93">
        <v>4.2136979795279563</v>
      </c>
      <c r="K46" s="93">
        <v>22.872299636804904</v>
      </c>
      <c r="L46" s="93">
        <f t="shared" si="4"/>
        <v>27.085997616332861</v>
      </c>
      <c r="N46" s="39">
        <f t="shared" si="5"/>
        <v>2.706098654684097</v>
      </c>
      <c r="O46" s="93">
        <v>212.25679919065291</v>
      </c>
      <c r="P46" s="93">
        <v>64.236584035540048</v>
      </c>
      <c r="Q46" s="93">
        <v>64.962803722137807</v>
      </c>
      <c r="R46" s="93">
        <f t="shared" si="6"/>
        <v>129.19938775767787</v>
      </c>
      <c r="S46" s="106"/>
      <c r="T46" s="39">
        <f t="shared" si="7"/>
        <v>3.0660135882804918</v>
      </c>
      <c r="U46" s="93">
        <v>308.31813594498311</v>
      </c>
      <c r="V46" s="93">
        <v>62.313843749323915</v>
      </c>
      <c r="W46" s="93">
        <v>108.69895836869323</v>
      </c>
      <c r="X46" s="93">
        <f t="shared" si="8"/>
        <v>171.01280211801713</v>
      </c>
      <c r="Y46" s="90">
        <f t="shared" si="0"/>
        <v>0</v>
      </c>
      <c r="Z46" s="39">
        <f t="shared" si="9"/>
        <v>3.0502708921622101</v>
      </c>
      <c r="AA46" s="11">
        <v>335.93921919202376</v>
      </c>
      <c r="AB46" s="93">
        <v>65.992763386883993</v>
      </c>
      <c r="AC46" s="93">
        <v>117.74334207940043</v>
      </c>
      <c r="AD46" s="93">
        <f t="shared" si="10"/>
        <v>183.73610546628441</v>
      </c>
      <c r="AE46" s="93"/>
      <c r="AF46" s="39">
        <f t="shared" si="11"/>
        <v>2.772118894951725</v>
      </c>
      <c r="AG46" s="93">
        <v>6.0163041652184992</v>
      </c>
      <c r="AH46" s="93">
        <v>1.3292953942067818</v>
      </c>
      <c r="AI46" s="93">
        <v>1.8919913793244785</v>
      </c>
      <c r="AJ46" s="93">
        <f t="shared" si="12"/>
        <v>3.2212867735312605</v>
      </c>
      <c r="AL46" s="39">
        <f t="shared" si="13"/>
        <v>2.8305616396997912</v>
      </c>
      <c r="AM46" s="93">
        <v>54.066211981632996</v>
      </c>
      <c r="AN46" s="93">
        <v>15.192793130377611</v>
      </c>
      <c r="AO46" s="93">
        <v>17.40777706255945</v>
      </c>
      <c r="AP46" s="93">
        <f t="shared" si="14"/>
        <v>32.600570192937063</v>
      </c>
      <c r="AQ46" s="106"/>
      <c r="AR46" s="39">
        <f t="shared" si="15"/>
        <v>3.0988119312854945</v>
      </c>
      <c r="AS46" s="93">
        <v>275.85670304517225</v>
      </c>
      <c r="AT46" s="93">
        <v>49.470674862299603</v>
      </c>
      <c r="AU46" s="93">
        <v>98.443573637516494</v>
      </c>
      <c r="AV46" s="93">
        <f t="shared" si="16"/>
        <v>147.9142484998161</v>
      </c>
      <c r="AW46" s="90">
        <f t="shared" si="17"/>
        <v>0</v>
      </c>
      <c r="AX46" s="39">
        <f t="shared" si="18"/>
        <v>2.6039196652279051</v>
      </c>
      <c r="AY46" s="11">
        <v>159.03458473919616</v>
      </c>
      <c r="AZ46" s="93">
        <v>40.296222391531657</v>
      </c>
      <c r="BA46" s="93">
        <v>46.616544654725452</v>
      </c>
      <c r="BB46" s="93">
        <f t="shared" si="19"/>
        <v>86.912767046257102</v>
      </c>
      <c r="BC46" s="93"/>
      <c r="BD46" s="39">
        <f t="shared" si="20"/>
        <v>2.5452433226490934</v>
      </c>
      <c r="BE46" s="93">
        <v>21.770784421414771</v>
      </c>
      <c r="BF46" s="93">
        <v>-0.58525794672168419</v>
      </c>
      <c r="BG46" s="93">
        <v>6.2209156872515399</v>
      </c>
      <c r="BH46" s="93">
        <f t="shared" si="21"/>
        <v>5.6356577405298554</v>
      </c>
      <c r="BJ46" s="39">
        <f t="shared" si="22"/>
        <v>2.5795517536157053</v>
      </c>
      <c r="BK46" s="93">
        <v>109.52927387637574</v>
      </c>
      <c r="BL46" s="93">
        <v>30.843442039124554</v>
      </c>
      <c r="BM46" s="93">
        <v>31.769430063648457</v>
      </c>
      <c r="BN46" s="93">
        <f t="shared" si="23"/>
        <v>62.612872102773011</v>
      </c>
      <c r="BO46" s="106"/>
      <c r="BP46" s="39">
        <f t="shared" si="24"/>
        <v>2.7451139967111571</v>
      </c>
      <c r="BQ46" s="93">
        <v>27.734526441405688</v>
      </c>
      <c r="BR46" s="93">
        <v>10.038038299128784</v>
      </c>
      <c r="BS46" s="93">
        <v>8.6261989038254558</v>
      </c>
      <c r="BT46" s="93">
        <f t="shared" si="25"/>
        <v>18.66423720295424</v>
      </c>
      <c r="BU46" s="90">
        <f t="shared" si="26"/>
        <v>0</v>
      </c>
      <c r="BV46" s="39">
        <f t="shared" si="27"/>
        <v>2.4641512026180035</v>
      </c>
      <c r="BW46" s="11">
        <v>12.81458334002725</v>
      </c>
      <c r="BX46" s="93">
        <v>4.3895704257866655</v>
      </c>
      <c r="BY46" s="93">
        <v>3.5318857518426356</v>
      </c>
      <c r="BZ46" s="93">
        <f t="shared" si="28"/>
        <v>7.9214561776293007</v>
      </c>
      <c r="CA46" s="93"/>
      <c r="CB46" s="39">
        <f t="shared" si="29"/>
        <v>2.3360812858931101</v>
      </c>
      <c r="CC46" s="93">
        <v>6.0632147564116732</v>
      </c>
      <c r="CD46" s="93">
        <v>2.5684165487773454</v>
      </c>
      <c r="CE46" s="93">
        <v>1.5749808838887966</v>
      </c>
      <c r="CF46" s="93">
        <f t="shared" si="30"/>
        <v>4.1433974326661422</v>
      </c>
      <c r="CH46" s="39">
        <f t="shared" si="31"/>
        <v>2.5656844346393592</v>
      </c>
      <c r="CI46" s="93">
        <v>5.7160556182605653</v>
      </c>
      <c r="CJ46" s="93">
        <v>1.556033629424588</v>
      </c>
      <c r="CK46" s="93">
        <v>1.6480035734914502</v>
      </c>
      <c r="CL46" s="93">
        <f t="shared" si="32"/>
        <v>3.2040372029160382</v>
      </c>
      <c r="CM46" s="106"/>
      <c r="CN46" s="39">
        <f t="shared" si="33"/>
        <v>2.645445634877297</v>
      </c>
      <c r="CO46" s="93">
        <v>1.0353129653550115</v>
      </c>
      <c r="CP46" s="93">
        <v>0.26512024758473196</v>
      </c>
      <c r="CQ46" s="93">
        <v>0.30890129446238906</v>
      </c>
      <c r="CR46" s="93">
        <f t="shared" si="34"/>
        <v>0.57402154204712108</v>
      </c>
      <c r="CS46" s="90">
        <f t="shared" si="35"/>
        <v>0</v>
      </c>
      <c r="CT46" s="39">
        <f t="shared" si="36"/>
        <v>2.8471774384655868</v>
      </c>
      <c r="CU46" s="11">
        <v>88.372367402834058</v>
      </c>
      <c r="CV46" s="93">
        <v>20.085569560189615</v>
      </c>
      <c r="CW46" s="93">
        <v>28.642289241667434</v>
      </c>
      <c r="CX46" s="93">
        <f t="shared" si="37"/>
        <v>48.727858801857053</v>
      </c>
      <c r="CY46" s="93"/>
      <c r="CZ46" s="39">
        <f t="shared" si="38"/>
        <v>2.7832667945406842</v>
      </c>
      <c r="DA46" s="93">
        <v>41.735516195400322</v>
      </c>
      <c r="DB46" s="93">
        <v>0.90124398326551358</v>
      </c>
      <c r="DC46" s="93">
        <v>13.184411686340088</v>
      </c>
      <c r="DD46" s="93">
        <f t="shared" si="39"/>
        <v>14.085655669605602</v>
      </c>
      <c r="DF46" s="39">
        <f t="shared" si="40"/>
        <v>2.8866540918025541</v>
      </c>
      <c r="DG46" s="93">
        <v>42.945257714383601</v>
      </c>
      <c r="DH46" s="93">
        <v>16.644315236613298</v>
      </c>
      <c r="DI46" s="93">
        <v>14.137593022438447</v>
      </c>
      <c r="DJ46" s="93">
        <f t="shared" si="41"/>
        <v>30.781908259051747</v>
      </c>
      <c r="DK46" s="106"/>
      <c r="DL46" s="39">
        <f t="shared" si="42"/>
        <v>3.1047472891351457</v>
      </c>
      <c r="DM46" s="93">
        <v>3.6915934930501404</v>
      </c>
      <c r="DN46" s="93">
        <v>2.5400103403108023</v>
      </c>
      <c r="DO46" s="93">
        <v>1.320284532888897</v>
      </c>
      <c r="DP46" s="93">
        <f t="shared" si="43"/>
        <v>3.8602948731996993</v>
      </c>
    </row>
    <row r="47" spans="1:120" x14ac:dyDescent="0.2">
      <c r="A47" s="90">
        <f>name!B43</f>
        <v>0</v>
      </c>
      <c r="B47" s="39">
        <f t="shared" si="1"/>
        <v>2.865344899385458</v>
      </c>
      <c r="C47" s="11">
        <v>40.376210097149027</v>
      </c>
      <c r="D47" s="93">
        <v>12.806927196821107</v>
      </c>
      <c r="E47" s="93">
        <v>13.180811533634204</v>
      </c>
      <c r="F47" s="93">
        <f t="shared" si="2"/>
        <v>25.987738730455312</v>
      </c>
      <c r="G47" s="93"/>
      <c r="H47" s="39">
        <f t="shared" si="3"/>
        <v>2.7751718770929079</v>
      </c>
      <c r="I47" s="93">
        <v>9.3187758939343261</v>
      </c>
      <c r="J47" s="93">
        <v>1.4740755938305261</v>
      </c>
      <c r="K47" s="93">
        <v>2.934183240230555</v>
      </c>
      <c r="L47" s="93">
        <f t="shared" si="4"/>
        <v>4.4082588340610815</v>
      </c>
      <c r="N47" s="39">
        <f t="shared" si="5"/>
        <v>2.8011029016640654</v>
      </c>
      <c r="O47" s="93">
        <v>15.51970188832003</v>
      </c>
      <c r="P47" s="93">
        <v>4.6916947620293463</v>
      </c>
      <c r="Q47" s="93">
        <v>4.9382011045192602</v>
      </c>
      <c r="R47" s="93">
        <f t="shared" si="6"/>
        <v>9.6298958665486065</v>
      </c>
      <c r="S47" s="106"/>
      <c r="T47" s="39">
        <f t="shared" si="7"/>
        <v>2.9825975993459597</v>
      </c>
      <c r="U47" s="93">
        <v>15.537732314894669</v>
      </c>
      <c r="V47" s="93">
        <v>6.6411568409612336</v>
      </c>
      <c r="W47" s="93">
        <v>5.3084271888843881</v>
      </c>
      <c r="X47" s="93">
        <f t="shared" si="8"/>
        <v>11.949584029845621</v>
      </c>
      <c r="Y47" s="90">
        <f t="shared" si="0"/>
        <v>0</v>
      </c>
      <c r="Z47" s="39">
        <f t="shared" si="9"/>
        <v>3.0248158548996429</v>
      </c>
      <c r="AA47" s="11">
        <v>21.444049548280258</v>
      </c>
      <c r="AB47" s="93">
        <v>6.4637391240695505</v>
      </c>
      <c r="AC47" s="93">
        <v>7.4444690278107304</v>
      </c>
      <c r="AD47" s="93">
        <f t="shared" si="10"/>
        <v>13.908208151880281</v>
      </c>
      <c r="AE47" s="93"/>
      <c r="AF47" s="39">
        <f t="shared" si="11"/>
        <v>3.0872958603731293</v>
      </c>
      <c r="AG47" s="93">
        <v>2.7651222683057175</v>
      </c>
      <c r="AH47" s="93">
        <v>0.53339249467469196</v>
      </c>
      <c r="AI47" s="93">
        <v>0.98258633136794948</v>
      </c>
      <c r="AJ47" s="93">
        <f t="shared" si="12"/>
        <v>1.5159788260426414</v>
      </c>
      <c r="AL47" s="39">
        <f t="shared" si="13"/>
        <v>2.9781314195511888</v>
      </c>
      <c r="AM47" s="93">
        <v>6.7043000761876437</v>
      </c>
      <c r="AN47" s="93">
        <v>0.72118551121563768</v>
      </c>
      <c r="AO47" s="93">
        <v>2.286607135241129</v>
      </c>
      <c r="AP47" s="93">
        <f t="shared" si="14"/>
        <v>3.0077926464567666</v>
      </c>
      <c r="AQ47" s="106"/>
      <c r="AR47" s="39">
        <f t="shared" si="15"/>
        <v>3.0364271872712179</v>
      </c>
      <c r="AS47" s="93">
        <v>11.974627203786897</v>
      </c>
      <c r="AT47" s="93">
        <v>5.209161118179221</v>
      </c>
      <c r="AU47" s="93">
        <v>4.1752755612016514</v>
      </c>
      <c r="AV47" s="93">
        <f t="shared" si="16"/>
        <v>9.3844366793808724</v>
      </c>
      <c r="AW47" s="90">
        <f t="shared" si="17"/>
        <v>0</v>
      </c>
      <c r="AX47" s="39">
        <f t="shared" si="18"/>
        <v>2.6056938584245515</v>
      </c>
      <c r="AY47" s="11">
        <v>11.013605155901349</v>
      </c>
      <c r="AZ47" s="93">
        <v>1.0299128541872438</v>
      </c>
      <c r="BA47" s="93">
        <v>3.2307934614555975</v>
      </c>
      <c r="BB47" s="93">
        <f t="shared" si="19"/>
        <v>4.2607063156428415</v>
      </c>
      <c r="BC47" s="93"/>
      <c r="BD47" s="39">
        <f t="shared" si="20"/>
        <v>2.5171144014275004</v>
      </c>
      <c r="BE47" s="93">
        <v>2.5657167308459536</v>
      </c>
      <c r="BF47" s="93">
        <v>-2.0249829680665472E-2</v>
      </c>
      <c r="BG47" s="93">
        <v>0.72410556877585575</v>
      </c>
      <c r="BH47" s="93">
        <f t="shared" si="21"/>
        <v>0.70385573909519028</v>
      </c>
      <c r="BJ47" s="39">
        <f t="shared" si="22"/>
        <v>2.564691401725705</v>
      </c>
      <c r="BK47" s="93">
        <v>5.4392446032435906</v>
      </c>
      <c r="BL47" s="93">
        <v>0.51504624411421973</v>
      </c>
      <c r="BM47" s="93">
        <v>1.5675173974350798</v>
      </c>
      <c r="BN47" s="93">
        <f t="shared" si="23"/>
        <v>2.0825636415492994</v>
      </c>
      <c r="BO47" s="106"/>
      <c r="BP47" s="39">
        <f t="shared" si="24"/>
        <v>2.7539661724697684</v>
      </c>
      <c r="BQ47" s="93">
        <v>3.0086438218118041</v>
      </c>
      <c r="BR47" s="93">
        <v>0.53511643975368939</v>
      </c>
      <c r="BS47" s="93">
        <v>0.93917049524466201</v>
      </c>
      <c r="BT47" s="93">
        <f t="shared" si="25"/>
        <v>1.4742869349983514</v>
      </c>
      <c r="BU47" s="90">
        <f t="shared" si="26"/>
        <v>0</v>
      </c>
      <c r="BV47" s="39">
        <f t="shared" si="27"/>
        <v>2.7769349895925721</v>
      </c>
      <c r="BW47" s="11">
        <v>2.8680773838859954</v>
      </c>
      <c r="BX47" s="93">
        <v>1.8124842888357913</v>
      </c>
      <c r="BY47" s="93">
        <v>0.90371244599220335</v>
      </c>
      <c r="BZ47" s="93">
        <f t="shared" si="28"/>
        <v>2.7161967348279945</v>
      </c>
      <c r="CA47" s="93"/>
      <c r="CB47" s="39">
        <f t="shared" si="29"/>
        <v>2.6526063565382341</v>
      </c>
      <c r="CC47" s="93">
        <v>1.133194068533085</v>
      </c>
      <c r="CD47" s="93">
        <v>0.1263303128615518</v>
      </c>
      <c r="CE47" s="93">
        <v>0.33913232926021469</v>
      </c>
      <c r="CF47" s="93">
        <f t="shared" si="30"/>
        <v>0.46546264212176647</v>
      </c>
      <c r="CH47" s="39">
        <f t="shared" si="31"/>
        <v>2.7982733108218305</v>
      </c>
      <c r="CI47" s="93">
        <v>1.5036570788687731</v>
      </c>
      <c r="CJ47" s="93">
        <v>1.358746094911804</v>
      </c>
      <c r="CK47" s="93">
        <v>0.47790189710881065</v>
      </c>
      <c r="CL47" s="93">
        <f t="shared" si="32"/>
        <v>1.8366479920206147</v>
      </c>
      <c r="CM47" s="106"/>
      <c r="CN47" s="39">
        <f t="shared" si="33"/>
        <v>3.2347595318199085</v>
      </c>
      <c r="CO47" s="93">
        <v>0.23122623648413734</v>
      </c>
      <c r="CP47" s="93">
        <v>0.32740788106243529</v>
      </c>
      <c r="CQ47" s="93">
        <v>8.6678219623177913E-2</v>
      </c>
      <c r="CR47" s="93">
        <f t="shared" si="34"/>
        <v>0.41408610068561319</v>
      </c>
      <c r="CS47" s="90">
        <f t="shared" si="35"/>
        <v>0</v>
      </c>
      <c r="CT47" s="39">
        <f t="shared" si="36"/>
        <v>2.7931156217943398</v>
      </c>
      <c r="CU47" s="11">
        <v>5.0504780090814236</v>
      </c>
      <c r="CV47" s="93">
        <v>3.5007909297285211</v>
      </c>
      <c r="CW47" s="93">
        <v>1.6018365983756719</v>
      </c>
      <c r="CX47" s="93">
        <f t="shared" si="37"/>
        <v>5.1026275281041933</v>
      </c>
      <c r="CY47" s="93"/>
      <c r="CZ47" s="39">
        <f t="shared" si="38"/>
        <v>2.74636478298389</v>
      </c>
      <c r="DA47" s="93">
        <v>2.8547428262495687</v>
      </c>
      <c r="DB47" s="93">
        <v>0.83460261597494789</v>
      </c>
      <c r="DC47" s="93">
        <v>0.88835901082653501</v>
      </c>
      <c r="DD47" s="93">
        <f t="shared" si="39"/>
        <v>1.7229616268014829</v>
      </c>
      <c r="DF47" s="39">
        <f t="shared" si="40"/>
        <v>2.8441917872239486</v>
      </c>
      <c r="DG47" s="93">
        <v>1.8725001300200237</v>
      </c>
      <c r="DH47" s="93">
        <v>2.0967169117876856</v>
      </c>
      <c r="DI47" s="93">
        <v>0.60617467473424025</v>
      </c>
      <c r="DJ47" s="93">
        <f t="shared" si="41"/>
        <v>2.7028915865219258</v>
      </c>
      <c r="DK47" s="106"/>
      <c r="DL47" s="39">
        <f t="shared" si="42"/>
        <v>2.9080384999745856</v>
      </c>
      <c r="DM47" s="93">
        <v>0.32323505281183162</v>
      </c>
      <c r="DN47" s="93">
        <v>0.5694714019658873</v>
      </c>
      <c r="DO47" s="93">
        <v>0.10730291281489671</v>
      </c>
      <c r="DP47" s="93">
        <f t="shared" si="43"/>
        <v>0.67677431478078398</v>
      </c>
    </row>
    <row r="48" spans="1:120" x14ac:dyDescent="0.2">
      <c r="A48" s="90">
        <f>name!B44</f>
        <v>0</v>
      </c>
      <c r="B48" s="39">
        <f t="shared" si="1"/>
        <v>2.8169915417421754</v>
      </c>
      <c r="C48" s="11">
        <v>158.75130574877755</v>
      </c>
      <c r="D48" s="93">
        <v>31.053175488358242</v>
      </c>
      <c r="E48" s="93">
        <v>50.836604439456309</v>
      </c>
      <c r="F48" s="93">
        <f t="shared" si="2"/>
        <v>81.889779927814544</v>
      </c>
      <c r="G48" s="93"/>
      <c r="H48" s="39">
        <f t="shared" si="3"/>
        <v>2.7131406842493488</v>
      </c>
      <c r="I48" s="93">
        <v>37.269430586923946</v>
      </c>
      <c r="J48" s="93">
        <v>2.0080357660646397</v>
      </c>
      <c r="K48" s="93">
        <v>11.439976930786587</v>
      </c>
      <c r="L48" s="93">
        <f t="shared" si="4"/>
        <v>13.448012696851226</v>
      </c>
      <c r="N48" s="39">
        <f t="shared" si="5"/>
        <v>2.6835187325179533</v>
      </c>
      <c r="O48" s="93">
        <v>64.168727676686729</v>
      </c>
      <c r="P48" s="93">
        <v>9.648746828409589</v>
      </c>
      <c r="Q48" s="93">
        <v>19.45525621806194</v>
      </c>
      <c r="R48" s="93">
        <f t="shared" si="6"/>
        <v>29.104003046471529</v>
      </c>
      <c r="S48" s="106"/>
      <c r="T48" s="39">
        <f t="shared" si="7"/>
        <v>3.0307741956072665</v>
      </c>
      <c r="U48" s="93">
        <v>57.313147485166859</v>
      </c>
      <c r="V48" s="93">
        <v>19.396392893884016</v>
      </c>
      <c r="W48" s="93">
        <v>19.941371290607766</v>
      </c>
      <c r="X48" s="93">
        <f t="shared" si="8"/>
        <v>39.337764184491782</v>
      </c>
      <c r="Y48" s="90">
        <f t="shared" si="0"/>
        <v>0</v>
      </c>
      <c r="Z48" s="39">
        <f t="shared" si="9"/>
        <v>3.0844034831169376</v>
      </c>
      <c r="AA48" s="11">
        <v>54.043501876163091</v>
      </c>
      <c r="AB48" s="93">
        <v>16.838248878570081</v>
      </c>
      <c r="AC48" s="93">
        <v>19.18381203425853</v>
      </c>
      <c r="AD48" s="93">
        <f t="shared" si="10"/>
        <v>36.022060912828607</v>
      </c>
      <c r="AE48" s="93"/>
      <c r="AF48" s="39">
        <f t="shared" si="11"/>
        <v>3.0687126992563263</v>
      </c>
      <c r="AG48" s="93">
        <v>2.872339077635929</v>
      </c>
      <c r="AH48" s="93">
        <v>0.88105911598627318</v>
      </c>
      <c r="AI48" s="93">
        <v>1.0136737094918047</v>
      </c>
      <c r="AJ48" s="93">
        <f t="shared" si="12"/>
        <v>1.8947328254780778</v>
      </c>
      <c r="AL48" s="39">
        <f t="shared" si="13"/>
        <v>2.9854531104971826</v>
      </c>
      <c r="AM48" s="93">
        <v>8.4616752757594771</v>
      </c>
      <c r="AN48" s="93">
        <v>0.5129240985808613</v>
      </c>
      <c r="AO48" s="93">
        <v>2.8940583365838495</v>
      </c>
      <c r="AP48" s="93">
        <f t="shared" si="14"/>
        <v>3.4069824351647107</v>
      </c>
      <c r="AQ48" s="106"/>
      <c r="AR48" s="39">
        <f t="shared" si="15"/>
        <v>3.1049593059016889</v>
      </c>
      <c r="AS48" s="93">
        <v>42.709487522767688</v>
      </c>
      <c r="AT48" s="93">
        <v>15.444265664002945</v>
      </c>
      <c r="AU48" s="93">
        <v>15.276079988182877</v>
      </c>
      <c r="AV48" s="93">
        <f t="shared" si="16"/>
        <v>30.72034565218582</v>
      </c>
      <c r="AW48" s="90">
        <f t="shared" si="17"/>
        <v>0</v>
      </c>
      <c r="AX48" s="39">
        <f t="shared" si="18"/>
        <v>2.6049805214462873</v>
      </c>
      <c r="AY48" s="11">
        <v>67.279720597550053</v>
      </c>
      <c r="AZ48" s="93">
        <v>-1.7061260839949342</v>
      </c>
      <c r="BA48" s="93">
        <v>19.73016584504331</v>
      </c>
      <c r="BB48" s="93">
        <f t="shared" si="19"/>
        <v>18.024039761048375</v>
      </c>
      <c r="BC48" s="93"/>
      <c r="BD48" s="39">
        <f t="shared" si="20"/>
        <v>2.5409532368865007</v>
      </c>
      <c r="BE48" s="93">
        <v>14.926976334729311</v>
      </c>
      <c r="BF48" s="93">
        <v>-1.3830273865244627</v>
      </c>
      <c r="BG48" s="93">
        <v>4.2572967639145958</v>
      </c>
      <c r="BH48" s="93">
        <f t="shared" si="21"/>
        <v>2.8742693773901333</v>
      </c>
      <c r="BJ48" s="39">
        <f t="shared" si="22"/>
        <v>2.5796718808031471</v>
      </c>
      <c r="BK48" s="93">
        <v>40.385319730226364</v>
      </c>
      <c r="BL48" s="93">
        <v>-0.75084702548436888</v>
      </c>
      <c r="BM48" s="93">
        <v>11.714543255967428</v>
      </c>
      <c r="BN48" s="93">
        <f t="shared" si="23"/>
        <v>10.963696230483059</v>
      </c>
      <c r="BO48" s="106"/>
      <c r="BP48" s="39">
        <f t="shared" si="24"/>
        <v>2.7687485385664345</v>
      </c>
      <c r="BQ48" s="93">
        <v>11.967424532594377</v>
      </c>
      <c r="BR48" s="93">
        <v>0.42774832801389723</v>
      </c>
      <c r="BS48" s="93">
        <v>3.7583258251612852</v>
      </c>
      <c r="BT48" s="93">
        <f t="shared" si="25"/>
        <v>4.1860741531751824</v>
      </c>
      <c r="BU48" s="90">
        <f t="shared" si="26"/>
        <v>0</v>
      </c>
      <c r="BV48" s="39">
        <f t="shared" si="27"/>
        <v>2.518201489640326</v>
      </c>
      <c r="BW48" s="11">
        <v>11.027664527945932</v>
      </c>
      <c r="BX48" s="93">
        <v>1.3879359269084375</v>
      </c>
      <c r="BY48" s="93">
        <v>3.1137656010156576</v>
      </c>
      <c r="BZ48" s="93">
        <f t="shared" si="28"/>
        <v>4.5017015279240953</v>
      </c>
      <c r="CA48" s="93"/>
      <c r="CB48" s="39">
        <f t="shared" si="29"/>
        <v>2.4600010102901804</v>
      </c>
      <c r="CC48" s="93">
        <v>4.6043551889988352</v>
      </c>
      <c r="CD48" s="93">
        <v>-9.4762721156135488E-2</v>
      </c>
      <c r="CE48" s="93">
        <v>1.2666488182504458</v>
      </c>
      <c r="CF48" s="93">
        <f t="shared" si="30"/>
        <v>1.1718860970943104</v>
      </c>
      <c r="CH48" s="39">
        <f t="shared" si="31"/>
        <v>2.5135092689739569</v>
      </c>
      <c r="CI48" s="93">
        <v>5.3897928205850842</v>
      </c>
      <c r="CJ48" s="93">
        <v>0.93986804735963958</v>
      </c>
      <c r="CK48" s="93">
        <v>1.5186963016257615</v>
      </c>
      <c r="CL48" s="93">
        <f t="shared" si="32"/>
        <v>2.458564348985401</v>
      </c>
      <c r="CM48" s="106"/>
      <c r="CN48" s="39">
        <f t="shared" si="33"/>
        <v>2.7978329732376128</v>
      </c>
      <c r="CO48" s="93">
        <v>1.0335165183620134</v>
      </c>
      <c r="CP48" s="93">
        <v>0.5428306007049335</v>
      </c>
      <c r="CQ48" s="93">
        <v>0.32842048113944977</v>
      </c>
      <c r="CR48" s="93">
        <f t="shared" si="34"/>
        <v>0.87125108184438327</v>
      </c>
      <c r="CS48" s="90">
        <f t="shared" si="35"/>
        <v>0</v>
      </c>
      <c r="CT48" s="39">
        <f t="shared" si="36"/>
        <v>2.9211505487475975</v>
      </c>
      <c r="CU48" s="11">
        <v>26.400418747118454</v>
      </c>
      <c r="CV48" s="93">
        <v>14.533116766874658</v>
      </c>
      <c r="CW48" s="93">
        <v>8.8088609591388032</v>
      </c>
      <c r="CX48" s="93">
        <f t="shared" si="37"/>
        <v>23.341977726013461</v>
      </c>
      <c r="CY48" s="93"/>
      <c r="CZ48" s="39">
        <f t="shared" si="38"/>
        <v>2.8911023071172881</v>
      </c>
      <c r="DA48" s="93">
        <v>14.865759985559873</v>
      </c>
      <c r="DB48" s="93">
        <v>2.6047667577589646</v>
      </c>
      <c r="DC48" s="93">
        <v>4.9023576391297414</v>
      </c>
      <c r="DD48" s="93">
        <f t="shared" si="39"/>
        <v>7.507124396888706</v>
      </c>
      <c r="DF48" s="39">
        <f t="shared" si="40"/>
        <v>2.9320472834624356</v>
      </c>
      <c r="DG48" s="93">
        <v>9.9319398501158016</v>
      </c>
      <c r="DH48" s="93">
        <v>8.9468017079534565</v>
      </c>
      <c r="DI48" s="93">
        <v>3.3279583238849022</v>
      </c>
      <c r="DJ48" s="93">
        <f t="shared" si="41"/>
        <v>12.274760031838358</v>
      </c>
      <c r="DK48" s="106"/>
      <c r="DL48" s="39">
        <f t="shared" si="42"/>
        <v>3.1300160142738953</v>
      </c>
      <c r="DM48" s="93">
        <v>1.6027189114427818</v>
      </c>
      <c r="DN48" s="93">
        <v>2.981548301162237</v>
      </c>
      <c r="DO48" s="93">
        <v>0.57854499612415899</v>
      </c>
      <c r="DP48" s="93">
        <f t="shared" si="43"/>
        <v>3.5600932972863961</v>
      </c>
    </row>
    <row r="49" spans="1:120" x14ac:dyDescent="0.2">
      <c r="B49" s="39"/>
      <c r="C49" s="93"/>
      <c r="D49" s="93"/>
      <c r="E49" s="93"/>
      <c r="F49" s="93"/>
      <c r="G49" s="93"/>
      <c r="H49" s="39"/>
      <c r="I49" s="93"/>
      <c r="J49" s="93"/>
      <c r="K49" s="93"/>
      <c r="L49" s="93"/>
      <c r="N49" s="39"/>
      <c r="O49" s="93"/>
      <c r="P49" s="93"/>
      <c r="Q49" s="93"/>
      <c r="R49" s="93"/>
      <c r="S49" s="106"/>
      <c r="T49" s="39"/>
      <c r="U49" s="93"/>
      <c r="V49" s="93"/>
      <c r="W49" s="93"/>
      <c r="X49" s="93"/>
      <c r="Z49" s="39"/>
      <c r="AA49" s="93"/>
      <c r="AB49" s="93"/>
      <c r="AC49" s="93"/>
      <c r="AD49" s="93"/>
      <c r="AE49" s="93"/>
      <c r="AF49" s="39"/>
      <c r="AG49" s="93"/>
      <c r="AH49" s="93"/>
      <c r="AI49" s="93"/>
      <c r="AJ49" s="93"/>
      <c r="AL49" s="39"/>
      <c r="AM49" s="93"/>
      <c r="AN49" s="93"/>
      <c r="AO49" s="93"/>
      <c r="AP49" s="93"/>
      <c r="AQ49" s="106"/>
      <c r="AR49" s="39"/>
      <c r="AS49" s="93"/>
      <c r="AT49" s="93"/>
      <c r="AU49" s="93"/>
      <c r="AV49" s="93"/>
      <c r="AX49" s="39"/>
      <c r="AY49" s="93"/>
      <c r="AZ49" s="93"/>
      <c r="BA49" s="93"/>
      <c r="BB49" s="93"/>
      <c r="BC49" s="93"/>
      <c r="BD49" s="39"/>
      <c r="BE49" s="93"/>
      <c r="BF49" s="93"/>
      <c r="BG49" s="93"/>
      <c r="BH49" s="93"/>
      <c r="BJ49" s="39"/>
      <c r="BK49" s="93"/>
      <c r="BL49" s="93"/>
      <c r="BM49" s="93"/>
      <c r="BN49" s="93"/>
      <c r="BO49" s="106"/>
      <c r="BP49" s="39"/>
      <c r="BQ49" s="93"/>
      <c r="BR49" s="93"/>
      <c r="BS49" s="93"/>
      <c r="BT49" s="93"/>
      <c r="BV49" s="39"/>
      <c r="BW49" s="93"/>
      <c r="BX49" s="93"/>
      <c r="BY49" s="93"/>
      <c r="BZ49" s="93"/>
      <c r="CA49" s="93"/>
      <c r="CB49" s="39"/>
      <c r="CC49" s="93"/>
      <c r="CD49" s="93"/>
      <c r="CE49" s="93"/>
      <c r="CF49" s="93"/>
      <c r="CH49" s="39"/>
      <c r="CI49" s="93"/>
      <c r="CJ49" s="93"/>
      <c r="CK49" s="93"/>
      <c r="CL49" s="93"/>
      <c r="CM49" s="106"/>
      <c r="CN49" s="39"/>
      <c r="CO49" s="93"/>
      <c r="CP49" s="93"/>
      <c r="CQ49" s="93"/>
      <c r="CR49" s="93"/>
      <c r="CT49" s="39"/>
      <c r="CU49" s="93"/>
      <c r="CV49" s="93"/>
      <c r="CW49" s="93"/>
      <c r="CX49" s="93"/>
      <c r="CY49" s="93"/>
      <c r="CZ49" s="39"/>
      <c r="DA49" s="93"/>
      <c r="DB49" s="93"/>
      <c r="DC49" s="93"/>
      <c r="DD49" s="93"/>
      <c r="DF49" s="39"/>
      <c r="DG49" s="93"/>
      <c r="DH49" s="93"/>
      <c r="DI49" s="93"/>
      <c r="DJ49" s="93"/>
      <c r="DK49" s="106"/>
      <c r="DL49" s="39"/>
      <c r="DM49" s="93"/>
      <c r="DN49" s="93"/>
      <c r="DO49" s="93"/>
      <c r="DP49" s="93"/>
    </row>
    <row r="50" spans="1:120" x14ac:dyDescent="0.2">
      <c r="A50" s="91" t="str">
        <f>name!B3</f>
        <v>All industries</v>
      </c>
      <c r="B50" s="42">
        <f t="shared" si="1"/>
        <v>2.7912372459239387</v>
      </c>
      <c r="C50" s="92">
        <v>4561.2992279926211</v>
      </c>
      <c r="D50" s="92">
        <v>431.97496524334053</v>
      </c>
      <c r="E50" s="92">
        <v>1445.5882710202891</v>
      </c>
      <c r="F50" s="92">
        <f t="shared" si="2"/>
        <v>1877.5632362636297</v>
      </c>
      <c r="G50" s="92"/>
      <c r="H50" s="42">
        <f t="shared" si="3"/>
        <v>2.6517730789267446</v>
      </c>
      <c r="I50" s="92">
        <v>774.77767553257945</v>
      </c>
      <c r="J50" s="92">
        <v>-90.9176985646708</v>
      </c>
      <c r="K50" s="92">
        <v>231.78692033646578</v>
      </c>
      <c r="L50" s="92">
        <f>SUM(J50:K50)</f>
        <v>140.86922177179497</v>
      </c>
      <c r="M50" s="91"/>
      <c r="N50" s="42">
        <f t="shared" si="5"/>
        <v>2.6893242464146816</v>
      </c>
      <c r="O50" s="92">
        <v>1810.6123702397726</v>
      </c>
      <c r="P50" s="92">
        <v>208.84741372398935</v>
      </c>
      <c r="Q50" s="92">
        <v>550.29225403969679</v>
      </c>
      <c r="R50" s="92">
        <f>SUM(P50:Q50)</f>
        <v>759.13966776368613</v>
      </c>
      <c r="S50" s="107"/>
      <c r="T50" s="42">
        <f t="shared" si="7"/>
        <v>2.9376202991175049</v>
      </c>
      <c r="U50" s="92">
        <v>1975.9091822202711</v>
      </c>
      <c r="V50" s="92">
        <v>314.04525008402186</v>
      </c>
      <c r="W50" s="92">
        <v>663.50909664412427</v>
      </c>
      <c r="X50" s="92">
        <f>SUM(V50:W50)</f>
        <v>977.55434672814613</v>
      </c>
      <c r="Y50" s="91" t="str">
        <f>A50</f>
        <v>All industries</v>
      </c>
      <c r="Z50" s="42">
        <f>IF(AA50&gt;0,((1+(AC50/AA50))^(1/($A$101-$A$100))-1)*100,0)</f>
        <v>2.9771972098236787</v>
      </c>
      <c r="AA50" s="92">
        <v>2141.7348734083043</v>
      </c>
      <c r="AB50" s="92">
        <v>328.18012130131888</v>
      </c>
      <c r="AC50" s="92">
        <v>730.21185757939747</v>
      </c>
      <c r="AD50" s="92">
        <f>SUM(AB50:AC50)</f>
        <v>1058.3919788807164</v>
      </c>
      <c r="AE50" s="92"/>
      <c r="AF50" s="42">
        <f>IF(AG50&gt;0,((1+(AI50/AG50))^(1/($A$101-$A$100))-1)*100,0)</f>
        <v>3.0280155732974823</v>
      </c>
      <c r="AG50" s="92">
        <v>114.36183531349347</v>
      </c>
      <c r="AH50" s="92">
        <v>10.806009020856356</v>
      </c>
      <c r="AI50" s="92">
        <v>39.749458273691218</v>
      </c>
      <c r="AJ50" s="92">
        <f>SUM(AH50:AI50)</f>
        <v>50.555467294547576</v>
      </c>
      <c r="AK50" s="91"/>
      <c r="AL50" s="42">
        <f>IF(AM50&gt;0,((1+(AO50/AM50))^(1/($A$101-$A$100))-1)*100,0)</f>
        <v>2.9663353480916088</v>
      </c>
      <c r="AM50" s="92">
        <v>484.03376220781502</v>
      </c>
      <c r="AN50" s="92">
        <v>80.752171418150368</v>
      </c>
      <c r="AO50" s="92">
        <v>164.34415782441963</v>
      </c>
      <c r="AP50" s="92">
        <f>SUM(AN50:AO50)</f>
        <v>245.09632924256999</v>
      </c>
      <c r="AQ50" s="107"/>
      <c r="AR50" s="42">
        <f>IF(AS50&gt;0,((1+(AU50/AS50))^(1/($A$101-$A$100))-1)*100,0)</f>
        <v>2.9768281396108875</v>
      </c>
      <c r="AS50" s="92">
        <v>1543.3392758869961</v>
      </c>
      <c r="AT50" s="92">
        <v>236.62194086231219</v>
      </c>
      <c r="AU50" s="92">
        <v>526.11824148128676</v>
      </c>
      <c r="AV50" s="92">
        <f>SUM(AT50:AU50)</f>
        <v>762.74018234359892</v>
      </c>
      <c r="AW50" s="91" t="str">
        <f>Y50</f>
        <v>All industries</v>
      </c>
      <c r="AX50" s="42">
        <f>IF(AY50&gt;0,((1+(BA50/AY50))^(1/($A$101-$A$100))-1)*100,0)</f>
        <v>2.5960689907792656</v>
      </c>
      <c r="AY50" s="92">
        <v>1169.4910110900296</v>
      </c>
      <c r="AZ50" s="92">
        <v>61.012733866251224</v>
      </c>
      <c r="BA50" s="92">
        <v>341.64688672572964</v>
      </c>
      <c r="BB50" s="92">
        <f>SUM(AZ50:BA50)</f>
        <v>402.65962059198085</v>
      </c>
      <c r="BC50" s="92"/>
      <c r="BD50" s="42">
        <f>IF(BE50&gt;0,((1+(BG50/BE50))^(1/($A$101-$A$100))-1)*100,0)</f>
        <v>2.5108134589674425</v>
      </c>
      <c r="BE50" s="92">
        <v>196.77997170605971</v>
      </c>
      <c r="BF50" s="92">
        <v>-19.19988351079143</v>
      </c>
      <c r="BG50" s="92">
        <v>55.380896948664599</v>
      </c>
      <c r="BH50" s="92">
        <f>SUM(BF50:BG50)</f>
        <v>36.181013437873169</v>
      </c>
      <c r="BI50" s="91"/>
      <c r="BJ50" s="42">
        <f>IF(BK50&gt;0,((1+(BM50/BK50))^(1/($A$101-$A$100))-1)*100,0)</f>
        <v>2.5531077119064882</v>
      </c>
      <c r="BK50" s="92">
        <v>650.12175377402275</v>
      </c>
      <c r="BL50" s="92">
        <v>42.192712487148434</v>
      </c>
      <c r="BM50" s="92">
        <v>186.41100647521165</v>
      </c>
      <c r="BN50" s="92">
        <f>SUM(BL50:BM50)</f>
        <v>228.60371896236009</v>
      </c>
      <c r="BO50" s="107"/>
      <c r="BP50" s="42">
        <f>IF(BQ50&gt;0,((1+(BS50/BQ50))^(1/($A$101-$A$100))-1)*100,0)</f>
        <v>2.7334678665663192</v>
      </c>
      <c r="BQ50" s="92">
        <v>322.58928560994713</v>
      </c>
      <c r="BR50" s="92">
        <v>38.019904889894228</v>
      </c>
      <c r="BS50" s="92">
        <v>99.854983301853494</v>
      </c>
      <c r="BT50" s="92">
        <f>SUM(BR50:BS50)</f>
        <v>137.87488819174771</v>
      </c>
      <c r="BU50" s="91" t="str">
        <f>AW50</f>
        <v>All industries</v>
      </c>
      <c r="BV50" s="42">
        <f>IF(BW50&gt;0,((1+(BY50/BW50))^(1/($A$101-$A$100))-1)*100,0)</f>
        <v>2.5889208699682698</v>
      </c>
      <c r="BW50" s="92">
        <v>786.26148565798121</v>
      </c>
      <c r="BX50" s="92">
        <v>-16.768227409449015</v>
      </c>
      <c r="BY50" s="92">
        <v>228.98528730973825</v>
      </c>
      <c r="BZ50" s="92">
        <f>SUM(BX50:BY50)</f>
        <v>212.21705990028923</v>
      </c>
      <c r="CA50" s="92"/>
      <c r="CB50" s="42">
        <f>IF(CC50&gt;0,((1+(CE50/CC50))^(1/($A$101-$A$100))-1)*100,0)</f>
        <v>2.5278948366694864</v>
      </c>
      <c r="CC50" s="92">
        <v>257.91842111045776</v>
      </c>
      <c r="CD50" s="92">
        <v>-52.179148361626908</v>
      </c>
      <c r="CE50" s="92">
        <v>73.138570554183204</v>
      </c>
      <c r="CF50" s="92">
        <f>SUM(CD50:CE50)</f>
        <v>20.959422192556296</v>
      </c>
      <c r="CG50" s="91"/>
      <c r="CH50" s="42">
        <f>IF(CI50&gt;0,((1+(CK50/CI50))^(1/($A$101-$A$100))-1)*100,0)</f>
        <v>2.5655949055339189</v>
      </c>
      <c r="CI50" s="92">
        <v>462.50112579230256</v>
      </c>
      <c r="CJ50" s="92">
        <v>18.263082416840735</v>
      </c>
      <c r="CK50" s="92">
        <v>133.33911166207648</v>
      </c>
      <c r="CL50" s="92">
        <f>SUM(CJ50:CK50)</f>
        <v>151.60219407891722</v>
      </c>
      <c r="CM50" s="107"/>
      <c r="CN50" s="42">
        <f>IF(CO50&gt;0,((1+(CQ50/CO50))^(1/($A$101-$A$100))-1)*100,0)</f>
        <v>2.9840981402702971</v>
      </c>
      <c r="CO50" s="92">
        <v>65.841938755220539</v>
      </c>
      <c r="CP50" s="92">
        <v>17.147838535337179</v>
      </c>
      <c r="CQ50" s="92">
        <v>22.507605093478684</v>
      </c>
      <c r="CR50" s="92">
        <f>SUM(CP50:CQ50)</f>
        <v>39.65544362881586</v>
      </c>
      <c r="CS50" s="91" t="str">
        <f>BU50</f>
        <v>All industries</v>
      </c>
      <c r="CT50" s="42">
        <f>IF(CU50&gt;0,((1+(CW50/CU50))^(1/($A$101-$A$100))-1)*100,0)</f>
        <v>2.7533233225370157</v>
      </c>
      <c r="CU50" s="92">
        <v>463.81185783630696</v>
      </c>
      <c r="CV50" s="92">
        <v>59.550337485219423</v>
      </c>
      <c r="CW50" s="92">
        <v>144.74423940542175</v>
      </c>
      <c r="CX50" s="92">
        <f>SUM(CV50:CW50)</f>
        <v>204.29457689064117</v>
      </c>
      <c r="CY50" s="92"/>
      <c r="CZ50" s="42">
        <f>IF(DA50&gt;0,((1+(DC50/DA50))^(1/($A$101-$A$100))-1)*100,0)</f>
        <v>2.7273559755584653</v>
      </c>
      <c r="DA50" s="92">
        <v>205.71744740256855</v>
      </c>
      <c r="DB50" s="92">
        <v>-30.344675713108767</v>
      </c>
      <c r="DC50" s="92">
        <v>63.517994559926827</v>
      </c>
      <c r="DD50" s="92">
        <f>SUM(DB50:DC50)</f>
        <v>33.173318846818063</v>
      </c>
      <c r="DE50" s="91"/>
      <c r="DF50" s="42">
        <f>IF(DG50&gt;0,((1+(DI50/DG50))^(1/($A$101-$A$100))-1)*100,0)</f>
        <v>2.7323553670193235</v>
      </c>
      <c r="DG50" s="92">
        <v>213.95572846563186</v>
      </c>
      <c r="DH50" s="92">
        <v>67.639447401849822</v>
      </c>
      <c r="DI50" s="92">
        <v>66.197978077989319</v>
      </c>
      <c r="DJ50" s="92">
        <f>SUM(DH50:DI50)</f>
        <v>133.83742547983914</v>
      </c>
      <c r="DK50" s="107"/>
      <c r="DL50" s="42">
        <f>IF(DM50&gt;0,((1+(DO50/DM50))^(1/($A$101-$A$100))-1)*100,0)</f>
        <v>2.9736201868302725</v>
      </c>
      <c r="DM50" s="92">
        <v>44.13868196810671</v>
      </c>
      <c r="DN50" s="92">
        <v>22.25556579647839</v>
      </c>
      <c r="DO50" s="92">
        <v>15.028266767505601</v>
      </c>
      <c r="DP50" s="92">
        <f>SUM(DN50:DO50)</f>
        <v>37.283832563983992</v>
      </c>
    </row>
    <row r="51" spans="1:120" x14ac:dyDescent="0.2">
      <c r="B51" s="93"/>
      <c r="C51" s="93"/>
      <c r="D51" s="93"/>
      <c r="E51" s="93"/>
      <c r="F51" s="93"/>
      <c r="G51" s="93"/>
      <c r="Z51" s="93"/>
      <c r="AA51" s="93"/>
      <c r="AB51" s="93"/>
      <c r="AC51" s="93"/>
      <c r="AD51" s="93"/>
      <c r="AE51" s="93"/>
      <c r="AX51" s="93"/>
      <c r="AY51" s="93"/>
      <c r="AZ51" s="93"/>
      <c r="BA51" s="93"/>
      <c r="BB51" s="93"/>
      <c r="BC51" s="93"/>
      <c r="BV51" s="93"/>
      <c r="BW51" s="93"/>
      <c r="BX51" s="93"/>
      <c r="BY51" s="93"/>
      <c r="BZ51" s="93"/>
      <c r="CA51" s="93"/>
      <c r="CT51" s="93"/>
      <c r="CU51" s="93"/>
      <c r="CV51" s="93"/>
      <c r="CW51" s="93"/>
      <c r="CX51" s="93"/>
      <c r="CY51" s="93"/>
    </row>
    <row r="52" spans="1:120" x14ac:dyDescent="0.2">
      <c r="A52" s="90" t="str">
        <f ca="1">CELL("filename")</f>
        <v>M:\IE\Projects\Nuffield via NFER AI and automation\Data\Results\Workbooks\NE\[NE_MainTables.Main.xlsm]Manager</v>
      </c>
      <c r="B52" s="93"/>
      <c r="C52" s="93"/>
      <c r="D52" s="93"/>
      <c r="E52" s="93"/>
      <c r="F52" s="93"/>
      <c r="G52" s="93"/>
      <c r="Y52" s="90" t="str">
        <f ca="1">CELL("filename")</f>
        <v>M:\IE\Projects\Nuffield via NFER AI and automation\Data\Results\Workbooks\NE\[NE_MainTables.Main.xlsm]Manager</v>
      </c>
      <c r="Z52" s="93"/>
      <c r="AA52" s="93"/>
      <c r="AB52" s="93"/>
      <c r="AC52" s="93"/>
      <c r="AD52" s="93"/>
      <c r="AE52" s="93"/>
      <c r="AW52" s="90" t="str">
        <f ca="1">CELL("filename")</f>
        <v>M:\IE\Projects\Nuffield via NFER AI and automation\Data\Results\Workbooks\NE\[NE_MainTables.Main.xlsm]Manager</v>
      </c>
      <c r="AX52" s="93"/>
      <c r="AY52" s="93"/>
      <c r="AZ52" s="93"/>
      <c r="BA52" s="93"/>
      <c r="BB52" s="93"/>
      <c r="BC52" s="93"/>
      <c r="BU52" s="90" t="str">
        <f ca="1">CELL("filename")</f>
        <v>M:\IE\Projects\Nuffield via NFER AI and automation\Data\Results\Workbooks\NE\[NE_MainTables.Main.xlsm]Manager</v>
      </c>
      <c r="BV52" s="93"/>
      <c r="BW52" s="93"/>
      <c r="BX52" s="93"/>
      <c r="BY52" s="93"/>
      <c r="BZ52" s="93"/>
      <c r="CA52" s="93"/>
      <c r="CS52" s="90" t="str">
        <f ca="1">CELL("filename")</f>
        <v>M:\IE\Projects\Nuffield via NFER AI and automation\Data\Results\Workbooks\NE\[NE_MainTables.Main.xlsm]Manager</v>
      </c>
      <c r="CT52" s="93"/>
      <c r="CU52" s="93"/>
      <c r="CV52" s="93"/>
      <c r="CW52" s="93"/>
      <c r="CX52" s="93"/>
      <c r="CY52" s="93"/>
    </row>
    <row r="53" spans="1:120" ht="15.75" x14ac:dyDescent="0.25">
      <c r="A53" s="18" t="str">
        <f>CONCATENATE("Basic Table 5  Replacement Demand, ",A100,"-",A101,", by Industry Group and Qualification for ",name!$H$3)</f>
        <v>Basic Table 5  Replacement Demand, 2015-2025, by Industry Group and Qualification for M</v>
      </c>
      <c r="Y53" s="18" t="str">
        <f>CONCATENATE("Basic Table 5  Replacement Demand, ",A100,"-",A101,", by Industry Group and Qualification for ",name!$H$4)</f>
        <v>Basic Table 5  Replacement Demand, 2015-2025, by Industry Group and Qualification for F</v>
      </c>
      <c r="AW53" s="18" t="str">
        <f>CONCATENATE("Basic Table 5  Replacement Demand, ",A100,"-",A101,", by Industry Group and Qualification for ",name!$H$5)</f>
        <v xml:space="preserve">Basic Table 5  Replacement Demand, 2015-2025, by Industry Group and Qualification for </v>
      </c>
      <c r="BU53" s="18" t="str">
        <f>CONCATENATE("Basic Table 5  Replacement Demand, ",A100,"-",A101,", by Industry Group and Qualification for ",name!$H$6)</f>
        <v xml:space="preserve">Basic Table 5  Replacement Demand, 2015-2025, by Industry Group and Qualification for </v>
      </c>
      <c r="CS53" s="18" t="str">
        <f>CONCATENATE("Basic Table 5  Replacement Demand, ",A100,"-",A101,", by Industry Group and Qualification for ",name!$H$7)</f>
        <v xml:space="preserve">Basic Table 5  Replacement Demand, 2015-2025, by Industry Group and Qualification for </v>
      </c>
    </row>
    <row r="55" spans="1:120" x14ac:dyDescent="0.2">
      <c r="A55" s="91"/>
      <c r="B55" s="91"/>
      <c r="C55" s="91"/>
      <c r="D55" s="91"/>
      <c r="E55" s="91"/>
      <c r="F55" s="91"/>
      <c r="G55" s="91"/>
      <c r="H55" s="91"/>
      <c r="I55" s="91"/>
      <c r="J55" s="91"/>
      <c r="K55" s="91"/>
      <c r="L55" s="91"/>
      <c r="M55" s="91"/>
      <c r="N55" s="91"/>
      <c r="O55" s="91"/>
      <c r="P55" s="91"/>
      <c r="Q55" s="91"/>
      <c r="R55" s="91"/>
      <c r="S55" s="91"/>
      <c r="T55" s="91"/>
      <c r="U55" s="91"/>
      <c r="V55" s="91"/>
      <c r="W55" s="91"/>
      <c r="X55" s="115" t="str">
        <f>$X$3</f>
        <v>thousands</v>
      </c>
      <c r="Y55" s="91"/>
      <c r="Z55" s="91"/>
      <c r="AA55" s="91"/>
      <c r="AB55" s="91"/>
      <c r="AC55" s="91"/>
      <c r="AD55" s="91"/>
      <c r="AE55" s="91"/>
      <c r="AF55" s="91"/>
      <c r="AG55" s="91"/>
      <c r="AH55" s="91"/>
      <c r="AI55" s="91"/>
      <c r="AJ55" s="91"/>
      <c r="AK55" s="91"/>
      <c r="AL55" s="91"/>
      <c r="AM55" s="91"/>
      <c r="AN55" s="91"/>
      <c r="AO55" s="91"/>
      <c r="AP55" s="91"/>
      <c r="AQ55" s="91"/>
      <c r="AR55" s="91"/>
      <c r="AS55" s="91"/>
      <c r="AT55" s="91"/>
      <c r="AU55" s="91"/>
      <c r="AV55" s="115" t="str">
        <f>$X$3</f>
        <v>thousands</v>
      </c>
      <c r="AW55" s="91"/>
      <c r="AX55" s="91"/>
      <c r="AY55" s="91"/>
      <c r="AZ55" s="91"/>
      <c r="BA55" s="91"/>
      <c r="BB55" s="91"/>
      <c r="BC55" s="91"/>
      <c r="BD55" s="91"/>
      <c r="BE55" s="91"/>
      <c r="BF55" s="91"/>
      <c r="BG55" s="91"/>
      <c r="BH55" s="91"/>
      <c r="BI55" s="91"/>
      <c r="BJ55" s="91"/>
      <c r="BK55" s="91"/>
      <c r="BL55" s="91"/>
      <c r="BM55" s="91"/>
      <c r="BN55" s="91"/>
      <c r="BO55" s="91"/>
      <c r="BP55" s="91"/>
      <c r="BQ55" s="91"/>
      <c r="BR55" s="91"/>
      <c r="BS55" s="91"/>
      <c r="BT55" s="115" t="str">
        <f>$X$3</f>
        <v>thousands</v>
      </c>
      <c r="BU55" s="91"/>
      <c r="BV55" s="91"/>
      <c r="BW55" s="91"/>
      <c r="BX55" s="91"/>
      <c r="BY55" s="91"/>
      <c r="BZ55" s="91"/>
      <c r="CA55" s="91"/>
      <c r="CB55" s="91"/>
      <c r="CC55" s="91"/>
      <c r="CD55" s="91"/>
      <c r="CE55" s="91"/>
      <c r="CF55" s="91"/>
      <c r="CG55" s="91"/>
      <c r="CH55" s="91"/>
      <c r="CI55" s="91"/>
      <c r="CJ55" s="91"/>
      <c r="CK55" s="91"/>
      <c r="CL55" s="91"/>
      <c r="CM55" s="91"/>
      <c r="CN55" s="91"/>
      <c r="CO55" s="91"/>
      <c r="CP55" s="91"/>
      <c r="CQ55" s="91"/>
      <c r="CR55" s="115" t="str">
        <f>$X$3</f>
        <v>thousands</v>
      </c>
      <c r="CS55" s="91"/>
      <c r="CT55" s="91"/>
      <c r="CU55" s="91"/>
      <c r="CV55" s="91"/>
      <c r="CW55" s="91"/>
      <c r="CX55" s="91"/>
      <c r="CY55" s="91"/>
      <c r="CZ55" s="91"/>
      <c r="DA55" s="91"/>
      <c r="DB55" s="91"/>
      <c r="DC55" s="91"/>
      <c r="DD55" s="91"/>
      <c r="DE55" s="91"/>
      <c r="DF55" s="91"/>
      <c r="DG55" s="91"/>
      <c r="DH55" s="91"/>
      <c r="DI55" s="91"/>
      <c r="DJ55" s="91"/>
      <c r="DK55" s="91"/>
      <c r="DL55" s="91"/>
      <c r="DM55" s="91"/>
      <c r="DN55" s="91"/>
      <c r="DO55" s="91"/>
      <c r="DP55" s="115" t="str">
        <f>$X$3</f>
        <v>thousands</v>
      </c>
    </row>
    <row r="56" spans="1:120" x14ac:dyDescent="0.2">
      <c r="B56" s="381" t="str">
        <f>B4</f>
        <v>All qualifications</v>
      </c>
      <c r="C56" s="381"/>
      <c r="D56" s="381"/>
      <c r="E56" s="381"/>
      <c r="F56" s="381"/>
      <c r="G56" s="113"/>
      <c r="H56" s="381" t="str">
        <f>H4</f>
        <v>RQF8 Doctorate</v>
      </c>
      <c r="I56" s="381"/>
      <c r="J56" s="381"/>
      <c r="K56" s="381"/>
      <c r="L56" s="381"/>
      <c r="M56" s="113"/>
      <c r="N56" s="382" t="str">
        <f>N4</f>
        <v>RQF7 Other higher degree</v>
      </c>
      <c r="O56" s="382"/>
      <c r="P56" s="382"/>
      <c r="Q56" s="382"/>
      <c r="R56" s="382"/>
      <c r="S56" s="110"/>
      <c r="T56" s="382" t="str">
        <f>T4</f>
        <v>RQF6 First degree</v>
      </c>
      <c r="U56" s="382"/>
      <c r="V56" s="382"/>
      <c r="W56" s="382"/>
      <c r="X56" s="382"/>
      <c r="Z56" s="381" t="str">
        <f>Z4</f>
        <v>All qualifications</v>
      </c>
      <c r="AA56" s="381"/>
      <c r="AB56" s="381"/>
      <c r="AC56" s="381"/>
      <c r="AD56" s="381"/>
      <c r="AE56" s="113"/>
      <c r="AF56" s="381" t="str">
        <f>AF4</f>
        <v>RQF8 Doctorate</v>
      </c>
      <c r="AG56" s="381"/>
      <c r="AH56" s="381"/>
      <c r="AI56" s="381"/>
      <c r="AJ56" s="381"/>
      <c r="AK56" s="113"/>
      <c r="AL56" s="382" t="str">
        <f>AL4</f>
        <v>RQF7 Other higher degree</v>
      </c>
      <c r="AM56" s="382"/>
      <c r="AN56" s="382"/>
      <c r="AO56" s="382"/>
      <c r="AP56" s="382"/>
      <c r="AQ56" s="110"/>
      <c r="AR56" s="382" t="str">
        <f>AR4</f>
        <v>RQF6 First degree</v>
      </c>
      <c r="AS56" s="382"/>
      <c r="AT56" s="382"/>
      <c r="AU56" s="382"/>
      <c r="AV56" s="382"/>
      <c r="AX56" s="381" t="str">
        <f>AX4</f>
        <v>All qualifications</v>
      </c>
      <c r="AY56" s="381"/>
      <c r="AZ56" s="381"/>
      <c r="BA56" s="381"/>
      <c r="BB56" s="381"/>
      <c r="BC56" s="113"/>
      <c r="BD56" s="381" t="str">
        <f>BD4</f>
        <v>RQF8 Doctorate</v>
      </c>
      <c r="BE56" s="381"/>
      <c r="BF56" s="381"/>
      <c r="BG56" s="381"/>
      <c r="BH56" s="381"/>
      <c r="BI56" s="113"/>
      <c r="BJ56" s="382" t="str">
        <f>BJ4</f>
        <v>RQF7 Other higher degree</v>
      </c>
      <c r="BK56" s="382"/>
      <c r="BL56" s="382"/>
      <c r="BM56" s="382"/>
      <c r="BN56" s="382"/>
      <c r="BO56" s="110"/>
      <c r="BP56" s="382" t="str">
        <f>BP4</f>
        <v>RQF6 First degree</v>
      </c>
      <c r="BQ56" s="382"/>
      <c r="BR56" s="382"/>
      <c r="BS56" s="382"/>
      <c r="BT56" s="382"/>
      <c r="BV56" s="381" t="str">
        <f>BV4</f>
        <v>All qualifications</v>
      </c>
      <c r="BW56" s="381"/>
      <c r="BX56" s="381"/>
      <c r="BY56" s="381"/>
      <c r="BZ56" s="381"/>
      <c r="CA56" s="113"/>
      <c r="CB56" s="381" t="str">
        <f>CB4</f>
        <v>RQF8 Doctorate</v>
      </c>
      <c r="CC56" s="381"/>
      <c r="CD56" s="381"/>
      <c r="CE56" s="381"/>
      <c r="CF56" s="381"/>
      <c r="CG56" s="113"/>
      <c r="CH56" s="382" t="str">
        <f>CH4</f>
        <v>RQF7 Other higher degree</v>
      </c>
      <c r="CI56" s="382"/>
      <c r="CJ56" s="382"/>
      <c r="CK56" s="382"/>
      <c r="CL56" s="382"/>
      <c r="CM56" s="110"/>
      <c r="CN56" s="382" t="str">
        <f>CN4</f>
        <v>RQF6 First degree</v>
      </c>
      <c r="CO56" s="382"/>
      <c r="CP56" s="382"/>
      <c r="CQ56" s="382"/>
      <c r="CR56" s="382"/>
      <c r="CT56" s="381" t="str">
        <f>CT4</f>
        <v>All qualifications</v>
      </c>
      <c r="CU56" s="381"/>
      <c r="CV56" s="381"/>
      <c r="CW56" s="381"/>
      <c r="CX56" s="381"/>
      <c r="CY56" s="113"/>
      <c r="CZ56" s="381" t="str">
        <f>CZ4</f>
        <v>RQF8 Doctorate</v>
      </c>
      <c r="DA56" s="381"/>
      <c r="DB56" s="381"/>
      <c r="DC56" s="381"/>
      <c r="DD56" s="381"/>
      <c r="DE56" s="113"/>
      <c r="DF56" s="382" t="str">
        <f>DF4</f>
        <v>RQF7 Other higher degree</v>
      </c>
      <c r="DG56" s="382"/>
      <c r="DH56" s="382"/>
      <c r="DI56" s="382"/>
      <c r="DJ56" s="382"/>
      <c r="DK56" s="110"/>
      <c r="DL56" s="382" t="str">
        <f>DL4</f>
        <v>RQF6 First degree</v>
      </c>
      <c r="DM56" s="382"/>
      <c r="DN56" s="382"/>
      <c r="DO56" s="382"/>
      <c r="DP56" s="382"/>
    </row>
    <row r="58" spans="1:120" ht="38.25" x14ac:dyDescent="0.2">
      <c r="A58" s="112"/>
      <c r="B58" s="109" t="str">
        <f>B6</f>
        <v>RD p.a%</v>
      </c>
      <c r="C58" s="109" t="str">
        <f>C6</f>
        <v>2015 Level</v>
      </c>
      <c r="D58" s="109" t="str">
        <f>D6</f>
        <v>Net Change</v>
      </c>
      <c r="E58" s="109" t="str">
        <f>E6</f>
        <v>Replace-ment Demand</v>
      </c>
      <c r="F58" s="109" t="str">
        <f>F6</f>
        <v>Total Require-ment</v>
      </c>
      <c r="G58" s="108"/>
      <c r="H58" s="104" t="str">
        <f>B58</f>
        <v>RD p.a%</v>
      </c>
      <c r="I58" s="104" t="str">
        <f>C58</f>
        <v>2015 Level</v>
      </c>
      <c r="J58" s="104" t="str">
        <f>D58</f>
        <v>Net Change</v>
      </c>
      <c r="K58" s="104" t="str">
        <f>E58</f>
        <v>Replace-ment Demand</v>
      </c>
      <c r="L58" s="104" t="str">
        <f>F58</f>
        <v>Total Require-ment</v>
      </c>
      <c r="M58" s="103"/>
      <c r="N58" s="105" t="str">
        <f>H58</f>
        <v>RD p.a%</v>
      </c>
      <c r="O58" s="105" t="str">
        <f>I58</f>
        <v>2015 Level</v>
      </c>
      <c r="P58" s="105" t="str">
        <f>J58</f>
        <v>Net Change</v>
      </c>
      <c r="Q58" s="105" t="str">
        <f>K58</f>
        <v>Replace-ment Demand</v>
      </c>
      <c r="R58" s="105" t="str">
        <f>L58</f>
        <v>Total Require-ment</v>
      </c>
      <c r="S58" s="103"/>
      <c r="T58" s="105" t="str">
        <f>N58</f>
        <v>RD p.a%</v>
      </c>
      <c r="U58" s="105" t="str">
        <f>O58</f>
        <v>2015 Level</v>
      </c>
      <c r="V58" s="105" t="str">
        <f>P58</f>
        <v>Net Change</v>
      </c>
      <c r="W58" s="105" t="str">
        <f>Q58</f>
        <v>Replace-ment Demand</v>
      </c>
      <c r="X58" s="105" t="str">
        <f>R58</f>
        <v>Total Require-ment</v>
      </c>
      <c r="Y58" s="112"/>
      <c r="Z58" s="109" t="str">
        <f>Z6</f>
        <v>RD p.a%</v>
      </c>
      <c r="AA58" s="109" t="str">
        <f>AA6</f>
        <v>2015 Level</v>
      </c>
      <c r="AB58" s="109" t="str">
        <f>AB6</f>
        <v>Net Change</v>
      </c>
      <c r="AC58" s="109" t="str">
        <f>AC6</f>
        <v>Replace-ment Demand</v>
      </c>
      <c r="AD58" s="109" t="str">
        <f>AD6</f>
        <v>Total Require-ment</v>
      </c>
      <c r="AE58" s="108"/>
      <c r="AF58" s="104" t="str">
        <f>Z58</f>
        <v>RD p.a%</v>
      </c>
      <c r="AG58" s="104" t="str">
        <f>AA58</f>
        <v>2015 Level</v>
      </c>
      <c r="AH58" s="104" t="str">
        <f>AB58</f>
        <v>Net Change</v>
      </c>
      <c r="AI58" s="104" t="str">
        <f>AC58</f>
        <v>Replace-ment Demand</v>
      </c>
      <c r="AJ58" s="104" t="str">
        <f>AD58</f>
        <v>Total Require-ment</v>
      </c>
      <c r="AK58" s="103"/>
      <c r="AL58" s="105" t="str">
        <f>AF58</f>
        <v>RD p.a%</v>
      </c>
      <c r="AM58" s="105" t="str">
        <f>AG58</f>
        <v>2015 Level</v>
      </c>
      <c r="AN58" s="105" t="str">
        <f>AH58</f>
        <v>Net Change</v>
      </c>
      <c r="AO58" s="105" t="str">
        <f>AI58</f>
        <v>Replace-ment Demand</v>
      </c>
      <c r="AP58" s="105" t="str">
        <f>AJ58</f>
        <v>Total Require-ment</v>
      </c>
      <c r="AQ58" s="103"/>
      <c r="AR58" s="105" t="str">
        <f>AL58</f>
        <v>RD p.a%</v>
      </c>
      <c r="AS58" s="105" t="str">
        <f>AM58</f>
        <v>2015 Level</v>
      </c>
      <c r="AT58" s="105" t="str">
        <f>AN58</f>
        <v>Net Change</v>
      </c>
      <c r="AU58" s="105" t="str">
        <f>AO58</f>
        <v>Replace-ment Demand</v>
      </c>
      <c r="AV58" s="105" t="str">
        <f>AP58</f>
        <v>Total Require-ment</v>
      </c>
      <c r="AW58" s="112"/>
      <c r="AX58" s="109" t="str">
        <f>AX6</f>
        <v>RD p.a%</v>
      </c>
      <c r="AY58" s="109" t="str">
        <f>AY6</f>
        <v>2015 Level</v>
      </c>
      <c r="AZ58" s="109" t="str">
        <f>AZ6</f>
        <v>Net Change</v>
      </c>
      <c r="BA58" s="109" t="str">
        <f>BA6</f>
        <v>Replace-ment Demand</v>
      </c>
      <c r="BB58" s="109" t="str">
        <f>BB6</f>
        <v>Total Require-ment</v>
      </c>
      <c r="BC58" s="108"/>
      <c r="BD58" s="104" t="str">
        <f>AX58</f>
        <v>RD p.a%</v>
      </c>
      <c r="BE58" s="104" t="str">
        <f>AY58</f>
        <v>2015 Level</v>
      </c>
      <c r="BF58" s="104" t="str">
        <f>AZ58</f>
        <v>Net Change</v>
      </c>
      <c r="BG58" s="104" t="str">
        <f>BA58</f>
        <v>Replace-ment Demand</v>
      </c>
      <c r="BH58" s="104" t="str">
        <f>BB58</f>
        <v>Total Require-ment</v>
      </c>
      <c r="BI58" s="103"/>
      <c r="BJ58" s="105" t="str">
        <f>BD58</f>
        <v>RD p.a%</v>
      </c>
      <c r="BK58" s="105" t="str">
        <f>BE58</f>
        <v>2015 Level</v>
      </c>
      <c r="BL58" s="105" t="str">
        <f>BF58</f>
        <v>Net Change</v>
      </c>
      <c r="BM58" s="105" t="str">
        <f>BG58</f>
        <v>Replace-ment Demand</v>
      </c>
      <c r="BN58" s="105" t="str">
        <f>BH58</f>
        <v>Total Require-ment</v>
      </c>
      <c r="BO58" s="103"/>
      <c r="BP58" s="105" t="str">
        <f>BJ58</f>
        <v>RD p.a%</v>
      </c>
      <c r="BQ58" s="105" t="str">
        <f>BK58</f>
        <v>2015 Level</v>
      </c>
      <c r="BR58" s="105" t="str">
        <f>BL58</f>
        <v>Net Change</v>
      </c>
      <c r="BS58" s="105" t="str">
        <f>BM58</f>
        <v>Replace-ment Demand</v>
      </c>
      <c r="BT58" s="105" t="str">
        <f>BN58</f>
        <v>Total Require-ment</v>
      </c>
      <c r="BU58" s="112"/>
      <c r="BV58" s="109" t="str">
        <f>BV6</f>
        <v>RD p.a%</v>
      </c>
      <c r="BW58" s="109" t="str">
        <f>BW6</f>
        <v>2015 Level</v>
      </c>
      <c r="BX58" s="109" t="str">
        <f>BX6</f>
        <v>Net Change</v>
      </c>
      <c r="BY58" s="109" t="str">
        <f>BY6</f>
        <v>Replace-ment Demand</v>
      </c>
      <c r="BZ58" s="109" t="str">
        <f>BZ6</f>
        <v>Total Require-ment</v>
      </c>
      <c r="CA58" s="108"/>
      <c r="CB58" s="104" t="str">
        <f>BV58</f>
        <v>RD p.a%</v>
      </c>
      <c r="CC58" s="104" t="str">
        <f>BW58</f>
        <v>2015 Level</v>
      </c>
      <c r="CD58" s="104" t="str">
        <f>BX58</f>
        <v>Net Change</v>
      </c>
      <c r="CE58" s="104" t="str">
        <f>BY58</f>
        <v>Replace-ment Demand</v>
      </c>
      <c r="CF58" s="104" t="str">
        <f>BZ58</f>
        <v>Total Require-ment</v>
      </c>
      <c r="CG58" s="103"/>
      <c r="CH58" s="105" t="str">
        <f>CB58</f>
        <v>RD p.a%</v>
      </c>
      <c r="CI58" s="105" t="str">
        <f>CC58</f>
        <v>2015 Level</v>
      </c>
      <c r="CJ58" s="105" t="str">
        <f>CD58</f>
        <v>Net Change</v>
      </c>
      <c r="CK58" s="105" t="str">
        <f>CE58</f>
        <v>Replace-ment Demand</v>
      </c>
      <c r="CL58" s="105" t="str">
        <f>CF58</f>
        <v>Total Require-ment</v>
      </c>
      <c r="CM58" s="103"/>
      <c r="CN58" s="105" t="str">
        <f>CH58</f>
        <v>RD p.a%</v>
      </c>
      <c r="CO58" s="105" t="str">
        <f>CI58</f>
        <v>2015 Level</v>
      </c>
      <c r="CP58" s="105" t="str">
        <f>CJ58</f>
        <v>Net Change</v>
      </c>
      <c r="CQ58" s="105" t="str">
        <f>CK58</f>
        <v>Replace-ment Demand</v>
      </c>
      <c r="CR58" s="105" t="str">
        <f>CL58</f>
        <v>Total Require-ment</v>
      </c>
      <c r="CS58" s="112"/>
      <c r="CT58" s="109" t="str">
        <f>CT6</f>
        <v>RD p.a%</v>
      </c>
      <c r="CU58" s="109" t="str">
        <f>CU6</f>
        <v>2015 Level</v>
      </c>
      <c r="CV58" s="109" t="str">
        <f>CV6</f>
        <v>Net Change</v>
      </c>
      <c r="CW58" s="109" t="str">
        <f>CW6</f>
        <v>Replace-ment Demand</v>
      </c>
      <c r="CX58" s="109" t="str">
        <f>CX6</f>
        <v>Total Require-ment</v>
      </c>
      <c r="CY58" s="108"/>
      <c r="CZ58" s="104" t="str">
        <f>CT58</f>
        <v>RD p.a%</v>
      </c>
      <c r="DA58" s="104" t="str">
        <f>CU58</f>
        <v>2015 Level</v>
      </c>
      <c r="DB58" s="104" t="str">
        <f>CV58</f>
        <v>Net Change</v>
      </c>
      <c r="DC58" s="104" t="str">
        <f>CW58</f>
        <v>Replace-ment Demand</v>
      </c>
      <c r="DD58" s="104" t="str">
        <f>CX58</f>
        <v>Total Require-ment</v>
      </c>
      <c r="DE58" s="103"/>
      <c r="DF58" s="105" t="str">
        <f>CZ58</f>
        <v>RD p.a%</v>
      </c>
      <c r="DG58" s="105" t="str">
        <f>DA58</f>
        <v>2015 Level</v>
      </c>
      <c r="DH58" s="105" t="str">
        <f>DB58</f>
        <v>Net Change</v>
      </c>
      <c r="DI58" s="105" t="str">
        <f>DC58</f>
        <v>Replace-ment Demand</v>
      </c>
      <c r="DJ58" s="105" t="str">
        <f>DD58</f>
        <v>Total Require-ment</v>
      </c>
      <c r="DK58" s="103"/>
      <c r="DL58" s="105" t="str">
        <f>DF58</f>
        <v>RD p.a%</v>
      </c>
      <c r="DM58" s="105" t="str">
        <f>DG58</f>
        <v>2015 Level</v>
      </c>
      <c r="DN58" s="105" t="str">
        <f>DH58</f>
        <v>Net Change</v>
      </c>
      <c r="DO58" s="105" t="str">
        <f>DI58</f>
        <v>Replace-ment Demand</v>
      </c>
      <c r="DP58" s="105" t="str">
        <f>DJ58</f>
        <v>Total Require-ment</v>
      </c>
    </row>
    <row r="60" spans="1:120" x14ac:dyDescent="0.2">
      <c r="A60" s="90" t="e">
        <f>name!#REF!</f>
        <v>#REF!</v>
      </c>
      <c r="B60" s="39">
        <f t="shared" ref="B60:B77" si="44">IF(C60&gt;0,((1+(E60/C60))^(1/($A$101-$A$100))-1)*100,0)</f>
        <v>3.0200371662758352</v>
      </c>
      <c r="C60" s="93">
        <f t="array" ref="C60:C75">MMULT(aggregation!$B$28:$AP$33,C8:C48)</f>
        <v>366.4282299047502</v>
      </c>
      <c r="D60" s="93">
        <f t="array" ref="D60:D75">MMULT(aggregation!$B$28:$AP$33,D8:D48)</f>
        <v>12.375876953571559</v>
      </c>
      <c r="E60" s="93">
        <f t="array" ref="E60:E75">MMULT(aggregation!$B$28:$AP$33,E8:E48)</f>
        <v>126.97949758360076</v>
      </c>
      <c r="F60" s="93">
        <f t="array" ref="F60:F75">MMULT(aggregation!$B$28:$AP$33,F8:F48)</f>
        <v>139.35537453717231</v>
      </c>
      <c r="H60" s="39">
        <f t="shared" ref="H60:H77" si="45">IF(I60&gt;0,((1+(K60/I60))^(1/($A$101-$A$100))-1)*100,0)</f>
        <v>2.9285612180755871</v>
      </c>
      <c r="I60" s="93">
        <f t="array" ref="I60:I75">MMULT(aggregation!$B$28:$AP$33,I8:I48)</f>
        <v>97.376228083615871</v>
      </c>
      <c r="J60" s="93">
        <f t="array" ref="J60:J75">MMULT(aggregation!$B$28:$AP$33,J8:J48)</f>
        <v>-20.134418454551835</v>
      </c>
      <c r="K60" s="93">
        <f t="array" ref="K60:K75">MMULT(aggregation!$B$28:$AP$33,K8:K48)</f>
        <v>32.584449941883307</v>
      </c>
      <c r="L60" s="93">
        <f t="array" ref="L60:L75">MMULT(aggregation!$B$28:$AP$33,L8:L48)</f>
        <v>12.450031487331474</v>
      </c>
      <c r="N60" s="39">
        <f t="shared" ref="N60:N77" si="46">IF(O60&gt;0,((1+(Q60/O60))^(1/($A$101-$A$100))-1)*100,0)</f>
        <v>3.0078818163740584</v>
      </c>
      <c r="O60" s="93">
        <f t="array" ref="O60:O75">MMULT(aggregation!$B$28:$AP$33,O8:O48)</f>
        <v>182.91528670445331</v>
      </c>
      <c r="P60" s="93">
        <f t="array" ref="P60:P75">MMULT(aggregation!$B$28:$AP$33,P8:P48)</f>
        <v>11.860906329989675</v>
      </c>
      <c r="Q60" s="93">
        <f t="array" ref="Q60:Q75">MMULT(aggregation!$B$28:$AP$33,Q8:Q48)</f>
        <v>63.095737682523136</v>
      </c>
      <c r="R60" s="93">
        <f t="array" ref="R60:R75">MMULT(aggregation!$B$28:$AP$33,R8:R48)</f>
        <v>74.956644012512811</v>
      </c>
      <c r="S60" s="93"/>
      <c r="T60" s="39">
        <f t="shared" ref="T60:T77" si="47">IF(U60&gt;0,((1+(W60/U60))^(1/($A$101-$A$100))-1)*100,0)</f>
        <v>3.1481168893008116</v>
      </c>
      <c r="U60" s="93">
        <f t="array" ref="U60:U75">MMULT(aggregation!$B$28:$AP$33,U8:U48)</f>
        <v>86.136715116681074</v>
      </c>
      <c r="V60" s="93">
        <f t="array" ref="V60:V75">MMULT(aggregation!$B$28:$AP$33,V8:V48)</f>
        <v>20.649389078133723</v>
      </c>
      <c r="W60" s="93">
        <f t="array" ref="W60:W75">MMULT(aggregation!$B$28:$AP$33,W8:W48)</f>
        <v>31.299309959194293</v>
      </c>
      <c r="X60" s="93">
        <f t="array" ref="X60:X75">MMULT(aggregation!$B$28:$AP$33,X8:X48)</f>
        <v>51.948699037328012</v>
      </c>
      <c r="Y60" s="90" t="e">
        <f>A60</f>
        <v>#REF!</v>
      </c>
      <c r="Z60" s="39">
        <f t="shared" ref="Z60:Z75" si="48">IF(AA60&gt;0,((1+(AC60/AA60))^(1/($A$101-$A$100))-1)*100,0)</f>
        <v>3.4510693323820618</v>
      </c>
      <c r="AA60" s="93">
        <f t="array" ref="AA60:AA75">MMULT(aggregation!$B$28:$AP$33,AA8:AA48)</f>
        <v>109.40097762183721</v>
      </c>
      <c r="AB60" s="93">
        <f t="array" ref="AB60:AB75">MMULT(aggregation!$B$28:$AP$33,AB8:AB48)</f>
        <v>9.4111962426802158</v>
      </c>
      <c r="AC60" s="93">
        <f t="array" ref="AC60:AC75">MMULT(aggregation!$B$28:$AP$33,AC8:AC48)</f>
        <v>44.19188844178916</v>
      </c>
      <c r="AD60" s="93">
        <f t="array" ref="AD60:AD75">MMULT(aggregation!$B$28:$AP$33,AD8:AD48)</f>
        <v>53.603084684469373</v>
      </c>
      <c r="AF60" s="39">
        <f t="shared" ref="AF60:AF75" si="49">IF(AG60&gt;0,((1+(AI60/AG60))^(1/($A$101-$A$100))-1)*100,0)</f>
        <v>3.8042706160036355</v>
      </c>
      <c r="AG60" s="93">
        <f t="array" ref="AG60:AG75">MMULT(aggregation!$B$28:$AP$33,AG8:AG48)</f>
        <v>13.890583179106276</v>
      </c>
      <c r="AH60" s="93">
        <f t="array" ref="AH60:AH75">MMULT(aggregation!$B$28:$AP$33,AH8:AH48)</f>
        <v>-3.9765127034124319</v>
      </c>
      <c r="AI60" s="93">
        <f t="array" ref="AI60:AI75">MMULT(aggregation!$B$28:$AP$33,AI8:AI48)</f>
        <v>6.2871647138905322</v>
      </c>
      <c r="AJ60" s="93">
        <f t="array" ref="AJ60:AJ75">MMULT(aggregation!$B$28:$AP$33,AJ8:AJ48)</f>
        <v>2.3106520104781003</v>
      </c>
      <c r="AL60" s="39">
        <f t="shared" ref="AL60:AL75" si="50">IF(AM60&gt;0,((1+(AO60/AM60))^(1/($A$101-$A$100))-1)*100,0)</f>
        <v>3.5604682409842825</v>
      </c>
      <c r="AM60" s="93">
        <f t="array" ref="AM60:AM75">MMULT(aggregation!$B$28:$AP$33,AM8:AM48)</f>
        <v>46.925666714529029</v>
      </c>
      <c r="AN60" s="93">
        <f t="array" ref="AN60:AN75">MMULT(aggregation!$B$28:$AP$33,AN8:AN48)</f>
        <v>3.8599342908012759</v>
      </c>
      <c r="AO60" s="93">
        <f t="array" ref="AO60:AO75">MMULT(aggregation!$B$28:$AP$33,AO8:AO48)</f>
        <v>19.655362728522867</v>
      </c>
      <c r="AP60" s="93">
        <f t="array" ref="AP60:AP75">MMULT(aggregation!$B$28:$AP$33,AP8:AP48)</f>
        <v>23.515297019324144</v>
      </c>
      <c r="AQ60" s="93"/>
      <c r="AR60" s="39">
        <f t="shared" ref="AR60:AR75" si="51">IF(AS60&gt;0,((1+(AU60/AS60))^(1/($A$101-$A$100))-1)*100,0)</f>
        <v>3.2404350006200788</v>
      </c>
      <c r="AS60" s="93">
        <f t="array" ref="AS60:AS75">MMULT(aggregation!$B$28:$AP$33,AS8:AS48)</f>
        <v>48.584727728201912</v>
      </c>
      <c r="AT60" s="93">
        <f t="array" ref="AT60:AT75">MMULT(aggregation!$B$28:$AP$33,AT8:AT48)</f>
        <v>9.5277746552913687</v>
      </c>
      <c r="AU60" s="93">
        <f t="array" ref="AU60:AU75">MMULT(aggregation!$B$28:$AP$33,AU8:AU48)</f>
        <v>18.249360999375764</v>
      </c>
      <c r="AV60" s="93">
        <f t="array" ref="AV60:AV75">MMULT(aggregation!$B$28:$AP$33,AV8:AV48)</f>
        <v>27.777135654667134</v>
      </c>
      <c r="AW60" s="90" t="e">
        <f>Y60</f>
        <v>#REF!</v>
      </c>
      <c r="AX60" s="39">
        <f t="shared" ref="AX60:AX75" si="52">IF(AY60&gt;0,((1+(BA60/AY60))^(1/($A$101-$A$100))-1)*100,0)</f>
        <v>2.5964738060617387</v>
      </c>
      <c r="AY60" s="93">
        <f t="array" ref="AY60:AY75">MMULT(aggregation!$B$28:$AP$33,AY8:AY48)</f>
        <v>133.76328434115098</v>
      </c>
      <c r="AZ60" s="93">
        <f t="array" ref="AZ60:AZ75">MMULT(aggregation!$B$28:$AP$33,AZ8:AZ48)</f>
        <v>2.9837836487827287</v>
      </c>
      <c r="BA60" s="93">
        <f t="array" ref="BA60:BA75">MMULT(aggregation!$B$28:$AP$33,BA8:BA48)</f>
        <v>39.083485919914963</v>
      </c>
      <c r="BB60" s="93">
        <f t="array" ref="BB60:BB75">MMULT(aggregation!$B$28:$AP$33,BB8:BB48)</f>
        <v>42.067269568697697</v>
      </c>
      <c r="BD60" s="39">
        <f t="shared" ref="BD60:BD75" si="53">IF(BE60&gt;0,((1+(BG60/BE60))^(1/($A$101-$A$100))-1)*100,0)</f>
        <v>2.547134735934975</v>
      </c>
      <c r="BE60" s="93">
        <f t="array" ref="BE60:BE75">MMULT(aggregation!$B$28:$AP$33,BE8:BE48)</f>
        <v>38.038082841341755</v>
      </c>
      <c r="BF60" s="93">
        <f t="array" ref="BF60:BF75">MMULT(aggregation!$B$28:$AP$33,BF8:BF48)</f>
        <v>-2.4133097813355744</v>
      </c>
      <c r="BG60" s="93">
        <f t="array" ref="BG60:BG75">MMULT(aggregation!$B$28:$AP$33,BG8:BG48)</f>
        <v>10.878253522030754</v>
      </c>
      <c r="BH60" s="93">
        <f t="array" ref="BH60:BH75">MMULT(aggregation!$B$28:$AP$33,BH8:BH48)</f>
        <v>8.4649437406951797</v>
      </c>
      <c r="BJ60" s="39">
        <f t="shared" ref="BJ60:BJ75" si="54">IF(BK60&gt;0,((1+(BM60/BK60))^(1/($A$101-$A$100))-1)*100,0)</f>
        <v>2.5845775387473902</v>
      </c>
      <c r="BK60" s="93">
        <f t="array" ref="BK60:BK75">MMULT(aggregation!$B$28:$AP$33,BK8:BK48)</f>
        <v>74.411735017406926</v>
      </c>
      <c r="BL60" s="93">
        <f t="array" ref="BL60:BL75">MMULT(aggregation!$B$28:$AP$33,BL8:BL48)</f>
        <v>3.1855192819452687</v>
      </c>
      <c r="BM60" s="93">
        <f t="array" ref="BM60:BM75">MMULT(aggregation!$B$28:$AP$33,BM8:BM48)</f>
        <v>21.630481362749549</v>
      </c>
      <c r="BN60" s="93">
        <f t="array" ref="BN60:BN75">MMULT(aggregation!$B$28:$AP$33,BN8:BN48)</f>
        <v>24.816000644694821</v>
      </c>
      <c r="BO60" s="93"/>
      <c r="BP60" s="39">
        <f t="shared" ref="BP60:BP75" si="55">IF(BQ60&gt;0,((1+(BS60/BQ60))^(1/($A$101-$A$100))-1)*100,0)</f>
        <v>2.7251222269226272</v>
      </c>
      <c r="BQ60" s="93">
        <f t="array" ref="BQ60:BQ75">MMULT(aggregation!$B$28:$AP$33,BQ8:BQ48)</f>
        <v>21.313466482402312</v>
      </c>
      <c r="BR60" s="93">
        <f t="array" ref="BR60:BR75">MMULT(aggregation!$B$28:$AP$33,BR8:BR48)</f>
        <v>2.2115741481730335</v>
      </c>
      <c r="BS60" s="93">
        <f t="array" ref="BS60:BS75">MMULT(aggregation!$B$28:$AP$33,BS8:BS48)</f>
        <v>6.5747510351346579</v>
      </c>
      <c r="BT60" s="93">
        <f t="array" ref="BT60:BT75">MMULT(aggregation!$B$28:$AP$33,BT8:BT48)</f>
        <v>8.7863251833076923</v>
      </c>
      <c r="BU60" s="90" t="e">
        <f>AW60</f>
        <v>#REF!</v>
      </c>
      <c r="BV60" s="39">
        <f t="shared" ref="BV60:BV75" si="56">IF(BW60&gt;0,((1+(BY60/BW60))^(1/($A$101-$A$100))-1)*100,0)</f>
        <v>3.485095393773241</v>
      </c>
      <c r="BW60" s="93">
        <f t="array" ref="BW60:BW75">MMULT(aggregation!$B$28:$AP$33,BW8:BW48)</f>
        <v>65.409196417553474</v>
      </c>
      <c r="BX60" s="93">
        <f t="array" ref="BX60:BX75">MMULT(aggregation!$B$28:$AP$33,BX8:BX48)</f>
        <v>-7.2725784365581729</v>
      </c>
      <c r="BY60" s="93">
        <f t="array" ref="BY60:BY75">MMULT(aggregation!$B$28:$AP$33,BY8:BY48)</f>
        <v>26.724152418105156</v>
      </c>
      <c r="BZ60" s="93">
        <f t="array" ref="BZ60:BZ75">MMULT(aggregation!$B$28:$AP$33,BZ8:BZ48)</f>
        <v>19.451573981546982</v>
      </c>
      <c r="CB60" s="39">
        <f t="shared" ref="CB60:CB75" si="57">IF(CC60&gt;0,((1+(CE60/CC60))^(1/($A$101-$A$100))-1)*100,0)</f>
        <v>3.3945866942973302</v>
      </c>
      <c r="CC60" s="93">
        <f t="array" ref="CC60:CC75">MMULT(aggregation!$B$28:$AP$33,CC8:CC48)</f>
        <v>21.05053288471078</v>
      </c>
      <c r="CD60" s="93">
        <f t="array" ref="CD60:CD75">MMULT(aggregation!$B$28:$AP$33,CD8:CD48)</f>
        <v>-8.6356916223892384</v>
      </c>
      <c r="CE60" s="93">
        <f t="array" ref="CE60:CE75">MMULT(aggregation!$B$28:$AP$33,CE8:CE48)</f>
        <v>8.342277262525851</v>
      </c>
      <c r="CF60" s="93">
        <f t="array" ref="CF60:CF75">MMULT(aggregation!$B$28:$AP$33,CF8:CF48)</f>
        <v>-0.2934143598633871</v>
      </c>
      <c r="CH60" s="39">
        <f t="shared" ref="CH60:CH75" si="58">IF(CI60&gt;0,((1+(CK60/CI60))^(1/($A$101-$A$100))-1)*100,0)</f>
        <v>3.4521857773551767</v>
      </c>
      <c r="CI60" s="93">
        <f t="array" ref="CI60:CI75">MMULT(aggregation!$B$28:$AP$33,CI8:CI48)</f>
        <v>34.546886160025707</v>
      </c>
      <c r="CJ60" s="93">
        <f t="array" ref="CJ60:CJ75">MMULT(aggregation!$B$28:$AP$33,CJ8:CJ48)</f>
        <v>-1.2189766380635714</v>
      </c>
      <c r="CK60" s="93">
        <f t="array" ref="CK60:CK75">MMULT(aggregation!$B$28:$AP$33,CK8:CK48)</f>
        <v>13.96024826295576</v>
      </c>
      <c r="CL60" s="93">
        <f t="array" ref="CL60:CL75">MMULT(aggregation!$B$28:$AP$33,CL8:CL48)</f>
        <v>12.741271624892187</v>
      </c>
      <c r="CM60" s="93"/>
      <c r="CN60" s="39">
        <f t="shared" ref="CN60:CN75" si="59">IF(CO60&gt;0,((1+(CQ60/CO60))^(1/($A$101-$A$100))-1)*100,0)</f>
        <v>3.7901429015048116</v>
      </c>
      <c r="CO60" s="93">
        <f t="array" ref="CO60:CO75">MMULT(aggregation!$B$28:$AP$33,CO8:CO48)</f>
        <v>9.8117773728169944</v>
      </c>
      <c r="CP60" s="93">
        <f t="array" ref="CP60:CP75">MMULT(aggregation!$B$28:$AP$33,CP8:CP48)</f>
        <v>2.5820898238946395</v>
      </c>
      <c r="CQ60" s="93">
        <f t="array" ref="CQ60:CQ75">MMULT(aggregation!$B$28:$AP$33,CQ8:CQ48)</f>
        <v>4.421626892623542</v>
      </c>
      <c r="CR60" s="93">
        <f t="array" ref="CR60:CR75">MMULT(aggregation!$B$28:$AP$33,CR8:CR48)</f>
        <v>7.0037167165181815</v>
      </c>
      <c r="CS60" s="90" t="e">
        <f>BU60</f>
        <v>#REF!</v>
      </c>
      <c r="CT60" s="39">
        <f t="shared" ref="CT60:CT75" si="60">IF(CU60&gt;0,((1+(CW60/CU60))^(1/($A$101-$A$100))-1)*100,0)</f>
        <v>2.6068626107773829</v>
      </c>
      <c r="CU60" s="93">
        <f t="array" ref="CU60:CU75">MMULT(aggregation!$B$28:$AP$33,CU8:CU48)</f>
        <v>57.854771524208537</v>
      </c>
      <c r="CV60" s="93">
        <f t="array" ref="CV60:CV75">MMULT(aggregation!$B$28:$AP$33,CV8:CV48)</f>
        <v>7.2534754986667886</v>
      </c>
      <c r="CW60" s="93">
        <f t="array" ref="CW60:CW75">MMULT(aggregation!$B$28:$AP$33,CW8:CW48)</f>
        <v>16.979970803791471</v>
      </c>
      <c r="CX60" s="93">
        <f t="array" ref="CX60:CX75">MMULT(aggregation!$B$28:$AP$33,CX8:CX48)</f>
        <v>24.233446302458258</v>
      </c>
      <c r="CZ60" s="39">
        <f t="shared" ref="CZ60:CZ75" si="61">IF(DA60&gt;0,((1+(DC60/DA60))^(1/($A$101-$A$100))-1)*100,0)</f>
        <v>2.5796471633499296</v>
      </c>
      <c r="DA60" s="93">
        <f t="array" ref="DA60:DA75">MMULT(aggregation!$B$28:$AP$33,DA8:DA48)</f>
        <v>24.397029178457057</v>
      </c>
      <c r="DB60" s="93">
        <f t="array" ref="DB60:DB75">MMULT(aggregation!$B$28:$AP$33,DB8:DB48)</f>
        <v>-5.1089043474145921</v>
      </c>
      <c r="DC60" s="93">
        <f t="array" ref="DC60:DC75">MMULT(aggregation!$B$28:$AP$33,DC8:DC48)</f>
        <v>7.0767544434361751</v>
      </c>
      <c r="DD60" s="93">
        <f t="array" ref="DD60:DD75">MMULT(aggregation!$B$28:$AP$33,DD8:DD48)</f>
        <v>1.967850096021583</v>
      </c>
      <c r="DF60" s="39">
        <f t="shared" ref="DF60:DF75" si="62">IF(DG60&gt;0,((1+(DI60/DG60))^(1/($A$101-$A$100))-1)*100,0)</f>
        <v>2.5822546806152147</v>
      </c>
      <c r="DG60" s="93">
        <f t="array" ref="DG60:DG75">MMULT(aggregation!$B$28:$AP$33,DG8:DG48)</f>
        <v>27.030998812491621</v>
      </c>
      <c r="DH60" s="93">
        <f t="array" ref="DH60:DH75">MMULT(aggregation!$B$28:$AP$33,DH8:DH48)</f>
        <v>6.0344293953067005</v>
      </c>
      <c r="DI60" s="93">
        <f t="array" ref="DI60:DI75">MMULT(aggregation!$B$28:$AP$33,DI8:DI48)</f>
        <v>7.8496453282949643</v>
      </c>
      <c r="DJ60" s="93">
        <f t="array" ref="DJ60:DJ75">MMULT(aggregation!$B$28:$AP$33,DJ8:DJ48)</f>
        <v>13.884074723601664</v>
      </c>
      <c r="DK60" s="93"/>
      <c r="DL60" s="39">
        <f t="shared" ref="DL60:DL75" si="63">IF(DM60&gt;0,((1+(DO60/DM60))^(1/($A$101-$A$100))-1)*100,0)</f>
        <v>2.8115955969045814</v>
      </c>
      <c r="DM60" s="93">
        <f t="array" ref="DM60:DM75">MMULT(aggregation!$B$28:$AP$33,DM8:DM48)</f>
        <v>6.426743533259863</v>
      </c>
      <c r="DN60" s="93">
        <f t="array" ref="DN60:DN75">MMULT(aggregation!$B$28:$AP$33,DN8:DN48)</f>
        <v>6.3279504507746802</v>
      </c>
      <c r="DO60" s="93">
        <f t="array" ref="DO60:DO75">MMULT(aggregation!$B$28:$AP$33,DO8:DO48)</f>
        <v>2.0535710320603289</v>
      </c>
      <c r="DP60" s="93">
        <f t="array" ref="DP60:DP75">MMULT(aggregation!$B$28:$AP$33,DP8:DP48)</f>
        <v>8.3815214828350086</v>
      </c>
    </row>
    <row r="61" spans="1:120" x14ac:dyDescent="0.2">
      <c r="A61" s="90" t="e">
        <f>name!#REF!</f>
        <v>#REF!</v>
      </c>
      <c r="B61" s="39">
        <f t="shared" si="44"/>
        <v>2.6428578302956751</v>
      </c>
      <c r="C61" s="93">
        <v>1531.9705805222009</v>
      </c>
      <c r="D61" s="93">
        <v>38.373634438141572</v>
      </c>
      <c r="E61" s="93">
        <v>456.58520540961894</v>
      </c>
      <c r="F61" s="93">
        <v>494.95883984776049</v>
      </c>
      <c r="H61" s="39">
        <f t="shared" si="45"/>
        <v>2.4792103651163355</v>
      </c>
      <c r="I61" s="93">
        <v>346.9543032994946</v>
      </c>
      <c r="J61" s="93">
        <v>-71.701267476699215</v>
      </c>
      <c r="K61" s="93">
        <v>96.27654812183178</v>
      </c>
      <c r="L61" s="93">
        <v>24.575280645132562</v>
      </c>
      <c r="N61" s="39">
        <f t="shared" si="46"/>
        <v>2.5614670093909275</v>
      </c>
      <c r="O61" s="93">
        <v>814.35141810968503</v>
      </c>
      <c r="P61" s="93">
        <v>55.745517961636317</v>
      </c>
      <c r="Q61" s="93">
        <v>234.35541894926229</v>
      </c>
      <c r="R61" s="93">
        <v>290.10093691089861</v>
      </c>
      <c r="S61" s="93"/>
      <c r="T61" s="39">
        <f t="shared" si="47"/>
        <v>2.9684351632191186</v>
      </c>
      <c r="U61" s="93">
        <v>370.66485911302107</v>
      </c>
      <c r="V61" s="93">
        <v>54.329383953204463</v>
      </c>
      <c r="W61" s="93">
        <v>125.95323833852494</v>
      </c>
      <c r="X61" s="93">
        <v>180.28262229172944</v>
      </c>
      <c r="Y61" s="90" t="e">
        <f t="shared" ref="Y61:Y75" si="64">A61</f>
        <v>#REF!</v>
      </c>
      <c r="Z61" s="39">
        <f t="shared" si="48"/>
        <v>3.09935723132575</v>
      </c>
      <c r="AA61" s="93">
        <v>449.17774942270398</v>
      </c>
      <c r="AB61" s="93">
        <v>50.084024973176945</v>
      </c>
      <c r="AC61" s="93">
        <v>160.32800726207913</v>
      </c>
      <c r="AD61" s="93">
        <v>210.41203223525608</v>
      </c>
      <c r="AF61" s="39">
        <f t="shared" si="49"/>
        <v>3.0553735251015013</v>
      </c>
      <c r="AG61" s="93">
        <v>43.103207322115679</v>
      </c>
      <c r="AH61" s="93">
        <v>0.19587937567616226</v>
      </c>
      <c r="AI61" s="93">
        <v>15.136073680613812</v>
      </c>
      <c r="AJ61" s="93">
        <v>15.331953056289972</v>
      </c>
      <c r="AL61" s="39">
        <f t="shared" si="50"/>
        <v>3.0511586415955083</v>
      </c>
      <c r="AM61" s="93">
        <v>165.52931783494364</v>
      </c>
      <c r="AN61" s="93">
        <v>19.535586179291034</v>
      </c>
      <c r="AO61" s="93">
        <v>58.035631729329729</v>
      </c>
      <c r="AP61" s="93">
        <v>77.571217908620767</v>
      </c>
      <c r="AQ61" s="93"/>
      <c r="AR61" s="39">
        <f t="shared" si="51"/>
        <v>3.1402482773775109</v>
      </c>
      <c r="AS61" s="93">
        <v>240.54522426564475</v>
      </c>
      <c r="AT61" s="93">
        <v>30.35255941820974</v>
      </c>
      <c r="AU61" s="93">
        <v>87.156301852135613</v>
      </c>
      <c r="AV61" s="93">
        <v>117.50886127034535</v>
      </c>
      <c r="AW61" s="90" t="e">
        <f t="shared" ref="AW61:AW75" si="65">Y61</f>
        <v>#REF!</v>
      </c>
      <c r="AX61" s="39">
        <f t="shared" si="52"/>
        <v>2.5119602836049859</v>
      </c>
      <c r="AY61" s="93">
        <v>382.12363836563554</v>
      </c>
      <c r="AZ61" s="93">
        <v>14.987876400880856</v>
      </c>
      <c r="BA61" s="93">
        <v>107.597993602248</v>
      </c>
      <c r="BB61" s="93">
        <v>122.58587000312885</v>
      </c>
      <c r="BD61" s="39">
        <f t="shared" si="53"/>
        <v>2.4324488727566429</v>
      </c>
      <c r="BE61" s="93">
        <v>68.87792182820661</v>
      </c>
      <c r="BF61" s="93">
        <v>-12.980223779533098</v>
      </c>
      <c r="BG61" s="93">
        <v>18.712292944480623</v>
      </c>
      <c r="BH61" s="93">
        <v>5.7320691649475206</v>
      </c>
      <c r="BJ61" s="39">
        <f t="shared" si="54"/>
        <v>2.4743901795061252</v>
      </c>
      <c r="BK61" s="93">
        <v>227.41154731887079</v>
      </c>
      <c r="BL61" s="93">
        <v>20.277004150306102</v>
      </c>
      <c r="BM61" s="93">
        <v>62.967942886752354</v>
      </c>
      <c r="BN61" s="93">
        <v>83.244947037058452</v>
      </c>
      <c r="BO61" s="93"/>
      <c r="BP61" s="39">
        <f t="shared" si="55"/>
        <v>2.6737634790460207</v>
      </c>
      <c r="BQ61" s="93">
        <v>85.834169218558088</v>
      </c>
      <c r="BR61" s="93">
        <v>7.6910960301078566</v>
      </c>
      <c r="BS61" s="93">
        <v>25.917757771015022</v>
      </c>
      <c r="BT61" s="93">
        <v>33.608853801122876</v>
      </c>
      <c r="BU61" s="90" t="e">
        <f t="shared" ref="BU61:BU75" si="66">AW61</f>
        <v>#REF!</v>
      </c>
      <c r="BV61" s="39">
        <f t="shared" si="56"/>
        <v>2.4273686289485896</v>
      </c>
      <c r="BW61" s="93">
        <v>618.6998990746248</v>
      </c>
      <c r="BX61" s="93">
        <v>-37.145990679902553</v>
      </c>
      <c r="BY61" s="93">
        <v>167.69412219711813</v>
      </c>
      <c r="BZ61" s="93">
        <v>130.54813151721558</v>
      </c>
      <c r="CB61" s="39">
        <f t="shared" si="57"/>
        <v>2.3908219482846826</v>
      </c>
      <c r="CC61" s="93">
        <v>200.76690413153926</v>
      </c>
      <c r="CD61" s="93">
        <v>-51.773551523444716</v>
      </c>
      <c r="CE61" s="93">
        <v>53.507365477367323</v>
      </c>
      <c r="CF61" s="93">
        <v>1.7338139539226114</v>
      </c>
      <c r="CH61" s="39">
        <f t="shared" si="58"/>
        <v>2.4281776316902093</v>
      </c>
      <c r="CI61" s="93">
        <v>377.66885349128535</v>
      </c>
      <c r="CJ61" s="93">
        <v>2.3971579400366365</v>
      </c>
      <c r="CK61" s="93">
        <v>102.40232056245216</v>
      </c>
      <c r="CL61" s="93">
        <v>104.79947850248878</v>
      </c>
      <c r="CM61" s="93"/>
      <c r="CN61" s="39">
        <f t="shared" si="59"/>
        <v>2.6003972395548303</v>
      </c>
      <c r="CO61" s="93">
        <v>40.264141451800178</v>
      </c>
      <c r="CP61" s="93">
        <v>12.230402903505531</v>
      </c>
      <c r="CQ61" s="93">
        <v>11.78443615729863</v>
      </c>
      <c r="CR61" s="93">
        <v>24.014839060804167</v>
      </c>
      <c r="CS61" s="90" t="e">
        <f t="shared" ref="CS61:CS75" si="67">BU61</f>
        <v>#REF!</v>
      </c>
      <c r="CT61" s="39">
        <f t="shared" si="60"/>
        <v>2.3036018395404811</v>
      </c>
      <c r="CU61" s="93">
        <v>81.969293659236243</v>
      </c>
      <c r="CV61" s="93">
        <v>10.447723743986325</v>
      </c>
      <c r="CW61" s="93">
        <v>20.965082348173706</v>
      </c>
      <c r="CX61" s="93">
        <v>31.412806092160039</v>
      </c>
      <c r="CZ61" s="39">
        <f t="shared" si="61"/>
        <v>2.3444837267214247</v>
      </c>
      <c r="DA61" s="93">
        <v>34.206270017633031</v>
      </c>
      <c r="DB61" s="93">
        <v>-7.1433715493975534</v>
      </c>
      <c r="DC61" s="93">
        <v>8.920816019370017</v>
      </c>
      <c r="DD61" s="93">
        <v>1.7774444699724654</v>
      </c>
      <c r="DF61" s="39">
        <f t="shared" si="62"/>
        <v>2.2591547110890398</v>
      </c>
      <c r="DG61" s="93">
        <v>43.741699464585146</v>
      </c>
      <c r="DH61" s="93">
        <v>13.535769692002548</v>
      </c>
      <c r="DI61" s="93">
        <v>10.949523770728023</v>
      </c>
      <c r="DJ61" s="93">
        <v>24.485293462730571</v>
      </c>
      <c r="DK61" s="93"/>
      <c r="DL61" s="39">
        <f t="shared" si="63"/>
        <v>2.4369670928403142</v>
      </c>
      <c r="DM61" s="93">
        <v>4.0213241770180499</v>
      </c>
      <c r="DN61" s="93">
        <v>4.055325601381333</v>
      </c>
      <c r="DO61" s="93">
        <v>1.0947425580756691</v>
      </c>
      <c r="DP61" s="93">
        <v>5.1500681594570024</v>
      </c>
    </row>
    <row r="62" spans="1:120" x14ac:dyDescent="0.2">
      <c r="A62" s="90" t="e">
        <f>name!#REF!</f>
        <v>#REF!</v>
      </c>
      <c r="B62" s="39">
        <f t="shared" si="44"/>
        <v>2.9873927143805101</v>
      </c>
      <c r="C62" s="93">
        <v>223.45199999999954</v>
      </c>
      <c r="D62" s="93">
        <v>16.32099999999997</v>
      </c>
      <c r="E62" s="93">
        <v>76.481434511542574</v>
      </c>
      <c r="F62" s="93">
        <v>92.802434511542543</v>
      </c>
      <c r="H62" s="39">
        <f t="shared" si="45"/>
        <v>2.7027065972447861</v>
      </c>
      <c r="I62" s="93">
        <v>10.129605191491642</v>
      </c>
      <c r="J62" s="93">
        <v>-0.34252249973408699</v>
      </c>
      <c r="K62" s="93">
        <v>3.0958737684558137</v>
      </c>
      <c r="L62" s="93">
        <v>2.753351268721727</v>
      </c>
      <c r="N62" s="39">
        <f t="shared" si="46"/>
        <v>2.7752129639048606</v>
      </c>
      <c r="O62" s="93">
        <v>49.401211396935132</v>
      </c>
      <c r="P62" s="93">
        <v>-7.2343121603684377</v>
      </c>
      <c r="Q62" s="93">
        <v>15.555114540422643</v>
      </c>
      <c r="R62" s="93">
        <v>8.3208023800542072</v>
      </c>
      <c r="S62" s="93"/>
      <c r="T62" s="39">
        <f t="shared" si="47"/>
        <v>3.0678398412407049</v>
      </c>
      <c r="U62" s="93">
        <v>163.92118341157277</v>
      </c>
      <c r="V62" s="93">
        <v>23.897834660102497</v>
      </c>
      <c r="W62" s="93">
        <v>57.830446202664113</v>
      </c>
      <c r="X62" s="93">
        <v>81.72828086276661</v>
      </c>
      <c r="Y62" s="90" t="e">
        <f t="shared" si="64"/>
        <v>#REF!</v>
      </c>
      <c r="Z62" s="39">
        <f t="shared" si="48"/>
        <v>3.115253870350565</v>
      </c>
      <c r="AA62" s="93">
        <v>152.77157011744924</v>
      </c>
      <c r="AB62" s="93">
        <v>23.667742514510199</v>
      </c>
      <c r="AC62" s="93">
        <v>54.849629303140759</v>
      </c>
      <c r="AD62" s="93">
        <v>78.517371817650954</v>
      </c>
      <c r="AF62" s="39">
        <f t="shared" si="49"/>
        <v>2.8153091738603475</v>
      </c>
      <c r="AG62" s="93">
        <v>4.0545970665235638</v>
      </c>
      <c r="AH62" s="93">
        <v>1.1763868580624641</v>
      </c>
      <c r="AI62" s="93">
        <v>1.2975194554462604</v>
      </c>
      <c r="AJ62" s="93">
        <v>2.4739063135087247</v>
      </c>
      <c r="AL62" s="39">
        <f t="shared" si="50"/>
        <v>2.9300260019708757</v>
      </c>
      <c r="AM62" s="93">
        <v>25.201713800358746</v>
      </c>
      <c r="AN62" s="93">
        <v>-0.99571290511587751</v>
      </c>
      <c r="AO62" s="93">
        <v>8.4378921676941143</v>
      </c>
      <c r="AP62" s="93">
        <v>7.4421792625782359</v>
      </c>
      <c r="AQ62" s="93"/>
      <c r="AR62" s="39">
        <f t="shared" si="51"/>
        <v>3.162364541262197</v>
      </c>
      <c r="AS62" s="93">
        <v>123.5152592505669</v>
      </c>
      <c r="AT62" s="93">
        <v>23.487068561563614</v>
      </c>
      <c r="AU62" s="93">
        <v>45.11421768000038</v>
      </c>
      <c r="AV62" s="93">
        <v>68.601286241563997</v>
      </c>
      <c r="AW62" s="90" t="e">
        <f t="shared" si="65"/>
        <v>#REF!</v>
      </c>
      <c r="AX62" s="39">
        <f t="shared" si="52"/>
        <v>2.7074686991907182</v>
      </c>
      <c r="AY62" s="93">
        <v>63.099183012426266</v>
      </c>
      <c r="AZ62" s="93">
        <v>-8.1666011273025987</v>
      </c>
      <c r="BA62" s="93">
        <v>19.322977545320413</v>
      </c>
      <c r="BB62" s="93">
        <v>11.156376418017812</v>
      </c>
      <c r="BD62" s="39">
        <f t="shared" si="53"/>
        <v>2.5809393895366073</v>
      </c>
      <c r="BE62" s="93">
        <v>3.8989278482616347</v>
      </c>
      <c r="BF62" s="93">
        <v>-1.4264888386863785</v>
      </c>
      <c r="BG62" s="93">
        <v>1.13158099277498</v>
      </c>
      <c r="BH62" s="93">
        <v>-0.29490784591139857</v>
      </c>
      <c r="BJ62" s="39">
        <f t="shared" si="54"/>
        <v>2.6099720549441985</v>
      </c>
      <c r="BK62" s="93">
        <v>20.535319575677597</v>
      </c>
      <c r="BL62" s="93">
        <v>-6.6729139331144127</v>
      </c>
      <c r="BM62" s="93">
        <v>6.0350233240421796</v>
      </c>
      <c r="BN62" s="93">
        <v>-0.63789060907223316</v>
      </c>
      <c r="BO62" s="93"/>
      <c r="BP62" s="39">
        <f t="shared" si="55"/>
        <v>2.7715378913155231</v>
      </c>
      <c r="BQ62" s="93">
        <v>38.66493558848704</v>
      </c>
      <c r="BR62" s="93">
        <v>-6.719835550180675E-2</v>
      </c>
      <c r="BS62" s="93">
        <v>12.156373228503252</v>
      </c>
      <c r="BT62" s="93">
        <v>12.089174873001445</v>
      </c>
      <c r="BU62" s="90" t="e">
        <f t="shared" si="66"/>
        <v>#REF!</v>
      </c>
      <c r="BV62" s="39">
        <f t="shared" si="56"/>
        <v>2.6220470512831273</v>
      </c>
      <c r="BW62" s="93">
        <v>5.5023713341610581</v>
      </c>
      <c r="BX62" s="93">
        <v>0.709064831134398</v>
      </c>
      <c r="BY62" s="93">
        <v>1.6254471384354698</v>
      </c>
      <c r="BZ62" s="93">
        <v>2.334511969569868</v>
      </c>
      <c r="CB62" s="39">
        <f t="shared" si="57"/>
        <v>2.5681173483516284</v>
      </c>
      <c r="CC62" s="93">
        <v>1.2121650788045106</v>
      </c>
      <c r="CD62" s="93">
        <v>0.18730291694992937</v>
      </c>
      <c r="CE62" s="93">
        <v>0.3498513913772372</v>
      </c>
      <c r="CF62" s="93">
        <v>0.53715430832716649</v>
      </c>
      <c r="CH62" s="39">
        <f t="shared" si="58"/>
        <v>2.5816875541381901</v>
      </c>
      <c r="CI62" s="93">
        <v>3.0029888388418309</v>
      </c>
      <c r="CJ62" s="93">
        <v>0.29040114785941096</v>
      </c>
      <c r="CK62" s="93">
        <v>0.87183632094087737</v>
      </c>
      <c r="CL62" s="93">
        <v>1.1622374688002883</v>
      </c>
      <c r="CM62" s="93"/>
      <c r="CN62" s="39">
        <f t="shared" si="59"/>
        <v>2.765792391549815</v>
      </c>
      <c r="CO62" s="93">
        <v>1.2872174165147163</v>
      </c>
      <c r="CP62" s="93">
        <v>0.23136076632505748</v>
      </c>
      <c r="CQ62" s="93">
        <v>0.40375942611735538</v>
      </c>
      <c r="CR62" s="93">
        <v>0.6351201924424128</v>
      </c>
      <c r="CS62" s="90" t="e">
        <f t="shared" si="67"/>
        <v>#REF!</v>
      </c>
      <c r="CT62" s="39">
        <f t="shared" si="60"/>
        <v>2.882982269596579</v>
      </c>
      <c r="CU62" s="93">
        <v>2.0788755359629878</v>
      </c>
      <c r="CV62" s="93">
        <v>0.11079378165796983</v>
      </c>
      <c r="CW62" s="93">
        <v>0.68338052464593657</v>
      </c>
      <c r="CX62" s="93">
        <v>0.7941743063039064</v>
      </c>
      <c r="CZ62" s="39">
        <f t="shared" si="61"/>
        <v>2.8834473778163394</v>
      </c>
      <c r="DA62" s="93">
        <v>0.9639151979019317</v>
      </c>
      <c r="DB62" s="93">
        <v>-0.27972343606010208</v>
      </c>
      <c r="DC62" s="93">
        <v>0.31692192885733617</v>
      </c>
      <c r="DD62" s="93">
        <v>3.7198492797234056E-2</v>
      </c>
      <c r="DF62" s="39">
        <f t="shared" si="62"/>
        <v>2.8008609727499634</v>
      </c>
      <c r="DG62" s="93">
        <v>0.66118918205696109</v>
      </c>
      <c r="DH62" s="93">
        <v>0.14391353000244075</v>
      </c>
      <c r="DI62" s="93">
        <v>0.21036272774547143</v>
      </c>
      <c r="DJ62" s="93">
        <v>0.35427625774791216</v>
      </c>
      <c r="DK62" s="93"/>
      <c r="DL62" s="39">
        <f t="shared" si="63"/>
        <v>3.0006170576280633</v>
      </c>
      <c r="DM62" s="93">
        <v>0.45377115600409529</v>
      </c>
      <c r="DN62" s="93">
        <v>0.24660368771563115</v>
      </c>
      <c r="DO62" s="93">
        <v>0.15609586804312911</v>
      </c>
      <c r="DP62" s="93">
        <v>0.40269955575876026</v>
      </c>
    </row>
    <row r="63" spans="1:120" x14ac:dyDescent="0.2">
      <c r="A63" s="90" t="e">
        <f>name!#REF!</f>
        <v>#REF!</v>
      </c>
      <c r="B63" s="39">
        <f t="shared" si="44"/>
        <v>2.8318785937824886</v>
      </c>
      <c r="C63" s="93">
        <v>2280.697111816894</v>
      </c>
      <c r="D63" s="93">
        <v>333.85127836326922</v>
      </c>
      <c r="E63" s="93">
        <v>734.70552907606873</v>
      </c>
      <c r="F63" s="93">
        <v>1068.5568074393379</v>
      </c>
      <c r="H63" s="39">
        <f t="shared" si="45"/>
        <v>2.7549207370162865</v>
      </c>
      <c r="I63" s="93">
        <v>283.04810837105344</v>
      </c>
      <c r="J63" s="93">
        <v>-0.74752589975027828</v>
      </c>
      <c r="K63" s="93">
        <v>88.390071573508365</v>
      </c>
      <c r="L63" s="93">
        <v>87.642545673758079</v>
      </c>
      <c r="N63" s="39">
        <f t="shared" si="46"/>
        <v>2.7471439144256316</v>
      </c>
      <c r="O63" s="93">
        <v>699.77572635201216</v>
      </c>
      <c r="P63" s="93">
        <v>138.82655476432222</v>
      </c>
      <c r="Q63" s="93">
        <v>217.83072664942705</v>
      </c>
      <c r="R63" s="93">
        <v>356.65728141374927</v>
      </c>
      <c r="S63" s="93"/>
      <c r="T63" s="39">
        <f t="shared" si="47"/>
        <v>2.8939541756485054</v>
      </c>
      <c r="U63" s="93">
        <v>1297.8732770938286</v>
      </c>
      <c r="V63" s="93">
        <v>195.77224949869728</v>
      </c>
      <c r="W63" s="93">
        <v>428.48473085313316</v>
      </c>
      <c r="X63" s="93">
        <v>624.25698035183052</v>
      </c>
      <c r="Y63" s="90" t="e">
        <f t="shared" si="64"/>
        <v>#REF!</v>
      </c>
      <c r="Z63" s="39">
        <f t="shared" si="48"/>
        <v>2.8785897697706897</v>
      </c>
      <c r="AA63" s="93">
        <v>1376.3410743701511</v>
      </c>
      <c r="AB63" s="93">
        <v>228.17890869238147</v>
      </c>
      <c r="AC63" s="93">
        <v>451.65852053812984</v>
      </c>
      <c r="AD63" s="93">
        <v>679.83742923051125</v>
      </c>
      <c r="AF63" s="39">
        <f t="shared" si="49"/>
        <v>2.7957231009731576</v>
      </c>
      <c r="AG63" s="93">
        <v>50.44110866811203</v>
      </c>
      <c r="AH63" s="93">
        <v>12.529196374543888</v>
      </c>
      <c r="AI63" s="93">
        <v>16.015026714248812</v>
      </c>
      <c r="AJ63" s="93">
        <v>28.544223088792698</v>
      </c>
      <c r="AL63" s="39">
        <f t="shared" si="50"/>
        <v>2.7886108998469661</v>
      </c>
      <c r="AM63" s="93">
        <v>237.91538858222418</v>
      </c>
      <c r="AN63" s="93">
        <v>57.839439754593094</v>
      </c>
      <c r="AO63" s="93">
        <v>75.321212862289059</v>
      </c>
      <c r="AP63" s="93">
        <v>133.16065261688217</v>
      </c>
      <c r="AQ63" s="93"/>
      <c r="AR63" s="39">
        <f t="shared" si="51"/>
        <v>2.9019926640608151</v>
      </c>
      <c r="AS63" s="93">
        <v>1087.984577119815</v>
      </c>
      <c r="AT63" s="93">
        <v>157.81027256324452</v>
      </c>
      <c r="AU63" s="93">
        <v>360.32228096159196</v>
      </c>
      <c r="AV63" s="93">
        <v>518.13255352483634</v>
      </c>
      <c r="AW63" s="90" t="e">
        <f t="shared" si="65"/>
        <v>#REF!</v>
      </c>
      <c r="AX63" s="39">
        <f t="shared" si="52"/>
        <v>2.6424249686811008</v>
      </c>
      <c r="AY63" s="93">
        <v>523.22518477326673</v>
      </c>
      <c r="AZ63" s="93">
        <v>52.913801027885178</v>
      </c>
      <c r="BA63" s="93">
        <v>155.91226381320303</v>
      </c>
      <c r="BB63" s="93">
        <v>208.82606484108817</v>
      </c>
      <c r="BD63" s="39">
        <f t="shared" si="53"/>
        <v>2.5567595525065601</v>
      </c>
      <c r="BE63" s="93">
        <v>71.038062853520373</v>
      </c>
      <c r="BF63" s="93">
        <v>-0.99683372471191745</v>
      </c>
      <c r="BG63" s="93">
        <v>20.401472725463666</v>
      </c>
      <c r="BH63" s="93">
        <v>19.40463900075175</v>
      </c>
      <c r="BJ63" s="39">
        <f t="shared" si="54"/>
        <v>2.5991209312550723</v>
      </c>
      <c r="BK63" s="93">
        <v>287.37783213184116</v>
      </c>
      <c r="BL63" s="93">
        <v>26.153950013495834</v>
      </c>
      <c r="BM63" s="93">
        <v>84.063015645700077</v>
      </c>
      <c r="BN63" s="93">
        <v>110.21696565919591</v>
      </c>
      <c r="BO63" s="93"/>
      <c r="BP63" s="39">
        <f t="shared" si="55"/>
        <v>2.7540294923941611</v>
      </c>
      <c r="BQ63" s="93">
        <v>164.80928978790524</v>
      </c>
      <c r="BR63" s="93">
        <v>27.756684739101249</v>
      </c>
      <c r="BS63" s="93">
        <v>51.44777544203928</v>
      </c>
      <c r="BT63" s="93">
        <v>79.204460181140519</v>
      </c>
      <c r="BU63" s="90" t="e">
        <f t="shared" si="66"/>
        <v>#REF!</v>
      </c>
      <c r="BV63" s="39">
        <f t="shared" si="56"/>
        <v>3.0340414804767457</v>
      </c>
      <c r="BW63" s="93">
        <v>85.622354303695573</v>
      </c>
      <c r="BX63" s="93">
        <v>25.553340948968874</v>
      </c>
      <c r="BY63" s="93">
        <v>29.827799955063963</v>
      </c>
      <c r="BZ63" s="93">
        <v>55.38114090403284</v>
      </c>
      <c r="CB63" s="39">
        <f t="shared" si="57"/>
        <v>2.8104311558199369</v>
      </c>
      <c r="CC63" s="93">
        <v>30.284463826404377</v>
      </c>
      <c r="CD63" s="93">
        <v>8.1375545884132379</v>
      </c>
      <c r="CE63" s="93">
        <v>9.6724276046623192</v>
      </c>
      <c r="CF63" s="93">
        <v>17.809982193075562</v>
      </c>
      <c r="CH63" s="39">
        <f t="shared" si="58"/>
        <v>3.032601937255075</v>
      </c>
      <c r="CI63" s="93">
        <v>41.892604481564547</v>
      </c>
      <c r="CJ63" s="93">
        <v>15.854631919648618</v>
      </c>
      <c r="CK63" s="93">
        <v>14.586010214101943</v>
      </c>
      <c r="CL63" s="93">
        <v>30.440642133750558</v>
      </c>
      <c r="CM63" s="93"/>
      <c r="CN63" s="39">
        <f t="shared" si="59"/>
        <v>3.5265698752577679</v>
      </c>
      <c r="CO63" s="93">
        <v>13.445285995726644</v>
      </c>
      <c r="CP63" s="93">
        <v>1.5611544409070162</v>
      </c>
      <c r="CQ63" s="93">
        <v>5.569362136299703</v>
      </c>
      <c r="CR63" s="93">
        <v>7.1305165772067181</v>
      </c>
      <c r="CS63" s="90" t="e">
        <f t="shared" si="67"/>
        <v>#REF!</v>
      </c>
      <c r="CT63" s="39">
        <f t="shared" si="60"/>
        <v>2.8873206920158934</v>
      </c>
      <c r="CU63" s="93">
        <v>295.50849836978091</v>
      </c>
      <c r="CV63" s="93">
        <v>27.205227694033695</v>
      </c>
      <c r="CW63" s="93">
        <v>97.30694476967183</v>
      </c>
      <c r="CX63" s="93">
        <v>124.51217246370554</v>
      </c>
      <c r="CZ63" s="39">
        <f t="shared" si="61"/>
        <v>2.8324154996547835</v>
      </c>
      <c r="DA63" s="93">
        <v>131.28447302301666</v>
      </c>
      <c r="DB63" s="93">
        <v>-20.417443137995487</v>
      </c>
      <c r="DC63" s="93">
        <v>42.301144529133552</v>
      </c>
      <c r="DD63" s="93">
        <v>21.883701391138072</v>
      </c>
      <c r="DF63" s="39">
        <f t="shared" si="62"/>
        <v>2.8990149638167262</v>
      </c>
      <c r="DG63" s="93">
        <v>132.58990115638235</v>
      </c>
      <c r="DH63" s="93">
        <v>38.978533076584675</v>
      </c>
      <c r="DI63" s="93">
        <v>43.860487927335967</v>
      </c>
      <c r="DJ63" s="93">
        <v>82.839021003920635</v>
      </c>
      <c r="DK63" s="93"/>
      <c r="DL63" s="39">
        <f t="shared" si="63"/>
        <v>3.0642208582672747</v>
      </c>
      <c r="DM63" s="93">
        <v>31.634124190381911</v>
      </c>
      <c r="DN63" s="93">
        <v>8.6441377554445076</v>
      </c>
      <c r="DO63" s="93">
        <v>11.145312313202311</v>
      </c>
      <c r="DP63" s="93">
        <v>19.789450068646818</v>
      </c>
    </row>
    <row r="64" spans="1:120" x14ac:dyDescent="0.2">
      <c r="A64" s="90" t="e">
        <f>name!#REF!</f>
        <v>#REF!</v>
      </c>
      <c r="B64" s="39">
        <f t="shared" si="44"/>
        <v>2.8169915417421754</v>
      </c>
      <c r="C64" s="93">
        <v>158.75130574877755</v>
      </c>
      <c r="D64" s="93">
        <v>31.053175488358242</v>
      </c>
      <c r="E64" s="93">
        <v>50.836604439456309</v>
      </c>
      <c r="F64" s="93">
        <v>81.889779927814544</v>
      </c>
      <c r="H64" s="39">
        <f t="shared" si="45"/>
        <v>2.7131406842493488</v>
      </c>
      <c r="I64" s="93">
        <v>37.269430586923946</v>
      </c>
      <c r="J64" s="93">
        <v>2.0080357660646397</v>
      </c>
      <c r="K64" s="93">
        <v>11.439976930786587</v>
      </c>
      <c r="L64" s="93">
        <v>13.448012696851226</v>
      </c>
      <c r="N64" s="39">
        <f t="shared" si="46"/>
        <v>2.6835187325179533</v>
      </c>
      <c r="O64" s="93">
        <v>64.168727676686729</v>
      </c>
      <c r="P64" s="93">
        <v>9.648746828409589</v>
      </c>
      <c r="Q64" s="93">
        <v>19.45525621806194</v>
      </c>
      <c r="R64" s="93">
        <v>29.104003046471529</v>
      </c>
      <c r="S64" s="93"/>
      <c r="T64" s="39">
        <f t="shared" si="47"/>
        <v>3.0307741956072665</v>
      </c>
      <c r="U64" s="93">
        <v>57.313147485166859</v>
      </c>
      <c r="V64" s="93">
        <v>19.396392893884016</v>
      </c>
      <c r="W64" s="93">
        <v>19.941371290607766</v>
      </c>
      <c r="X64" s="93">
        <v>39.337764184491782</v>
      </c>
      <c r="Y64" s="90" t="e">
        <f t="shared" si="64"/>
        <v>#REF!</v>
      </c>
      <c r="Z64" s="39">
        <f t="shared" si="48"/>
        <v>3.0844034831169376</v>
      </c>
      <c r="AA64" s="93">
        <v>54.043501876163091</v>
      </c>
      <c r="AB64" s="93">
        <v>16.838248878570081</v>
      </c>
      <c r="AC64" s="93">
        <v>19.18381203425853</v>
      </c>
      <c r="AD64" s="93">
        <v>36.022060912828607</v>
      </c>
      <c r="AF64" s="39">
        <f t="shared" si="49"/>
        <v>3.0687126992563263</v>
      </c>
      <c r="AG64" s="93">
        <v>2.872339077635929</v>
      </c>
      <c r="AH64" s="93">
        <v>0.88105911598627318</v>
      </c>
      <c r="AI64" s="93">
        <v>1.0136737094918047</v>
      </c>
      <c r="AJ64" s="93">
        <v>1.8947328254780778</v>
      </c>
      <c r="AL64" s="39">
        <f t="shared" si="50"/>
        <v>2.9854531104971826</v>
      </c>
      <c r="AM64" s="93">
        <v>8.4616752757594771</v>
      </c>
      <c r="AN64" s="93">
        <v>0.5129240985808613</v>
      </c>
      <c r="AO64" s="93">
        <v>2.8940583365838495</v>
      </c>
      <c r="AP64" s="93">
        <v>3.4069824351647107</v>
      </c>
      <c r="AQ64" s="93"/>
      <c r="AR64" s="39">
        <f t="shared" si="51"/>
        <v>3.1049593059016889</v>
      </c>
      <c r="AS64" s="93">
        <v>42.709487522767688</v>
      </c>
      <c r="AT64" s="93">
        <v>15.444265664002945</v>
      </c>
      <c r="AU64" s="93">
        <v>15.276079988182877</v>
      </c>
      <c r="AV64" s="93">
        <v>30.72034565218582</v>
      </c>
      <c r="AW64" s="90" t="e">
        <f t="shared" si="65"/>
        <v>#REF!</v>
      </c>
      <c r="AX64" s="39">
        <f t="shared" si="52"/>
        <v>2.6049805214462873</v>
      </c>
      <c r="AY64" s="93">
        <v>67.279720597550053</v>
      </c>
      <c r="AZ64" s="93">
        <v>-1.7061260839949342</v>
      </c>
      <c r="BA64" s="93">
        <v>19.73016584504331</v>
      </c>
      <c r="BB64" s="93">
        <v>18.024039761048375</v>
      </c>
      <c r="BD64" s="39">
        <f t="shared" si="53"/>
        <v>2.5409532368865007</v>
      </c>
      <c r="BE64" s="93">
        <v>14.926976334729311</v>
      </c>
      <c r="BF64" s="93">
        <v>-1.3830273865244627</v>
      </c>
      <c r="BG64" s="93">
        <v>4.2572967639145958</v>
      </c>
      <c r="BH64" s="93">
        <v>2.8742693773901333</v>
      </c>
      <c r="BJ64" s="39">
        <f t="shared" si="54"/>
        <v>2.5796718808031471</v>
      </c>
      <c r="BK64" s="93">
        <v>40.385319730226364</v>
      </c>
      <c r="BL64" s="93">
        <v>-0.75084702548436888</v>
      </c>
      <c r="BM64" s="93">
        <v>11.714543255967428</v>
      </c>
      <c r="BN64" s="93">
        <v>10.963696230483059</v>
      </c>
      <c r="BO64" s="93"/>
      <c r="BP64" s="39">
        <f t="shared" si="55"/>
        <v>2.7687485385664345</v>
      </c>
      <c r="BQ64" s="93">
        <v>11.967424532594377</v>
      </c>
      <c r="BR64" s="93">
        <v>0.42774832801389723</v>
      </c>
      <c r="BS64" s="93">
        <v>3.7583258251612852</v>
      </c>
      <c r="BT64" s="93">
        <v>4.1860741531751824</v>
      </c>
      <c r="BU64" s="90" t="e">
        <f t="shared" si="66"/>
        <v>#REF!</v>
      </c>
      <c r="BV64" s="39">
        <f t="shared" si="56"/>
        <v>2.518201489640326</v>
      </c>
      <c r="BW64" s="93">
        <v>11.027664527945932</v>
      </c>
      <c r="BX64" s="93">
        <v>1.3879359269084375</v>
      </c>
      <c r="BY64" s="93">
        <v>3.1137656010156576</v>
      </c>
      <c r="BZ64" s="93">
        <v>4.5017015279240953</v>
      </c>
      <c r="CB64" s="39">
        <f t="shared" si="57"/>
        <v>2.4600010102901804</v>
      </c>
      <c r="CC64" s="93">
        <v>4.6043551889988352</v>
      </c>
      <c r="CD64" s="93">
        <v>-9.4762721156135488E-2</v>
      </c>
      <c r="CE64" s="93">
        <v>1.2666488182504458</v>
      </c>
      <c r="CF64" s="93">
        <v>1.1718860970943104</v>
      </c>
      <c r="CH64" s="39">
        <f t="shared" si="58"/>
        <v>2.5135092689739569</v>
      </c>
      <c r="CI64" s="93">
        <v>5.3897928205850842</v>
      </c>
      <c r="CJ64" s="93">
        <v>0.93986804735963958</v>
      </c>
      <c r="CK64" s="93">
        <v>1.5186963016257615</v>
      </c>
      <c r="CL64" s="93">
        <v>2.458564348985401</v>
      </c>
      <c r="CM64" s="93"/>
      <c r="CN64" s="39">
        <f t="shared" si="59"/>
        <v>2.7978329732376128</v>
      </c>
      <c r="CO64" s="93">
        <v>1.0335165183620134</v>
      </c>
      <c r="CP64" s="93">
        <v>0.5428306007049335</v>
      </c>
      <c r="CQ64" s="93">
        <v>0.32842048113944977</v>
      </c>
      <c r="CR64" s="93">
        <v>0.87125108184438327</v>
      </c>
      <c r="CS64" s="90" t="e">
        <f t="shared" si="67"/>
        <v>#REF!</v>
      </c>
      <c r="CT64" s="39">
        <f t="shared" si="60"/>
        <v>2.9211505487475975</v>
      </c>
      <c r="CU64" s="93">
        <v>26.400418747118454</v>
      </c>
      <c r="CV64" s="93">
        <v>14.533116766874658</v>
      </c>
      <c r="CW64" s="93">
        <v>8.8088609591388032</v>
      </c>
      <c r="CX64" s="93">
        <v>23.341977726013461</v>
      </c>
      <c r="CZ64" s="39">
        <f t="shared" si="61"/>
        <v>2.8911023071172881</v>
      </c>
      <c r="DA64" s="93">
        <v>14.865759985559873</v>
      </c>
      <c r="DB64" s="93">
        <v>2.6047667577589646</v>
      </c>
      <c r="DC64" s="93">
        <v>4.9023576391297414</v>
      </c>
      <c r="DD64" s="93">
        <v>7.507124396888706</v>
      </c>
      <c r="DF64" s="39">
        <f t="shared" si="62"/>
        <v>2.9320472834624356</v>
      </c>
      <c r="DG64" s="93">
        <v>9.9319398501158016</v>
      </c>
      <c r="DH64" s="93">
        <v>8.9468017079534565</v>
      </c>
      <c r="DI64" s="93">
        <v>3.3279583238849022</v>
      </c>
      <c r="DJ64" s="93">
        <v>12.274760031838358</v>
      </c>
      <c r="DK64" s="93"/>
      <c r="DL64" s="39">
        <f t="shared" si="63"/>
        <v>3.1300160142738953</v>
      </c>
      <c r="DM64" s="93">
        <v>1.6027189114427818</v>
      </c>
      <c r="DN64" s="93">
        <v>2.981548301162237</v>
      </c>
      <c r="DO64" s="93">
        <v>0.57854499612415899</v>
      </c>
      <c r="DP64" s="93">
        <v>3.5600932972863961</v>
      </c>
    </row>
    <row r="65" spans="1:120" x14ac:dyDescent="0.2">
      <c r="A65" s="90" t="e">
        <f>name!#REF!</f>
        <v>#REF!</v>
      </c>
      <c r="B65" s="39">
        <f t="shared" si="44"/>
        <v>0</v>
      </c>
      <c r="C65" s="93">
        <v>0</v>
      </c>
      <c r="D65" s="93">
        <v>0</v>
      </c>
      <c r="E65" s="93">
        <v>0</v>
      </c>
      <c r="F65" s="93">
        <v>0</v>
      </c>
      <c r="H65" s="39">
        <f t="shared" si="45"/>
        <v>0</v>
      </c>
      <c r="I65" s="93">
        <v>0</v>
      </c>
      <c r="J65" s="93">
        <v>0</v>
      </c>
      <c r="K65" s="93">
        <v>0</v>
      </c>
      <c r="L65" s="93">
        <v>0</v>
      </c>
      <c r="N65" s="39">
        <f t="shared" si="46"/>
        <v>0</v>
      </c>
      <c r="O65" s="93">
        <v>0</v>
      </c>
      <c r="P65" s="93">
        <v>0</v>
      </c>
      <c r="Q65" s="93">
        <v>0</v>
      </c>
      <c r="R65" s="93">
        <v>0</v>
      </c>
      <c r="S65" s="93"/>
      <c r="T65" s="39">
        <f t="shared" si="47"/>
        <v>0</v>
      </c>
      <c r="U65" s="93">
        <v>0</v>
      </c>
      <c r="V65" s="93">
        <v>0</v>
      </c>
      <c r="W65" s="93">
        <v>0</v>
      </c>
      <c r="X65" s="93">
        <v>0</v>
      </c>
      <c r="Y65" s="90" t="e">
        <f t="shared" si="64"/>
        <v>#REF!</v>
      </c>
      <c r="Z65" s="39">
        <f t="shared" si="48"/>
        <v>0</v>
      </c>
      <c r="AA65" s="93">
        <v>0</v>
      </c>
      <c r="AB65" s="93">
        <v>0</v>
      </c>
      <c r="AC65" s="93">
        <v>0</v>
      </c>
      <c r="AD65" s="93">
        <v>0</v>
      </c>
      <c r="AF65" s="39">
        <f t="shared" si="49"/>
        <v>0</v>
      </c>
      <c r="AG65" s="93">
        <v>0</v>
      </c>
      <c r="AH65" s="93">
        <v>0</v>
      </c>
      <c r="AI65" s="93">
        <v>0</v>
      </c>
      <c r="AJ65" s="93">
        <v>0</v>
      </c>
      <c r="AL65" s="39">
        <f t="shared" si="50"/>
        <v>0</v>
      </c>
      <c r="AM65" s="93">
        <v>0</v>
      </c>
      <c r="AN65" s="93">
        <v>0</v>
      </c>
      <c r="AO65" s="93">
        <v>0</v>
      </c>
      <c r="AP65" s="93">
        <v>0</v>
      </c>
      <c r="AQ65" s="93"/>
      <c r="AR65" s="39">
        <f t="shared" si="51"/>
        <v>0</v>
      </c>
      <c r="AS65" s="93">
        <v>0</v>
      </c>
      <c r="AT65" s="93">
        <v>0</v>
      </c>
      <c r="AU65" s="93">
        <v>0</v>
      </c>
      <c r="AV65" s="93">
        <v>0</v>
      </c>
      <c r="AW65" s="90" t="e">
        <f t="shared" si="65"/>
        <v>#REF!</v>
      </c>
      <c r="AX65" s="39">
        <f t="shared" si="52"/>
        <v>0</v>
      </c>
      <c r="AY65" s="93">
        <v>0</v>
      </c>
      <c r="AZ65" s="93">
        <v>0</v>
      </c>
      <c r="BA65" s="93">
        <v>0</v>
      </c>
      <c r="BB65" s="93">
        <v>0</v>
      </c>
      <c r="BD65" s="39">
        <f t="shared" si="53"/>
        <v>0</v>
      </c>
      <c r="BE65" s="93">
        <v>0</v>
      </c>
      <c r="BF65" s="93">
        <v>0</v>
      </c>
      <c r="BG65" s="93">
        <v>0</v>
      </c>
      <c r="BH65" s="93">
        <v>0</v>
      </c>
      <c r="BJ65" s="39">
        <f t="shared" si="54"/>
        <v>0</v>
      </c>
      <c r="BK65" s="93">
        <v>0</v>
      </c>
      <c r="BL65" s="93">
        <v>0</v>
      </c>
      <c r="BM65" s="93">
        <v>0</v>
      </c>
      <c r="BN65" s="93">
        <v>0</v>
      </c>
      <c r="BO65" s="93"/>
      <c r="BP65" s="39">
        <f t="shared" si="55"/>
        <v>0</v>
      </c>
      <c r="BQ65" s="93">
        <v>0</v>
      </c>
      <c r="BR65" s="93">
        <v>0</v>
      </c>
      <c r="BS65" s="93">
        <v>0</v>
      </c>
      <c r="BT65" s="93">
        <v>0</v>
      </c>
      <c r="BU65" s="90" t="e">
        <f t="shared" si="66"/>
        <v>#REF!</v>
      </c>
      <c r="BV65" s="39">
        <f t="shared" si="56"/>
        <v>0</v>
      </c>
      <c r="BW65" s="93">
        <v>0</v>
      </c>
      <c r="BX65" s="93">
        <v>0</v>
      </c>
      <c r="BY65" s="93">
        <v>0</v>
      </c>
      <c r="BZ65" s="93">
        <v>0</v>
      </c>
      <c r="CB65" s="39">
        <f t="shared" si="57"/>
        <v>0</v>
      </c>
      <c r="CC65" s="93">
        <v>0</v>
      </c>
      <c r="CD65" s="93">
        <v>0</v>
      </c>
      <c r="CE65" s="93">
        <v>0</v>
      </c>
      <c r="CF65" s="93">
        <v>0</v>
      </c>
      <c r="CH65" s="39">
        <f t="shared" si="58"/>
        <v>0</v>
      </c>
      <c r="CI65" s="93">
        <v>0</v>
      </c>
      <c r="CJ65" s="93">
        <v>0</v>
      </c>
      <c r="CK65" s="93">
        <v>0</v>
      </c>
      <c r="CL65" s="93">
        <v>0</v>
      </c>
      <c r="CM65" s="93"/>
      <c r="CN65" s="39">
        <f t="shared" si="59"/>
        <v>0</v>
      </c>
      <c r="CO65" s="93">
        <v>0</v>
      </c>
      <c r="CP65" s="93">
        <v>0</v>
      </c>
      <c r="CQ65" s="93">
        <v>0</v>
      </c>
      <c r="CR65" s="93">
        <v>0</v>
      </c>
      <c r="CS65" s="90" t="e">
        <f t="shared" si="67"/>
        <v>#REF!</v>
      </c>
      <c r="CT65" s="39">
        <f t="shared" si="60"/>
        <v>0</v>
      </c>
      <c r="CU65" s="93">
        <v>0</v>
      </c>
      <c r="CV65" s="93">
        <v>0</v>
      </c>
      <c r="CW65" s="93">
        <v>0</v>
      </c>
      <c r="CX65" s="93">
        <v>0</v>
      </c>
      <c r="CZ65" s="39">
        <f t="shared" si="61"/>
        <v>0</v>
      </c>
      <c r="DA65" s="93">
        <v>0</v>
      </c>
      <c r="DB65" s="93">
        <v>0</v>
      </c>
      <c r="DC65" s="93">
        <v>0</v>
      </c>
      <c r="DD65" s="93">
        <v>0</v>
      </c>
      <c r="DF65" s="39">
        <f t="shared" si="62"/>
        <v>0</v>
      </c>
      <c r="DG65" s="93">
        <v>0</v>
      </c>
      <c r="DH65" s="93">
        <v>0</v>
      </c>
      <c r="DI65" s="93">
        <v>0</v>
      </c>
      <c r="DJ65" s="93">
        <v>0</v>
      </c>
      <c r="DK65" s="93"/>
      <c r="DL65" s="39">
        <f t="shared" si="63"/>
        <v>0</v>
      </c>
      <c r="DM65" s="93">
        <v>0</v>
      </c>
      <c r="DN65" s="93">
        <v>0</v>
      </c>
      <c r="DO65" s="93">
        <v>0</v>
      </c>
      <c r="DP65" s="93">
        <v>0</v>
      </c>
    </row>
    <row r="66" spans="1:120" x14ac:dyDescent="0.2">
      <c r="A66" s="90" t="e">
        <f>name!#REF!</f>
        <v>#REF!</v>
      </c>
      <c r="B66" s="39" t="e">
        <f t="shared" si="44"/>
        <v>#N/A</v>
      </c>
      <c r="C66" s="93" t="e">
        <v>#N/A</v>
      </c>
      <c r="D66" s="93" t="e">
        <v>#N/A</v>
      </c>
      <c r="E66" s="93" t="e">
        <v>#N/A</v>
      </c>
      <c r="F66" s="93" t="e">
        <v>#N/A</v>
      </c>
      <c r="H66" s="39" t="e">
        <f t="shared" si="45"/>
        <v>#N/A</v>
      </c>
      <c r="I66" s="93" t="e">
        <v>#N/A</v>
      </c>
      <c r="J66" s="93" t="e">
        <v>#N/A</v>
      </c>
      <c r="K66" s="93" t="e">
        <v>#N/A</v>
      </c>
      <c r="L66" s="93" t="e">
        <v>#N/A</v>
      </c>
      <c r="N66" s="39" t="e">
        <f t="shared" si="46"/>
        <v>#N/A</v>
      </c>
      <c r="O66" s="93" t="e">
        <v>#N/A</v>
      </c>
      <c r="P66" s="93" t="e">
        <v>#N/A</v>
      </c>
      <c r="Q66" s="93" t="e">
        <v>#N/A</v>
      </c>
      <c r="R66" s="93" t="e">
        <v>#N/A</v>
      </c>
      <c r="S66" s="93"/>
      <c r="T66" s="39" t="e">
        <f t="shared" si="47"/>
        <v>#N/A</v>
      </c>
      <c r="U66" s="93" t="e">
        <v>#N/A</v>
      </c>
      <c r="V66" s="93" t="e">
        <v>#N/A</v>
      </c>
      <c r="W66" s="93" t="e">
        <v>#N/A</v>
      </c>
      <c r="X66" s="93" t="e">
        <v>#N/A</v>
      </c>
      <c r="Y66" s="90" t="e">
        <f t="shared" si="64"/>
        <v>#REF!</v>
      </c>
      <c r="Z66" s="39" t="e">
        <f t="shared" si="48"/>
        <v>#N/A</v>
      </c>
      <c r="AA66" s="93" t="e">
        <v>#N/A</v>
      </c>
      <c r="AB66" s="93" t="e">
        <v>#N/A</v>
      </c>
      <c r="AC66" s="93" t="e">
        <v>#N/A</v>
      </c>
      <c r="AD66" s="93" t="e">
        <v>#N/A</v>
      </c>
      <c r="AF66" s="39" t="e">
        <f t="shared" si="49"/>
        <v>#N/A</v>
      </c>
      <c r="AG66" s="93" t="e">
        <v>#N/A</v>
      </c>
      <c r="AH66" s="93" t="e">
        <v>#N/A</v>
      </c>
      <c r="AI66" s="93" t="e">
        <v>#N/A</v>
      </c>
      <c r="AJ66" s="93" t="e">
        <v>#N/A</v>
      </c>
      <c r="AL66" s="39" t="e">
        <f t="shared" si="50"/>
        <v>#N/A</v>
      </c>
      <c r="AM66" s="93" t="e">
        <v>#N/A</v>
      </c>
      <c r="AN66" s="93" t="e">
        <v>#N/A</v>
      </c>
      <c r="AO66" s="93" t="e">
        <v>#N/A</v>
      </c>
      <c r="AP66" s="93" t="e">
        <v>#N/A</v>
      </c>
      <c r="AQ66" s="93"/>
      <c r="AR66" s="39" t="e">
        <f t="shared" si="51"/>
        <v>#N/A</v>
      </c>
      <c r="AS66" s="93" t="e">
        <v>#N/A</v>
      </c>
      <c r="AT66" s="93" t="e">
        <v>#N/A</v>
      </c>
      <c r="AU66" s="93" t="e">
        <v>#N/A</v>
      </c>
      <c r="AV66" s="93" t="e">
        <v>#N/A</v>
      </c>
      <c r="AW66" s="90" t="e">
        <f t="shared" si="65"/>
        <v>#REF!</v>
      </c>
      <c r="AX66" s="39" t="e">
        <f t="shared" si="52"/>
        <v>#N/A</v>
      </c>
      <c r="AY66" s="93" t="e">
        <v>#N/A</v>
      </c>
      <c r="AZ66" s="93" t="e">
        <v>#N/A</v>
      </c>
      <c r="BA66" s="93" t="e">
        <v>#N/A</v>
      </c>
      <c r="BB66" s="93" t="e">
        <v>#N/A</v>
      </c>
      <c r="BD66" s="39" t="e">
        <f t="shared" si="53"/>
        <v>#N/A</v>
      </c>
      <c r="BE66" s="93" t="e">
        <v>#N/A</v>
      </c>
      <c r="BF66" s="93" t="e">
        <v>#N/A</v>
      </c>
      <c r="BG66" s="93" t="e">
        <v>#N/A</v>
      </c>
      <c r="BH66" s="93" t="e">
        <v>#N/A</v>
      </c>
      <c r="BJ66" s="39" t="e">
        <f t="shared" si="54"/>
        <v>#N/A</v>
      </c>
      <c r="BK66" s="93" t="e">
        <v>#N/A</v>
      </c>
      <c r="BL66" s="93" t="e">
        <v>#N/A</v>
      </c>
      <c r="BM66" s="93" t="e">
        <v>#N/A</v>
      </c>
      <c r="BN66" s="93" t="e">
        <v>#N/A</v>
      </c>
      <c r="BO66" s="93"/>
      <c r="BP66" s="39" t="e">
        <f t="shared" si="55"/>
        <v>#N/A</v>
      </c>
      <c r="BQ66" s="93" t="e">
        <v>#N/A</v>
      </c>
      <c r="BR66" s="93" t="e">
        <v>#N/A</v>
      </c>
      <c r="BS66" s="93" t="e">
        <v>#N/A</v>
      </c>
      <c r="BT66" s="93" t="e">
        <v>#N/A</v>
      </c>
      <c r="BU66" s="90" t="e">
        <f t="shared" si="66"/>
        <v>#REF!</v>
      </c>
      <c r="BV66" s="39" t="e">
        <f t="shared" si="56"/>
        <v>#N/A</v>
      </c>
      <c r="BW66" s="93" t="e">
        <v>#N/A</v>
      </c>
      <c r="BX66" s="93" t="e">
        <v>#N/A</v>
      </c>
      <c r="BY66" s="93" t="e">
        <v>#N/A</v>
      </c>
      <c r="BZ66" s="93" t="e">
        <v>#N/A</v>
      </c>
      <c r="CB66" s="39" t="e">
        <f t="shared" si="57"/>
        <v>#N/A</v>
      </c>
      <c r="CC66" s="93" t="e">
        <v>#N/A</v>
      </c>
      <c r="CD66" s="93" t="e">
        <v>#N/A</v>
      </c>
      <c r="CE66" s="93" t="e">
        <v>#N/A</v>
      </c>
      <c r="CF66" s="93" t="e">
        <v>#N/A</v>
      </c>
      <c r="CH66" s="39" t="e">
        <f t="shared" si="58"/>
        <v>#N/A</v>
      </c>
      <c r="CI66" s="93" t="e">
        <v>#N/A</v>
      </c>
      <c r="CJ66" s="93" t="e">
        <v>#N/A</v>
      </c>
      <c r="CK66" s="93" t="e">
        <v>#N/A</v>
      </c>
      <c r="CL66" s="93" t="e">
        <v>#N/A</v>
      </c>
      <c r="CM66" s="93"/>
      <c r="CN66" s="39" t="e">
        <f t="shared" si="59"/>
        <v>#N/A</v>
      </c>
      <c r="CO66" s="93" t="e">
        <v>#N/A</v>
      </c>
      <c r="CP66" s="93" t="e">
        <v>#N/A</v>
      </c>
      <c r="CQ66" s="93" t="e">
        <v>#N/A</v>
      </c>
      <c r="CR66" s="93" t="e">
        <v>#N/A</v>
      </c>
      <c r="CS66" s="90" t="e">
        <f t="shared" si="67"/>
        <v>#REF!</v>
      </c>
      <c r="CT66" s="39" t="e">
        <f t="shared" si="60"/>
        <v>#N/A</v>
      </c>
      <c r="CU66" s="93" t="e">
        <v>#N/A</v>
      </c>
      <c r="CV66" s="93" t="e">
        <v>#N/A</v>
      </c>
      <c r="CW66" s="93" t="e">
        <v>#N/A</v>
      </c>
      <c r="CX66" s="93" t="e">
        <v>#N/A</v>
      </c>
      <c r="CZ66" s="39" t="e">
        <f t="shared" si="61"/>
        <v>#N/A</v>
      </c>
      <c r="DA66" s="93" t="e">
        <v>#N/A</v>
      </c>
      <c r="DB66" s="93" t="e">
        <v>#N/A</v>
      </c>
      <c r="DC66" s="93" t="e">
        <v>#N/A</v>
      </c>
      <c r="DD66" s="93" t="e">
        <v>#N/A</v>
      </c>
      <c r="DF66" s="39" t="e">
        <f t="shared" si="62"/>
        <v>#N/A</v>
      </c>
      <c r="DG66" s="93" t="e">
        <v>#N/A</v>
      </c>
      <c r="DH66" s="93" t="e">
        <v>#N/A</v>
      </c>
      <c r="DI66" s="93" t="e">
        <v>#N/A</v>
      </c>
      <c r="DJ66" s="93" t="e">
        <v>#N/A</v>
      </c>
      <c r="DK66" s="93"/>
      <c r="DL66" s="39" t="e">
        <f t="shared" si="63"/>
        <v>#N/A</v>
      </c>
      <c r="DM66" s="93" t="e">
        <v>#N/A</v>
      </c>
      <c r="DN66" s="93" t="e">
        <v>#N/A</v>
      </c>
      <c r="DO66" s="93" t="e">
        <v>#N/A</v>
      </c>
      <c r="DP66" s="93" t="e">
        <v>#N/A</v>
      </c>
    </row>
    <row r="67" spans="1:120" x14ac:dyDescent="0.2">
      <c r="A67" s="90" t="e">
        <f>name!#REF!</f>
        <v>#REF!</v>
      </c>
      <c r="B67" s="39" t="e">
        <f t="shared" si="44"/>
        <v>#N/A</v>
      </c>
      <c r="C67" s="93" t="e">
        <v>#N/A</v>
      </c>
      <c r="D67" s="93" t="e">
        <v>#N/A</v>
      </c>
      <c r="E67" s="93" t="e">
        <v>#N/A</v>
      </c>
      <c r="F67" s="93" t="e">
        <v>#N/A</v>
      </c>
      <c r="H67" s="39" t="e">
        <f t="shared" si="45"/>
        <v>#N/A</v>
      </c>
      <c r="I67" s="93" t="e">
        <v>#N/A</v>
      </c>
      <c r="J67" s="93" t="e">
        <v>#N/A</v>
      </c>
      <c r="K67" s="93" t="e">
        <v>#N/A</v>
      </c>
      <c r="L67" s="93" t="e">
        <v>#N/A</v>
      </c>
      <c r="N67" s="39" t="e">
        <f t="shared" si="46"/>
        <v>#N/A</v>
      </c>
      <c r="O67" s="93" t="e">
        <v>#N/A</v>
      </c>
      <c r="P67" s="93" t="e">
        <v>#N/A</v>
      </c>
      <c r="Q67" s="93" t="e">
        <v>#N/A</v>
      </c>
      <c r="R67" s="93" t="e">
        <v>#N/A</v>
      </c>
      <c r="S67" s="93"/>
      <c r="T67" s="39" t="e">
        <f t="shared" si="47"/>
        <v>#N/A</v>
      </c>
      <c r="U67" s="93" t="e">
        <v>#N/A</v>
      </c>
      <c r="V67" s="93" t="e">
        <v>#N/A</v>
      </c>
      <c r="W67" s="93" t="e">
        <v>#N/A</v>
      </c>
      <c r="X67" s="93" t="e">
        <v>#N/A</v>
      </c>
      <c r="Y67" s="90" t="e">
        <f t="shared" si="64"/>
        <v>#REF!</v>
      </c>
      <c r="Z67" s="39" t="e">
        <f t="shared" si="48"/>
        <v>#N/A</v>
      </c>
      <c r="AA67" s="93" t="e">
        <v>#N/A</v>
      </c>
      <c r="AB67" s="93" t="e">
        <v>#N/A</v>
      </c>
      <c r="AC67" s="93" t="e">
        <v>#N/A</v>
      </c>
      <c r="AD67" s="93" t="e">
        <v>#N/A</v>
      </c>
      <c r="AF67" s="39" t="e">
        <f t="shared" si="49"/>
        <v>#N/A</v>
      </c>
      <c r="AG67" s="93" t="e">
        <v>#N/A</v>
      </c>
      <c r="AH67" s="93" t="e">
        <v>#N/A</v>
      </c>
      <c r="AI67" s="93" t="e">
        <v>#N/A</v>
      </c>
      <c r="AJ67" s="93" t="e">
        <v>#N/A</v>
      </c>
      <c r="AL67" s="39" t="e">
        <f t="shared" si="50"/>
        <v>#N/A</v>
      </c>
      <c r="AM67" s="93" t="e">
        <v>#N/A</v>
      </c>
      <c r="AN67" s="93" t="e">
        <v>#N/A</v>
      </c>
      <c r="AO67" s="93" t="e">
        <v>#N/A</v>
      </c>
      <c r="AP67" s="93" t="e">
        <v>#N/A</v>
      </c>
      <c r="AQ67" s="93"/>
      <c r="AR67" s="39" t="e">
        <f t="shared" si="51"/>
        <v>#N/A</v>
      </c>
      <c r="AS67" s="93" t="e">
        <v>#N/A</v>
      </c>
      <c r="AT67" s="93" t="e">
        <v>#N/A</v>
      </c>
      <c r="AU67" s="93" t="e">
        <v>#N/A</v>
      </c>
      <c r="AV67" s="93" t="e">
        <v>#N/A</v>
      </c>
      <c r="AW67" s="90" t="e">
        <f t="shared" si="65"/>
        <v>#REF!</v>
      </c>
      <c r="AX67" s="39" t="e">
        <f t="shared" si="52"/>
        <v>#N/A</v>
      </c>
      <c r="AY67" s="93" t="e">
        <v>#N/A</v>
      </c>
      <c r="AZ67" s="93" t="e">
        <v>#N/A</v>
      </c>
      <c r="BA67" s="93" t="e">
        <v>#N/A</v>
      </c>
      <c r="BB67" s="93" t="e">
        <v>#N/A</v>
      </c>
      <c r="BD67" s="39" t="e">
        <f t="shared" si="53"/>
        <v>#N/A</v>
      </c>
      <c r="BE67" s="93" t="e">
        <v>#N/A</v>
      </c>
      <c r="BF67" s="93" t="e">
        <v>#N/A</v>
      </c>
      <c r="BG67" s="93" t="e">
        <v>#N/A</v>
      </c>
      <c r="BH67" s="93" t="e">
        <v>#N/A</v>
      </c>
      <c r="BJ67" s="39" t="e">
        <f t="shared" si="54"/>
        <v>#N/A</v>
      </c>
      <c r="BK67" s="93" t="e">
        <v>#N/A</v>
      </c>
      <c r="BL67" s="93" t="e">
        <v>#N/A</v>
      </c>
      <c r="BM67" s="93" t="e">
        <v>#N/A</v>
      </c>
      <c r="BN67" s="93" t="e">
        <v>#N/A</v>
      </c>
      <c r="BO67" s="93"/>
      <c r="BP67" s="39" t="e">
        <f t="shared" si="55"/>
        <v>#N/A</v>
      </c>
      <c r="BQ67" s="93" t="e">
        <v>#N/A</v>
      </c>
      <c r="BR67" s="93" t="e">
        <v>#N/A</v>
      </c>
      <c r="BS67" s="93" t="e">
        <v>#N/A</v>
      </c>
      <c r="BT67" s="93" t="e">
        <v>#N/A</v>
      </c>
      <c r="BU67" s="90" t="e">
        <f t="shared" si="66"/>
        <v>#REF!</v>
      </c>
      <c r="BV67" s="39" t="e">
        <f t="shared" si="56"/>
        <v>#N/A</v>
      </c>
      <c r="BW67" s="93" t="e">
        <v>#N/A</v>
      </c>
      <c r="BX67" s="93" t="e">
        <v>#N/A</v>
      </c>
      <c r="BY67" s="93" t="e">
        <v>#N/A</v>
      </c>
      <c r="BZ67" s="93" t="e">
        <v>#N/A</v>
      </c>
      <c r="CB67" s="39" t="e">
        <f t="shared" si="57"/>
        <v>#N/A</v>
      </c>
      <c r="CC67" s="93" t="e">
        <v>#N/A</v>
      </c>
      <c r="CD67" s="93" t="e">
        <v>#N/A</v>
      </c>
      <c r="CE67" s="93" t="e">
        <v>#N/A</v>
      </c>
      <c r="CF67" s="93" t="e">
        <v>#N/A</v>
      </c>
      <c r="CH67" s="39" t="e">
        <f t="shared" si="58"/>
        <v>#N/A</v>
      </c>
      <c r="CI67" s="93" t="e">
        <v>#N/A</v>
      </c>
      <c r="CJ67" s="93" t="e">
        <v>#N/A</v>
      </c>
      <c r="CK67" s="93" t="e">
        <v>#N/A</v>
      </c>
      <c r="CL67" s="93" t="e">
        <v>#N/A</v>
      </c>
      <c r="CM67" s="93"/>
      <c r="CN67" s="39" t="e">
        <f t="shared" si="59"/>
        <v>#N/A</v>
      </c>
      <c r="CO67" s="93" t="e">
        <v>#N/A</v>
      </c>
      <c r="CP67" s="93" t="e">
        <v>#N/A</v>
      </c>
      <c r="CQ67" s="93" t="e">
        <v>#N/A</v>
      </c>
      <c r="CR67" s="93" t="e">
        <v>#N/A</v>
      </c>
      <c r="CS67" s="90" t="e">
        <f t="shared" si="67"/>
        <v>#REF!</v>
      </c>
      <c r="CT67" s="39" t="e">
        <f t="shared" si="60"/>
        <v>#N/A</v>
      </c>
      <c r="CU67" s="93" t="e">
        <v>#N/A</v>
      </c>
      <c r="CV67" s="93" t="e">
        <v>#N/A</v>
      </c>
      <c r="CW67" s="93" t="e">
        <v>#N/A</v>
      </c>
      <c r="CX67" s="93" t="e">
        <v>#N/A</v>
      </c>
      <c r="CZ67" s="39" t="e">
        <f t="shared" si="61"/>
        <v>#N/A</v>
      </c>
      <c r="DA67" s="93" t="e">
        <v>#N/A</v>
      </c>
      <c r="DB67" s="93" t="e">
        <v>#N/A</v>
      </c>
      <c r="DC67" s="93" t="e">
        <v>#N/A</v>
      </c>
      <c r="DD67" s="93" t="e">
        <v>#N/A</v>
      </c>
      <c r="DF67" s="39" t="e">
        <f t="shared" si="62"/>
        <v>#N/A</v>
      </c>
      <c r="DG67" s="93" t="e">
        <v>#N/A</v>
      </c>
      <c r="DH67" s="93" t="e">
        <v>#N/A</v>
      </c>
      <c r="DI67" s="93" t="e">
        <v>#N/A</v>
      </c>
      <c r="DJ67" s="93" t="e">
        <v>#N/A</v>
      </c>
      <c r="DK67" s="93"/>
      <c r="DL67" s="39" t="e">
        <f t="shared" si="63"/>
        <v>#N/A</v>
      </c>
      <c r="DM67" s="93" t="e">
        <v>#N/A</v>
      </c>
      <c r="DN67" s="93" t="e">
        <v>#N/A</v>
      </c>
      <c r="DO67" s="93" t="e">
        <v>#N/A</v>
      </c>
      <c r="DP67" s="93" t="e">
        <v>#N/A</v>
      </c>
    </row>
    <row r="68" spans="1:120" x14ac:dyDescent="0.2">
      <c r="A68" s="90" t="e">
        <f>name!#REF!</f>
        <v>#REF!</v>
      </c>
      <c r="B68" s="39" t="e">
        <f t="shared" si="44"/>
        <v>#N/A</v>
      </c>
      <c r="C68" s="93" t="e">
        <v>#N/A</v>
      </c>
      <c r="D68" s="93" t="e">
        <v>#N/A</v>
      </c>
      <c r="E68" s="93" t="e">
        <v>#N/A</v>
      </c>
      <c r="F68" s="93" t="e">
        <v>#N/A</v>
      </c>
      <c r="H68" s="39" t="e">
        <f t="shared" si="45"/>
        <v>#N/A</v>
      </c>
      <c r="I68" s="93" t="e">
        <v>#N/A</v>
      </c>
      <c r="J68" s="93" t="e">
        <v>#N/A</v>
      </c>
      <c r="K68" s="93" t="e">
        <v>#N/A</v>
      </c>
      <c r="L68" s="93" t="e">
        <v>#N/A</v>
      </c>
      <c r="N68" s="39" t="e">
        <f t="shared" si="46"/>
        <v>#N/A</v>
      </c>
      <c r="O68" s="93" t="e">
        <v>#N/A</v>
      </c>
      <c r="P68" s="93" t="e">
        <v>#N/A</v>
      </c>
      <c r="Q68" s="93" t="e">
        <v>#N/A</v>
      </c>
      <c r="R68" s="93" t="e">
        <v>#N/A</v>
      </c>
      <c r="S68" s="93"/>
      <c r="T68" s="39" t="e">
        <f t="shared" si="47"/>
        <v>#N/A</v>
      </c>
      <c r="U68" s="93" t="e">
        <v>#N/A</v>
      </c>
      <c r="V68" s="93" t="e">
        <v>#N/A</v>
      </c>
      <c r="W68" s="93" t="e">
        <v>#N/A</v>
      </c>
      <c r="X68" s="93" t="e">
        <v>#N/A</v>
      </c>
      <c r="Y68" s="90" t="e">
        <f t="shared" si="64"/>
        <v>#REF!</v>
      </c>
      <c r="Z68" s="39" t="e">
        <f t="shared" si="48"/>
        <v>#N/A</v>
      </c>
      <c r="AA68" s="93" t="e">
        <v>#N/A</v>
      </c>
      <c r="AB68" s="93" t="e">
        <v>#N/A</v>
      </c>
      <c r="AC68" s="93" t="e">
        <v>#N/A</v>
      </c>
      <c r="AD68" s="93" t="e">
        <v>#N/A</v>
      </c>
      <c r="AF68" s="39" t="e">
        <f t="shared" si="49"/>
        <v>#N/A</v>
      </c>
      <c r="AG68" s="93" t="e">
        <v>#N/A</v>
      </c>
      <c r="AH68" s="93" t="e">
        <v>#N/A</v>
      </c>
      <c r="AI68" s="93" t="e">
        <v>#N/A</v>
      </c>
      <c r="AJ68" s="93" t="e">
        <v>#N/A</v>
      </c>
      <c r="AL68" s="39" t="e">
        <f t="shared" si="50"/>
        <v>#N/A</v>
      </c>
      <c r="AM68" s="93" t="e">
        <v>#N/A</v>
      </c>
      <c r="AN68" s="93" t="e">
        <v>#N/A</v>
      </c>
      <c r="AO68" s="93" t="e">
        <v>#N/A</v>
      </c>
      <c r="AP68" s="93" t="e">
        <v>#N/A</v>
      </c>
      <c r="AQ68" s="93"/>
      <c r="AR68" s="39" t="e">
        <f t="shared" si="51"/>
        <v>#N/A</v>
      </c>
      <c r="AS68" s="93" t="e">
        <v>#N/A</v>
      </c>
      <c r="AT68" s="93" t="e">
        <v>#N/A</v>
      </c>
      <c r="AU68" s="93" t="e">
        <v>#N/A</v>
      </c>
      <c r="AV68" s="93" t="e">
        <v>#N/A</v>
      </c>
      <c r="AW68" s="90" t="e">
        <f t="shared" si="65"/>
        <v>#REF!</v>
      </c>
      <c r="AX68" s="39" t="e">
        <f t="shared" si="52"/>
        <v>#N/A</v>
      </c>
      <c r="AY68" s="93" t="e">
        <v>#N/A</v>
      </c>
      <c r="AZ68" s="93" t="e">
        <v>#N/A</v>
      </c>
      <c r="BA68" s="93" t="e">
        <v>#N/A</v>
      </c>
      <c r="BB68" s="93" t="e">
        <v>#N/A</v>
      </c>
      <c r="BD68" s="39" t="e">
        <f t="shared" si="53"/>
        <v>#N/A</v>
      </c>
      <c r="BE68" s="93" t="e">
        <v>#N/A</v>
      </c>
      <c r="BF68" s="93" t="e">
        <v>#N/A</v>
      </c>
      <c r="BG68" s="93" t="e">
        <v>#N/A</v>
      </c>
      <c r="BH68" s="93" t="e">
        <v>#N/A</v>
      </c>
      <c r="BJ68" s="39" t="e">
        <f t="shared" si="54"/>
        <v>#N/A</v>
      </c>
      <c r="BK68" s="93" t="e">
        <v>#N/A</v>
      </c>
      <c r="BL68" s="93" t="e">
        <v>#N/A</v>
      </c>
      <c r="BM68" s="93" t="e">
        <v>#N/A</v>
      </c>
      <c r="BN68" s="93" t="e">
        <v>#N/A</v>
      </c>
      <c r="BO68" s="93"/>
      <c r="BP68" s="39" t="e">
        <f t="shared" si="55"/>
        <v>#N/A</v>
      </c>
      <c r="BQ68" s="93" t="e">
        <v>#N/A</v>
      </c>
      <c r="BR68" s="93" t="e">
        <v>#N/A</v>
      </c>
      <c r="BS68" s="93" t="e">
        <v>#N/A</v>
      </c>
      <c r="BT68" s="93" t="e">
        <v>#N/A</v>
      </c>
      <c r="BU68" s="90" t="e">
        <f t="shared" si="66"/>
        <v>#REF!</v>
      </c>
      <c r="BV68" s="39" t="e">
        <f t="shared" si="56"/>
        <v>#N/A</v>
      </c>
      <c r="BW68" s="93" t="e">
        <v>#N/A</v>
      </c>
      <c r="BX68" s="93" t="e">
        <v>#N/A</v>
      </c>
      <c r="BY68" s="93" t="e">
        <v>#N/A</v>
      </c>
      <c r="BZ68" s="93" t="e">
        <v>#N/A</v>
      </c>
      <c r="CB68" s="39" t="e">
        <f t="shared" si="57"/>
        <v>#N/A</v>
      </c>
      <c r="CC68" s="93" t="e">
        <v>#N/A</v>
      </c>
      <c r="CD68" s="93" t="e">
        <v>#N/A</v>
      </c>
      <c r="CE68" s="93" t="e">
        <v>#N/A</v>
      </c>
      <c r="CF68" s="93" t="e">
        <v>#N/A</v>
      </c>
      <c r="CH68" s="39" t="e">
        <f t="shared" si="58"/>
        <v>#N/A</v>
      </c>
      <c r="CI68" s="93" t="e">
        <v>#N/A</v>
      </c>
      <c r="CJ68" s="93" t="e">
        <v>#N/A</v>
      </c>
      <c r="CK68" s="93" t="e">
        <v>#N/A</v>
      </c>
      <c r="CL68" s="93" t="e">
        <v>#N/A</v>
      </c>
      <c r="CM68" s="93"/>
      <c r="CN68" s="39" t="e">
        <f t="shared" si="59"/>
        <v>#N/A</v>
      </c>
      <c r="CO68" s="93" t="e">
        <v>#N/A</v>
      </c>
      <c r="CP68" s="93" t="e">
        <v>#N/A</v>
      </c>
      <c r="CQ68" s="93" t="e">
        <v>#N/A</v>
      </c>
      <c r="CR68" s="93" t="e">
        <v>#N/A</v>
      </c>
      <c r="CS68" s="90" t="e">
        <f t="shared" si="67"/>
        <v>#REF!</v>
      </c>
      <c r="CT68" s="39" t="e">
        <f t="shared" si="60"/>
        <v>#N/A</v>
      </c>
      <c r="CU68" s="93" t="e">
        <v>#N/A</v>
      </c>
      <c r="CV68" s="93" t="e">
        <v>#N/A</v>
      </c>
      <c r="CW68" s="93" t="e">
        <v>#N/A</v>
      </c>
      <c r="CX68" s="93" t="e">
        <v>#N/A</v>
      </c>
      <c r="CZ68" s="39" t="e">
        <f t="shared" si="61"/>
        <v>#N/A</v>
      </c>
      <c r="DA68" s="93" t="e">
        <v>#N/A</v>
      </c>
      <c r="DB68" s="93" t="e">
        <v>#N/A</v>
      </c>
      <c r="DC68" s="93" t="e">
        <v>#N/A</v>
      </c>
      <c r="DD68" s="93" t="e">
        <v>#N/A</v>
      </c>
      <c r="DF68" s="39" t="e">
        <f t="shared" si="62"/>
        <v>#N/A</v>
      </c>
      <c r="DG68" s="93" t="e">
        <v>#N/A</v>
      </c>
      <c r="DH68" s="93" t="e">
        <v>#N/A</v>
      </c>
      <c r="DI68" s="93" t="e">
        <v>#N/A</v>
      </c>
      <c r="DJ68" s="93" t="e">
        <v>#N/A</v>
      </c>
      <c r="DK68" s="93"/>
      <c r="DL68" s="39" t="e">
        <f t="shared" si="63"/>
        <v>#N/A</v>
      </c>
      <c r="DM68" s="93" t="e">
        <v>#N/A</v>
      </c>
      <c r="DN68" s="93" t="e">
        <v>#N/A</v>
      </c>
      <c r="DO68" s="93" t="e">
        <v>#N/A</v>
      </c>
      <c r="DP68" s="93" t="e">
        <v>#N/A</v>
      </c>
    </row>
    <row r="69" spans="1:120" x14ac:dyDescent="0.2">
      <c r="A69" s="90" t="e">
        <f>name!#REF!</f>
        <v>#REF!</v>
      </c>
      <c r="B69" s="39" t="e">
        <f t="shared" si="44"/>
        <v>#N/A</v>
      </c>
      <c r="C69" s="93" t="e">
        <v>#N/A</v>
      </c>
      <c r="D69" s="93" t="e">
        <v>#N/A</v>
      </c>
      <c r="E69" s="93" t="e">
        <v>#N/A</v>
      </c>
      <c r="F69" s="93" t="e">
        <v>#N/A</v>
      </c>
      <c r="H69" s="39" t="e">
        <f t="shared" si="45"/>
        <v>#N/A</v>
      </c>
      <c r="I69" s="93" t="e">
        <v>#N/A</v>
      </c>
      <c r="J69" s="93" t="e">
        <v>#N/A</v>
      </c>
      <c r="K69" s="93" t="e">
        <v>#N/A</v>
      </c>
      <c r="L69" s="93" t="e">
        <v>#N/A</v>
      </c>
      <c r="N69" s="39" t="e">
        <f t="shared" si="46"/>
        <v>#N/A</v>
      </c>
      <c r="O69" s="93" t="e">
        <v>#N/A</v>
      </c>
      <c r="P69" s="93" t="e">
        <v>#N/A</v>
      </c>
      <c r="Q69" s="93" t="e">
        <v>#N/A</v>
      </c>
      <c r="R69" s="93" t="e">
        <v>#N/A</v>
      </c>
      <c r="S69" s="93"/>
      <c r="T69" s="39" t="e">
        <f t="shared" si="47"/>
        <v>#N/A</v>
      </c>
      <c r="U69" s="93" t="e">
        <v>#N/A</v>
      </c>
      <c r="V69" s="93" t="e">
        <v>#N/A</v>
      </c>
      <c r="W69" s="93" t="e">
        <v>#N/A</v>
      </c>
      <c r="X69" s="93" t="e">
        <v>#N/A</v>
      </c>
      <c r="Y69" s="90" t="e">
        <f t="shared" si="64"/>
        <v>#REF!</v>
      </c>
      <c r="Z69" s="39" t="e">
        <f t="shared" si="48"/>
        <v>#N/A</v>
      </c>
      <c r="AA69" s="93" t="e">
        <v>#N/A</v>
      </c>
      <c r="AB69" s="93" t="e">
        <v>#N/A</v>
      </c>
      <c r="AC69" s="93" t="e">
        <v>#N/A</v>
      </c>
      <c r="AD69" s="93" t="e">
        <v>#N/A</v>
      </c>
      <c r="AF69" s="39" t="e">
        <f t="shared" si="49"/>
        <v>#N/A</v>
      </c>
      <c r="AG69" s="93" t="e">
        <v>#N/A</v>
      </c>
      <c r="AH69" s="93" t="e">
        <v>#N/A</v>
      </c>
      <c r="AI69" s="93" t="e">
        <v>#N/A</v>
      </c>
      <c r="AJ69" s="93" t="e">
        <v>#N/A</v>
      </c>
      <c r="AL69" s="39" t="e">
        <f t="shared" si="50"/>
        <v>#N/A</v>
      </c>
      <c r="AM69" s="93" t="e">
        <v>#N/A</v>
      </c>
      <c r="AN69" s="93" t="e">
        <v>#N/A</v>
      </c>
      <c r="AO69" s="93" t="e">
        <v>#N/A</v>
      </c>
      <c r="AP69" s="93" t="e">
        <v>#N/A</v>
      </c>
      <c r="AQ69" s="93"/>
      <c r="AR69" s="39" t="e">
        <f t="shared" si="51"/>
        <v>#N/A</v>
      </c>
      <c r="AS69" s="93" t="e">
        <v>#N/A</v>
      </c>
      <c r="AT69" s="93" t="e">
        <v>#N/A</v>
      </c>
      <c r="AU69" s="93" t="e">
        <v>#N/A</v>
      </c>
      <c r="AV69" s="93" t="e">
        <v>#N/A</v>
      </c>
      <c r="AW69" s="90" t="e">
        <f t="shared" si="65"/>
        <v>#REF!</v>
      </c>
      <c r="AX69" s="39" t="e">
        <f t="shared" si="52"/>
        <v>#N/A</v>
      </c>
      <c r="AY69" s="93" t="e">
        <v>#N/A</v>
      </c>
      <c r="AZ69" s="93" t="e">
        <v>#N/A</v>
      </c>
      <c r="BA69" s="93" t="e">
        <v>#N/A</v>
      </c>
      <c r="BB69" s="93" t="e">
        <v>#N/A</v>
      </c>
      <c r="BD69" s="39" t="e">
        <f t="shared" si="53"/>
        <v>#N/A</v>
      </c>
      <c r="BE69" s="93" t="e">
        <v>#N/A</v>
      </c>
      <c r="BF69" s="93" t="e">
        <v>#N/A</v>
      </c>
      <c r="BG69" s="93" t="e">
        <v>#N/A</v>
      </c>
      <c r="BH69" s="93" t="e">
        <v>#N/A</v>
      </c>
      <c r="BJ69" s="39" t="e">
        <f t="shared" si="54"/>
        <v>#N/A</v>
      </c>
      <c r="BK69" s="93" t="e">
        <v>#N/A</v>
      </c>
      <c r="BL69" s="93" t="e">
        <v>#N/A</v>
      </c>
      <c r="BM69" s="93" t="e">
        <v>#N/A</v>
      </c>
      <c r="BN69" s="93" t="e">
        <v>#N/A</v>
      </c>
      <c r="BO69" s="93"/>
      <c r="BP69" s="39" t="e">
        <f t="shared" si="55"/>
        <v>#N/A</v>
      </c>
      <c r="BQ69" s="93" t="e">
        <v>#N/A</v>
      </c>
      <c r="BR69" s="93" t="e">
        <v>#N/A</v>
      </c>
      <c r="BS69" s="93" t="e">
        <v>#N/A</v>
      </c>
      <c r="BT69" s="93" t="e">
        <v>#N/A</v>
      </c>
      <c r="BU69" s="90" t="e">
        <f t="shared" si="66"/>
        <v>#REF!</v>
      </c>
      <c r="BV69" s="39" t="e">
        <f t="shared" si="56"/>
        <v>#N/A</v>
      </c>
      <c r="BW69" s="93" t="e">
        <v>#N/A</v>
      </c>
      <c r="BX69" s="93" t="e">
        <v>#N/A</v>
      </c>
      <c r="BY69" s="93" t="e">
        <v>#N/A</v>
      </c>
      <c r="BZ69" s="93" t="e">
        <v>#N/A</v>
      </c>
      <c r="CB69" s="39" t="e">
        <f t="shared" si="57"/>
        <v>#N/A</v>
      </c>
      <c r="CC69" s="93" t="e">
        <v>#N/A</v>
      </c>
      <c r="CD69" s="93" t="e">
        <v>#N/A</v>
      </c>
      <c r="CE69" s="93" t="e">
        <v>#N/A</v>
      </c>
      <c r="CF69" s="93" t="e">
        <v>#N/A</v>
      </c>
      <c r="CH69" s="39" t="e">
        <f t="shared" si="58"/>
        <v>#N/A</v>
      </c>
      <c r="CI69" s="93" t="e">
        <v>#N/A</v>
      </c>
      <c r="CJ69" s="93" t="e">
        <v>#N/A</v>
      </c>
      <c r="CK69" s="93" t="e">
        <v>#N/A</v>
      </c>
      <c r="CL69" s="93" t="e">
        <v>#N/A</v>
      </c>
      <c r="CM69" s="93"/>
      <c r="CN69" s="39" t="e">
        <f t="shared" si="59"/>
        <v>#N/A</v>
      </c>
      <c r="CO69" s="93" t="e">
        <v>#N/A</v>
      </c>
      <c r="CP69" s="93" t="e">
        <v>#N/A</v>
      </c>
      <c r="CQ69" s="93" t="e">
        <v>#N/A</v>
      </c>
      <c r="CR69" s="93" t="e">
        <v>#N/A</v>
      </c>
      <c r="CS69" s="90" t="e">
        <f t="shared" si="67"/>
        <v>#REF!</v>
      </c>
      <c r="CT69" s="39" t="e">
        <f t="shared" si="60"/>
        <v>#N/A</v>
      </c>
      <c r="CU69" s="93" t="e">
        <v>#N/A</v>
      </c>
      <c r="CV69" s="93" t="e">
        <v>#N/A</v>
      </c>
      <c r="CW69" s="93" t="e">
        <v>#N/A</v>
      </c>
      <c r="CX69" s="93" t="e">
        <v>#N/A</v>
      </c>
      <c r="CZ69" s="39" t="e">
        <f t="shared" si="61"/>
        <v>#N/A</v>
      </c>
      <c r="DA69" s="93" t="e">
        <v>#N/A</v>
      </c>
      <c r="DB69" s="93" t="e">
        <v>#N/A</v>
      </c>
      <c r="DC69" s="93" t="e">
        <v>#N/A</v>
      </c>
      <c r="DD69" s="93" t="e">
        <v>#N/A</v>
      </c>
      <c r="DF69" s="39" t="e">
        <f t="shared" si="62"/>
        <v>#N/A</v>
      </c>
      <c r="DG69" s="93" t="e">
        <v>#N/A</v>
      </c>
      <c r="DH69" s="93" t="e">
        <v>#N/A</v>
      </c>
      <c r="DI69" s="93" t="e">
        <v>#N/A</v>
      </c>
      <c r="DJ69" s="93" t="e">
        <v>#N/A</v>
      </c>
      <c r="DK69" s="93"/>
      <c r="DL69" s="39" t="e">
        <f t="shared" si="63"/>
        <v>#N/A</v>
      </c>
      <c r="DM69" s="93" t="e">
        <v>#N/A</v>
      </c>
      <c r="DN69" s="93" t="e">
        <v>#N/A</v>
      </c>
      <c r="DO69" s="93" t="e">
        <v>#N/A</v>
      </c>
      <c r="DP69" s="93" t="e">
        <v>#N/A</v>
      </c>
    </row>
    <row r="70" spans="1:120" x14ac:dyDescent="0.2">
      <c r="A70" s="90" t="e">
        <f>name!#REF!</f>
        <v>#REF!</v>
      </c>
      <c r="B70" s="39" t="e">
        <f t="shared" si="44"/>
        <v>#N/A</v>
      </c>
      <c r="C70" s="93" t="e">
        <v>#N/A</v>
      </c>
      <c r="D70" s="93" t="e">
        <v>#N/A</v>
      </c>
      <c r="E70" s="93" t="e">
        <v>#N/A</v>
      </c>
      <c r="F70" s="93" t="e">
        <v>#N/A</v>
      </c>
      <c r="H70" s="39" t="e">
        <f t="shared" si="45"/>
        <v>#N/A</v>
      </c>
      <c r="I70" s="93" t="e">
        <v>#N/A</v>
      </c>
      <c r="J70" s="93" t="e">
        <v>#N/A</v>
      </c>
      <c r="K70" s="93" t="e">
        <v>#N/A</v>
      </c>
      <c r="L70" s="93" t="e">
        <v>#N/A</v>
      </c>
      <c r="N70" s="39" t="e">
        <f t="shared" si="46"/>
        <v>#N/A</v>
      </c>
      <c r="O70" s="93" t="e">
        <v>#N/A</v>
      </c>
      <c r="P70" s="93" t="e">
        <v>#N/A</v>
      </c>
      <c r="Q70" s="93" t="e">
        <v>#N/A</v>
      </c>
      <c r="R70" s="93" t="e">
        <v>#N/A</v>
      </c>
      <c r="S70" s="93"/>
      <c r="T70" s="39" t="e">
        <f t="shared" si="47"/>
        <v>#N/A</v>
      </c>
      <c r="U70" s="93" t="e">
        <v>#N/A</v>
      </c>
      <c r="V70" s="93" t="e">
        <v>#N/A</v>
      </c>
      <c r="W70" s="93" t="e">
        <v>#N/A</v>
      </c>
      <c r="X70" s="93" t="e">
        <v>#N/A</v>
      </c>
      <c r="Y70" s="90" t="e">
        <f t="shared" si="64"/>
        <v>#REF!</v>
      </c>
      <c r="Z70" s="39" t="e">
        <f t="shared" si="48"/>
        <v>#N/A</v>
      </c>
      <c r="AA70" s="93" t="e">
        <v>#N/A</v>
      </c>
      <c r="AB70" s="93" t="e">
        <v>#N/A</v>
      </c>
      <c r="AC70" s="93" t="e">
        <v>#N/A</v>
      </c>
      <c r="AD70" s="93" t="e">
        <v>#N/A</v>
      </c>
      <c r="AF70" s="39" t="e">
        <f t="shared" si="49"/>
        <v>#N/A</v>
      </c>
      <c r="AG70" s="93" t="e">
        <v>#N/A</v>
      </c>
      <c r="AH70" s="93" t="e">
        <v>#N/A</v>
      </c>
      <c r="AI70" s="93" t="e">
        <v>#N/A</v>
      </c>
      <c r="AJ70" s="93" t="e">
        <v>#N/A</v>
      </c>
      <c r="AL70" s="39" t="e">
        <f t="shared" si="50"/>
        <v>#N/A</v>
      </c>
      <c r="AM70" s="93" t="e">
        <v>#N/A</v>
      </c>
      <c r="AN70" s="93" t="e">
        <v>#N/A</v>
      </c>
      <c r="AO70" s="93" t="e">
        <v>#N/A</v>
      </c>
      <c r="AP70" s="93" t="e">
        <v>#N/A</v>
      </c>
      <c r="AQ70" s="93"/>
      <c r="AR70" s="39" t="e">
        <f t="shared" si="51"/>
        <v>#N/A</v>
      </c>
      <c r="AS70" s="93" t="e">
        <v>#N/A</v>
      </c>
      <c r="AT70" s="93" t="e">
        <v>#N/A</v>
      </c>
      <c r="AU70" s="93" t="e">
        <v>#N/A</v>
      </c>
      <c r="AV70" s="93" t="e">
        <v>#N/A</v>
      </c>
      <c r="AW70" s="90" t="e">
        <f t="shared" si="65"/>
        <v>#REF!</v>
      </c>
      <c r="AX70" s="39" t="e">
        <f t="shared" si="52"/>
        <v>#N/A</v>
      </c>
      <c r="AY70" s="93" t="e">
        <v>#N/A</v>
      </c>
      <c r="AZ70" s="93" t="e">
        <v>#N/A</v>
      </c>
      <c r="BA70" s="93" t="e">
        <v>#N/A</v>
      </c>
      <c r="BB70" s="93" t="e">
        <v>#N/A</v>
      </c>
      <c r="BD70" s="39" t="e">
        <f t="shared" si="53"/>
        <v>#N/A</v>
      </c>
      <c r="BE70" s="93" t="e">
        <v>#N/A</v>
      </c>
      <c r="BF70" s="93" t="e">
        <v>#N/A</v>
      </c>
      <c r="BG70" s="93" t="e">
        <v>#N/A</v>
      </c>
      <c r="BH70" s="93" t="e">
        <v>#N/A</v>
      </c>
      <c r="BJ70" s="39" t="e">
        <f t="shared" si="54"/>
        <v>#N/A</v>
      </c>
      <c r="BK70" s="93" t="e">
        <v>#N/A</v>
      </c>
      <c r="BL70" s="93" t="e">
        <v>#N/A</v>
      </c>
      <c r="BM70" s="93" t="e">
        <v>#N/A</v>
      </c>
      <c r="BN70" s="93" t="e">
        <v>#N/A</v>
      </c>
      <c r="BO70" s="93"/>
      <c r="BP70" s="39" t="e">
        <f t="shared" si="55"/>
        <v>#N/A</v>
      </c>
      <c r="BQ70" s="93" t="e">
        <v>#N/A</v>
      </c>
      <c r="BR70" s="93" t="e">
        <v>#N/A</v>
      </c>
      <c r="BS70" s="93" t="e">
        <v>#N/A</v>
      </c>
      <c r="BT70" s="93" t="e">
        <v>#N/A</v>
      </c>
      <c r="BU70" s="90" t="e">
        <f t="shared" si="66"/>
        <v>#REF!</v>
      </c>
      <c r="BV70" s="39" t="e">
        <f t="shared" si="56"/>
        <v>#N/A</v>
      </c>
      <c r="BW70" s="93" t="e">
        <v>#N/A</v>
      </c>
      <c r="BX70" s="93" t="e">
        <v>#N/A</v>
      </c>
      <c r="BY70" s="93" t="e">
        <v>#N/A</v>
      </c>
      <c r="BZ70" s="93" t="e">
        <v>#N/A</v>
      </c>
      <c r="CB70" s="39" t="e">
        <f t="shared" si="57"/>
        <v>#N/A</v>
      </c>
      <c r="CC70" s="93" t="e">
        <v>#N/A</v>
      </c>
      <c r="CD70" s="93" t="e">
        <v>#N/A</v>
      </c>
      <c r="CE70" s="93" t="e">
        <v>#N/A</v>
      </c>
      <c r="CF70" s="93" t="e">
        <v>#N/A</v>
      </c>
      <c r="CH70" s="39" t="e">
        <f t="shared" si="58"/>
        <v>#N/A</v>
      </c>
      <c r="CI70" s="93" t="e">
        <v>#N/A</v>
      </c>
      <c r="CJ70" s="93" t="e">
        <v>#N/A</v>
      </c>
      <c r="CK70" s="93" t="e">
        <v>#N/A</v>
      </c>
      <c r="CL70" s="93" t="e">
        <v>#N/A</v>
      </c>
      <c r="CM70" s="93"/>
      <c r="CN70" s="39" t="e">
        <f t="shared" si="59"/>
        <v>#N/A</v>
      </c>
      <c r="CO70" s="93" t="e">
        <v>#N/A</v>
      </c>
      <c r="CP70" s="93" t="e">
        <v>#N/A</v>
      </c>
      <c r="CQ70" s="93" t="e">
        <v>#N/A</v>
      </c>
      <c r="CR70" s="93" t="e">
        <v>#N/A</v>
      </c>
      <c r="CS70" s="90" t="e">
        <f t="shared" si="67"/>
        <v>#REF!</v>
      </c>
      <c r="CT70" s="39" t="e">
        <f t="shared" si="60"/>
        <v>#N/A</v>
      </c>
      <c r="CU70" s="93" t="e">
        <v>#N/A</v>
      </c>
      <c r="CV70" s="93" t="e">
        <v>#N/A</v>
      </c>
      <c r="CW70" s="93" t="e">
        <v>#N/A</v>
      </c>
      <c r="CX70" s="93" t="e">
        <v>#N/A</v>
      </c>
      <c r="CZ70" s="39" t="e">
        <f t="shared" si="61"/>
        <v>#N/A</v>
      </c>
      <c r="DA70" s="93" t="e">
        <v>#N/A</v>
      </c>
      <c r="DB70" s="93" t="e">
        <v>#N/A</v>
      </c>
      <c r="DC70" s="93" t="e">
        <v>#N/A</v>
      </c>
      <c r="DD70" s="93" t="e">
        <v>#N/A</v>
      </c>
      <c r="DF70" s="39" t="e">
        <f t="shared" si="62"/>
        <v>#N/A</v>
      </c>
      <c r="DG70" s="93" t="e">
        <v>#N/A</v>
      </c>
      <c r="DH70" s="93" t="e">
        <v>#N/A</v>
      </c>
      <c r="DI70" s="93" t="e">
        <v>#N/A</v>
      </c>
      <c r="DJ70" s="93" t="e">
        <v>#N/A</v>
      </c>
      <c r="DK70" s="93"/>
      <c r="DL70" s="39" t="e">
        <f t="shared" si="63"/>
        <v>#N/A</v>
      </c>
      <c r="DM70" s="93" t="e">
        <v>#N/A</v>
      </c>
      <c r="DN70" s="93" t="e">
        <v>#N/A</v>
      </c>
      <c r="DO70" s="93" t="e">
        <v>#N/A</v>
      </c>
      <c r="DP70" s="93" t="e">
        <v>#N/A</v>
      </c>
    </row>
    <row r="71" spans="1:120" x14ac:dyDescent="0.2">
      <c r="A71" s="90" t="e">
        <f>name!#REF!</f>
        <v>#REF!</v>
      </c>
      <c r="B71" s="39" t="e">
        <f t="shared" si="44"/>
        <v>#N/A</v>
      </c>
      <c r="C71" s="93" t="e">
        <v>#N/A</v>
      </c>
      <c r="D71" s="93" t="e">
        <v>#N/A</v>
      </c>
      <c r="E71" s="93" t="e">
        <v>#N/A</v>
      </c>
      <c r="F71" s="93" t="e">
        <v>#N/A</v>
      </c>
      <c r="H71" s="39" t="e">
        <f t="shared" si="45"/>
        <v>#N/A</v>
      </c>
      <c r="I71" s="93" t="e">
        <v>#N/A</v>
      </c>
      <c r="J71" s="93" t="e">
        <v>#N/A</v>
      </c>
      <c r="K71" s="93" t="e">
        <v>#N/A</v>
      </c>
      <c r="L71" s="93" t="e">
        <v>#N/A</v>
      </c>
      <c r="N71" s="39" t="e">
        <f t="shared" si="46"/>
        <v>#N/A</v>
      </c>
      <c r="O71" s="93" t="e">
        <v>#N/A</v>
      </c>
      <c r="P71" s="93" t="e">
        <v>#N/A</v>
      </c>
      <c r="Q71" s="93" t="e">
        <v>#N/A</v>
      </c>
      <c r="R71" s="93" t="e">
        <v>#N/A</v>
      </c>
      <c r="S71" s="93"/>
      <c r="T71" s="39" t="e">
        <f t="shared" si="47"/>
        <v>#N/A</v>
      </c>
      <c r="U71" s="93" t="e">
        <v>#N/A</v>
      </c>
      <c r="V71" s="93" t="e">
        <v>#N/A</v>
      </c>
      <c r="W71" s="93" t="e">
        <v>#N/A</v>
      </c>
      <c r="X71" s="93" t="e">
        <v>#N/A</v>
      </c>
      <c r="Y71" s="90" t="e">
        <f t="shared" si="64"/>
        <v>#REF!</v>
      </c>
      <c r="Z71" s="39" t="e">
        <f t="shared" si="48"/>
        <v>#N/A</v>
      </c>
      <c r="AA71" s="93" t="e">
        <v>#N/A</v>
      </c>
      <c r="AB71" s="93" t="e">
        <v>#N/A</v>
      </c>
      <c r="AC71" s="93" t="e">
        <v>#N/A</v>
      </c>
      <c r="AD71" s="93" t="e">
        <v>#N/A</v>
      </c>
      <c r="AF71" s="39" t="e">
        <f t="shared" si="49"/>
        <v>#N/A</v>
      </c>
      <c r="AG71" s="93" t="e">
        <v>#N/A</v>
      </c>
      <c r="AH71" s="93" t="e">
        <v>#N/A</v>
      </c>
      <c r="AI71" s="93" t="e">
        <v>#N/A</v>
      </c>
      <c r="AJ71" s="93" t="e">
        <v>#N/A</v>
      </c>
      <c r="AL71" s="39" t="e">
        <f t="shared" si="50"/>
        <v>#N/A</v>
      </c>
      <c r="AM71" s="93" t="e">
        <v>#N/A</v>
      </c>
      <c r="AN71" s="93" t="e">
        <v>#N/A</v>
      </c>
      <c r="AO71" s="93" t="e">
        <v>#N/A</v>
      </c>
      <c r="AP71" s="93" t="e">
        <v>#N/A</v>
      </c>
      <c r="AQ71" s="93"/>
      <c r="AR71" s="39" t="e">
        <f t="shared" si="51"/>
        <v>#N/A</v>
      </c>
      <c r="AS71" s="93" t="e">
        <v>#N/A</v>
      </c>
      <c r="AT71" s="93" t="e">
        <v>#N/A</v>
      </c>
      <c r="AU71" s="93" t="e">
        <v>#N/A</v>
      </c>
      <c r="AV71" s="93" t="e">
        <v>#N/A</v>
      </c>
      <c r="AW71" s="90" t="e">
        <f t="shared" si="65"/>
        <v>#REF!</v>
      </c>
      <c r="AX71" s="39" t="e">
        <f t="shared" si="52"/>
        <v>#N/A</v>
      </c>
      <c r="AY71" s="93" t="e">
        <v>#N/A</v>
      </c>
      <c r="AZ71" s="93" t="e">
        <v>#N/A</v>
      </c>
      <c r="BA71" s="93" t="e">
        <v>#N/A</v>
      </c>
      <c r="BB71" s="93" t="e">
        <v>#N/A</v>
      </c>
      <c r="BD71" s="39" t="e">
        <f t="shared" si="53"/>
        <v>#N/A</v>
      </c>
      <c r="BE71" s="93" t="e">
        <v>#N/A</v>
      </c>
      <c r="BF71" s="93" t="e">
        <v>#N/A</v>
      </c>
      <c r="BG71" s="93" t="e">
        <v>#N/A</v>
      </c>
      <c r="BH71" s="93" t="e">
        <v>#N/A</v>
      </c>
      <c r="BJ71" s="39" t="e">
        <f t="shared" si="54"/>
        <v>#N/A</v>
      </c>
      <c r="BK71" s="93" t="e">
        <v>#N/A</v>
      </c>
      <c r="BL71" s="93" t="e">
        <v>#N/A</v>
      </c>
      <c r="BM71" s="93" t="e">
        <v>#N/A</v>
      </c>
      <c r="BN71" s="93" t="e">
        <v>#N/A</v>
      </c>
      <c r="BO71" s="93"/>
      <c r="BP71" s="39" t="e">
        <f t="shared" si="55"/>
        <v>#N/A</v>
      </c>
      <c r="BQ71" s="93" t="e">
        <v>#N/A</v>
      </c>
      <c r="BR71" s="93" t="e">
        <v>#N/A</v>
      </c>
      <c r="BS71" s="93" t="e">
        <v>#N/A</v>
      </c>
      <c r="BT71" s="93" t="e">
        <v>#N/A</v>
      </c>
      <c r="BU71" s="90" t="e">
        <f t="shared" si="66"/>
        <v>#REF!</v>
      </c>
      <c r="BV71" s="39" t="e">
        <f t="shared" si="56"/>
        <v>#N/A</v>
      </c>
      <c r="BW71" s="93" t="e">
        <v>#N/A</v>
      </c>
      <c r="BX71" s="93" t="e">
        <v>#N/A</v>
      </c>
      <c r="BY71" s="93" t="e">
        <v>#N/A</v>
      </c>
      <c r="BZ71" s="93" t="e">
        <v>#N/A</v>
      </c>
      <c r="CB71" s="39" t="e">
        <f t="shared" si="57"/>
        <v>#N/A</v>
      </c>
      <c r="CC71" s="93" t="e">
        <v>#N/A</v>
      </c>
      <c r="CD71" s="93" t="e">
        <v>#N/A</v>
      </c>
      <c r="CE71" s="93" t="e">
        <v>#N/A</v>
      </c>
      <c r="CF71" s="93" t="e">
        <v>#N/A</v>
      </c>
      <c r="CH71" s="39" t="e">
        <f t="shared" si="58"/>
        <v>#N/A</v>
      </c>
      <c r="CI71" s="93" t="e">
        <v>#N/A</v>
      </c>
      <c r="CJ71" s="93" t="e">
        <v>#N/A</v>
      </c>
      <c r="CK71" s="93" t="e">
        <v>#N/A</v>
      </c>
      <c r="CL71" s="93" t="e">
        <v>#N/A</v>
      </c>
      <c r="CM71" s="93"/>
      <c r="CN71" s="39" t="e">
        <f t="shared" si="59"/>
        <v>#N/A</v>
      </c>
      <c r="CO71" s="93" t="e">
        <v>#N/A</v>
      </c>
      <c r="CP71" s="93" t="e">
        <v>#N/A</v>
      </c>
      <c r="CQ71" s="93" t="e">
        <v>#N/A</v>
      </c>
      <c r="CR71" s="93" t="e">
        <v>#N/A</v>
      </c>
      <c r="CS71" s="90" t="e">
        <f t="shared" si="67"/>
        <v>#REF!</v>
      </c>
      <c r="CT71" s="39" t="e">
        <f t="shared" si="60"/>
        <v>#N/A</v>
      </c>
      <c r="CU71" s="93" t="e">
        <v>#N/A</v>
      </c>
      <c r="CV71" s="93" t="e">
        <v>#N/A</v>
      </c>
      <c r="CW71" s="93" t="e">
        <v>#N/A</v>
      </c>
      <c r="CX71" s="93" t="e">
        <v>#N/A</v>
      </c>
      <c r="CZ71" s="39" t="e">
        <f t="shared" si="61"/>
        <v>#N/A</v>
      </c>
      <c r="DA71" s="93" t="e">
        <v>#N/A</v>
      </c>
      <c r="DB71" s="93" t="e">
        <v>#N/A</v>
      </c>
      <c r="DC71" s="93" t="e">
        <v>#N/A</v>
      </c>
      <c r="DD71" s="93" t="e">
        <v>#N/A</v>
      </c>
      <c r="DF71" s="39" t="e">
        <f t="shared" si="62"/>
        <v>#N/A</v>
      </c>
      <c r="DG71" s="93" t="e">
        <v>#N/A</v>
      </c>
      <c r="DH71" s="93" t="e">
        <v>#N/A</v>
      </c>
      <c r="DI71" s="93" t="e">
        <v>#N/A</v>
      </c>
      <c r="DJ71" s="93" t="e">
        <v>#N/A</v>
      </c>
      <c r="DK71" s="93"/>
      <c r="DL71" s="39" t="e">
        <f t="shared" si="63"/>
        <v>#N/A</v>
      </c>
      <c r="DM71" s="93" t="e">
        <v>#N/A</v>
      </c>
      <c r="DN71" s="93" t="e">
        <v>#N/A</v>
      </c>
      <c r="DO71" s="93" t="e">
        <v>#N/A</v>
      </c>
      <c r="DP71" s="93" t="e">
        <v>#N/A</v>
      </c>
    </row>
    <row r="72" spans="1:120" x14ac:dyDescent="0.2">
      <c r="A72" s="90" t="e">
        <f>name!#REF!</f>
        <v>#REF!</v>
      </c>
      <c r="B72" s="39" t="e">
        <f t="shared" si="44"/>
        <v>#N/A</v>
      </c>
      <c r="C72" s="93" t="e">
        <v>#N/A</v>
      </c>
      <c r="D72" s="93" t="e">
        <v>#N/A</v>
      </c>
      <c r="E72" s="93" t="e">
        <v>#N/A</v>
      </c>
      <c r="F72" s="93" t="e">
        <v>#N/A</v>
      </c>
      <c r="H72" s="39" t="e">
        <f t="shared" si="45"/>
        <v>#N/A</v>
      </c>
      <c r="I72" s="93" t="e">
        <v>#N/A</v>
      </c>
      <c r="J72" s="93" t="e">
        <v>#N/A</v>
      </c>
      <c r="K72" s="93" t="e">
        <v>#N/A</v>
      </c>
      <c r="L72" s="93" t="e">
        <v>#N/A</v>
      </c>
      <c r="N72" s="39" t="e">
        <f t="shared" si="46"/>
        <v>#N/A</v>
      </c>
      <c r="O72" s="93" t="e">
        <v>#N/A</v>
      </c>
      <c r="P72" s="93" t="e">
        <v>#N/A</v>
      </c>
      <c r="Q72" s="93" t="e">
        <v>#N/A</v>
      </c>
      <c r="R72" s="93" t="e">
        <v>#N/A</v>
      </c>
      <c r="S72" s="93"/>
      <c r="T72" s="39" t="e">
        <f t="shared" si="47"/>
        <v>#N/A</v>
      </c>
      <c r="U72" s="93" t="e">
        <v>#N/A</v>
      </c>
      <c r="V72" s="93" t="e">
        <v>#N/A</v>
      </c>
      <c r="W72" s="93" t="e">
        <v>#N/A</v>
      </c>
      <c r="X72" s="93" t="e">
        <v>#N/A</v>
      </c>
      <c r="Y72" s="90" t="e">
        <f t="shared" si="64"/>
        <v>#REF!</v>
      </c>
      <c r="Z72" s="39" t="e">
        <f t="shared" si="48"/>
        <v>#N/A</v>
      </c>
      <c r="AA72" s="93" t="e">
        <v>#N/A</v>
      </c>
      <c r="AB72" s="93" t="e">
        <v>#N/A</v>
      </c>
      <c r="AC72" s="93" t="e">
        <v>#N/A</v>
      </c>
      <c r="AD72" s="93" t="e">
        <v>#N/A</v>
      </c>
      <c r="AF72" s="39" t="e">
        <f t="shared" si="49"/>
        <v>#N/A</v>
      </c>
      <c r="AG72" s="93" t="e">
        <v>#N/A</v>
      </c>
      <c r="AH72" s="93" t="e">
        <v>#N/A</v>
      </c>
      <c r="AI72" s="93" t="e">
        <v>#N/A</v>
      </c>
      <c r="AJ72" s="93" t="e">
        <v>#N/A</v>
      </c>
      <c r="AL72" s="39" t="e">
        <f t="shared" si="50"/>
        <v>#N/A</v>
      </c>
      <c r="AM72" s="93" t="e">
        <v>#N/A</v>
      </c>
      <c r="AN72" s="93" t="e">
        <v>#N/A</v>
      </c>
      <c r="AO72" s="93" t="e">
        <v>#N/A</v>
      </c>
      <c r="AP72" s="93" t="e">
        <v>#N/A</v>
      </c>
      <c r="AQ72" s="93"/>
      <c r="AR72" s="39" t="e">
        <f t="shared" si="51"/>
        <v>#N/A</v>
      </c>
      <c r="AS72" s="93" t="e">
        <v>#N/A</v>
      </c>
      <c r="AT72" s="93" t="e">
        <v>#N/A</v>
      </c>
      <c r="AU72" s="93" t="e">
        <v>#N/A</v>
      </c>
      <c r="AV72" s="93" t="e">
        <v>#N/A</v>
      </c>
      <c r="AW72" s="90" t="e">
        <f t="shared" si="65"/>
        <v>#REF!</v>
      </c>
      <c r="AX72" s="39" t="e">
        <f t="shared" si="52"/>
        <v>#N/A</v>
      </c>
      <c r="AY72" s="93" t="e">
        <v>#N/A</v>
      </c>
      <c r="AZ72" s="93" t="e">
        <v>#N/A</v>
      </c>
      <c r="BA72" s="93" t="e">
        <v>#N/A</v>
      </c>
      <c r="BB72" s="93" t="e">
        <v>#N/A</v>
      </c>
      <c r="BD72" s="39" t="e">
        <f t="shared" si="53"/>
        <v>#N/A</v>
      </c>
      <c r="BE72" s="93" t="e">
        <v>#N/A</v>
      </c>
      <c r="BF72" s="93" t="e">
        <v>#N/A</v>
      </c>
      <c r="BG72" s="93" t="e">
        <v>#N/A</v>
      </c>
      <c r="BH72" s="93" t="e">
        <v>#N/A</v>
      </c>
      <c r="BJ72" s="39" t="e">
        <f t="shared" si="54"/>
        <v>#N/A</v>
      </c>
      <c r="BK72" s="93" t="e">
        <v>#N/A</v>
      </c>
      <c r="BL72" s="93" t="e">
        <v>#N/A</v>
      </c>
      <c r="BM72" s="93" t="e">
        <v>#N/A</v>
      </c>
      <c r="BN72" s="93" t="e">
        <v>#N/A</v>
      </c>
      <c r="BO72" s="93"/>
      <c r="BP72" s="39" t="e">
        <f t="shared" si="55"/>
        <v>#N/A</v>
      </c>
      <c r="BQ72" s="93" t="e">
        <v>#N/A</v>
      </c>
      <c r="BR72" s="93" t="e">
        <v>#N/A</v>
      </c>
      <c r="BS72" s="93" t="e">
        <v>#N/A</v>
      </c>
      <c r="BT72" s="93" t="e">
        <v>#N/A</v>
      </c>
      <c r="BU72" s="90" t="e">
        <f t="shared" si="66"/>
        <v>#REF!</v>
      </c>
      <c r="BV72" s="39" t="e">
        <f t="shared" si="56"/>
        <v>#N/A</v>
      </c>
      <c r="BW72" s="93" t="e">
        <v>#N/A</v>
      </c>
      <c r="BX72" s="93" t="e">
        <v>#N/A</v>
      </c>
      <c r="BY72" s="93" t="e">
        <v>#N/A</v>
      </c>
      <c r="BZ72" s="93" t="e">
        <v>#N/A</v>
      </c>
      <c r="CB72" s="39" t="e">
        <f t="shared" si="57"/>
        <v>#N/A</v>
      </c>
      <c r="CC72" s="93" t="e">
        <v>#N/A</v>
      </c>
      <c r="CD72" s="93" t="e">
        <v>#N/A</v>
      </c>
      <c r="CE72" s="93" t="e">
        <v>#N/A</v>
      </c>
      <c r="CF72" s="93" t="e">
        <v>#N/A</v>
      </c>
      <c r="CH72" s="39" t="e">
        <f t="shared" si="58"/>
        <v>#N/A</v>
      </c>
      <c r="CI72" s="93" t="e">
        <v>#N/A</v>
      </c>
      <c r="CJ72" s="93" t="e">
        <v>#N/A</v>
      </c>
      <c r="CK72" s="93" t="e">
        <v>#N/A</v>
      </c>
      <c r="CL72" s="93" t="e">
        <v>#N/A</v>
      </c>
      <c r="CM72" s="93"/>
      <c r="CN72" s="39" t="e">
        <f t="shared" si="59"/>
        <v>#N/A</v>
      </c>
      <c r="CO72" s="93" t="e">
        <v>#N/A</v>
      </c>
      <c r="CP72" s="93" t="e">
        <v>#N/A</v>
      </c>
      <c r="CQ72" s="93" t="e">
        <v>#N/A</v>
      </c>
      <c r="CR72" s="93" t="e">
        <v>#N/A</v>
      </c>
      <c r="CS72" s="90" t="e">
        <f t="shared" si="67"/>
        <v>#REF!</v>
      </c>
      <c r="CT72" s="39" t="e">
        <f t="shared" si="60"/>
        <v>#N/A</v>
      </c>
      <c r="CU72" s="93" t="e">
        <v>#N/A</v>
      </c>
      <c r="CV72" s="93" t="e">
        <v>#N/A</v>
      </c>
      <c r="CW72" s="93" t="e">
        <v>#N/A</v>
      </c>
      <c r="CX72" s="93" t="e">
        <v>#N/A</v>
      </c>
      <c r="CZ72" s="39" t="e">
        <f t="shared" si="61"/>
        <v>#N/A</v>
      </c>
      <c r="DA72" s="93" t="e">
        <v>#N/A</v>
      </c>
      <c r="DB72" s="93" t="e">
        <v>#N/A</v>
      </c>
      <c r="DC72" s="93" t="e">
        <v>#N/A</v>
      </c>
      <c r="DD72" s="93" t="e">
        <v>#N/A</v>
      </c>
      <c r="DF72" s="39" t="e">
        <f t="shared" si="62"/>
        <v>#N/A</v>
      </c>
      <c r="DG72" s="93" t="e">
        <v>#N/A</v>
      </c>
      <c r="DH72" s="93" t="e">
        <v>#N/A</v>
      </c>
      <c r="DI72" s="93" t="e">
        <v>#N/A</v>
      </c>
      <c r="DJ72" s="93" t="e">
        <v>#N/A</v>
      </c>
      <c r="DK72" s="93"/>
      <c r="DL72" s="39" t="e">
        <f t="shared" si="63"/>
        <v>#N/A</v>
      </c>
      <c r="DM72" s="93" t="e">
        <v>#N/A</v>
      </c>
      <c r="DN72" s="93" t="e">
        <v>#N/A</v>
      </c>
      <c r="DO72" s="93" t="e">
        <v>#N/A</v>
      </c>
      <c r="DP72" s="93" t="e">
        <v>#N/A</v>
      </c>
    </row>
    <row r="73" spans="1:120" x14ac:dyDescent="0.2">
      <c r="A73" s="90" t="e">
        <f>name!#REF!</f>
        <v>#REF!</v>
      </c>
      <c r="B73" s="39" t="e">
        <f t="shared" si="44"/>
        <v>#N/A</v>
      </c>
      <c r="C73" s="93" t="e">
        <v>#N/A</v>
      </c>
      <c r="D73" s="93" t="e">
        <v>#N/A</v>
      </c>
      <c r="E73" s="93" t="e">
        <v>#N/A</v>
      </c>
      <c r="F73" s="93" t="e">
        <v>#N/A</v>
      </c>
      <c r="H73" s="39" t="e">
        <f t="shared" si="45"/>
        <v>#N/A</v>
      </c>
      <c r="I73" s="93" t="e">
        <v>#N/A</v>
      </c>
      <c r="J73" s="93" t="e">
        <v>#N/A</v>
      </c>
      <c r="K73" s="93" t="e">
        <v>#N/A</v>
      </c>
      <c r="L73" s="93" t="e">
        <v>#N/A</v>
      </c>
      <c r="N73" s="39" t="e">
        <f t="shared" si="46"/>
        <v>#N/A</v>
      </c>
      <c r="O73" s="93" t="e">
        <v>#N/A</v>
      </c>
      <c r="P73" s="93" t="e">
        <v>#N/A</v>
      </c>
      <c r="Q73" s="93" t="e">
        <v>#N/A</v>
      </c>
      <c r="R73" s="93" t="e">
        <v>#N/A</v>
      </c>
      <c r="S73" s="93"/>
      <c r="T73" s="39" t="e">
        <f t="shared" si="47"/>
        <v>#N/A</v>
      </c>
      <c r="U73" s="93" t="e">
        <v>#N/A</v>
      </c>
      <c r="V73" s="93" t="e">
        <v>#N/A</v>
      </c>
      <c r="W73" s="93" t="e">
        <v>#N/A</v>
      </c>
      <c r="X73" s="93" t="e">
        <v>#N/A</v>
      </c>
      <c r="Y73" s="90" t="e">
        <f t="shared" si="64"/>
        <v>#REF!</v>
      </c>
      <c r="Z73" s="39" t="e">
        <f t="shared" si="48"/>
        <v>#N/A</v>
      </c>
      <c r="AA73" s="93" t="e">
        <v>#N/A</v>
      </c>
      <c r="AB73" s="93" t="e">
        <v>#N/A</v>
      </c>
      <c r="AC73" s="93" t="e">
        <v>#N/A</v>
      </c>
      <c r="AD73" s="93" t="e">
        <v>#N/A</v>
      </c>
      <c r="AF73" s="39" t="e">
        <f t="shared" si="49"/>
        <v>#N/A</v>
      </c>
      <c r="AG73" s="93" t="e">
        <v>#N/A</v>
      </c>
      <c r="AH73" s="93" t="e">
        <v>#N/A</v>
      </c>
      <c r="AI73" s="93" t="e">
        <v>#N/A</v>
      </c>
      <c r="AJ73" s="93" t="e">
        <v>#N/A</v>
      </c>
      <c r="AL73" s="39" t="e">
        <f t="shared" si="50"/>
        <v>#N/A</v>
      </c>
      <c r="AM73" s="93" t="e">
        <v>#N/A</v>
      </c>
      <c r="AN73" s="93" t="e">
        <v>#N/A</v>
      </c>
      <c r="AO73" s="93" t="e">
        <v>#N/A</v>
      </c>
      <c r="AP73" s="93" t="e">
        <v>#N/A</v>
      </c>
      <c r="AQ73" s="93"/>
      <c r="AR73" s="39" t="e">
        <f t="shared" si="51"/>
        <v>#N/A</v>
      </c>
      <c r="AS73" s="93" t="e">
        <v>#N/A</v>
      </c>
      <c r="AT73" s="93" t="e">
        <v>#N/A</v>
      </c>
      <c r="AU73" s="93" t="e">
        <v>#N/A</v>
      </c>
      <c r="AV73" s="93" t="e">
        <v>#N/A</v>
      </c>
      <c r="AW73" s="90" t="e">
        <f t="shared" si="65"/>
        <v>#REF!</v>
      </c>
      <c r="AX73" s="39" t="e">
        <f t="shared" si="52"/>
        <v>#N/A</v>
      </c>
      <c r="AY73" s="93" t="e">
        <v>#N/A</v>
      </c>
      <c r="AZ73" s="93" t="e">
        <v>#N/A</v>
      </c>
      <c r="BA73" s="93" t="e">
        <v>#N/A</v>
      </c>
      <c r="BB73" s="93" t="e">
        <v>#N/A</v>
      </c>
      <c r="BD73" s="39" t="e">
        <f t="shared" si="53"/>
        <v>#N/A</v>
      </c>
      <c r="BE73" s="93" t="e">
        <v>#N/A</v>
      </c>
      <c r="BF73" s="93" t="e">
        <v>#N/A</v>
      </c>
      <c r="BG73" s="93" t="e">
        <v>#N/A</v>
      </c>
      <c r="BH73" s="93" t="e">
        <v>#N/A</v>
      </c>
      <c r="BJ73" s="39" t="e">
        <f t="shared" si="54"/>
        <v>#N/A</v>
      </c>
      <c r="BK73" s="93" t="e">
        <v>#N/A</v>
      </c>
      <c r="BL73" s="93" t="e">
        <v>#N/A</v>
      </c>
      <c r="BM73" s="93" t="e">
        <v>#N/A</v>
      </c>
      <c r="BN73" s="93" t="e">
        <v>#N/A</v>
      </c>
      <c r="BO73" s="93"/>
      <c r="BP73" s="39" t="e">
        <f t="shared" si="55"/>
        <v>#N/A</v>
      </c>
      <c r="BQ73" s="93" t="e">
        <v>#N/A</v>
      </c>
      <c r="BR73" s="93" t="e">
        <v>#N/A</v>
      </c>
      <c r="BS73" s="93" t="e">
        <v>#N/A</v>
      </c>
      <c r="BT73" s="93" t="e">
        <v>#N/A</v>
      </c>
      <c r="BU73" s="90" t="e">
        <f t="shared" si="66"/>
        <v>#REF!</v>
      </c>
      <c r="BV73" s="39" t="e">
        <f t="shared" si="56"/>
        <v>#N/A</v>
      </c>
      <c r="BW73" s="93" t="e">
        <v>#N/A</v>
      </c>
      <c r="BX73" s="93" t="e">
        <v>#N/A</v>
      </c>
      <c r="BY73" s="93" t="e">
        <v>#N/A</v>
      </c>
      <c r="BZ73" s="93" t="e">
        <v>#N/A</v>
      </c>
      <c r="CB73" s="39" t="e">
        <f t="shared" si="57"/>
        <v>#N/A</v>
      </c>
      <c r="CC73" s="93" t="e">
        <v>#N/A</v>
      </c>
      <c r="CD73" s="93" t="e">
        <v>#N/A</v>
      </c>
      <c r="CE73" s="93" t="e">
        <v>#N/A</v>
      </c>
      <c r="CF73" s="93" t="e">
        <v>#N/A</v>
      </c>
      <c r="CH73" s="39" t="e">
        <f t="shared" si="58"/>
        <v>#N/A</v>
      </c>
      <c r="CI73" s="93" t="e">
        <v>#N/A</v>
      </c>
      <c r="CJ73" s="93" t="e">
        <v>#N/A</v>
      </c>
      <c r="CK73" s="93" t="e">
        <v>#N/A</v>
      </c>
      <c r="CL73" s="93" t="e">
        <v>#N/A</v>
      </c>
      <c r="CM73" s="93"/>
      <c r="CN73" s="39" t="e">
        <f t="shared" si="59"/>
        <v>#N/A</v>
      </c>
      <c r="CO73" s="93" t="e">
        <v>#N/A</v>
      </c>
      <c r="CP73" s="93" t="e">
        <v>#N/A</v>
      </c>
      <c r="CQ73" s="93" t="e">
        <v>#N/A</v>
      </c>
      <c r="CR73" s="93" t="e">
        <v>#N/A</v>
      </c>
      <c r="CS73" s="90" t="e">
        <f t="shared" si="67"/>
        <v>#REF!</v>
      </c>
      <c r="CT73" s="39" t="e">
        <f t="shared" si="60"/>
        <v>#N/A</v>
      </c>
      <c r="CU73" s="93" t="e">
        <v>#N/A</v>
      </c>
      <c r="CV73" s="93" t="e">
        <v>#N/A</v>
      </c>
      <c r="CW73" s="93" t="e">
        <v>#N/A</v>
      </c>
      <c r="CX73" s="93" t="e">
        <v>#N/A</v>
      </c>
      <c r="CZ73" s="39" t="e">
        <f t="shared" si="61"/>
        <v>#N/A</v>
      </c>
      <c r="DA73" s="93" t="e">
        <v>#N/A</v>
      </c>
      <c r="DB73" s="93" t="e">
        <v>#N/A</v>
      </c>
      <c r="DC73" s="93" t="e">
        <v>#N/A</v>
      </c>
      <c r="DD73" s="93" t="e">
        <v>#N/A</v>
      </c>
      <c r="DF73" s="39" t="e">
        <f t="shared" si="62"/>
        <v>#N/A</v>
      </c>
      <c r="DG73" s="93" t="e">
        <v>#N/A</v>
      </c>
      <c r="DH73" s="93" t="e">
        <v>#N/A</v>
      </c>
      <c r="DI73" s="93" t="e">
        <v>#N/A</v>
      </c>
      <c r="DJ73" s="93" t="e">
        <v>#N/A</v>
      </c>
      <c r="DK73" s="93"/>
      <c r="DL73" s="39" t="e">
        <f t="shared" si="63"/>
        <v>#N/A</v>
      </c>
      <c r="DM73" s="93" t="e">
        <v>#N/A</v>
      </c>
      <c r="DN73" s="93" t="e">
        <v>#N/A</v>
      </c>
      <c r="DO73" s="93" t="e">
        <v>#N/A</v>
      </c>
      <c r="DP73" s="93" t="e">
        <v>#N/A</v>
      </c>
    </row>
    <row r="74" spans="1:120" x14ac:dyDescent="0.2">
      <c r="A74" s="90" t="e">
        <f>name!#REF!</f>
        <v>#REF!</v>
      </c>
      <c r="B74" s="39" t="e">
        <f t="shared" si="44"/>
        <v>#N/A</v>
      </c>
      <c r="C74" s="93" t="e">
        <v>#N/A</v>
      </c>
      <c r="D74" s="93" t="e">
        <v>#N/A</v>
      </c>
      <c r="E74" s="93" t="e">
        <v>#N/A</v>
      </c>
      <c r="F74" s="93" t="e">
        <v>#N/A</v>
      </c>
      <c r="H74" s="39" t="e">
        <f t="shared" si="45"/>
        <v>#N/A</v>
      </c>
      <c r="I74" s="93" t="e">
        <v>#N/A</v>
      </c>
      <c r="J74" s="93" t="e">
        <v>#N/A</v>
      </c>
      <c r="K74" s="93" t="e">
        <v>#N/A</v>
      </c>
      <c r="L74" s="93" t="e">
        <v>#N/A</v>
      </c>
      <c r="N74" s="39" t="e">
        <f t="shared" si="46"/>
        <v>#N/A</v>
      </c>
      <c r="O74" s="93" t="e">
        <v>#N/A</v>
      </c>
      <c r="P74" s="93" t="e">
        <v>#N/A</v>
      </c>
      <c r="Q74" s="93" t="e">
        <v>#N/A</v>
      </c>
      <c r="R74" s="93" t="e">
        <v>#N/A</v>
      </c>
      <c r="S74" s="93"/>
      <c r="T74" s="39" t="e">
        <f t="shared" si="47"/>
        <v>#N/A</v>
      </c>
      <c r="U74" s="93" t="e">
        <v>#N/A</v>
      </c>
      <c r="V74" s="93" t="e">
        <v>#N/A</v>
      </c>
      <c r="W74" s="93" t="e">
        <v>#N/A</v>
      </c>
      <c r="X74" s="93" t="e">
        <v>#N/A</v>
      </c>
      <c r="Y74" s="90" t="e">
        <f t="shared" si="64"/>
        <v>#REF!</v>
      </c>
      <c r="Z74" s="39" t="e">
        <f t="shared" si="48"/>
        <v>#N/A</v>
      </c>
      <c r="AA74" s="93" t="e">
        <v>#N/A</v>
      </c>
      <c r="AB74" s="93" t="e">
        <v>#N/A</v>
      </c>
      <c r="AC74" s="93" t="e">
        <v>#N/A</v>
      </c>
      <c r="AD74" s="93" t="e">
        <v>#N/A</v>
      </c>
      <c r="AF74" s="39" t="e">
        <f t="shared" si="49"/>
        <v>#N/A</v>
      </c>
      <c r="AG74" s="93" t="e">
        <v>#N/A</v>
      </c>
      <c r="AH74" s="93" t="e">
        <v>#N/A</v>
      </c>
      <c r="AI74" s="93" t="e">
        <v>#N/A</v>
      </c>
      <c r="AJ74" s="93" t="e">
        <v>#N/A</v>
      </c>
      <c r="AL74" s="39" t="e">
        <f t="shared" si="50"/>
        <v>#N/A</v>
      </c>
      <c r="AM74" s="93" t="e">
        <v>#N/A</v>
      </c>
      <c r="AN74" s="93" t="e">
        <v>#N/A</v>
      </c>
      <c r="AO74" s="93" t="e">
        <v>#N/A</v>
      </c>
      <c r="AP74" s="93" t="e">
        <v>#N/A</v>
      </c>
      <c r="AQ74" s="93"/>
      <c r="AR74" s="39" t="e">
        <f t="shared" si="51"/>
        <v>#N/A</v>
      </c>
      <c r="AS74" s="93" t="e">
        <v>#N/A</v>
      </c>
      <c r="AT74" s="93" t="e">
        <v>#N/A</v>
      </c>
      <c r="AU74" s="93" t="e">
        <v>#N/A</v>
      </c>
      <c r="AV74" s="93" t="e">
        <v>#N/A</v>
      </c>
      <c r="AW74" s="90" t="e">
        <f t="shared" si="65"/>
        <v>#REF!</v>
      </c>
      <c r="AX74" s="39" t="e">
        <f t="shared" si="52"/>
        <v>#N/A</v>
      </c>
      <c r="AY74" s="93" t="e">
        <v>#N/A</v>
      </c>
      <c r="AZ74" s="93" t="e">
        <v>#N/A</v>
      </c>
      <c r="BA74" s="93" t="e">
        <v>#N/A</v>
      </c>
      <c r="BB74" s="93" t="e">
        <v>#N/A</v>
      </c>
      <c r="BD74" s="39" t="e">
        <f t="shared" si="53"/>
        <v>#N/A</v>
      </c>
      <c r="BE74" s="93" t="e">
        <v>#N/A</v>
      </c>
      <c r="BF74" s="93" t="e">
        <v>#N/A</v>
      </c>
      <c r="BG74" s="93" t="e">
        <v>#N/A</v>
      </c>
      <c r="BH74" s="93" t="e">
        <v>#N/A</v>
      </c>
      <c r="BJ74" s="39" t="e">
        <f t="shared" si="54"/>
        <v>#N/A</v>
      </c>
      <c r="BK74" s="93" t="e">
        <v>#N/A</v>
      </c>
      <c r="BL74" s="93" t="e">
        <v>#N/A</v>
      </c>
      <c r="BM74" s="93" t="e">
        <v>#N/A</v>
      </c>
      <c r="BN74" s="93" t="e">
        <v>#N/A</v>
      </c>
      <c r="BO74" s="93"/>
      <c r="BP74" s="39" t="e">
        <f t="shared" si="55"/>
        <v>#N/A</v>
      </c>
      <c r="BQ74" s="93" t="e">
        <v>#N/A</v>
      </c>
      <c r="BR74" s="93" t="e">
        <v>#N/A</v>
      </c>
      <c r="BS74" s="93" t="e">
        <v>#N/A</v>
      </c>
      <c r="BT74" s="93" t="e">
        <v>#N/A</v>
      </c>
      <c r="BU74" s="90" t="e">
        <f t="shared" si="66"/>
        <v>#REF!</v>
      </c>
      <c r="BV74" s="39" t="e">
        <f t="shared" si="56"/>
        <v>#N/A</v>
      </c>
      <c r="BW74" s="93" t="e">
        <v>#N/A</v>
      </c>
      <c r="BX74" s="93" t="e">
        <v>#N/A</v>
      </c>
      <c r="BY74" s="93" t="e">
        <v>#N/A</v>
      </c>
      <c r="BZ74" s="93" t="e">
        <v>#N/A</v>
      </c>
      <c r="CB74" s="39" t="e">
        <f t="shared" si="57"/>
        <v>#N/A</v>
      </c>
      <c r="CC74" s="93" t="e">
        <v>#N/A</v>
      </c>
      <c r="CD74" s="93" t="e">
        <v>#N/A</v>
      </c>
      <c r="CE74" s="93" t="e">
        <v>#N/A</v>
      </c>
      <c r="CF74" s="93" t="e">
        <v>#N/A</v>
      </c>
      <c r="CH74" s="39" t="e">
        <f t="shared" si="58"/>
        <v>#N/A</v>
      </c>
      <c r="CI74" s="93" t="e">
        <v>#N/A</v>
      </c>
      <c r="CJ74" s="93" t="e">
        <v>#N/A</v>
      </c>
      <c r="CK74" s="93" t="e">
        <v>#N/A</v>
      </c>
      <c r="CL74" s="93" t="e">
        <v>#N/A</v>
      </c>
      <c r="CM74" s="93"/>
      <c r="CN74" s="39" t="e">
        <f t="shared" si="59"/>
        <v>#N/A</v>
      </c>
      <c r="CO74" s="93" t="e">
        <v>#N/A</v>
      </c>
      <c r="CP74" s="93" t="e">
        <v>#N/A</v>
      </c>
      <c r="CQ74" s="93" t="e">
        <v>#N/A</v>
      </c>
      <c r="CR74" s="93" t="e">
        <v>#N/A</v>
      </c>
      <c r="CS74" s="90" t="e">
        <f t="shared" si="67"/>
        <v>#REF!</v>
      </c>
      <c r="CT74" s="39" t="e">
        <f t="shared" si="60"/>
        <v>#N/A</v>
      </c>
      <c r="CU74" s="93" t="e">
        <v>#N/A</v>
      </c>
      <c r="CV74" s="93" t="e">
        <v>#N/A</v>
      </c>
      <c r="CW74" s="93" t="e">
        <v>#N/A</v>
      </c>
      <c r="CX74" s="93" t="e">
        <v>#N/A</v>
      </c>
      <c r="CZ74" s="39" t="e">
        <f t="shared" si="61"/>
        <v>#N/A</v>
      </c>
      <c r="DA74" s="93" t="e">
        <v>#N/A</v>
      </c>
      <c r="DB74" s="93" t="e">
        <v>#N/A</v>
      </c>
      <c r="DC74" s="93" t="e">
        <v>#N/A</v>
      </c>
      <c r="DD74" s="93" t="e">
        <v>#N/A</v>
      </c>
      <c r="DF74" s="39" t="e">
        <f t="shared" si="62"/>
        <v>#N/A</v>
      </c>
      <c r="DG74" s="93" t="e">
        <v>#N/A</v>
      </c>
      <c r="DH74" s="93" t="e">
        <v>#N/A</v>
      </c>
      <c r="DI74" s="93" t="e">
        <v>#N/A</v>
      </c>
      <c r="DJ74" s="93" t="e">
        <v>#N/A</v>
      </c>
      <c r="DK74" s="93"/>
      <c r="DL74" s="39" t="e">
        <f t="shared" si="63"/>
        <v>#N/A</v>
      </c>
      <c r="DM74" s="93" t="e">
        <v>#N/A</v>
      </c>
      <c r="DN74" s="93" t="e">
        <v>#N/A</v>
      </c>
      <c r="DO74" s="93" t="e">
        <v>#N/A</v>
      </c>
      <c r="DP74" s="93" t="e">
        <v>#N/A</v>
      </c>
    </row>
    <row r="75" spans="1:120" x14ac:dyDescent="0.2">
      <c r="A75" s="90" t="e">
        <f>name!#REF!</f>
        <v>#REF!</v>
      </c>
      <c r="B75" s="39" t="e">
        <f t="shared" si="44"/>
        <v>#N/A</v>
      </c>
      <c r="C75" s="93" t="e">
        <v>#N/A</v>
      </c>
      <c r="D75" s="93" t="e">
        <v>#N/A</v>
      </c>
      <c r="E75" s="93" t="e">
        <v>#N/A</v>
      </c>
      <c r="F75" s="93" t="e">
        <v>#N/A</v>
      </c>
      <c r="H75" s="39" t="e">
        <f t="shared" si="45"/>
        <v>#N/A</v>
      </c>
      <c r="I75" s="93" t="e">
        <v>#N/A</v>
      </c>
      <c r="J75" s="93" t="e">
        <v>#N/A</v>
      </c>
      <c r="K75" s="93" t="e">
        <v>#N/A</v>
      </c>
      <c r="L75" s="93" t="e">
        <v>#N/A</v>
      </c>
      <c r="N75" s="39" t="e">
        <f t="shared" si="46"/>
        <v>#N/A</v>
      </c>
      <c r="O75" s="93" t="e">
        <v>#N/A</v>
      </c>
      <c r="P75" s="93" t="e">
        <v>#N/A</v>
      </c>
      <c r="Q75" s="93" t="e">
        <v>#N/A</v>
      </c>
      <c r="R75" s="93" t="e">
        <v>#N/A</v>
      </c>
      <c r="S75" s="93"/>
      <c r="T75" s="39" t="e">
        <f t="shared" si="47"/>
        <v>#N/A</v>
      </c>
      <c r="U75" s="93" t="e">
        <v>#N/A</v>
      </c>
      <c r="V75" s="93" t="e">
        <v>#N/A</v>
      </c>
      <c r="W75" s="93" t="e">
        <v>#N/A</v>
      </c>
      <c r="X75" s="93" t="e">
        <v>#N/A</v>
      </c>
      <c r="Y75" s="90" t="e">
        <f t="shared" si="64"/>
        <v>#REF!</v>
      </c>
      <c r="Z75" s="39" t="e">
        <f t="shared" si="48"/>
        <v>#N/A</v>
      </c>
      <c r="AA75" s="93" t="e">
        <v>#N/A</v>
      </c>
      <c r="AB75" s="93" t="e">
        <v>#N/A</v>
      </c>
      <c r="AC75" s="93" t="e">
        <v>#N/A</v>
      </c>
      <c r="AD75" s="93" t="e">
        <v>#N/A</v>
      </c>
      <c r="AF75" s="39" t="e">
        <f t="shared" si="49"/>
        <v>#N/A</v>
      </c>
      <c r="AG75" s="93" t="e">
        <v>#N/A</v>
      </c>
      <c r="AH75" s="93" t="e">
        <v>#N/A</v>
      </c>
      <c r="AI75" s="93" t="e">
        <v>#N/A</v>
      </c>
      <c r="AJ75" s="93" t="e">
        <v>#N/A</v>
      </c>
      <c r="AL75" s="39" t="e">
        <f t="shared" si="50"/>
        <v>#N/A</v>
      </c>
      <c r="AM75" s="93" t="e">
        <v>#N/A</v>
      </c>
      <c r="AN75" s="93" t="e">
        <v>#N/A</v>
      </c>
      <c r="AO75" s="93" t="e">
        <v>#N/A</v>
      </c>
      <c r="AP75" s="93" t="e">
        <v>#N/A</v>
      </c>
      <c r="AQ75" s="93"/>
      <c r="AR75" s="39" t="e">
        <f t="shared" si="51"/>
        <v>#N/A</v>
      </c>
      <c r="AS75" s="93" t="e">
        <v>#N/A</v>
      </c>
      <c r="AT75" s="93" t="e">
        <v>#N/A</v>
      </c>
      <c r="AU75" s="93" t="e">
        <v>#N/A</v>
      </c>
      <c r="AV75" s="93" t="e">
        <v>#N/A</v>
      </c>
      <c r="AW75" s="90" t="e">
        <f t="shared" si="65"/>
        <v>#REF!</v>
      </c>
      <c r="AX75" s="39" t="e">
        <f t="shared" si="52"/>
        <v>#N/A</v>
      </c>
      <c r="AY75" s="93" t="e">
        <v>#N/A</v>
      </c>
      <c r="AZ75" s="93" t="e">
        <v>#N/A</v>
      </c>
      <c r="BA75" s="93" t="e">
        <v>#N/A</v>
      </c>
      <c r="BB75" s="93" t="e">
        <v>#N/A</v>
      </c>
      <c r="BD75" s="39" t="e">
        <f t="shared" si="53"/>
        <v>#N/A</v>
      </c>
      <c r="BE75" s="93" t="e">
        <v>#N/A</v>
      </c>
      <c r="BF75" s="93" t="e">
        <v>#N/A</v>
      </c>
      <c r="BG75" s="93" t="e">
        <v>#N/A</v>
      </c>
      <c r="BH75" s="93" t="e">
        <v>#N/A</v>
      </c>
      <c r="BJ75" s="39" t="e">
        <f t="shared" si="54"/>
        <v>#N/A</v>
      </c>
      <c r="BK75" s="93" t="e">
        <v>#N/A</v>
      </c>
      <c r="BL75" s="93" t="e">
        <v>#N/A</v>
      </c>
      <c r="BM75" s="93" t="e">
        <v>#N/A</v>
      </c>
      <c r="BN75" s="93" t="e">
        <v>#N/A</v>
      </c>
      <c r="BO75" s="93"/>
      <c r="BP75" s="39" t="e">
        <f t="shared" si="55"/>
        <v>#N/A</v>
      </c>
      <c r="BQ75" s="93" t="e">
        <v>#N/A</v>
      </c>
      <c r="BR75" s="93" t="e">
        <v>#N/A</v>
      </c>
      <c r="BS75" s="93" t="e">
        <v>#N/A</v>
      </c>
      <c r="BT75" s="93" t="e">
        <v>#N/A</v>
      </c>
      <c r="BU75" s="90" t="e">
        <f t="shared" si="66"/>
        <v>#REF!</v>
      </c>
      <c r="BV75" s="39" t="e">
        <f t="shared" si="56"/>
        <v>#N/A</v>
      </c>
      <c r="BW75" s="93" t="e">
        <v>#N/A</v>
      </c>
      <c r="BX75" s="93" t="e">
        <v>#N/A</v>
      </c>
      <c r="BY75" s="93" t="e">
        <v>#N/A</v>
      </c>
      <c r="BZ75" s="93" t="e">
        <v>#N/A</v>
      </c>
      <c r="CB75" s="39" t="e">
        <f t="shared" si="57"/>
        <v>#N/A</v>
      </c>
      <c r="CC75" s="93" t="e">
        <v>#N/A</v>
      </c>
      <c r="CD75" s="93" t="e">
        <v>#N/A</v>
      </c>
      <c r="CE75" s="93" t="e">
        <v>#N/A</v>
      </c>
      <c r="CF75" s="93" t="e">
        <v>#N/A</v>
      </c>
      <c r="CH75" s="39" t="e">
        <f t="shared" si="58"/>
        <v>#N/A</v>
      </c>
      <c r="CI75" s="93" t="e">
        <v>#N/A</v>
      </c>
      <c r="CJ75" s="93" t="e">
        <v>#N/A</v>
      </c>
      <c r="CK75" s="93" t="e">
        <v>#N/A</v>
      </c>
      <c r="CL75" s="93" t="e">
        <v>#N/A</v>
      </c>
      <c r="CM75" s="93"/>
      <c r="CN75" s="39" t="e">
        <f t="shared" si="59"/>
        <v>#N/A</v>
      </c>
      <c r="CO75" s="93" t="e">
        <v>#N/A</v>
      </c>
      <c r="CP75" s="93" t="e">
        <v>#N/A</v>
      </c>
      <c r="CQ75" s="93" t="e">
        <v>#N/A</v>
      </c>
      <c r="CR75" s="93" t="e">
        <v>#N/A</v>
      </c>
      <c r="CS75" s="90" t="e">
        <f t="shared" si="67"/>
        <v>#REF!</v>
      </c>
      <c r="CT75" s="39" t="e">
        <f t="shared" si="60"/>
        <v>#N/A</v>
      </c>
      <c r="CU75" s="93" t="e">
        <v>#N/A</v>
      </c>
      <c r="CV75" s="93" t="e">
        <v>#N/A</v>
      </c>
      <c r="CW75" s="93" t="e">
        <v>#N/A</v>
      </c>
      <c r="CX75" s="93" t="e">
        <v>#N/A</v>
      </c>
      <c r="CZ75" s="39" t="e">
        <f t="shared" si="61"/>
        <v>#N/A</v>
      </c>
      <c r="DA75" s="93" t="e">
        <v>#N/A</v>
      </c>
      <c r="DB75" s="93" t="e">
        <v>#N/A</v>
      </c>
      <c r="DC75" s="93" t="e">
        <v>#N/A</v>
      </c>
      <c r="DD75" s="93" t="e">
        <v>#N/A</v>
      </c>
      <c r="DF75" s="39" t="e">
        <f t="shared" si="62"/>
        <v>#N/A</v>
      </c>
      <c r="DG75" s="93" t="e">
        <v>#N/A</v>
      </c>
      <c r="DH75" s="93" t="e">
        <v>#N/A</v>
      </c>
      <c r="DI75" s="93" t="e">
        <v>#N/A</v>
      </c>
      <c r="DJ75" s="93" t="e">
        <v>#N/A</v>
      </c>
      <c r="DK75" s="93"/>
      <c r="DL75" s="39" t="e">
        <f t="shared" si="63"/>
        <v>#N/A</v>
      </c>
      <c r="DM75" s="93" t="e">
        <v>#N/A</v>
      </c>
      <c r="DN75" s="93" t="e">
        <v>#N/A</v>
      </c>
      <c r="DO75" s="93" t="e">
        <v>#N/A</v>
      </c>
      <c r="DP75" s="93" t="e">
        <v>#N/A</v>
      </c>
    </row>
    <row r="76" spans="1:120" x14ac:dyDescent="0.2">
      <c r="B76" s="39"/>
      <c r="H76" s="39"/>
      <c r="N76" s="39"/>
      <c r="T76" s="39"/>
      <c r="Z76" s="39"/>
      <c r="AF76" s="39"/>
      <c r="AL76" s="39"/>
      <c r="AR76" s="39"/>
      <c r="AX76" s="39"/>
      <c r="BD76" s="39"/>
      <c r="BJ76" s="39"/>
      <c r="BP76" s="39"/>
      <c r="BV76" s="39"/>
      <c r="CB76" s="39"/>
      <c r="CH76" s="39"/>
      <c r="CN76" s="39"/>
      <c r="CT76" s="39"/>
      <c r="CZ76" s="39"/>
      <c r="DF76" s="39"/>
      <c r="DL76" s="39"/>
    </row>
    <row r="77" spans="1:120" x14ac:dyDescent="0.2">
      <c r="A77" s="91" t="e">
        <f>name!#REF!</f>
        <v>#REF!</v>
      </c>
      <c r="B77" s="42">
        <f t="shared" si="44"/>
        <v>2.7912372459239387</v>
      </c>
      <c r="C77" s="92">
        <f>C50</f>
        <v>4561.2992279926211</v>
      </c>
      <c r="D77" s="92">
        <f>D50</f>
        <v>431.97496524334053</v>
      </c>
      <c r="E77" s="92">
        <f>E50</f>
        <v>1445.5882710202891</v>
      </c>
      <c r="F77" s="92">
        <f>F50</f>
        <v>1877.5632362636297</v>
      </c>
      <c r="G77" s="91"/>
      <c r="H77" s="42">
        <f t="shared" si="45"/>
        <v>2.6517730789267446</v>
      </c>
      <c r="I77" s="92">
        <f>I50</f>
        <v>774.77767553257945</v>
      </c>
      <c r="J77" s="92">
        <f>J50</f>
        <v>-90.9176985646708</v>
      </c>
      <c r="K77" s="92">
        <f>K50</f>
        <v>231.78692033646578</v>
      </c>
      <c r="L77" s="92">
        <f>L50</f>
        <v>140.86922177179497</v>
      </c>
      <c r="M77" s="91"/>
      <c r="N77" s="42">
        <f t="shared" si="46"/>
        <v>2.6893242464146816</v>
      </c>
      <c r="O77" s="92">
        <f>O50</f>
        <v>1810.6123702397726</v>
      </c>
      <c r="P77" s="92">
        <f>P50</f>
        <v>208.84741372398935</v>
      </c>
      <c r="Q77" s="92">
        <f>Q50</f>
        <v>550.29225403969679</v>
      </c>
      <c r="R77" s="92">
        <f>R50</f>
        <v>759.13966776368613</v>
      </c>
      <c r="S77" s="92"/>
      <c r="T77" s="42">
        <f t="shared" si="47"/>
        <v>2.9376202991175049</v>
      </c>
      <c r="U77" s="92">
        <f>U50</f>
        <v>1975.9091822202711</v>
      </c>
      <c r="V77" s="92">
        <f>V50</f>
        <v>314.04525008402186</v>
      </c>
      <c r="W77" s="92">
        <f>W50</f>
        <v>663.50909664412427</v>
      </c>
      <c r="X77" s="92">
        <f>X50</f>
        <v>977.55434672814613</v>
      </c>
      <c r="Y77" s="91" t="e">
        <f>A77</f>
        <v>#REF!</v>
      </c>
      <c r="Z77" s="42">
        <f>IF(AA77&gt;0,((1+(AC77/AA77))^(1/($A$101-$A$100))-1)*100,0)</f>
        <v>2.9771972098236787</v>
      </c>
      <c r="AA77" s="92">
        <f>AA50</f>
        <v>2141.7348734083043</v>
      </c>
      <c r="AB77" s="92">
        <f>AB50</f>
        <v>328.18012130131888</v>
      </c>
      <c r="AC77" s="92">
        <f>AC50</f>
        <v>730.21185757939747</v>
      </c>
      <c r="AD77" s="92">
        <f>AD50</f>
        <v>1058.3919788807164</v>
      </c>
      <c r="AE77" s="91"/>
      <c r="AF77" s="42">
        <f>IF(AG77&gt;0,((1+(AI77/AG77))^(1/($A$101-$A$100))-1)*100,0)</f>
        <v>3.0280155732974823</v>
      </c>
      <c r="AG77" s="92">
        <f>AG50</f>
        <v>114.36183531349347</v>
      </c>
      <c r="AH77" s="92">
        <f>AH50</f>
        <v>10.806009020856356</v>
      </c>
      <c r="AI77" s="92">
        <f>AI50</f>
        <v>39.749458273691218</v>
      </c>
      <c r="AJ77" s="92">
        <f>AJ50</f>
        <v>50.555467294547576</v>
      </c>
      <c r="AK77" s="91"/>
      <c r="AL77" s="42">
        <f>IF(AM77&gt;0,((1+(AO77/AM77))^(1/($A$101-$A$100))-1)*100,0)</f>
        <v>2.9663353480916088</v>
      </c>
      <c r="AM77" s="92">
        <f>AM50</f>
        <v>484.03376220781502</v>
      </c>
      <c r="AN77" s="92">
        <f>AN50</f>
        <v>80.752171418150368</v>
      </c>
      <c r="AO77" s="92">
        <f>AO50</f>
        <v>164.34415782441963</v>
      </c>
      <c r="AP77" s="92">
        <f>AP50</f>
        <v>245.09632924256999</v>
      </c>
      <c r="AQ77" s="92"/>
      <c r="AR77" s="42">
        <f>IF(AS77&gt;0,((1+(AU77/AS77))^(1/($A$101-$A$100))-1)*100,0)</f>
        <v>2.9768281396108875</v>
      </c>
      <c r="AS77" s="92">
        <f>AS50</f>
        <v>1543.3392758869961</v>
      </c>
      <c r="AT77" s="92">
        <f>AT50</f>
        <v>236.62194086231219</v>
      </c>
      <c r="AU77" s="92">
        <f>AU50</f>
        <v>526.11824148128676</v>
      </c>
      <c r="AV77" s="92">
        <f>AV50</f>
        <v>762.74018234359892</v>
      </c>
      <c r="AW77" s="91" t="e">
        <f>Y77</f>
        <v>#REF!</v>
      </c>
      <c r="AX77" s="42">
        <f>IF(AY77&gt;0,((1+(BA77/AY77))^(1/($A$101-$A$100))-1)*100,0)</f>
        <v>2.5960689907792656</v>
      </c>
      <c r="AY77" s="92">
        <f>AY50</f>
        <v>1169.4910110900296</v>
      </c>
      <c r="AZ77" s="92">
        <f>AZ50</f>
        <v>61.012733866251224</v>
      </c>
      <c r="BA77" s="92">
        <f>BA50</f>
        <v>341.64688672572964</v>
      </c>
      <c r="BB77" s="92">
        <f>BB50</f>
        <v>402.65962059198085</v>
      </c>
      <c r="BC77" s="91"/>
      <c r="BD77" s="42">
        <f>IF(BE77&gt;0,((1+(BG77/BE77))^(1/($A$101-$A$100))-1)*100,0)</f>
        <v>2.5108134589674425</v>
      </c>
      <c r="BE77" s="92">
        <f>BE50</f>
        <v>196.77997170605971</v>
      </c>
      <c r="BF77" s="92">
        <f>BF50</f>
        <v>-19.19988351079143</v>
      </c>
      <c r="BG77" s="92">
        <f>BG50</f>
        <v>55.380896948664599</v>
      </c>
      <c r="BH77" s="92">
        <f>BH50</f>
        <v>36.181013437873169</v>
      </c>
      <c r="BI77" s="91"/>
      <c r="BJ77" s="42">
        <f>IF(BK77&gt;0,((1+(BM77/BK77))^(1/($A$101-$A$100))-1)*100,0)</f>
        <v>2.5531077119064882</v>
      </c>
      <c r="BK77" s="92">
        <f>BK50</f>
        <v>650.12175377402275</v>
      </c>
      <c r="BL77" s="92">
        <f>BL50</f>
        <v>42.192712487148434</v>
      </c>
      <c r="BM77" s="92">
        <f>BM50</f>
        <v>186.41100647521165</v>
      </c>
      <c r="BN77" s="92">
        <f>BN50</f>
        <v>228.60371896236009</v>
      </c>
      <c r="BO77" s="92"/>
      <c r="BP77" s="42">
        <f>IF(BQ77&gt;0,((1+(BS77/BQ77))^(1/($A$101-$A$100))-1)*100,0)</f>
        <v>2.7334678665663192</v>
      </c>
      <c r="BQ77" s="92">
        <f>BQ50</f>
        <v>322.58928560994713</v>
      </c>
      <c r="BR77" s="92">
        <f>BR50</f>
        <v>38.019904889894228</v>
      </c>
      <c r="BS77" s="92">
        <f>BS50</f>
        <v>99.854983301853494</v>
      </c>
      <c r="BT77" s="92">
        <f>BT50</f>
        <v>137.87488819174771</v>
      </c>
      <c r="BU77" s="91" t="e">
        <f>AW77</f>
        <v>#REF!</v>
      </c>
      <c r="BV77" s="42">
        <f>IF(BW77&gt;0,((1+(BY77/BW77))^(1/($A$101-$A$100))-1)*100,0)</f>
        <v>2.5889208699682698</v>
      </c>
      <c r="BW77" s="92">
        <f>BW50</f>
        <v>786.26148565798121</v>
      </c>
      <c r="BX77" s="92">
        <f>BX50</f>
        <v>-16.768227409449015</v>
      </c>
      <c r="BY77" s="92">
        <f>BY50</f>
        <v>228.98528730973825</v>
      </c>
      <c r="BZ77" s="92">
        <f>BZ50</f>
        <v>212.21705990028923</v>
      </c>
      <c r="CA77" s="91"/>
      <c r="CB77" s="42">
        <f>IF(CC77&gt;0,((1+(CE77/CC77))^(1/($A$101-$A$100))-1)*100,0)</f>
        <v>2.5278948366694864</v>
      </c>
      <c r="CC77" s="92">
        <f>CC50</f>
        <v>257.91842111045776</v>
      </c>
      <c r="CD77" s="92">
        <f>CD50</f>
        <v>-52.179148361626908</v>
      </c>
      <c r="CE77" s="92">
        <f>CE50</f>
        <v>73.138570554183204</v>
      </c>
      <c r="CF77" s="92">
        <f>CF50</f>
        <v>20.959422192556296</v>
      </c>
      <c r="CG77" s="91"/>
      <c r="CH77" s="42">
        <f>IF(CI77&gt;0,((1+(CK77/CI77))^(1/($A$101-$A$100))-1)*100,0)</f>
        <v>2.5655949055339189</v>
      </c>
      <c r="CI77" s="92">
        <f>CI50</f>
        <v>462.50112579230256</v>
      </c>
      <c r="CJ77" s="92">
        <f>CJ50</f>
        <v>18.263082416840735</v>
      </c>
      <c r="CK77" s="92">
        <f>CK50</f>
        <v>133.33911166207648</v>
      </c>
      <c r="CL77" s="92">
        <f>CL50</f>
        <v>151.60219407891722</v>
      </c>
      <c r="CM77" s="92"/>
      <c r="CN77" s="42">
        <f>IF(CO77&gt;0,((1+(CQ77/CO77))^(1/($A$101-$A$100))-1)*100,0)</f>
        <v>2.9840981402702971</v>
      </c>
      <c r="CO77" s="92">
        <f>CO50</f>
        <v>65.841938755220539</v>
      </c>
      <c r="CP77" s="92">
        <f>CP50</f>
        <v>17.147838535337179</v>
      </c>
      <c r="CQ77" s="92">
        <f>CQ50</f>
        <v>22.507605093478684</v>
      </c>
      <c r="CR77" s="92">
        <f>CR50</f>
        <v>39.65544362881586</v>
      </c>
      <c r="CS77" s="91" t="e">
        <f>BU77</f>
        <v>#REF!</v>
      </c>
      <c r="CT77" s="42">
        <f>IF(CU77&gt;0,((1+(CW77/CU77))^(1/($A$101-$A$100))-1)*100,0)</f>
        <v>2.7533233225370157</v>
      </c>
      <c r="CU77" s="92">
        <f>CU50</f>
        <v>463.81185783630696</v>
      </c>
      <c r="CV77" s="92">
        <f>CV50</f>
        <v>59.550337485219423</v>
      </c>
      <c r="CW77" s="92">
        <f>CW50</f>
        <v>144.74423940542175</v>
      </c>
      <c r="CX77" s="92">
        <f>CX50</f>
        <v>204.29457689064117</v>
      </c>
      <c r="CY77" s="91"/>
      <c r="CZ77" s="42">
        <f>IF(DA77&gt;0,((1+(DC77/DA77))^(1/($A$101-$A$100))-1)*100,0)</f>
        <v>2.7273559755584653</v>
      </c>
      <c r="DA77" s="92">
        <f>DA50</f>
        <v>205.71744740256855</v>
      </c>
      <c r="DB77" s="92">
        <f>DB50</f>
        <v>-30.344675713108767</v>
      </c>
      <c r="DC77" s="92">
        <f>DC50</f>
        <v>63.517994559926827</v>
      </c>
      <c r="DD77" s="92">
        <f>DD50</f>
        <v>33.173318846818063</v>
      </c>
      <c r="DE77" s="91"/>
      <c r="DF77" s="42">
        <f>IF(DG77&gt;0,((1+(DI77/DG77))^(1/($A$101-$A$100))-1)*100,0)</f>
        <v>2.7323553670193235</v>
      </c>
      <c r="DG77" s="92">
        <f>DG50</f>
        <v>213.95572846563186</v>
      </c>
      <c r="DH77" s="92">
        <f>DH50</f>
        <v>67.639447401849822</v>
      </c>
      <c r="DI77" s="92">
        <f>DI50</f>
        <v>66.197978077989319</v>
      </c>
      <c r="DJ77" s="92">
        <f>DJ50</f>
        <v>133.83742547983914</v>
      </c>
      <c r="DK77" s="92"/>
      <c r="DL77" s="42">
        <f>IF(DM77&gt;0,((1+(DO77/DM77))^(1/($A$101-$A$100))-1)*100,0)</f>
        <v>2.9736201868302725</v>
      </c>
      <c r="DM77" s="92">
        <f>DM50</f>
        <v>44.13868196810671</v>
      </c>
      <c r="DN77" s="92">
        <f>DN50</f>
        <v>22.25556579647839</v>
      </c>
      <c r="DO77" s="92">
        <f>DO50</f>
        <v>15.028266767505601</v>
      </c>
      <c r="DP77" s="92">
        <f>DP50</f>
        <v>37.283832563983992</v>
      </c>
    </row>
    <row r="79" spans="1:120" x14ac:dyDescent="0.2">
      <c r="A79" s="90" t="str">
        <f ca="1">CELL("filename")</f>
        <v>M:\IE\Projects\Nuffield via NFER AI and automation\Data\Results\Workbooks\NE\[NE_MainTables.Main.xlsm]Manager</v>
      </c>
      <c r="Y79" s="90" t="str">
        <f ca="1">CELL("filename")</f>
        <v>M:\IE\Projects\Nuffield via NFER AI and automation\Data\Results\Workbooks\NE\[NE_MainTables.Main.xlsm]Manager</v>
      </c>
      <c r="AW79" s="90" t="str">
        <f ca="1">CELL("filename")</f>
        <v>M:\IE\Projects\Nuffield via NFER AI and automation\Data\Results\Workbooks\NE\[NE_MainTables.Main.xlsm]Manager</v>
      </c>
      <c r="BU79" s="90" t="str">
        <f ca="1">CELL("filename")</f>
        <v>M:\IE\Projects\Nuffield via NFER AI and automation\Data\Results\Workbooks\NE\[NE_MainTables.Main.xlsm]Manager</v>
      </c>
      <c r="CS79" s="90" t="str">
        <f ca="1">CELL("filename")</f>
        <v>M:\IE\Projects\Nuffield via NFER AI and automation\Data\Results\Workbooks\NE\[NE_MainTables.Main.xlsm]Manager</v>
      </c>
    </row>
    <row r="80" spans="1:120" ht="15.75" x14ac:dyDescent="0.25">
      <c r="A80" s="18" t="str">
        <f>CONCATENATE("Basic Table 5  Replacement Demand, ",A100,"-",A101,", by Industry Sector and Qualification for ",name!$H$3)</f>
        <v>Basic Table 5  Replacement Demand, 2015-2025, by Industry Sector and Qualification for M</v>
      </c>
      <c r="Y80" s="18" t="str">
        <f>CONCATENATE("Basic Table 5  Replacement Demand, ",A100,"-",A101,", by Industry Sector and Qualification for ",name!$H$4)</f>
        <v>Basic Table 5  Replacement Demand, 2015-2025, by Industry Sector and Qualification for F</v>
      </c>
      <c r="AW80" s="18" t="str">
        <f>CONCATENATE("Basic Table 5  Replacement Demand, ",A100,"-",A101,", by Industry Sector and Qualification for ",name!$H$5)</f>
        <v xml:space="preserve">Basic Table 5  Replacement Demand, 2015-2025, by Industry Sector and Qualification for </v>
      </c>
      <c r="BU80" s="18" t="str">
        <f>CONCATENATE("Basic Table 5  Replacement Demand, ",A100,"-",A101,", by Industry Sector and Qualification for ",name!$H$6)</f>
        <v xml:space="preserve">Basic Table 5  Replacement Demand, 2015-2025, by Industry Sector and Qualification for </v>
      </c>
      <c r="CS80" s="18" t="str">
        <f>CONCATENATE("Basic Table 5  Replacement Demand, ",A100,"-",A101,", by Industry Sector and Qualification for ",name!$H$7)</f>
        <v xml:space="preserve">Basic Table 5  Replacement Demand, 2015-2025, by Industry Sector and Qualification for </v>
      </c>
    </row>
    <row r="82" spans="1:120" x14ac:dyDescent="0.2">
      <c r="A82" s="91"/>
      <c r="B82" s="91"/>
      <c r="C82" s="91"/>
      <c r="D82" s="91"/>
      <c r="E82" s="91"/>
      <c r="F82" s="91"/>
      <c r="G82" s="91"/>
      <c r="H82" s="91"/>
      <c r="I82" s="91"/>
      <c r="J82" s="91"/>
      <c r="K82" s="91"/>
      <c r="L82" s="91"/>
      <c r="M82" s="91"/>
      <c r="N82" s="91"/>
      <c r="O82" s="91"/>
      <c r="P82" s="91"/>
      <c r="Q82" s="91"/>
      <c r="R82" s="91"/>
      <c r="S82" s="91"/>
      <c r="T82" s="91"/>
      <c r="U82" s="91"/>
      <c r="V82" s="91"/>
      <c r="W82" s="91"/>
      <c r="X82" s="115" t="str">
        <f>$X$3</f>
        <v>thousands</v>
      </c>
      <c r="Y82" s="91"/>
      <c r="Z82" s="91"/>
      <c r="AA82" s="91"/>
      <c r="AB82" s="91"/>
      <c r="AC82" s="91"/>
      <c r="AD82" s="91"/>
      <c r="AE82" s="91"/>
      <c r="AF82" s="91"/>
      <c r="AG82" s="91"/>
      <c r="AH82" s="91"/>
      <c r="AI82" s="91"/>
      <c r="AJ82" s="91"/>
      <c r="AK82" s="91"/>
      <c r="AL82" s="91"/>
      <c r="AM82" s="91"/>
      <c r="AN82" s="91"/>
      <c r="AO82" s="91"/>
      <c r="AP82" s="91"/>
      <c r="AQ82" s="91"/>
      <c r="AR82" s="91"/>
      <c r="AS82" s="91"/>
      <c r="AT82" s="91"/>
      <c r="AU82" s="91"/>
      <c r="AV82" s="115" t="str">
        <f>$X$3</f>
        <v>thousands</v>
      </c>
      <c r="AW82" s="91"/>
      <c r="AX82" s="91"/>
      <c r="AY82" s="91"/>
      <c r="AZ82" s="91"/>
      <c r="BA82" s="91"/>
      <c r="BB82" s="91"/>
      <c r="BC82" s="91"/>
      <c r="BD82" s="91"/>
      <c r="BE82" s="91"/>
      <c r="BF82" s="91"/>
      <c r="BG82" s="91"/>
      <c r="BH82" s="91"/>
      <c r="BI82" s="91"/>
      <c r="BJ82" s="91"/>
      <c r="BK82" s="91"/>
      <c r="BL82" s="91"/>
      <c r="BM82" s="91"/>
      <c r="BN82" s="91"/>
      <c r="BO82" s="91"/>
      <c r="BP82" s="91"/>
      <c r="BQ82" s="91"/>
      <c r="BR82" s="91"/>
      <c r="BS82" s="91"/>
      <c r="BT82" s="115" t="str">
        <f>$X$3</f>
        <v>thousands</v>
      </c>
      <c r="BU82" s="91"/>
      <c r="BV82" s="91"/>
      <c r="BW82" s="91"/>
      <c r="BX82" s="91"/>
      <c r="BY82" s="91"/>
      <c r="BZ82" s="91"/>
      <c r="CA82" s="91"/>
      <c r="CB82" s="91"/>
      <c r="CC82" s="91"/>
      <c r="CD82" s="91"/>
      <c r="CE82" s="91"/>
      <c r="CF82" s="91"/>
      <c r="CG82" s="91"/>
      <c r="CH82" s="91"/>
      <c r="CI82" s="91"/>
      <c r="CJ82" s="91"/>
      <c r="CK82" s="91"/>
      <c r="CL82" s="91"/>
      <c r="CM82" s="91"/>
      <c r="CN82" s="91"/>
      <c r="CO82" s="91"/>
      <c r="CP82" s="91"/>
      <c r="CQ82" s="91"/>
      <c r="CR82" s="115" t="str">
        <f>$X$3</f>
        <v>thousands</v>
      </c>
      <c r="CS82" s="91"/>
      <c r="CT82" s="91"/>
      <c r="CU82" s="91"/>
      <c r="CV82" s="91"/>
      <c r="CW82" s="91"/>
      <c r="CX82" s="91"/>
      <c r="CY82" s="91"/>
      <c r="CZ82" s="91"/>
      <c r="DA82" s="91"/>
      <c r="DB82" s="91"/>
      <c r="DC82" s="91"/>
      <c r="DD82" s="91"/>
      <c r="DE82" s="91"/>
      <c r="DF82" s="91"/>
      <c r="DG82" s="91"/>
      <c r="DH82" s="91"/>
      <c r="DI82" s="91"/>
      <c r="DJ82" s="91"/>
      <c r="DK82" s="91"/>
      <c r="DL82" s="91"/>
      <c r="DM82" s="91"/>
      <c r="DN82" s="91"/>
      <c r="DO82" s="91"/>
      <c r="DP82" s="115" t="str">
        <f>$X$3</f>
        <v>thousands</v>
      </c>
    </row>
    <row r="83" spans="1:120" x14ac:dyDescent="0.2">
      <c r="B83" s="381" t="str">
        <f>B4</f>
        <v>All qualifications</v>
      </c>
      <c r="C83" s="381"/>
      <c r="D83" s="381"/>
      <c r="E83" s="381"/>
      <c r="F83" s="381"/>
      <c r="G83" s="113"/>
      <c r="H83" s="381" t="str">
        <f>H4</f>
        <v>RQF8 Doctorate</v>
      </c>
      <c r="I83" s="381"/>
      <c r="J83" s="381"/>
      <c r="K83" s="381"/>
      <c r="L83" s="381"/>
      <c r="M83" s="113"/>
      <c r="N83" s="382" t="str">
        <f>N4</f>
        <v>RQF7 Other higher degree</v>
      </c>
      <c r="O83" s="382"/>
      <c r="P83" s="382"/>
      <c r="Q83" s="382"/>
      <c r="R83" s="382"/>
      <c r="S83" s="110"/>
      <c r="T83" s="382" t="str">
        <f>T4</f>
        <v>RQF6 First degree</v>
      </c>
      <c r="U83" s="382"/>
      <c r="V83" s="382"/>
      <c r="W83" s="382"/>
      <c r="X83" s="382"/>
      <c r="Z83" s="381" t="str">
        <f>Z4</f>
        <v>All qualifications</v>
      </c>
      <c r="AA83" s="381"/>
      <c r="AB83" s="381"/>
      <c r="AC83" s="381"/>
      <c r="AD83" s="381"/>
      <c r="AE83" s="113"/>
      <c r="AF83" s="381" t="str">
        <f>AF4</f>
        <v>RQF8 Doctorate</v>
      </c>
      <c r="AG83" s="381"/>
      <c r="AH83" s="381"/>
      <c r="AI83" s="381"/>
      <c r="AJ83" s="381"/>
      <c r="AK83" s="113"/>
      <c r="AL83" s="382" t="str">
        <f>AL4</f>
        <v>RQF7 Other higher degree</v>
      </c>
      <c r="AM83" s="382"/>
      <c r="AN83" s="382"/>
      <c r="AO83" s="382"/>
      <c r="AP83" s="382"/>
      <c r="AQ83" s="110"/>
      <c r="AR83" s="382" t="str">
        <f>AR4</f>
        <v>RQF6 First degree</v>
      </c>
      <c r="AS83" s="382"/>
      <c r="AT83" s="382"/>
      <c r="AU83" s="382"/>
      <c r="AV83" s="382"/>
      <c r="AX83" s="381" t="str">
        <f>AX4</f>
        <v>All qualifications</v>
      </c>
      <c r="AY83" s="381"/>
      <c r="AZ83" s="381"/>
      <c r="BA83" s="381"/>
      <c r="BB83" s="381"/>
      <c r="BC83" s="113"/>
      <c r="BD83" s="381" t="str">
        <f>BD4</f>
        <v>RQF8 Doctorate</v>
      </c>
      <c r="BE83" s="381"/>
      <c r="BF83" s="381"/>
      <c r="BG83" s="381"/>
      <c r="BH83" s="381"/>
      <c r="BI83" s="113"/>
      <c r="BJ83" s="382" t="str">
        <f>BJ4</f>
        <v>RQF7 Other higher degree</v>
      </c>
      <c r="BK83" s="382"/>
      <c r="BL83" s="382"/>
      <c r="BM83" s="382"/>
      <c r="BN83" s="382"/>
      <c r="BO83" s="110"/>
      <c r="BP83" s="382" t="str">
        <f>BP4</f>
        <v>RQF6 First degree</v>
      </c>
      <c r="BQ83" s="382"/>
      <c r="BR83" s="382"/>
      <c r="BS83" s="382"/>
      <c r="BT83" s="382"/>
      <c r="BV83" s="381" t="str">
        <f>BV4</f>
        <v>All qualifications</v>
      </c>
      <c r="BW83" s="381"/>
      <c r="BX83" s="381"/>
      <c r="BY83" s="381"/>
      <c r="BZ83" s="381"/>
      <c r="CA83" s="113"/>
      <c r="CB83" s="381" t="str">
        <f>CB4</f>
        <v>RQF8 Doctorate</v>
      </c>
      <c r="CC83" s="381"/>
      <c r="CD83" s="381"/>
      <c r="CE83" s="381"/>
      <c r="CF83" s="381"/>
      <c r="CG83" s="113"/>
      <c r="CH83" s="382" t="str">
        <f>CH4</f>
        <v>RQF7 Other higher degree</v>
      </c>
      <c r="CI83" s="382"/>
      <c r="CJ83" s="382"/>
      <c r="CK83" s="382"/>
      <c r="CL83" s="382"/>
      <c r="CM83" s="110"/>
      <c r="CN83" s="382" t="str">
        <f>CN4</f>
        <v>RQF6 First degree</v>
      </c>
      <c r="CO83" s="382"/>
      <c r="CP83" s="382"/>
      <c r="CQ83" s="382"/>
      <c r="CR83" s="382"/>
      <c r="CT83" s="381" t="str">
        <f>CT4</f>
        <v>All qualifications</v>
      </c>
      <c r="CU83" s="381"/>
      <c r="CV83" s="381"/>
      <c r="CW83" s="381"/>
      <c r="CX83" s="381"/>
      <c r="CY83" s="113"/>
      <c r="CZ83" s="381" t="str">
        <f>CZ4</f>
        <v>RQF8 Doctorate</v>
      </c>
      <c r="DA83" s="381"/>
      <c r="DB83" s="381"/>
      <c r="DC83" s="381"/>
      <c r="DD83" s="381"/>
      <c r="DE83" s="113"/>
      <c r="DF83" s="382" t="str">
        <f>DF4</f>
        <v>RQF7 Other higher degree</v>
      </c>
      <c r="DG83" s="382"/>
      <c r="DH83" s="382"/>
      <c r="DI83" s="382"/>
      <c r="DJ83" s="382"/>
      <c r="DK83" s="110"/>
      <c r="DL83" s="382" t="str">
        <f>DL4</f>
        <v>RQF6 First degree</v>
      </c>
      <c r="DM83" s="382"/>
      <c r="DN83" s="382"/>
      <c r="DO83" s="382"/>
      <c r="DP83" s="382"/>
    </row>
    <row r="85" spans="1:120" ht="38.25" x14ac:dyDescent="0.2">
      <c r="A85" s="112"/>
      <c r="B85" s="109" t="str">
        <f>B6</f>
        <v>RD p.a%</v>
      </c>
      <c r="C85" s="109" t="str">
        <f>C6</f>
        <v>2015 Level</v>
      </c>
      <c r="D85" s="109" t="str">
        <f>D6</f>
        <v>Net Change</v>
      </c>
      <c r="E85" s="109" t="str">
        <f>E6</f>
        <v>Replace-ment Demand</v>
      </c>
      <c r="F85" s="109" t="str">
        <f>F6</f>
        <v>Total Require-ment</v>
      </c>
      <c r="G85" s="108"/>
      <c r="H85" s="104" t="str">
        <f>B85</f>
        <v>RD p.a%</v>
      </c>
      <c r="I85" s="104" t="str">
        <f>C85</f>
        <v>2015 Level</v>
      </c>
      <c r="J85" s="104" t="str">
        <f>D85</f>
        <v>Net Change</v>
      </c>
      <c r="K85" s="104" t="str">
        <f>E85</f>
        <v>Replace-ment Demand</v>
      </c>
      <c r="L85" s="104" t="str">
        <f>F85</f>
        <v>Total Require-ment</v>
      </c>
      <c r="M85" s="103"/>
      <c r="N85" s="105" t="str">
        <f>H85</f>
        <v>RD p.a%</v>
      </c>
      <c r="O85" s="105" t="str">
        <f>I85</f>
        <v>2015 Level</v>
      </c>
      <c r="P85" s="105" t="str">
        <f>J85</f>
        <v>Net Change</v>
      </c>
      <c r="Q85" s="105" t="str">
        <f>K85</f>
        <v>Replace-ment Demand</v>
      </c>
      <c r="R85" s="105" t="str">
        <f>L85</f>
        <v>Total Require-ment</v>
      </c>
      <c r="S85" s="103"/>
      <c r="T85" s="105" t="str">
        <f>N85</f>
        <v>RD p.a%</v>
      </c>
      <c r="U85" s="105" t="str">
        <f>O85</f>
        <v>2015 Level</v>
      </c>
      <c r="V85" s="105" t="str">
        <f>P85</f>
        <v>Net Change</v>
      </c>
      <c r="W85" s="105" t="str">
        <f>Q85</f>
        <v>Replace-ment Demand</v>
      </c>
      <c r="X85" s="105" t="str">
        <f>R85</f>
        <v>Total Require-ment</v>
      </c>
      <c r="Y85" s="112"/>
      <c r="Z85" s="109" t="str">
        <f>Z6</f>
        <v>RD p.a%</v>
      </c>
      <c r="AA85" s="109" t="str">
        <f>AA6</f>
        <v>2015 Level</v>
      </c>
      <c r="AB85" s="109" t="str">
        <f>AB6</f>
        <v>Net Change</v>
      </c>
      <c r="AC85" s="109" t="str">
        <f>AC6</f>
        <v>Replace-ment Demand</v>
      </c>
      <c r="AD85" s="109" t="str">
        <f>AD6</f>
        <v>Total Require-ment</v>
      </c>
      <c r="AE85" s="108"/>
      <c r="AF85" s="104" t="str">
        <f>Z85</f>
        <v>RD p.a%</v>
      </c>
      <c r="AG85" s="104" t="str">
        <f>AA85</f>
        <v>2015 Level</v>
      </c>
      <c r="AH85" s="104" t="str">
        <f>AB85</f>
        <v>Net Change</v>
      </c>
      <c r="AI85" s="104" t="str">
        <f>AC85</f>
        <v>Replace-ment Demand</v>
      </c>
      <c r="AJ85" s="104" t="str">
        <f>AD85</f>
        <v>Total Require-ment</v>
      </c>
      <c r="AK85" s="103"/>
      <c r="AL85" s="105" t="str">
        <f>AF85</f>
        <v>RD p.a%</v>
      </c>
      <c r="AM85" s="105" t="str">
        <f>AG85</f>
        <v>2015 Level</v>
      </c>
      <c r="AN85" s="105" t="str">
        <f>AH85</f>
        <v>Net Change</v>
      </c>
      <c r="AO85" s="105" t="str">
        <f>AI85</f>
        <v>Replace-ment Demand</v>
      </c>
      <c r="AP85" s="105" t="str">
        <f>AJ85</f>
        <v>Total Require-ment</v>
      </c>
      <c r="AQ85" s="103"/>
      <c r="AR85" s="105" t="str">
        <f>AL85</f>
        <v>RD p.a%</v>
      </c>
      <c r="AS85" s="105" t="str">
        <f>AM85</f>
        <v>2015 Level</v>
      </c>
      <c r="AT85" s="105" t="str">
        <f>AN85</f>
        <v>Net Change</v>
      </c>
      <c r="AU85" s="105" t="str">
        <f>AO85</f>
        <v>Replace-ment Demand</v>
      </c>
      <c r="AV85" s="105" t="str">
        <f>AP85</f>
        <v>Total Require-ment</v>
      </c>
      <c r="AW85" s="112"/>
      <c r="AX85" s="109" t="str">
        <f>AX6</f>
        <v>RD p.a%</v>
      </c>
      <c r="AY85" s="109" t="str">
        <f>AY6</f>
        <v>2015 Level</v>
      </c>
      <c r="AZ85" s="109" t="str">
        <f>AZ6</f>
        <v>Net Change</v>
      </c>
      <c r="BA85" s="109" t="str">
        <f>BA6</f>
        <v>Replace-ment Demand</v>
      </c>
      <c r="BB85" s="109" t="str">
        <f>BB6</f>
        <v>Total Require-ment</v>
      </c>
      <c r="BC85" s="108"/>
      <c r="BD85" s="104" t="str">
        <f>AX85</f>
        <v>RD p.a%</v>
      </c>
      <c r="BE85" s="104" t="str">
        <f>AY85</f>
        <v>2015 Level</v>
      </c>
      <c r="BF85" s="104" t="str">
        <f>AZ85</f>
        <v>Net Change</v>
      </c>
      <c r="BG85" s="104" t="str">
        <f>BA85</f>
        <v>Replace-ment Demand</v>
      </c>
      <c r="BH85" s="104" t="str">
        <f>BB85</f>
        <v>Total Require-ment</v>
      </c>
      <c r="BI85" s="103"/>
      <c r="BJ85" s="105" t="str">
        <f>BD85</f>
        <v>RD p.a%</v>
      </c>
      <c r="BK85" s="105" t="str">
        <f>BE85</f>
        <v>2015 Level</v>
      </c>
      <c r="BL85" s="105" t="str">
        <f>BF85</f>
        <v>Net Change</v>
      </c>
      <c r="BM85" s="105" t="str">
        <f>BG85</f>
        <v>Replace-ment Demand</v>
      </c>
      <c r="BN85" s="105" t="str">
        <f>BH85</f>
        <v>Total Require-ment</v>
      </c>
      <c r="BO85" s="103"/>
      <c r="BP85" s="105" t="str">
        <f>BJ85</f>
        <v>RD p.a%</v>
      </c>
      <c r="BQ85" s="105" t="str">
        <f>BK85</f>
        <v>2015 Level</v>
      </c>
      <c r="BR85" s="105" t="str">
        <f>BL85</f>
        <v>Net Change</v>
      </c>
      <c r="BS85" s="105" t="str">
        <f>BM85</f>
        <v>Replace-ment Demand</v>
      </c>
      <c r="BT85" s="105" t="str">
        <f>BN85</f>
        <v>Total Require-ment</v>
      </c>
      <c r="BU85" s="112"/>
      <c r="BV85" s="109" t="str">
        <f>BV6</f>
        <v>RD p.a%</v>
      </c>
      <c r="BW85" s="109" t="str">
        <f>BW6</f>
        <v>2015 Level</v>
      </c>
      <c r="BX85" s="109" t="str">
        <f>BX6</f>
        <v>Net Change</v>
      </c>
      <c r="BY85" s="109" t="str">
        <f>BY6</f>
        <v>Replace-ment Demand</v>
      </c>
      <c r="BZ85" s="109" t="str">
        <f>BZ6</f>
        <v>Total Require-ment</v>
      </c>
      <c r="CA85" s="108"/>
      <c r="CB85" s="104" t="str">
        <f>BV85</f>
        <v>RD p.a%</v>
      </c>
      <c r="CC85" s="104" t="str">
        <f>BW85</f>
        <v>2015 Level</v>
      </c>
      <c r="CD85" s="104" t="str">
        <f>BX85</f>
        <v>Net Change</v>
      </c>
      <c r="CE85" s="104" t="str">
        <f>BY85</f>
        <v>Replace-ment Demand</v>
      </c>
      <c r="CF85" s="104" t="str">
        <f>BZ85</f>
        <v>Total Require-ment</v>
      </c>
      <c r="CG85" s="103"/>
      <c r="CH85" s="105" t="str">
        <f>CB85</f>
        <v>RD p.a%</v>
      </c>
      <c r="CI85" s="105" t="str">
        <f>CC85</f>
        <v>2015 Level</v>
      </c>
      <c r="CJ85" s="105" t="str">
        <f>CD85</f>
        <v>Net Change</v>
      </c>
      <c r="CK85" s="105" t="str">
        <f>CE85</f>
        <v>Replace-ment Demand</v>
      </c>
      <c r="CL85" s="105" t="str">
        <f>CF85</f>
        <v>Total Require-ment</v>
      </c>
      <c r="CM85" s="103"/>
      <c r="CN85" s="105" t="str">
        <f>CH85</f>
        <v>RD p.a%</v>
      </c>
      <c r="CO85" s="105" t="str">
        <f>CI85</f>
        <v>2015 Level</v>
      </c>
      <c r="CP85" s="105" t="str">
        <f>CJ85</f>
        <v>Net Change</v>
      </c>
      <c r="CQ85" s="105" t="str">
        <f>CK85</f>
        <v>Replace-ment Demand</v>
      </c>
      <c r="CR85" s="105" t="str">
        <f>CL85</f>
        <v>Total Require-ment</v>
      </c>
      <c r="CS85" s="112"/>
      <c r="CT85" s="109" t="str">
        <f>CT6</f>
        <v>RD p.a%</v>
      </c>
      <c r="CU85" s="109" t="str">
        <f>CU6</f>
        <v>2015 Level</v>
      </c>
      <c r="CV85" s="109" t="str">
        <f>CV6</f>
        <v>Net Change</v>
      </c>
      <c r="CW85" s="109" t="str">
        <f>CW6</f>
        <v>Replace-ment Demand</v>
      </c>
      <c r="CX85" s="109" t="str">
        <f>CX6</f>
        <v>Total Require-ment</v>
      </c>
      <c r="CY85" s="108"/>
      <c r="CZ85" s="104" t="str">
        <f>CT85</f>
        <v>RD p.a%</v>
      </c>
      <c r="DA85" s="104" t="str">
        <f>CU85</f>
        <v>2015 Level</v>
      </c>
      <c r="DB85" s="104" t="str">
        <f>CV85</f>
        <v>Net Change</v>
      </c>
      <c r="DC85" s="104" t="str">
        <f>CW85</f>
        <v>Replace-ment Demand</v>
      </c>
      <c r="DD85" s="104" t="str">
        <f>CX85</f>
        <v>Total Require-ment</v>
      </c>
      <c r="DE85" s="103"/>
      <c r="DF85" s="105" t="str">
        <f>CZ85</f>
        <v>RD p.a%</v>
      </c>
      <c r="DG85" s="105" t="str">
        <f>DA85</f>
        <v>2015 Level</v>
      </c>
      <c r="DH85" s="105" t="str">
        <f>DB85</f>
        <v>Net Change</v>
      </c>
      <c r="DI85" s="105" t="str">
        <f>DC85</f>
        <v>Replace-ment Demand</v>
      </c>
      <c r="DJ85" s="105" t="str">
        <f>DD85</f>
        <v>Total Require-ment</v>
      </c>
      <c r="DK85" s="103"/>
      <c r="DL85" s="105" t="str">
        <f>DF85</f>
        <v>RD p.a%</v>
      </c>
      <c r="DM85" s="105" t="str">
        <f>DG85</f>
        <v>2015 Level</v>
      </c>
      <c r="DN85" s="105" t="str">
        <f>DH85</f>
        <v>Net Change</v>
      </c>
      <c r="DO85" s="105" t="str">
        <f>DI85</f>
        <v>Replace-ment Demand</v>
      </c>
      <c r="DP85" s="105" t="str">
        <f>DJ85</f>
        <v>Total Require-ment</v>
      </c>
    </row>
    <row r="87" spans="1:120" x14ac:dyDescent="0.2">
      <c r="A87" s="90" t="str">
        <f>name!C4</f>
        <v>Primary sector and utilities</v>
      </c>
      <c r="B87" s="39" t="e">
        <f t="shared" ref="B87:B94" si="68">IF(C87&gt;0,((1+(E87/C87))^(1/($A$101-$A$100))-1)*100,0)</f>
        <v>#REF!</v>
      </c>
      <c r="C87" s="93" t="e">
        <f t="array" ref="C87:C92">MMULT(aggregation!#REF!,BasicTable5!C8:C48)</f>
        <v>#REF!</v>
      </c>
      <c r="D87" s="93" t="e">
        <f t="array" ref="D87:D92">MMULT(aggregation!#REF!,BasicTable5!D8:D48)</f>
        <v>#REF!</v>
      </c>
      <c r="E87" s="93" t="e">
        <f t="array" ref="E87:E92">MMULT(aggregation!#REF!,BasicTable5!E8:E48)</f>
        <v>#REF!</v>
      </c>
      <c r="F87" s="93" t="e">
        <f t="array" ref="F87:F92">MMULT(aggregation!#REF!,BasicTable5!F8:F48)</f>
        <v>#REF!</v>
      </c>
      <c r="H87" s="39" t="e">
        <f t="shared" ref="H87:H94" si="69">IF(I87&gt;0,((1+(K87/I87))^(1/($A$101-$A$100))-1)*100,0)</f>
        <v>#REF!</v>
      </c>
      <c r="I87" s="93" t="e">
        <f t="array" ref="I87:I92">MMULT(aggregation!#REF!,BasicTable5!I8:I48)</f>
        <v>#REF!</v>
      </c>
      <c r="J87" s="93" t="e">
        <f t="array" ref="J87:J92">MMULT(aggregation!#REF!,BasicTable5!J8:J48)</f>
        <v>#REF!</v>
      </c>
      <c r="K87" s="93" t="e">
        <f t="array" ref="K87:K92">MMULT(aggregation!#REF!,BasicTable5!K8:K48)</f>
        <v>#REF!</v>
      </c>
      <c r="L87" s="93" t="e">
        <f t="array" ref="L87:L92">MMULT(aggregation!#REF!,BasicTable5!L8:L48)</f>
        <v>#REF!</v>
      </c>
      <c r="N87" s="39" t="e">
        <f t="shared" ref="N87:N94" si="70">IF(O87&gt;0,((1+(Q87/O87))^(1/($A$101-$A$100))-1)*100,0)</f>
        <v>#REF!</v>
      </c>
      <c r="O87" s="93" t="e">
        <f t="array" ref="O87:O92">MMULT(aggregation!#REF!,BasicTable5!O8:O48)</f>
        <v>#REF!</v>
      </c>
      <c r="P87" s="93" t="e">
        <f t="array" ref="P87:P92">MMULT(aggregation!#REF!,BasicTable5!P8:P48)</f>
        <v>#REF!</v>
      </c>
      <c r="Q87" s="93" t="e">
        <f t="array" ref="Q87:Q92">MMULT(aggregation!#REF!,BasicTable5!Q8:Q48)</f>
        <v>#REF!</v>
      </c>
      <c r="R87" s="93" t="e">
        <f t="array" ref="R87:R92">MMULT(aggregation!#REF!,BasicTable5!R8:R48)</f>
        <v>#REF!</v>
      </c>
      <c r="S87" s="93"/>
      <c r="T87" s="39" t="e">
        <f t="shared" ref="T87:T94" si="71">IF(U87&gt;0,((1+(W87/U87))^(1/($A$101-$A$100))-1)*100,0)</f>
        <v>#REF!</v>
      </c>
      <c r="U87" s="93" t="e">
        <f t="array" ref="U87:U92">MMULT(aggregation!#REF!,BasicTable5!U8:U48)</f>
        <v>#REF!</v>
      </c>
      <c r="V87" s="93" t="e">
        <f t="array" ref="V87:V92">MMULT(aggregation!#REF!,BasicTable5!V8:V48)</f>
        <v>#REF!</v>
      </c>
      <c r="W87" s="93" t="e">
        <f t="array" ref="W87:W92">MMULT(aggregation!#REF!,BasicTable5!W8:W48)</f>
        <v>#REF!</v>
      </c>
      <c r="X87" s="93" t="e">
        <f t="array" ref="X87:X92">MMULT(aggregation!#REF!,BasicTable5!X8:X48)</f>
        <v>#REF!</v>
      </c>
      <c r="Y87" s="90" t="str">
        <f t="shared" ref="Y87:Y92" si="72">A87</f>
        <v>Primary sector and utilities</v>
      </c>
      <c r="Z87" s="39" t="e">
        <f t="shared" ref="Z87:Z92" si="73">IF(AA87&gt;0,((1+(AC87/AA87))^(1/($A$101-$A$100))-1)*100,0)</f>
        <v>#REF!</v>
      </c>
      <c r="AA87" s="93" t="e">
        <f t="array" ref="AA87:AA92">MMULT(aggregation!#REF!,BasicTable5!AA8:AA48)</f>
        <v>#REF!</v>
      </c>
      <c r="AB87" s="93" t="e">
        <f t="array" ref="AB87:AB92">MMULT(aggregation!#REF!,BasicTable5!AB8:AB48)</f>
        <v>#REF!</v>
      </c>
      <c r="AC87" s="93" t="e">
        <f t="array" ref="AC87:AC92">MMULT(aggregation!#REF!,BasicTable5!AC8:AC48)</f>
        <v>#REF!</v>
      </c>
      <c r="AD87" s="93" t="e">
        <f t="array" ref="AD87:AD92">MMULT(aggregation!#REF!,BasicTable5!AD8:AD48)</f>
        <v>#REF!</v>
      </c>
      <c r="AF87" s="39" t="e">
        <f t="shared" ref="AF87:AF92" si="74">IF(AG87&gt;0,((1+(AI87/AG87))^(1/($A$101-$A$100))-1)*100,0)</f>
        <v>#REF!</v>
      </c>
      <c r="AG87" s="93" t="e">
        <f t="array" ref="AG87:AG92">MMULT(aggregation!#REF!,BasicTable5!AG8:AG48)</f>
        <v>#REF!</v>
      </c>
      <c r="AH87" s="93" t="e">
        <f t="array" ref="AH87:AH92">MMULT(aggregation!#REF!,BasicTable5!AH8:AH48)</f>
        <v>#REF!</v>
      </c>
      <c r="AI87" s="93" t="e">
        <f t="array" ref="AI87:AI92">MMULT(aggregation!#REF!,BasicTable5!AI8:AI48)</f>
        <v>#REF!</v>
      </c>
      <c r="AJ87" s="93" t="e">
        <f t="array" ref="AJ87:AJ92">MMULT(aggregation!#REF!,BasicTable5!AJ8:AJ48)</f>
        <v>#REF!</v>
      </c>
      <c r="AL87" s="39" t="e">
        <f t="shared" ref="AL87:AL92" si="75">IF(AM87&gt;0,((1+(AO87/AM87))^(1/($A$101-$A$100))-1)*100,0)</f>
        <v>#REF!</v>
      </c>
      <c r="AM87" s="93" t="e">
        <f t="array" ref="AM87:AM92">MMULT(aggregation!#REF!,BasicTable5!AM8:AM48)</f>
        <v>#REF!</v>
      </c>
      <c r="AN87" s="93" t="e">
        <f t="array" ref="AN87:AN92">MMULT(aggregation!#REF!,BasicTable5!AN8:AN48)</f>
        <v>#REF!</v>
      </c>
      <c r="AO87" s="93" t="e">
        <f t="array" ref="AO87:AO92">MMULT(aggregation!#REF!,BasicTable5!AO8:AO48)</f>
        <v>#REF!</v>
      </c>
      <c r="AP87" s="93" t="e">
        <f t="array" ref="AP87:AP92">MMULT(aggregation!#REF!,BasicTable5!AP8:AP48)</f>
        <v>#REF!</v>
      </c>
      <c r="AQ87" s="93"/>
      <c r="AR87" s="39" t="e">
        <f t="shared" ref="AR87:AR92" si="76">IF(AS87&gt;0,((1+(AU87/AS87))^(1/($A$101-$A$100))-1)*100,0)</f>
        <v>#REF!</v>
      </c>
      <c r="AS87" s="93" t="e">
        <f t="array" ref="AS87:AS92">MMULT(aggregation!#REF!,BasicTable5!AS8:AS48)</f>
        <v>#REF!</v>
      </c>
      <c r="AT87" s="93" t="e">
        <f t="array" ref="AT87:AT92">MMULT(aggregation!#REF!,BasicTable5!AT8:AT48)</f>
        <v>#REF!</v>
      </c>
      <c r="AU87" s="93" t="e">
        <f t="array" ref="AU87:AU92">MMULT(aggregation!#REF!,BasicTable5!AU8:AU48)</f>
        <v>#REF!</v>
      </c>
      <c r="AV87" s="93" t="e">
        <f t="array" ref="AV87:AV92">MMULT(aggregation!#REF!,BasicTable5!AV8:AV48)</f>
        <v>#REF!</v>
      </c>
      <c r="AW87" s="90" t="str">
        <f t="shared" ref="AW87:AW92" si="77">Y87</f>
        <v>Primary sector and utilities</v>
      </c>
      <c r="AX87" s="39" t="e">
        <f t="shared" ref="AX87:AX92" si="78">IF(AY87&gt;0,((1+(BA87/AY87))^(1/($A$101-$A$100))-1)*100,0)</f>
        <v>#REF!</v>
      </c>
      <c r="AY87" s="93" t="e">
        <f t="array" ref="AY87:AY92">MMULT(aggregation!#REF!,BasicTable5!AY8:AY48)</f>
        <v>#REF!</v>
      </c>
      <c r="AZ87" s="93" t="e">
        <f t="array" ref="AZ87:AZ92">MMULT(aggregation!#REF!,BasicTable5!AZ8:AZ48)</f>
        <v>#REF!</v>
      </c>
      <c r="BA87" s="93" t="e">
        <f t="array" ref="BA87:BA92">MMULT(aggregation!#REF!,BasicTable5!BA8:BA48)</f>
        <v>#REF!</v>
      </c>
      <c r="BB87" s="93" t="e">
        <f t="array" ref="BB87:BB92">MMULT(aggregation!#REF!,BasicTable5!BB8:BB48)</f>
        <v>#REF!</v>
      </c>
      <c r="BD87" s="39" t="e">
        <f t="shared" ref="BD87:BD92" si="79">IF(BE87&gt;0,((1+(BG87/BE87))^(1/($A$101-$A$100))-1)*100,0)</f>
        <v>#REF!</v>
      </c>
      <c r="BE87" s="93" t="e">
        <f t="array" ref="BE87:BE92">MMULT(aggregation!#REF!,BasicTable5!BE8:BE48)</f>
        <v>#REF!</v>
      </c>
      <c r="BF87" s="93" t="e">
        <f t="array" ref="BF87:BF92">MMULT(aggregation!#REF!,BasicTable5!BF8:BF48)</f>
        <v>#REF!</v>
      </c>
      <c r="BG87" s="93" t="e">
        <f t="array" ref="BG87:BG92">MMULT(aggregation!#REF!,BasicTable5!BG8:BG48)</f>
        <v>#REF!</v>
      </c>
      <c r="BH87" s="93" t="e">
        <f t="array" ref="BH87:BH92">MMULT(aggregation!#REF!,BasicTable5!BH8:BH48)</f>
        <v>#REF!</v>
      </c>
      <c r="BJ87" s="39" t="e">
        <f t="shared" ref="BJ87:BJ92" si="80">IF(BK87&gt;0,((1+(BM87/BK87))^(1/($A$101-$A$100))-1)*100,0)</f>
        <v>#REF!</v>
      </c>
      <c r="BK87" s="93" t="e">
        <f t="array" ref="BK87:BK92">MMULT(aggregation!#REF!,BasicTable5!BK8:BK48)</f>
        <v>#REF!</v>
      </c>
      <c r="BL87" s="93" t="e">
        <f t="array" ref="BL87:BL92">MMULT(aggregation!#REF!,BasicTable5!BL8:BL48)</f>
        <v>#REF!</v>
      </c>
      <c r="BM87" s="93" t="e">
        <f t="array" ref="BM87:BM92">MMULT(aggregation!#REF!,BasicTable5!BM8:BM48)</f>
        <v>#REF!</v>
      </c>
      <c r="BN87" s="93" t="e">
        <f t="array" ref="BN87:BN92">MMULT(aggregation!#REF!,BasicTable5!BN8:BN48)</f>
        <v>#REF!</v>
      </c>
      <c r="BO87" s="93"/>
      <c r="BP87" s="39" t="e">
        <f t="shared" ref="BP87:BP92" si="81">IF(BQ87&gt;0,((1+(BS87/BQ87))^(1/($A$101-$A$100))-1)*100,0)</f>
        <v>#REF!</v>
      </c>
      <c r="BQ87" s="93" t="e">
        <f t="array" ref="BQ87:BQ92">MMULT(aggregation!#REF!,BasicTable5!BQ8:BQ48)</f>
        <v>#REF!</v>
      </c>
      <c r="BR87" s="93" t="e">
        <f t="array" ref="BR87:BR92">MMULT(aggregation!#REF!,BasicTable5!BR8:BR48)</f>
        <v>#REF!</v>
      </c>
      <c r="BS87" s="93" t="e">
        <f t="array" ref="BS87:BS92">MMULT(aggregation!#REF!,BasicTable5!BS8:BS48)</f>
        <v>#REF!</v>
      </c>
      <c r="BT87" s="93" t="e">
        <f t="array" ref="BT87:BT92">MMULT(aggregation!#REF!,BasicTable5!BT8:BT48)</f>
        <v>#REF!</v>
      </c>
      <c r="BU87" s="90" t="str">
        <f t="shared" ref="BU87:BU92" si="82">AW87</f>
        <v>Primary sector and utilities</v>
      </c>
      <c r="BV87" s="39" t="e">
        <f t="shared" ref="BV87:BV92" si="83">IF(BW87&gt;0,((1+(BY87/BW87))^(1/($A$101-$A$100))-1)*100,0)</f>
        <v>#REF!</v>
      </c>
      <c r="BW87" s="93" t="e">
        <f t="array" ref="BW87:BW92">MMULT(aggregation!#REF!,BasicTable5!BW8:BW48)</f>
        <v>#REF!</v>
      </c>
      <c r="BX87" s="93" t="e">
        <f t="array" ref="BX87:BX92">MMULT(aggregation!#REF!,BasicTable5!BX8:BX48)</f>
        <v>#REF!</v>
      </c>
      <c r="BY87" s="93" t="e">
        <f t="array" ref="BY87:BY92">MMULT(aggregation!#REF!,BasicTable5!BY8:BY48)</f>
        <v>#REF!</v>
      </c>
      <c r="BZ87" s="93" t="e">
        <f t="array" ref="BZ87:BZ92">MMULT(aggregation!#REF!,BasicTable5!BZ8:BZ48)</f>
        <v>#REF!</v>
      </c>
      <c r="CB87" s="39" t="e">
        <f t="shared" ref="CB87:CB92" si="84">IF(CC87&gt;0,((1+(CE87/CC87))^(1/($A$101-$A$100))-1)*100,0)</f>
        <v>#REF!</v>
      </c>
      <c r="CC87" s="93" t="e">
        <f t="array" ref="CC87:CC92">MMULT(aggregation!#REF!,BasicTable5!CC8:CC48)</f>
        <v>#REF!</v>
      </c>
      <c r="CD87" s="93" t="e">
        <f t="array" ref="CD87:CD92">MMULT(aggregation!#REF!,BasicTable5!CD8:CD48)</f>
        <v>#REF!</v>
      </c>
      <c r="CE87" s="93" t="e">
        <f t="array" ref="CE87:CE92">MMULT(aggregation!#REF!,BasicTable5!CE8:CE48)</f>
        <v>#REF!</v>
      </c>
      <c r="CF87" s="93" t="e">
        <f t="array" ref="CF87:CF92">MMULT(aggregation!#REF!,BasicTable5!CF8:CF48)</f>
        <v>#REF!</v>
      </c>
      <c r="CH87" s="39" t="e">
        <f t="shared" ref="CH87:CH92" si="85">IF(CI87&gt;0,((1+(CK87/CI87))^(1/($A$101-$A$100))-1)*100,0)</f>
        <v>#REF!</v>
      </c>
      <c r="CI87" s="93" t="e">
        <f t="array" ref="CI87:CI92">MMULT(aggregation!#REF!,BasicTable5!CI8:CI48)</f>
        <v>#REF!</v>
      </c>
      <c r="CJ87" s="93" t="e">
        <f t="array" ref="CJ87:CJ92">MMULT(aggregation!#REF!,BasicTable5!CJ8:CJ48)</f>
        <v>#REF!</v>
      </c>
      <c r="CK87" s="93" t="e">
        <f t="array" ref="CK87:CK92">MMULT(aggregation!#REF!,BasicTable5!CK8:CK48)</f>
        <v>#REF!</v>
      </c>
      <c r="CL87" s="93" t="e">
        <f t="array" ref="CL87:CL92">MMULT(aggregation!#REF!,BasicTable5!CL8:CL48)</f>
        <v>#REF!</v>
      </c>
      <c r="CM87" s="93"/>
      <c r="CN87" s="39" t="e">
        <f t="shared" ref="CN87:CN92" si="86">IF(CO87&gt;0,((1+(CQ87/CO87))^(1/($A$101-$A$100))-1)*100,0)</f>
        <v>#REF!</v>
      </c>
      <c r="CO87" s="93" t="e">
        <f t="array" ref="CO87:CO92">MMULT(aggregation!#REF!,BasicTable5!CO8:CO48)</f>
        <v>#REF!</v>
      </c>
      <c r="CP87" s="93" t="e">
        <f t="array" ref="CP87:CP92">MMULT(aggregation!#REF!,BasicTable5!CP8:CP48)</f>
        <v>#REF!</v>
      </c>
      <c r="CQ87" s="93" t="e">
        <f t="array" ref="CQ87:CQ92">MMULT(aggregation!#REF!,BasicTable5!CQ8:CQ48)</f>
        <v>#REF!</v>
      </c>
      <c r="CR87" s="93" t="e">
        <f t="array" ref="CR87:CR92">MMULT(aggregation!#REF!,BasicTable5!CR8:CR48)</f>
        <v>#REF!</v>
      </c>
      <c r="CS87" s="90" t="str">
        <f t="shared" ref="CS87:CS92" si="87">BU87</f>
        <v>Primary sector and utilities</v>
      </c>
      <c r="CT87" s="39" t="e">
        <f t="shared" ref="CT87:CT92" si="88">IF(CU87&gt;0,((1+(CW87/CU87))^(1/($A$101-$A$100))-1)*100,0)</f>
        <v>#REF!</v>
      </c>
      <c r="CU87" s="93" t="e">
        <f t="array" ref="CU87:CU92">MMULT(aggregation!#REF!,BasicTable5!CU8:CU48)</f>
        <v>#REF!</v>
      </c>
      <c r="CV87" s="93" t="e">
        <f t="array" ref="CV87:CV92">MMULT(aggregation!#REF!,BasicTable5!CV8:CV48)</f>
        <v>#REF!</v>
      </c>
      <c r="CW87" s="93" t="e">
        <f t="array" ref="CW87:CW92">MMULT(aggregation!#REF!,BasicTable5!CW8:CW48)</f>
        <v>#REF!</v>
      </c>
      <c r="CX87" s="93" t="e">
        <f t="array" ref="CX87:CX92">MMULT(aggregation!#REF!,BasicTable5!CX8:CX48)</f>
        <v>#REF!</v>
      </c>
      <c r="CZ87" s="39" t="e">
        <f t="shared" ref="CZ87:CZ92" si="89">IF(DA87&gt;0,((1+(DC87/DA87))^(1/($A$101-$A$100))-1)*100,0)</f>
        <v>#REF!</v>
      </c>
      <c r="DA87" s="93" t="e">
        <f t="array" ref="DA87:DA92">MMULT(aggregation!#REF!,BasicTable5!DA8:DA48)</f>
        <v>#REF!</v>
      </c>
      <c r="DB87" s="93" t="e">
        <f t="array" ref="DB87:DB92">MMULT(aggregation!#REF!,BasicTable5!DB8:DB48)</f>
        <v>#REF!</v>
      </c>
      <c r="DC87" s="93" t="e">
        <f t="array" ref="DC87:DC92">MMULT(aggregation!#REF!,BasicTable5!DC8:DC48)</f>
        <v>#REF!</v>
      </c>
      <c r="DD87" s="93" t="e">
        <f t="array" ref="DD87:DD92">MMULT(aggregation!#REF!,BasicTable5!DD8:DD48)</f>
        <v>#REF!</v>
      </c>
      <c r="DF87" s="39" t="e">
        <f t="shared" ref="DF87:DF92" si="90">IF(DG87&gt;0,((1+(DI87/DG87))^(1/($A$101-$A$100))-1)*100,0)</f>
        <v>#REF!</v>
      </c>
      <c r="DG87" s="93" t="e">
        <f t="array" ref="DG87:DG92">MMULT(aggregation!#REF!,BasicTable5!DG8:DG48)</f>
        <v>#REF!</v>
      </c>
      <c r="DH87" s="93" t="e">
        <f t="array" ref="DH87:DH92">MMULT(aggregation!#REF!,BasicTable5!DH8:DH48)</f>
        <v>#REF!</v>
      </c>
      <c r="DI87" s="93" t="e">
        <f t="array" ref="DI87:DI92">MMULT(aggregation!#REF!,BasicTable5!DI8:DI48)</f>
        <v>#REF!</v>
      </c>
      <c r="DJ87" s="93" t="e">
        <f t="array" ref="DJ87:DJ92">MMULT(aggregation!#REF!,BasicTable5!DJ8:DJ48)</f>
        <v>#REF!</v>
      </c>
      <c r="DK87" s="93"/>
      <c r="DL87" s="39" t="e">
        <f t="shared" ref="DL87:DL92" si="91">IF(DM87&gt;0,((1+(DO87/DM87))^(1/($A$101-$A$100))-1)*100,0)</f>
        <v>#REF!</v>
      </c>
      <c r="DM87" s="93" t="e">
        <f t="array" ref="DM87:DM92">MMULT(aggregation!#REF!,BasicTable5!DM8:DM48)</f>
        <v>#REF!</v>
      </c>
      <c r="DN87" s="93" t="e">
        <f t="array" ref="DN87:DN92">MMULT(aggregation!#REF!,BasicTable5!DN8:DN48)</f>
        <v>#REF!</v>
      </c>
      <c r="DO87" s="93" t="e">
        <f t="array" ref="DO87:DO92">MMULT(aggregation!#REF!,BasicTable5!DO8:DO48)</f>
        <v>#REF!</v>
      </c>
      <c r="DP87" s="93" t="e">
        <f t="array" ref="DP87:DP92">MMULT(aggregation!#REF!,BasicTable5!DP8:DP48)</f>
        <v>#REF!</v>
      </c>
    </row>
    <row r="88" spans="1:120" x14ac:dyDescent="0.2">
      <c r="A88" s="90" t="str">
        <f>name!C5</f>
        <v>Manufacturing</v>
      </c>
      <c r="B88" s="39" t="e">
        <f t="shared" si="68"/>
        <v>#REF!</v>
      </c>
      <c r="C88" s="93" t="e">
        <v>#REF!</v>
      </c>
      <c r="D88" s="93" t="e">
        <v>#REF!</v>
      </c>
      <c r="E88" s="93" t="e">
        <v>#REF!</v>
      </c>
      <c r="F88" s="93" t="e">
        <v>#REF!</v>
      </c>
      <c r="H88" s="39" t="e">
        <f t="shared" si="69"/>
        <v>#REF!</v>
      </c>
      <c r="I88" s="93" t="e">
        <v>#REF!</v>
      </c>
      <c r="J88" s="93" t="e">
        <v>#REF!</v>
      </c>
      <c r="K88" s="93" t="e">
        <v>#REF!</v>
      </c>
      <c r="L88" s="93" t="e">
        <v>#REF!</v>
      </c>
      <c r="N88" s="39" t="e">
        <f t="shared" si="70"/>
        <v>#REF!</v>
      </c>
      <c r="O88" s="93" t="e">
        <v>#REF!</v>
      </c>
      <c r="P88" s="93" t="e">
        <v>#REF!</v>
      </c>
      <c r="Q88" s="93" t="e">
        <v>#REF!</v>
      </c>
      <c r="R88" s="93" t="e">
        <v>#REF!</v>
      </c>
      <c r="S88" s="93"/>
      <c r="T88" s="39" t="e">
        <f t="shared" si="71"/>
        <v>#REF!</v>
      </c>
      <c r="U88" s="93" t="e">
        <v>#REF!</v>
      </c>
      <c r="V88" s="93" t="e">
        <v>#REF!</v>
      </c>
      <c r="W88" s="93" t="e">
        <v>#REF!</v>
      </c>
      <c r="X88" s="93" t="e">
        <v>#REF!</v>
      </c>
      <c r="Y88" s="90" t="str">
        <f t="shared" si="72"/>
        <v>Manufacturing</v>
      </c>
      <c r="Z88" s="39" t="e">
        <f t="shared" si="73"/>
        <v>#REF!</v>
      </c>
      <c r="AA88" s="93" t="e">
        <v>#REF!</v>
      </c>
      <c r="AB88" s="93" t="e">
        <v>#REF!</v>
      </c>
      <c r="AC88" s="93" t="e">
        <v>#REF!</v>
      </c>
      <c r="AD88" s="93" t="e">
        <v>#REF!</v>
      </c>
      <c r="AF88" s="39" t="e">
        <f t="shared" si="74"/>
        <v>#REF!</v>
      </c>
      <c r="AG88" s="93" t="e">
        <v>#REF!</v>
      </c>
      <c r="AH88" s="93" t="e">
        <v>#REF!</v>
      </c>
      <c r="AI88" s="93" t="e">
        <v>#REF!</v>
      </c>
      <c r="AJ88" s="93" t="e">
        <v>#REF!</v>
      </c>
      <c r="AL88" s="39" t="e">
        <f t="shared" si="75"/>
        <v>#REF!</v>
      </c>
      <c r="AM88" s="93" t="e">
        <v>#REF!</v>
      </c>
      <c r="AN88" s="93" t="e">
        <v>#REF!</v>
      </c>
      <c r="AO88" s="93" t="e">
        <v>#REF!</v>
      </c>
      <c r="AP88" s="93" t="e">
        <v>#REF!</v>
      </c>
      <c r="AQ88" s="93"/>
      <c r="AR88" s="39" t="e">
        <f t="shared" si="76"/>
        <v>#REF!</v>
      </c>
      <c r="AS88" s="93" t="e">
        <v>#REF!</v>
      </c>
      <c r="AT88" s="93" t="e">
        <v>#REF!</v>
      </c>
      <c r="AU88" s="93" t="e">
        <v>#REF!</v>
      </c>
      <c r="AV88" s="93" t="e">
        <v>#REF!</v>
      </c>
      <c r="AW88" s="90" t="str">
        <f t="shared" si="77"/>
        <v>Manufacturing</v>
      </c>
      <c r="AX88" s="39" t="e">
        <f t="shared" si="78"/>
        <v>#REF!</v>
      </c>
      <c r="AY88" s="93" t="e">
        <v>#REF!</v>
      </c>
      <c r="AZ88" s="93" t="e">
        <v>#REF!</v>
      </c>
      <c r="BA88" s="93" t="e">
        <v>#REF!</v>
      </c>
      <c r="BB88" s="93" t="e">
        <v>#REF!</v>
      </c>
      <c r="BD88" s="39" t="e">
        <f t="shared" si="79"/>
        <v>#REF!</v>
      </c>
      <c r="BE88" s="93" t="e">
        <v>#REF!</v>
      </c>
      <c r="BF88" s="93" t="e">
        <v>#REF!</v>
      </c>
      <c r="BG88" s="93" t="e">
        <v>#REF!</v>
      </c>
      <c r="BH88" s="93" t="e">
        <v>#REF!</v>
      </c>
      <c r="BJ88" s="39" t="e">
        <f t="shared" si="80"/>
        <v>#REF!</v>
      </c>
      <c r="BK88" s="93" t="e">
        <v>#REF!</v>
      </c>
      <c r="BL88" s="93" t="e">
        <v>#REF!</v>
      </c>
      <c r="BM88" s="93" t="e">
        <v>#REF!</v>
      </c>
      <c r="BN88" s="93" t="e">
        <v>#REF!</v>
      </c>
      <c r="BO88" s="93"/>
      <c r="BP88" s="39" t="e">
        <f t="shared" si="81"/>
        <v>#REF!</v>
      </c>
      <c r="BQ88" s="93" t="e">
        <v>#REF!</v>
      </c>
      <c r="BR88" s="93" t="e">
        <v>#REF!</v>
      </c>
      <c r="BS88" s="93" t="e">
        <v>#REF!</v>
      </c>
      <c r="BT88" s="93" t="e">
        <v>#REF!</v>
      </c>
      <c r="BU88" s="90" t="str">
        <f t="shared" si="82"/>
        <v>Manufacturing</v>
      </c>
      <c r="BV88" s="39" t="e">
        <f t="shared" si="83"/>
        <v>#REF!</v>
      </c>
      <c r="BW88" s="93" t="e">
        <v>#REF!</v>
      </c>
      <c r="BX88" s="93" t="e">
        <v>#REF!</v>
      </c>
      <c r="BY88" s="93" t="e">
        <v>#REF!</v>
      </c>
      <c r="BZ88" s="93" t="e">
        <v>#REF!</v>
      </c>
      <c r="CB88" s="39" t="e">
        <f t="shared" si="84"/>
        <v>#REF!</v>
      </c>
      <c r="CC88" s="93" t="e">
        <v>#REF!</v>
      </c>
      <c r="CD88" s="93" t="e">
        <v>#REF!</v>
      </c>
      <c r="CE88" s="93" t="e">
        <v>#REF!</v>
      </c>
      <c r="CF88" s="93" t="e">
        <v>#REF!</v>
      </c>
      <c r="CH88" s="39" t="e">
        <f t="shared" si="85"/>
        <v>#REF!</v>
      </c>
      <c r="CI88" s="93" t="e">
        <v>#REF!</v>
      </c>
      <c r="CJ88" s="93" t="e">
        <v>#REF!</v>
      </c>
      <c r="CK88" s="93" t="e">
        <v>#REF!</v>
      </c>
      <c r="CL88" s="93" t="e">
        <v>#REF!</v>
      </c>
      <c r="CM88" s="93"/>
      <c r="CN88" s="39" t="e">
        <f t="shared" si="86"/>
        <v>#REF!</v>
      </c>
      <c r="CO88" s="93" t="e">
        <v>#REF!</v>
      </c>
      <c r="CP88" s="93" t="e">
        <v>#REF!</v>
      </c>
      <c r="CQ88" s="93" t="e">
        <v>#REF!</v>
      </c>
      <c r="CR88" s="93" t="e">
        <v>#REF!</v>
      </c>
      <c r="CS88" s="90" t="str">
        <f t="shared" si="87"/>
        <v>Manufacturing</v>
      </c>
      <c r="CT88" s="39" t="e">
        <f t="shared" si="88"/>
        <v>#REF!</v>
      </c>
      <c r="CU88" s="93" t="e">
        <v>#REF!</v>
      </c>
      <c r="CV88" s="93" t="e">
        <v>#REF!</v>
      </c>
      <c r="CW88" s="93" t="e">
        <v>#REF!</v>
      </c>
      <c r="CX88" s="93" t="e">
        <v>#REF!</v>
      </c>
      <c r="CZ88" s="39" t="e">
        <f t="shared" si="89"/>
        <v>#REF!</v>
      </c>
      <c r="DA88" s="93" t="e">
        <v>#REF!</v>
      </c>
      <c r="DB88" s="93" t="e">
        <v>#REF!</v>
      </c>
      <c r="DC88" s="93" t="e">
        <v>#REF!</v>
      </c>
      <c r="DD88" s="93" t="e">
        <v>#REF!</v>
      </c>
      <c r="DF88" s="39" t="e">
        <f t="shared" si="90"/>
        <v>#REF!</v>
      </c>
      <c r="DG88" s="93" t="e">
        <v>#REF!</v>
      </c>
      <c r="DH88" s="93" t="e">
        <v>#REF!</v>
      </c>
      <c r="DI88" s="93" t="e">
        <v>#REF!</v>
      </c>
      <c r="DJ88" s="93" t="e">
        <v>#REF!</v>
      </c>
      <c r="DK88" s="93"/>
      <c r="DL88" s="39" t="e">
        <f t="shared" si="91"/>
        <v>#REF!</v>
      </c>
      <c r="DM88" s="93" t="e">
        <v>#REF!</v>
      </c>
      <c r="DN88" s="93" t="e">
        <v>#REF!</v>
      </c>
      <c r="DO88" s="93" t="e">
        <v>#REF!</v>
      </c>
      <c r="DP88" s="93" t="e">
        <v>#REF!</v>
      </c>
    </row>
    <row r="89" spans="1:120" x14ac:dyDescent="0.2">
      <c r="A89" s="90" t="str">
        <f>name!C6</f>
        <v>Construction</v>
      </c>
      <c r="B89" s="39" t="e">
        <f t="shared" si="68"/>
        <v>#REF!</v>
      </c>
      <c r="C89" s="93" t="e">
        <v>#REF!</v>
      </c>
      <c r="D89" s="93" t="e">
        <v>#REF!</v>
      </c>
      <c r="E89" s="93" t="e">
        <v>#REF!</v>
      </c>
      <c r="F89" s="93" t="e">
        <v>#REF!</v>
      </c>
      <c r="H89" s="39" t="e">
        <f t="shared" si="69"/>
        <v>#REF!</v>
      </c>
      <c r="I89" s="93" t="e">
        <v>#REF!</v>
      </c>
      <c r="J89" s="93" t="e">
        <v>#REF!</v>
      </c>
      <c r="K89" s="93" t="e">
        <v>#REF!</v>
      </c>
      <c r="L89" s="93" t="e">
        <v>#REF!</v>
      </c>
      <c r="N89" s="39" t="e">
        <f t="shared" si="70"/>
        <v>#REF!</v>
      </c>
      <c r="O89" s="93" t="e">
        <v>#REF!</v>
      </c>
      <c r="P89" s="93" t="e">
        <v>#REF!</v>
      </c>
      <c r="Q89" s="93" t="e">
        <v>#REF!</v>
      </c>
      <c r="R89" s="93" t="e">
        <v>#REF!</v>
      </c>
      <c r="S89" s="93"/>
      <c r="T89" s="39" t="e">
        <f t="shared" si="71"/>
        <v>#REF!</v>
      </c>
      <c r="U89" s="93" t="e">
        <v>#REF!</v>
      </c>
      <c r="V89" s="93" t="e">
        <v>#REF!</v>
      </c>
      <c r="W89" s="93" t="e">
        <v>#REF!</v>
      </c>
      <c r="X89" s="93" t="e">
        <v>#REF!</v>
      </c>
      <c r="Y89" s="90" t="str">
        <f t="shared" si="72"/>
        <v>Construction</v>
      </c>
      <c r="Z89" s="39" t="e">
        <f t="shared" si="73"/>
        <v>#REF!</v>
      </c>
      <c r="AA89" s="93" t="e">
        <v>#REF!</v>
      </c>
      <c r="AB89" s="93" t="e">
        <v>#REF!</v>
      </c>
      <c r="AC89" s="93" t="e">
        <v>#REF!</v>
      </c>
      <c r="AD89" s="93" t="e">
        <v>#REF!</v>
      </c>
      <c r="AF89" s="39" t="e">
        <f t="shared" si="74"/>
        <v>#REF!</v>
      </c>
      <c r="AG89" s="93" t="e">
        <v>#REF!</v>
      </c>
      <c r="AH89" s="93" t="e">
        <v>#REF!</v>
      </c>
      <c r="AI89" s="93" t="e">
        <v>#REF!</v>
      </c>
      <c r="AJ89" s="93" t="e">
        <v>#REF!</v>
      </c>
      <c r="AL89" s="39" t="e">
        <f t="shared" si="75"/>
        <v>#REF!</v>
      </c>
      <c r="AM89" s="93" t="e">
        <v>#REF!</v>
      </c>
      <c r="AN89" s="93" t="e">
        <v>#REF!</v>
      </c>
      <c r="AO89" s="93" t="e">
        <v>#REF!</v>
      </c>
      <c r="AP89" s="93" t="e">
        <v>#REF!</v>
      </c>
      <c r="AQ89" s="93"/>
      <c r="AR89" s="39" t="e">
        <f t="shared" si="76"/>
        <v>#REF!</v>
      </c>
      <c r="AS89" s="93" t="e">
        <v>#REF!</v>
      </c>
      <c r="AT89" s="93" t="e">
        <v>#REF!</v>
      </c>
      <c r="AU89" s="93" t="e">
        <v>#REF!</v>
      </c>
      <c r="AV89" s="93" t="e">
        <v>#REF!</v>
      </c>
      <c r="AW89" s="90" t="str">
        <f t="shared" si="77"/>
        <v>Construction</v>
      </c>
      <c r="AX89" s="39" t="e">
        <f t="shared" si="78"/>
        <v>#REF!</v>
      </c>
      <c r="AY89" s="93" t="e">
        <v>#REF!</v>
      </c>
      <c r="AZ89" s="93" t="e">
        <v>#REF!</v>
      </c>
      <c r="BA89" s="93" t="e">
        <v>#REF!</v>
      </c>
      <c r="BB89" s="93" t="e">
        <v>#REF!</v>
      </c>
      <c r="BD89" s="39" t="e">
        <f t="shared" si="79"/>
        <v>#REF!</v>
      </c>
      <c r="BE89" s="93" t="e">
        <v>#REF!</v>
      </c>
      <c r="BF89" s="93" t="e">
        <v>#REF!</v>
      </c>
      <c r="BG89" s="93" t="e">
        <v>#REF!</v>
      </c>
      <c r="BH89" s="93" t="e">
        <v>#REF!</v>
      </c>
      <c r="BJ89" s="39" t="e">
        <f t="shared" si="80"/>
        <v>#REF!</v>
      </c>
      <c r="BK89" s="93" t="e">
        <v>#REF!</v>
      </c>
      <c r="BL89" s="93" t="e">
        <v>#REF!</v>
      </c>
      <c r="BM89" s="93" t="e">
        <v>#REF!</v>
      </c>
      <c r="BN89" s="93" t="e">
        <v>#REF!</v>
      </c>
      <c r="BO89" s="93"/>
      <c r="BP89" s="39" t="e">
        <f t="shared" si="81"/>
        <v>#REF!</v>
      </c>
      <c r="BQ89" s="93" t="e">
        <v>#REF!</v>
      </c>
      <c r="BR89" s="93" t="e">
        <v>#REF!</v>
      </c>
      <c r="BS89" s="93" t="e">
        <v>#REF!</v>
      </c>
      <c r="BT89" s="93" t="e">
        <v>#REF!</v>
      </c>
      <c r="BU89" s="90" t="str">
        <f t="shared" si="82"/>
        <v>Construction</v>
      </c>
      <c r="BV89" s="39" t="e">
        <f t="shared" si="83"/>
        <v>#REF!</v>
      </c>
      <c r="BW89" s="93" t="e">
        <v>#REF!</v>
      </c>
      <c r="BX89" s="93" t="e">
        <v>#REF!</v>
      </c>
      <c r="BY89" s="93" t="e">
        <v>#REF!</v>
      </c>
      <c r="BZ89" s="93" t="e">
        <v>#REF!</v>
      </c>
      <c r="CB89" s="39" t="e">
        <f t="shared" si="84"/>
        <v>#REF!</v>
      </c>
      <c r="CC89" s="93" t="e">
        <v>#REF!</v>
      </c>
      <c r="CD89" s="93" t="e">
        <v>#REF!</v>
      </c>
      <c r="CE89" s="93" t="e">
        <v>#REF!</v>
      </c>
      <c r="CF89" s="93" t="e">
        <v>#REF!</v>
      </c>
      <c r="CH89" s="39" t="e">
        <f t="shared" si="85"/>
        <v>#REF!</v>
      </c>
      <c r="CI89" s="93" t="e">
        <v>#REF!</v>
      </c>
      <c r="CJ89" s="93" t="e">
        <v>#REF!</v>
      </c>
      <c r="CK89" s="93" t="e">
        <v>#REF!</v>
      </c>
      <c r="CL89" s="93" t="e">
        <v>#REF!</v>
      </c>
      <c r="CM89" s="93"/>
      <c r="CN89" s="39" t="e">
        <f t="shared" si="86"/>
        <v>#REF!</v>
      </c>
      <c r="CO89" s="93" t="e">
        <v>#REF!</v>
      </c>
      <c r="CP89" s="93" t="e">
        <v>#REF!</v>
      </c>
      <c r="CQ89" s="93" t="e">
        <v>#REF!</v>
      </c>
      <c r="CR89" s="93" t="e">
        <v>#REF!</v>
      </c>
      <c r="CS89" s="90" t="str">
        <f t="shared" si="87"/>
        <v>Construction</v>
      </c>
      <c r="CT89" s="39" t="e">
        <f t="shared" si="88"/>
        <v>#REF!</v>
      </c>
      <c r="CU89" s="93" t="e">
        <v>#REF!</v>
      </c>
      <c r="CV89" s="93" t="e">
        <v>#REF!</v>
      </c>
      <c r="CW89" s="93" t="e">
        <v>#REF!</v>
      </c>
      <c r="CX89" s="93" t="e">
        <v>#REF!</v>
      </c>
      <c r="CZ89" s="39" t="e">
        <f t="shared" si="89"/>
        <v>#REF!</v>
      </c>
      <c r="DA89" s="93" t="e">
        <v>#REF!</v>
      </c>
      <c r="DB89" s="93" t="e">
        <v>#REF!</v>
      </c>
      <c r="DC89" s="93" t="e">
        <v>#REF!</v>
      </c>
      <c r="DD89" s="93" t="e">
        <v>#REF!</v>
      </c>
      <c r="DF89" s="39" t="e">
        <f t="shared" si="90"/>
        <v>#REF!</v>
      </c>
      <c r="DG89" s="93" t="e">
        <v>#REF!</v>
      </c>
      <c r="DH89" s="93" t="e">
        <v>#REF!</v>
      </c>
      <c r="DI89" s="93" t="e">
        <v>#REF!</v>
      </c>
      <c r="DJ89" s="93" t="e">
        <v>#REF!</v>
      </c>
      <c r="DK89" s="93"/>
      <c r="DL89" s="39" t="e">
        <f t="shared" si="91"/>
        <v>#REF!</v>
      </c>
      <c r="DM89" s="93" t="e">
        <v>#REF!</v>
      </c>
      <c r="DN89" s="93" t="e">
        <v>#REF!</v>
      </c>
      <c r="DO89" s="93" t="e">
        <v>#REF!</v>
      </c>
      <c r="DP89" s="93" t="e">
        <v>#REF!</v>
      </c>
    </row>
    <row r="90" spans="1:120" x14ac:dyDescent="0.2">
      <c r="A90" s="90" t="str">
        <f>name!C7</f>
        <v>Trade, accomod. and transport</v>
      </c>
      <c r="B90" s="39" t="e">
        <f t="shared" si="68"/>
        <v>#REF!</v>
      </c>
      <c r="C90" s="93" t="e">
        <v>#REF!</v>
      </c>
      <c r="D90" s="93" t="e">
        <v>#REF!</v>
      </c>
      <c r="E90" s="93" t="e">
        <v>#REF!</v>
      </c>
      <c r="F90" s="93" t="e">
        <v>#REF!</v>
      </c>
      <c r="H90" s="39" t="e">
        <f t="shared" si="69"/>
        <v>#REF!</v>
      </c>
      <c r="I90" s="93" t="e">
        <v>#REF!</v>
      </c>
      <c r="J90" s="93" t="e">
        <v>#REF!</v>
      </c>
      <c r="K90" s="93" t="e">
        <v>#REF!</v>
      </c>
      <c r="L90" s="93" t="e">
        <v>#REF!</v>
      </c>
      <c r="N90" s="39" t="e">
        <f t="shared" si="70"/>
        <v>#REF!</v>
      </c>
      <c r="O90" s="93" t="e">
        <v>#REF!</v>
      </c>
      <c r="P90" s="93" t="e">
        <v>#REF!</v>
      </c>
      <c r="Q90" s="93" t="e">
        <v>#REF!</v>
      </c>
      <c r="R90" s="93" t="e">
        <v>#REF!</v>
      </c>
      <c r="S90" s="93"/>
      <c r="T90" s="39" t="e">
        <f t="shared" si="71"/>
        <v>#REF!</v>
      </c>
      <c r="U90" s="93" t="e">
        <v>#REF!</v>
      </c>
      <c r="V90" s="93" t="e">
        <v>#REF!</v>
      </c>
      <c r="W90" s="93" t="e">
        <v>#REF!</v>
      </c>
      <c r="X90" s="93" t="e">
        <v>#REF!</v>
      </c>
      <c r="Y90" s="90" t="str">
        <f t="shared" si="72"/>
        <v>Trade, accomod. and transport</v>
      </c>
      <c r="Z90" s="39" t="e">
        <f t="shared" si="73"/>
        <v>#REF!</v>
      </c>
      <c r="AA90" s="93" t="e">
        <v>#REF!</v>
      </c>
      <c r="AB90" s="93" t="e">
        <v>#REF!</v>
      </c>
      <c r="AC90" s="93" t="e">
        <v>#REF!</v>
      </c>
      <c r="AD90" s="93" t="e">
        <v>#REF!</v>
      </c>
      <c r="AF90" s="39" t="e">
        <f t="shared" si="74"/>
        <v>#REF!</v>
      </c>
      <c r="AG90" s="93" t="e">
        <v>#REF!</v>
      </c>
      <c r="AH90" s="93" t="e">
        <v>#REF!</v>
      </c>
      <c r="AI90" s="93" t="e">
        <v>#REF!</v>
      </c>
      <c r="AJ90" s="93" t="e">
        <v>#REF!</v>
      </c>
      <c r="AL90" s="39" t="e">
        <f t="shared" si="75"/>
        <v>#REF!</v>
      </c>
      <c r="AM90" s="93" t="e">
        <v>#REF!</v>
      </c>
      <c r="AN90" s="93" t="e">
        <v>#REF!</v>
      </c>
      <c r="AO90" s="93" t="e">
        <v>#REF!</v>
      </c>
      <c r="AP90" s="93" t="e">
        <v>#REF!</v>
      </c>
      <c r="AQ90" s="93"/>
      <c r="AR90" s="39" t="e">
        <f t="shared" si="76"/>
        <v>#REF!</v>
      </c>
      <c r="AS90" s="93" t="e">
        <v>#REF!</v>
      </c>
      <c r="AT90" s="93" t="e">
        <v>#REF!</v>
      </c>
      <c r="AU90" s="93" t="e">
        <v>#REF!</v>
      </c>
      <c r="AV90" s="93" t="e">
        <v>#REF!</v>
      </c>
      <c r="AW90" s="90" t="str">
        <f t="shared" si="77"/>
        <v>Trade, accomod. and transport</v>
      </c>
      <c r="AX90" s="39" t="e">
        <f t="shared" si="78"/>
        <v>#REF!</v>
      </c>
      <c r="AY90" s="93" t="e">
        <v>#REF!</v>
      </c>
      <c r="AZ90" s="93" t="e">
        <v>#REF!</v>
      </c>
      <c r="BA90" s="93" t="e">
        <v>#REF!</v>
      </c>
      <c r="BB90" s="93" t="e">
        <v>#REF!</v>
      </c>
      <c r="BD90" s="39" t="e">
        <f t="shared" si="79"/>
        <v>#REF!</v>
      </c>
      <c r="BE90" s="93" t="e">
        <v>#REF!</v>
      </c>
      <c r="BF90" s="93" t="e">
        <v>#REF!</v>
      </c>
      <c r="BG90" s="93" t="e">
        <v>#REF!</v>
      </c>
      <c r="BH90" s="93" t="e">
        <v>#REF!</v>
      </c>
      <c r="BJ90" s="39" t="e">
        <f t="shared" si="80"/>
        <v>#REF!</v>
      </c>
      <c r="BK90" s="93" t="e">
        <v>#REF!</v>
      </c>
      <c r="BL90" s="93" t="e">
        <v>#REF!</v>
      </c>
      <c r="BM90" s="93" t="e">
        <v>#REF!</v>
      </c>
      <c r="BN90" s="93" t="e">
        <v>#REF!</v>
      </c>
      <c r="BO90" s="93"/>
      <c r="BP90" s="39" t="e">
        <f t="shared" si="81"/>
        <v>#REF!</v>
      </c>
      <c r="BQ90" s="93" t="e">
        <v>#REF!</v>
      </c>
      <c r="BR90" s="93" t="e">
        <v>#REF!</v>
      </c>
      <c r="BS90" s="93" t="e">
        <v>#REF!</v>
      </c>
      <c r="BT90" s="93" t="e">
        <v>#REF!</v>
      </c>
      <c r="BU90" s="90" t="str">
        <f t="shared" si="82"/>
        <v>Trade, accomod. and transport</v>
      </c>
      <c r="BV90" s="39" t="e">
        <f t="shared" si="83"/>
        <v>#REF!</v>
      </c>
      <c r="BW90" s="93" t="e">
        <v>#REF!</v>
      </c>
      <c r="BX90" s="93" t="e">
        <v>#REF!</v>
      </c>
      <c r="BY90" s="93" t="e">
        <v>#REF!</v>
      </c>
      <c r="BZ90" s="93" t="e">
        <v>#REF!</v>
      </c>
      <c r="CB90" s="39" t="e">
        <f t="shared" si="84"/>
        <v>#REF!</v>
      </c>
      <c r="CC90" s="93" t="e">
        <v>#REF!</v>
      </c>
      <c r="CD90" s="93" t="e">
        <v>#REF!</v>
      </c>
      <c r="CE90" s="93" t="e">
        <v>#REF!</v>
      </c>
      <c r="CF90" s="93" t="e">
        <v>#REF!</v>
      </c>
      <c r="CH90" s="39" t="e">
        <f t="shared" si="85"/>
        <v>#REF!</v>
      </c>
      <c r="CI90" s="93" t="e">
        <v>#REF!</v>
      </c>
      <c r="CJ90" s="93" t="e">
        <v>#REF!</v>
      </c>
      <c r="CK90" s="93" t="e">
        <v>#REF!</v>
      </c>
      <c r="CL90" s="93" t="e">
        <v>#REF!</v>
      </c>
      <c r="CM90" s="93"/>
      <c r="CN90" s="39" t="e">
        <f t="shared" si="86"/>
        <v>#REF!</v>
      </c>
      <c r="CO90" s="93" t="e">
        <v>#REF!</v>
      </c>
      <c r="CP90" s="93" t="e">
        <v>#REF!</v>
      </c>
      <c r="CQ90" s="93" t="e">
        <v>#REF!</v>
      </c>
      <c r="CR90" s="93" t="e">
        <v>#REF!</v>
      </c>
      <c r="CS90" s="90" t="str">
        <f t="shared" si="87"/>
        <v>Trade, accomod. and transport</v>
      </c>
      <c r="CT90" s="39" t="e">
        <f t="shared" si="88"/>
        <v>#REF!</v>
      </c>
      <c r="CU90" s="93" t="e">
        <v>#REF!</v>
      </c>
      <c r="CV90" s="93" t="e">
        <v>#REF!</v>
      </c>
      <c r="CW90" s="93" t="e">
        <v>#REF!</v>
      </c>
      <c r="CX90" s="93" t="e">
        <v>#REF!</v>
      </c>
      <c r="CZ90" s="39" t="e">
        <f t="shared" si="89"/>
        <v>#REF!</v>
      </c>
      <c r="DA90" s="93" t="e">
        <v>#REF!</v>
      </c>
      <c r="DB90" s="93" t="e">
        <v>#REF!</v>
      </c>
      <c r="DC90" s="93" t="e">
        <v>#REF!</v>
      </c>
      <c r="DD90" s="93" t="e">
        <v>#REF!</v>
      </c>
      <c r="DF90" s="39" t="e">
        <f t="shared" si="90"/>
        <v>#REF!</v>
      </c>
      <c r="DG90" s="93" t="e">
        <v>#REF!</v>
      </c>
      <c r="DH90" s="93" t="e">
        <v>#REF!</v>
      </c>
      <c r="DI90" s="93" t="e">
        <v>#REF!</v>
      </c>
      <c r="DJ90" s="93" t="e">
        <v>#REF!</v>
      </c>
      <c r="DK90" s="93"/>
      <c r="DL90" s="39" t="e">
        <f t="shared" si="91"/>
        <v>#REF!</v>
      </c>
      <c r="DM90" s="93" t="e">
        <v>#REF!</v>
      </c>
      <c r="DN90" s="93" t="e">
        <v>#REF!</v>
      </c>
      <c r="DO90" s="93" t="e">
        <v>#REF!</v>
      </c>
      <c r="DP90" s="93" t="e">
        <v>#REF!</v>
      </c>
    </row>
    <row r="91" spans="1:120" x14ac:dyDescent="0.2">
      <c r="A91" s="90" t="str">
        <f>name!C8</f>
        <v>Business and other services</v>
      </c>
      <c r="B91" s="39" t="e">
        <f t="shared" si="68"/>
        <v>#REF!</v>
      </c>
      <c r="C91" s="93" t="e">
        <v>#REF!</v>
      </c>
      <c r="D91" s="93" t="e">
        <v>#REF!</v>
      </c>
      <c r="E91" s="93" t="e">
        <v>#REF!</v>
      </c>
      <c r="F91" s="93" t="e">
        <v>#REF!</v>
      </c>
      <c r="H91" s="39" t="e">
        <f t="shared" si="69"/>
        <v>#REF!</v>
      </c>
      <c r="I91" s="93" t="e">
        <v>#REF!</v>
      </c>
      <c r="J91" s="93" t="e">
        <v>#REF!</v>
      </c>
      <c r="K91" s="93" t="e">
        <v>#REF!</v>
      </c>
      <c r="L91" s="93" t="e">
        <v>#REF!</v>
      </c>
      <c r="N91" s="39" t="e">
        <f t="shared" si="70"/>
        <v>#REF!</v>
      </c>
      <c r="O91" s="93" t="e">
        <v>#REF!</v>
      </c>
      <c r="P91" s="93" t="e">
        <v>#REF!</v>
      </c>
      <c r="Q91" s="93" t="e">
        <v>#REF!</v>
      </c>
      <c r="R91" s="93" t="e">
        <v>#REF!</v>
      </c>
      <c r="S91" s="93"/>
      <c r="T91" s="39" t="e">
        <f t="shared" si="71"/>
        <v>#REF!</v>
      </c>
      <c r="U91" s="93" t="e">
        <v>#REF!</v>
      </c>
      <c r="V91" s="93" t="e">
        <v>#REF!</v>
      </c>
      <c r="W91" s="93" t="e">
        <v>#REF!</v>
      </c>
      <c r="X91" s="93" t="e">
        <v>#REF!</v>
      </c>
      <c r="Y91" s="90" t="str">
        <f t="shared" si="72"/>
        <v>Business and other services</v>
      </c>
      <c r="Z91" s="39" t="e">
        <f t="shared" si="73"/>
        <v>#REF!</v>
      </c>
      <c r="AA91" s="93" t="e">
        <v>#REF!</v>
      </c>
      <c r="AB91" s="93" t="e">
        <v>#REF!</v>
      </c>
      <c r="AC91" s="93" t="e">
        <v>#REF!</v>
      </c>
      <c r="AD91" s="93" t="e">
        <v>#REF!</v>
      </c>
      <c r="AF91" s="39" t="e">
        <f t="shared" si="74"/>
        <v>#REF!</v>
      </c>
      <c r="AG91" s="93" t="e">
        <v>#REF!</v>
      </c>
      <c r="AH91" s="93" t="e">
        <v>#REF!</v>
      </c>
      <c r="AI91" s="93" t="e">
        <v>#REF!</v>
      </c>
      <c r="AJ91" s="93" t="e">
        <v>#REF!</v>
      </c>
      <c r="AL91" s="39" t="e">
        <f t="shared" si="75"/>
        <v>#REF!</v>
      </c>
      <c r="AM91" s="93" t="e">
        <v>#REF!</v>
      </c>
      <c r="AN91" s="93" t="e">
        <v>#REF!</v>
      </c>
      <c r="AO91" s="93" t="e">
        <v>#REF!</v>
      </c>
      <c r="AP91" s="93" t="e">
        <v>#REF!</v>
      </c>
      <c r="AQ91" s="93"/>
      <c r="AR91" s="39" t="e">
        <f t="shared" si="76"/>
        <v>#REF!</v>
      </c>
      <c r="AS91" s="93" t="e">
        <v>#REF!</v>
      </c>
      <c r="AT91" s="93" t="e">
        <v>#REF!</v>
      </c>
      <c r="AU91" s="93" t="e">
        <v>#REF!</v>
      </c>
      <c r="AV91" s="93" t="e">
        <v>#REF!</v>
      </c>
      <c r="AW91" s="90" t="str">
        <f t="shared" si="77"/>
        <v>Business and other services</v>
      </c>
      <c r="AX91" s="39" t="e">
        <f t="shared" si="78"/>
        <v>#REF!</v>
      </c>
      <c r="AY91" s="93" t="e">
        <v>#REF!</v>
      </c>
      <c r="AZ91" s="93" t="e">
        <v>#REF!</v>
      </c>
      <c r="BA91" s="93" t="e">
        <v>#REF!</v>
      </c>
      <c r="BB91" s="93" t="e">
        <v>#REF!</v>
      </c>
      <c r="BD91" s="39" t="e">
        <f t="shared" si="79"/>
        <v>#REF!</v>
      </c>
      <c r="BE91" s="93" t="e">
        <v>#REF!</v>
      </c>
      <c r="BF91" s="93" t="e">
        <v>#REF!</v>
      </c>
      <c r="BG91" s="93" t="e">
        <v>#REF!</v>
      </c>
      <c r="BH91" s="93" t="e">
        <v>#REF!</v>
      </c>
      <c r="BJ91" s="39" t="e">
        <f t="shared" si="80"/>
        <v>#REF!</v>
      </c>
      <c r="BK91" s="93" t="e">
        <v>#REF!</v>
      </c>
      <c r="BL91" s="93" t="e">
        <v>#REF!</v>
      </c>
      <c r="BM91" s="93" t="e">
        <v>#REF!</v>
      </c>
      <c r="BN91" s="93" t="e">
        <v>#REF!</v>
      </c>
      <c r="BO91" s="93"/>
      <c r="BP91" s="39" t="e">
        <f t="shared" si="81"/>
        <v>#REF!</v>
      </c>
      <c r="BQ91" s="93" t="e">
        <v>#REF!</v>
      </c>
      <c r="BR91" s="93" t="e">
        <v>#REF!</v>
      </c>
      <c r="BS91" s="93" t="e">
        <v>#REF!</v>
      </c>
      <c r="BT91" s="93" t="e">
        <v>#REF!</v>
      </c>
      <c r="BU91" s="90" t="str">
        <f t="shared" si="82"/>
        <v>Business and other services</v>
      </c>
      <c r="BV91" s="39" t="e">
        <f t="shared" si="83"/>
        <v>#REF!</v>
      </c>
      <c r="BW91" s="93" t="e">
        <v>#REF!</v>
      </c>
      <c r="BX91" s="93" t="e">
        <v>#REF!</v>
      </c>
      <c r="BY91" s="93" t="e">
        <v>#REF!</v>
      </c>
      <c r="BZ91" s="93" t="e">
        <v>#REF!</v>
      </c>
      <c r="CB91" s="39" t="e">
        <f t="shared" si="84"/>
        <v>#REF!</v>
      </c>
      <c r="CC91" s="93" t="e">
        <v>#REF!</v>
      </c>
      <c r="CD91" s="93" t="e">
        <v>#REF!</v>
      </c>
      <c r="CE91" s="93" t="e">
        <v>#REF!</v>
      </c>
      <c r="CF91" s="93" t="e">
        <v>#REF!</v>
      </c>
      <c r="CH91" s="39" t="e">
        <f t="shared" si="85"/>
        <v>#REF!</v>
      </c>
      <c r="CI91" s="93" t="e">
        <v>#REF!</v>
      </c>
      <c r="CJ91" s="93" t="e">
        <v>#REF!</v>
      </c>
      <c r="CK91" s="93" t="e">
        <v>#REF!</v>
      </c>
      <c r="CL91" s="93" t="e">
        <v>#REF!</v>
      </c>
      <c r="CM91" s="93"/>
      <c r="CN91" s="39" t="e">
        <f t="shared" si="86"/>
        <v>#REF!</v>
      </c>
      <c r="CO91" s="93" t="e">
        <v>#REF!</v>
      </c>
      <c r="CP91" s="93" t="e">
        <v>#REF!</v>
      </c>
      <c r="CQ91" s="93" t="e">
        <v>#REF!</v>
      </c>
      <c r="CR91" s="93" t="e">
        <v>#REF!</v>
      </c>
      <c r="CS91" s="90" t="str">
        <f t="shared" si="87"/>
        <v>Business and other services</v>
      </c>
      <c r="CT91" s="39" t="e">
        <f t="shared" si="88"/>
        <v>#REF!</v>
      </c>
      <c r="CU91" s="93" t="e">
        <v>#REF!</v>
      </c>
      <c r="CV91" s="93" t="e">
        <v>#REF!</v>
      </c>
      <c r="CW91" s="93" t="e">
        <v>#REF!</v>
      </c>
      <c r="CX91" s="93" t="e">
        <v>#REF!</v>
      </c>
      <c r="CZ91" s="39" t="e">
        <f t="shared" si="89"/>
        <v>#REF!</v>
      </c>
      <c r="DA91" s="93" t="e">
        <v>#REF!</v>
      </c>
      <c r="DB91" s="93" t="e">
        <v>#REF!</v>
      </c>
      <c r="DC91" s="93" t="e">
        <v>#REF!</v>
      </c>
      <c r="DD91" s="93" t="e">
        <v>#REF!</v>
      </c>
      <c r="DF91" s="39" t="e">
        <f t="shared" si="90"/>
        <v>#REF!</v>
      </c>
      <c r="DG91" s="93" t="e">
        <v>#REF!</v>
      </c>
      <c r="DH91" s="93" t="e">
        <v>#REF!</v>
      </c>
      <c r="DI91" s="93" t="e">
        <v>#REF!</v>
      </c>
      <c r="DJ91" s="93" t="e">
        <v>#REF!</v>
      </c>
      <c r="DK91" s="93"/>
      <c r="DL91" s="39" t="e">
        <f t="shared" si="91"/>
        <v>#REF!</v>
      </c>
      <c r="DM91" s="93" t="e">
        <v>#REF!</v>
      </c>
      <c r="DN91" s="93" t="e">
        <v>#REF!</v>
      </c>
      <c r="DO91" s="93" t="e">
        <v>#REF!</v>
      </c>
      <c r="DP91" s="93" t="e">
        <v>#REF!</v>
      </c>
    </row>
    <row r="92" spans="1:120" x14ac:dyDescent="0.2">
      <c r="A92" s="90" t="str">
        <f>name!C9</f>
        <v>Non-marketed services</v>
      </c>
      <c r="B92" s="39" t="e">
        <f t="shared" si="68"/>
        <v>#REF!</v>
      </c>
      <c r="C92" s="93" t="e">
        <v>#REF!</v>
      </c>
      <c r="D92" s="93" t="e">
        <v>#REF!</v>
      </c>
      <c r="E92" s="93" t="e">
        <v>#REF!</v>
      </c>
      <c r="F92" s="93" t="e">
        <v>#REF!</v>
      </c>
      <c r="H92" s="39" t="e">
        <f t="shared" si="69"/>
        <v>#REF!</v>
      </c>
      <c r="I92" s="93" t="e">
        <v>#REF!</v>
      </c>
      <c r="J92" s="93" t="e">
        <v>#REF!</v>
      </c>
      <c r="K92" s="93" t="e">
        <v>#REF!</v>
      </c>
      <c r="L92" s="93" t="e">
        <v>#REF!</v>
      </c>
      <c r="N92" s="39" t="e">
        <f t="shared" si="70"/>
        <v>#REF!</v>
      </c>
      <c r="O92" s="93" t="e">
        <v>#REF!</v>
      </c>
      <c r="P92" s="93" t="e">
        <v>#REF!</v>
      </c>
      <c r="Q92" s="93" t="e">
        <v>#REF!</v>
      </c>
      <c r="R92" s="93" t="e">
        <v>#REF!</v>
      </c>
      <c r="S92" s="93"/>
      <c r="T92" s="39" t="e">
        <f t="shared" si="71"/>
        <v>#REF!</v>
      </c>
      <c r="U92" s="93" t="e">
        <v>#REF!</v>
      </c>
      <c r="V92" s="93" t="e">
        <v>#REF!</v>
      </c>
      <c r="W92" s="93" t="e">
        <v>#REF!</v>
      </c>
      <c r="X92" s="93" t="e">
        <v>#REF!</v>
      </c>
      <c r="Y92" s="90" t="str">
        <f t="shared" si="72"/>
        <v>Non-marketed services</v>
      </c>
      <c r="Z92" s="39" t="e">
        <f t="shared" si="73"/>
        <v>#REF!</v>
      </c>
      <c r="AA92" s="93" t="e">
        <v>#REF!</v>
      </c>
      <c r="AB92" s="93" t="e">
        <v>#REF!</v>
      </c>
      <c r="AC92" s="93" t="e">
        <v>#REF!</v>
      </c>
      <c r="AD92" s="93" t="e">
        <v>#REF!</v>
      </c>
      <c r="AF92" s="39" t="e">
        <f t="shared" si="74"/>
        <v>#REF!</v>
      </c>
      <c r="AG92" s="93" t="e">
        <v>#REF!</v>
      </c>
      <c r="AH92" s="93" t="e">
        <v>#REF!</v>
      </c>
      <c r="AI92" s="93" t="e">
        <v>#REF!</v>
      </c>
      <c r="AJ92" s="93" t="e">
        <v>#REF!</v>
      </c>
      <c r="AL92" s="39" t="e">
        <f t="shared" si="75"/>
        <v>#REF!</v>
      </c>
      <c r="AM92" s="93" t="e">
        <v>#REF!</v>
      </c>
      <c r="AN92" s="93" t="e">
        <v>#REF!</v>
      </c>
      <c r="AO92" s="93" t="e">
        <v>#REF!</v>
      </c>
      <c r="AP92" s="93" t="e">
        <v>#REF!</v>
      </c>
      <c r="AQ92" s="93"/>
      <c r="AR92" s="39" t="e">
        <f t="shared" si="76"/>
        <v>#REF!</v>
      </c>
      <c r="AS92" s="93" t="e">
        <v>#REF!</v>
      </c>
      <c r="AT92" s="93" t="e">
        <v>#REF!</v>
      </c>
      <c r="AU92" s="93" t="e">
        <v>#REF!</v>
      </c>
      <c r="AV92" s="93" t="e">
        <v>#REF!</v>
      </c>
      <c r="AW92" s="90" t="str">
        <f t="shared" si="77"/>
        <v>Non-marketed services</v>
      </c>
      <c r="AX92" s="39" t="e">
        <f t="shared" si="78"/>
        <v>#REF!</v>
      </c>
      <c r="AY92" s="93" t="e">
        <v>#REF!</v>
      </c>
      <c r="AZ92" s="93" t="e">
        <v>#REF!</v>
      </c>
      <c r="BA92" s="93" t="e">
        <v>#REF!</v>
      </c>
      <c r="BB92" s="93" t="e">
        <v>#REF!</v>
      </c>
      <c r="BD92" s="39" t="e">
        <f t="shared" si="79"/>
        <v>#REF!</v>
      </c>
      <c r="BE92" s="93" t="e">
        <v>#REF!</v>
      </c>
      <c r="BF92" s="93" t="e">
        <v>#REF!</v>
      </c>
      <c r="BG92" s="93" t="e">
        <v>#REF!</v>
      </c>
      <c r="BH92" s="93" t="e">
        <v>#REF!</v>
      </c>
      <c r="BJ92" s="39" t="e">
        <f t="shared" si="80"/>
        <v>#REF!</v>
      </c>
      <c r="BK92" s="93" t="e">
        <v>#REF!</v>
      </c>
      <c r="BL92" s="93" t="e">
        <v>#REF!</v>
      </c>
      <c r="BM92" s="93" t="e">
        <v>#REF!</v>
      </c>
      <c r="BN92" s="93" t="e">
        <v>#REF!</v>
      </c>
      <c r="BO92" s="93"/>
      <c r="BP92" s="39" t="e">
        <f t="shared" si="81"/>
        <v>#REF!</v>
      </c>
      <c r="BQ92" s="93" t="e">
        <v>#REF!</v>
      </c>
      <c r="BR92" s="93" t="e">
        <v>#REF!</v>
      </c>
      <c r="BS92" s="93" t="e">
        <v>#REF!</v>
      </c>
      <c r="BT92" s="93" t="e">
        <v>#REF!</v>
      </c>
      <c r="BU92" s="90" t="str">
        <f t="shared" si="82"/>
        <v>Non-marketed services</v>
      </c>
      <c r="BV92" s="39" t="e">
        <f t="shared" si="83"/>
        <v>#REF!</v>
      </c>
      <c r="BW92" s="93" t="e">
        <v>#REF!</v>
      </c>
      <c r="BX92" s="93" t="e">
        <v>#REF!</v>
      </c>
      <c r="BY92" s="93" t="e">
        <v>#REF!</v>
      </c>
      <c r="BZ92" s="93" t="e">
        <v>#REF!</v>
      </c>
      <c r="CB92" s="39" t="e">
        <f t="shared" si="84"/>
        <v>#REF!</v>
      </c>
      <c r="CC92" s="93" t="e">
        <v>#REF!</v>
      </c>
      <c r="CD92" s="93" t="e">
        <v>#REF!</v>
      </c>
      <c r="CE92" s="93" t="e">
        <v>#REF!</v>
      </c>
      <c r="CF92" s="93" t="e">
        <v>#REF!</v>
      </c>
      <c r="CH92" s="39" t="e">
        <f t="shared" si="85"/>
        <v>#REF!</v>
      </c>
      <c r="CI92" s="93" t="e">
        <v>#REF!</v>
      </c>
      <c r="CJ92" s="93" t="e">
        <v>#REF!</v>
      </c>
      <c r="CK92" s="93" t="e">
        <v>#REF!</v>
      </c>
      <c r="CL92" s="93" t="e">
        <v>#REF!</v>
      </c>
      <c r="CM92" s="93"/>
      <c r="CN92" s="39" t="e">
        <f t="shared" si="86"/>
        <v>#REF!</v>
      </c>
      <c r="CO92" s="93" t="e">
        <v>#REF!</v>
      </c>
      <c r="CP92" s="93" t="e">
        <v>#REF!</v>
      </c>
      <c r="CQ92" s="93" t="e">
        <v>#REF!</v>
      </c>
      <c r="CR92" s="93" t="e">
        <v>#REF!</v>
      </c>
      <c r="CS92" s="90" t="str">
        <f t="shared" si="87"/>
        <v>Non-marketed services</v>
      </c>
      <c r="CT92" s="39" t="e">
        <f t="shared" si="88"/>
        <v>#REF!</v>
      </c>
      <c r="CU92" s="93" t="e">
        <v>#REF!</v>
      </c>
      <c r="CV92" s="93" t="e">
        <v>#REF!</v>
      </c>
      <c r="CW92" s="93" t="e">
        <v>#REF!</v>
      </c>
      <c r="CX92" s="93" t="e">
        <v>#REF!</v>
      </c>
      <c r="CZ92" s="39" t="e">
        <f t="shared" si="89"/>
        <v>#REF!</v>
      </c>
      <c r="DA92" s="93" t="e">
        <v>#REF!</v>
      </c>
      <c r="DB92" s="93" t="e">
        <v>#REF!</v>
      </c>
      <c r="DC92" s="93" t="e">
        <v>#REF!</v>
      </c>
      <c r="DD92" s="93" t="e">
        <v>#REF!</v>
      </c>
      <c r="DF92" s="39" t="e">
        <f t="shared" si="90"/>
        <v>#REF!</v>
      </c>
      <c r="DG92" s="93" t="e">
        <v>#REF!</v>
      </c>
      <c r="DH92" s="93" t="e">
        <v>#REF!</v>
      </c>
      <c r="DI92" s="93" t="e">
        <v>#REF!</v>
      </c>
      <c r="DJ92" s="93" t="e">
        <v>#REF!</v>
      </c>
      <c r="DK92" s="93"/>
      <c r="DL92" s="39" t="e">
        <f t="shared" si="91"/>
        <v>#REF!</v>
      </c>
      <c r="DM92" s="93" t="e">
        <v>#REF!</v>
      </c>
      <c r="DN92" s="93" t="e">
        <v>#REF!</v>
      </c>
      <c r="DO92" s="93" t="e">
        <v>#REF!</v>
      </c>
      <c r="DP92" s="93" t="e">
        <v>#REF!</v>
      </c>
    </row>
    <row r="93" spans="1:120" x14ac:dyDescent="0.2">
      <c r="B93" s="39"/>
      <c r="C93" s="93"/>
      <c r="D93" s="93"/>
      <c r="E93" s="93"/>
      <c r="F93" s="93"/>
      <c r="H93" s="39"/>
      <c r="I93" s="93"/>
      <c r="J93" s="93"/>
      <c r="K93" s="93"/>
      <c r="L93" s="93"/>
      <c r="N93" s="39"/>
      <c r="O93" s="93"/>
      <c r="P93" s="93"/>
      <c r="Q93" s="93"/>
      <c r="R93" s="93"/>
      <c r="S93" s="93"/>
      <c r="T93" s="39"/>
      <c r="U93" s="93"/>
      <c r="V93" s="93"/>
      <c r="W93" s="93"/>
      <c r="X93" s="93"/>
      <c r="Z93" s="39"/>
      <c r="AA93" s="93"/>
      <c r="AB93" s="93"/>
      <c r="AC93" s="93"/>
      <c r="AD93" s="93"/>
      <c r="AF93" s="39"/>
      <c r="AG93" s="93"/>
      <c r="AH93" s="93"/>
      <c r="AI93" s="93"/>
      <c r="AJ93" s="93"/>
      <c r="AL93" s="39"/>
      <c r="AM93" s="93"/>
      <c r="AN93" s="93"/>
      <c r="AO93" s="93"/>
      <c r="AP93" s="93"/>
      <c r="AQ93" s="93"/>
      <c r="AR93" s="39"/>
      <c r="AS93" s="93"/>
      <c r="AT93" s="93"/>
      <c r="AU93" s="93"/>
      <c r="AV93" s="93"/>
      <c r="AX93" s="39"/>
      <c r="AY93" s="93"/>
      <c r="AZ93" s="93"/>
      <c r="BA93" s="93"/>
      <c r="BB93" s="93"/>
      <c r="BD93" s="39"/>
      <c r="BE93" s="93"/>
      <c r="BF93" s="93"/>
      <c r="BG93" s="93"/>
      <c r="BH93" s="93"/>
      <c r="BJ93" s="39"/>
      <c r="BK93" s="93"/>
      <c r="BL93" s="93"/>
      <c r="BM93" s="93"/>
      <c r="BN93" s="93"/>
      <c r="BO93" s="93"/>
      <c r="BP93" s="39"/>
      <c r="BQ93" s="93"/>
      <c r="BR93" s="93"/>
      <c r="BS93" s="93"/>
      <c r="BT93" s="93"/>
      <c r="BV93" s="39"/>
      <c r="BW93" s="93"/>
      <c r="BX93" s="93"/>
      <c r="BY93" s="93"/>
      <c r="BZ93" s="93"/>
      <c r="CB93" s="39"/>
      <c r="CC93" s="93"/>
      <c r="CD93" s="93"/>
      <c r="CE93" s="93"/>
      <c r="CF93" s="93"/>
      <c r="CH93" s="39"/>
      <c r="CI93" s="93"/>
      <c r="CJ93" s="93"/>
      <c r="CK93" s="93"/>
      <c r="CL93" s="93"/>
      <c r="CM93" s="93"/>
      <c r="CN93" s="39"/>
      <c r="CO93" s="93"/>
      <c r="CP93" s="93"/>
      <c r="CQ93" s="93"/>
      <c r="CR93" s="93"/>
      <c r="CT93" s="39"/>
      <c r="CU93" s="93"/>
      <c r="CV93" s="93"/>
      <c r="CW93" s="93"/>
      <c r="CX93" s="93"/>
      <c r="CZ93" s="39"/>
      <c r="DA93" s="93"/>
      <c r="DB93" s="93"/>
      <c r="DC93" s="93"/>
      <c r="DD93" s="93"/>
      <c r="DF93" s="39"/>
      <c r="DG93" s="93"/>
      <c r="DH93" s="93"/>
      <c r="DI93" s="93"/>
      <c r="DJ93" s="93"/>
      <c r="DK93" s="93"/>
      <c r="DL93" s="39"/>
      <c r="DM93" s="93"/>
      <c r="DN93" s="93"/>
      <c r="DO93" s="93"/>
      <c r="DP93" s="93"/>
    </row>
    <row r="94" spans="1:120" x14ac:dyDescent="0.2">
      <c r="A94" s="90" t="str">
        <f>name!C3</f>
        <v>All industries</v>
      </c>
      <c r="B94" s="39">
        <f t="shared" si="68"/>
        <v>2.7912372459239387</v>
      </c>
      <c r="C94" s="93">
        <f>C50</f>
        <v>4561.2992279926211</v>
      </c>
      <c r="D94" s="93">
        <f>D50</f>
        <v>431.97496524334053</v>
      </c>
      <c r="E94" s="93">
        <f>E50</f>
        <v>1445.5882710202891</v>
      </c>
      <c r="F94" s="93">
        <f>F50</f>
        <v>1877.5632362636297</v>
      </c>
      <c r="H94" s="39">
        <f t="shared" si="69"/>
        <v>2.6517730789267446</v>
      </c>
      <c r="I94" s="93">
        <f>I50</f>
        <v>774.77767553257945</v>
      </c>
      <c r="J94" s="93">
        <f>J50</f>
        <v>-90.9176985646708</v>
      </c>
      <c r="K94" s="93">
        <f>K50</f>
        <v>231.78692033646578</v>
      </c>
      <c r="L94" s="93">
        <f>L50</f>
        <v>140.86922177179497</v>
      </c>
      <c r="N94" s="39">
        <f t="shared" si="70"/>
        <v>2.6893242464146816</v>
      </c>
      <c r="O94" s="93">
        <f>O50</f>
        <v>1810.6123702397726</v>
      </c>
      <c r="P94" s="93">
        <f>P50</f>
        <v>208.84741372398935</v>
      </c>
      <c r="Q94" s="93">
        <f>Q50</f>
        <v>550.29225403969679</v>
      </c>
      <c r="R94" s="93">
        <f>R50</f>
        <v>759.13966776368613</v>
      </c>
      <c r="S94" s="93"/>
      <c r="T94" s="39">
        <f t="shared" si="71"/>
        <v>2.9376202991175049</v>
      </c>
      <c r="U94" s="93">
        <f>U50</f>
        <v>1975.9091822202711</v>
      </c>
      <c r="V94" s="93">
        <f>V50</f>
        <v>314.04525008402186</v>
      </c>
      <c r="W94" s="93">
        <f>W50</f>
        <v>663.50909664412427</v>
      </c>
      <c r="X94" s="93">
        <f>X50</f>
        <v>977.55434672814613</v>
      </c>
      <c r="Y94" s="91" t="str">
        <f>A94</f>
        <v>All industries</v>
      </c>
      <c r="Z94" s="39">
        <f>IF(AA94&gt;0,((1+(AC94/AA94))^(1/($A$101-$A$100))-1)*100,0)</f>
        <v>2.9771972098236787</v>
      </c>
      <c r="AA94" s="93">
        <f>AA50</f>
        <v>2141.7348734083043</v>
      </c>
      <c r="AB94" s="93">
        <f>AB50</f>
        <v>328.18012130131888</v>
      </c>
      <c r="AC94" s="93">
        <f>AC50</f>
        <v>730.21185757939747</v>
      </c>
      <c r="AD94" s="93">
        <f>AD50</f>
        <v>1058.3919788807164</v>
      </c>
      <c r="AF94" s="39">
        <f>IF(AG94&gt;0,((1+(AI94/AG94))^(1/($A$101-$A$100))-1)*100,0)</f>
        <v>3.0280155732974823</v>
      </c>
      <c r="AG94" s="93">
        <f>AG50</f>
        <v>114.36183531349347</v>
      </c>
      <c r="AH94" s="93">
        <f>AH50</f>
        <v>10.806009020856356</v>
      </c>
      <c r="AI94" s="93">
        <f>AI50</f>
        <v>39.749458273691218</v>
      </c>
      <c r="AJ94" s="93">
        <f>AJ50</f>
        <v>50.555467294547576</v>
      </c>
      <c r="AL94" s="39">
        <f>IF(AM94&gt;0,((1+(AO94/AM94))^(1/($A$101-$A$100))-1)*100,0)</f>
        <v>2.9663353480916088</v>
      </c>
      <c r="AM94" s="93">
        <f>AM50</f>
        <v>484.03376220781502</v>
      </c>
      <c r="AN94" s="93">
        <f>AN50</f>
        <v>80.752171418150368</v>
      </c>
      <c r="AO94" s="93">
        <f>AO50</f>
        <v>164.34415782441963</v>
      </c>
      <c r="AP94" s="93">
        <f>AP50</f>
        <v>245.09632924256999</v>
      </c>
      <c r="AQ94" s="93"/>
      <c r="AR94" s="39">
        <f>IF(AS94&gt;0,((1+(AU94/AS94))^(1/($A$101-$A$100))-1)*100,0)</f>
        <v>2.9768281396108875</v>
      </c>
      <c r="AS94" s="93">
        <f>AS50</f>
        <v>1543.3392758869961</v>
      </c>
      <c r="AT94" s="93">
        <f>AT50</f>
        <v>236.62194086231219</v>
      </c>
      <c r="AU94" s="93">
        <f>AU50</f>
        <v>526.11824148128676</v>
      </c>
      <c r="AV94" s="93">
        <f>AV50</f>
        <v>762.74018234359892</v>
      </c>
      <c r="AW94" s="91" t="str">
        <f>Y94</f>
        <v>All industries</v>
      </c>
      <c r="AX94" s="39">
        <f>IF(AY94&gt;0,((1+(BA94/AY94))^(1/($A$101-$A$100))-1)*100,0)</f>
        <v>2.5960689907792656</v>
      </c>
      <c r="AY94" s="93">
        <f>AY50</f>
        <v>1169.4910110900296</v>
      </c>
      <c r="AZ94" s="93">
        <f>AZ50</f>
        <v>61.012733866251224</v>
      </c>
      <c r="BA94" s="93">
        <f>BA50</f>
        <v>341.64688672572964</v>
      </c>
      <c r="BB94" s="93">
        <f>BB50</f>
        <v>402.65962059198085</v>
      </c>
      <c r="BD94" s="39">
        <f>IF(BE94&gt;0,((1+(BG94/BE94))^(1/($A$101-$A$100))-1)*100,0)</f>
        <v>2.5108134589674425</v>
      </c>
      <c r="BE94" s="93">
        <f>BE50</f>
        <v>196.77997170605971</v>
      </c>
      <c r="BF94" s="93">
        <f>BF50</f>
        <v>-19.19988351079143</v>
      </c>
      <c r="BG94" s="93">
        <f>BG50</f>
        <v>55.380896948664599</v>
      </c>
      <c r="BH94" s="93">
        <f>BH50</f>
        <v>36.181013437873169</v>
      </c>
      <c r="BJ94" s="39">
        <f>IF(BK94&gt;0,((1+(BM94/BK94))^(1/($A$101-$A$100))-1)*100,0)</f>
        <v>2.5531077119064882</v>
      </c>
      <c r="BK94" s="93">
        <f>BK50</f>
        <v>650.12175377402275</v>
      </c>
      <c r="BL94" s="93">
        <f>BL50</f>
        <v>42.192712487148434</v>
      </c>
      <c r="BM94" s="93">
        <f>BM50</f>
        <v>186.41100647521165</v>
      </c>
      <c r="BN94" s="93">
        <f>BN50</f>
        <v>228.60371896236009</v>
      </c>
      <c r="BO94" s="93"/>
      <c r="BP94" s="39">
        <f>IF(BQ94&gt;0,((1+(BS94/BQ94))^(1/($A$101-$A$100))-1)*100,0)</f>
        <v>2.7334678665663192</v>
      </c>
      <c r="BQ94" s="93">
        <f>BQ50</f>
        <v>322.58928560994713</v>
      </c>
      <c r="BR94" s="93">
        <f>BR50</f>
        <v>38.019904889894228</v>
      </c>
      <c r="BS94" s="93">
        <f>BS50</f>
        <v>99.854983301853494</v>
      </c>
      <c r="BT94" s="93">
        <f>BT50</f>
        <v>137.87488819174771</v>
      </c>
      <c r="BU94" s="91" t="str">
        <f>AW94</f>
        <v>All industries</v>
      </c>
      <c r="BV94" s="39">
        <f>IF(BW94&gt;0,((1+(BY94/BW94))^(1/($A$101-$A$100))-1)*100,0)</f>
        <v>2.5889208699682698</v>
      </c>
      <c r="BW94" s="93">
        <f>BW50</f>
        <v>786.26148565798121</v>
      </c>
      <c r="BX94" s="93">
        <f>BX50</f>
        <v>-16.768227409449015</v>
      </c>
      <c r="BY94" s="93">
        <f>BY50</f>
        <v>228.98528730973825</v>
      </c>
      <c r="BZ94" s="93">
        <f>BZ50</f>
        <v>212.21705990028923</v>
      </c>
      <c r="CB94" s="39">
        <f>IF(CC94&gt;0,((1+(CE94/CC94))^(1/($A$101-$A$100))-1)*100,0)</f>
        <v>2.5278948366694864</v>
      </c>
      <c r="CC94" s="93">
        <f>CC50</f>
        <v>257.91842111045776</v>
      </c>
      <c r="CD94" s="93">
        <f>CD50</f>
        <v>-52.179148361626908</v>
      </c>
      <c r="CE94" s="93">
        <f>CE50</f>
        <v>73.138570554183204</v>
      </c>
      <c r="CF94" s="93">
        <f>CF50</f>
        <v>20.959422192556296</v>
      </c>
      <c r="CH94" s="39">
        <f>IF(CI94&gt;0,((1+(CK94/CI94))^(1/($A$101-$A$100))-1)*100,0)</f>
        <v>2.5655949055339189</v>
      </c>
      <c r="CI94" s="93">
        <f>CI50</f>
        <v>462.50112579230256</v>
      </c>
      <c r="CJ94" s="93">
        <f>CJ50</f>
        <v>18.263082416840735</v>
      </c>
      <c r="CK94" s="93">
        <f>CK50</f>
        <v>133.33911166207648</v>
      </c>
      <c r="CL94" s="93">
        <f>CL50</f>
        <v>151.60219407891722</v>
      </c>
      <c r="CM94" s="93"/>
      <c r="CN94" s="39">
        <f>IF(CO94&gt;0,((1+(CQ94/CO94))^(1/($A$101-$A$100))-1)*100,0)</f>
        <v>2.9840981402702971</v>
      </c>
      <c r="CO94" s="93">
        <f>CO50</f>
        <v>65.841938755220539</v>
      </c>
      <c r="CP94" s="93">
        <f>CP50</f>
        <v>17.147838535337179</v>
      </c>
      <c r="CQ94" s="93">
        <f>CQ50</f>
        <v>22.507605093478684</v>
      </c>
      <c r="CR94" s="93">
        <f>CR50</f>
        <v>39.65544362881586</v>
      </c>
      <c r="CS94" s="91" t="str">
        <f>BU94</f>
        <v>All industries</v>
      </c>
      <c r="CT94" s="39">
        <f>IF(CU94&gt;0,((1+(CW94/CU94))^(1/($A$101-$A$100))-1)*100,0)</f>
        <v>2.7533233225370157</v>
      </c>
      <c r="CU94" s="93">
        <f>CU50</f>
        <v>463.81185783630696</v>
      </c>
      <c r="CV94" s="93">
        <f>CV50</f>
        <v>59.550337485219423</v>
      </c>
      <c r="CW94" s="93">
        <f>CW50</f>
        <v>144.74423940542175</v>
      </c>
      <c r="CX94" s="93">
        <f>CX50</f>
        <v>204.29457689064117</v>
      </c>
      <c r="CZ94" s="39">
        <f>IF(DA94&gt;0,((1+(DC94/DA94))^(1/($A$101-$A$100))-1)*100,0)</f>
        <v>2.7273559755584653</v>
      </c>
      <c r="DA94" s="93">
        <f>DA50</f>
        <v>205.71744740256855</v>
      </c>
      <c r="DB94" s="93">
        <f>DB50</f>
        <v>-30.344675713108767</v>
      </c>
      <c r="DC94" s="93">
        <f>DC50</f>
        <v>63.517994559926827</v>
      </c>
      <c r="DD94" s="93">
        <f>DD50</f>
        <v>33.173318846818063</v>
      </c>
      <c r="DF94" s="39">
        <f>IF(DG94&gt;0,((1+(DI94/DG94))^(1/($A$101-$A$100))-1)*100,0)</f>
        <v>2.7323553670193235</v>
      </c>
      <c r="DG94" s="93">
        <f>DG50</f>
        <v>213.95572846563186</v>
      </c>
      <c r="DH94" s="93">
        <f>DH50</f>
        <v>67.639447401849822</v>
      </c>
      <c r="DI94" s="93">
        <f>DI50</f>
        <v>66.197978077989319</v>
      </c>
      <c r="DJ94" s="93">
        <f>DJ50</f>
        <v>133.83742547983914</v>
      </c>
      <c r="DK94" s="93"/>
      <c r="DL94" s="39">
        <f>IF(DM94&gt;0,((1+(DO94/DM94))^(1/($A$101-$A$100))-1)*100,0)</f>
        <v>2.9736201868302725</v>
      </c>
      <c r="DM94" s="93">
        <f>DM50</f>
        <v>44.13868196810671</v>
      </c>
      <c r="DN94" s="93">
        <f>DN50</f>
        <v>22.25556579647839</v>
      </c>
      <c r="DO94" s="93">
        <f>DO50</f>
        <v>15.028266767505601</v>
      </c>
      <c r="DP94" s="93">
        <f>DP50</f>
        <v>37.283832563983992</v>
      </c>
    </row>
    <row r="95" spans="1:120" x14ac:dyDescent="0.2">
      <c r="A95" s="95"/>
      <c r="B95" s="111"/>
      <c r="C95" s="111"/>
      <c r="D95" s="111"/>
      <c r="E95" s="111"/>
      <c r="F95" s="111"/>
      <c r="G95" s="95"/>
      <c r="H95" s="111"/>
      <c r="I95" s="111"/>
      <c r="J95" s="111"/>
      <c r="K95" s="111"/>
      <c r="L95" s="111"/>
      <c r="M95" s="95"/>
      <c r="N95" s="95"/>
      <c r="O95" s="111"/>
      <c r="P95" s="111"/>
      <c r="Q95" s="111"/>
      <c r="R95" s="111"/>
      <c r="S95" s="111"/>
      <c r="T95" s="95"/>
      <c r="U95" s="111"/>
      <c r="V95" s="111"/>
      <c r="W95" s="111"/>
      <c r="X95" s="111"/>
      <c r="Y95" s="95"/>
      <c r="Z95" s="111"/>
      <c r="AA95" s="111"/>
      <c r="AB95" s="111"/>
      <c r="AC95" s="111"/>
      <c r="AD95" s="111"/>
      <c r="AE95" s="95"/>
      <c r="AF95" s="111"/>
      <c r="AG95" s="111"/>
      <c r="AH95" s="111"/>
      <c r="AI95" s="111"/>
      <c r="AJ95" s="111"/>
      <c r="AK95" s="95"/>
      <c r="AL95" s="95"/>
      <c r="AM95" s="111"/>
      <c r="AN95" s="111"/>
      <c r="AO95" s="111"/>
      <c r="AP95" s="111"/>
      <c r="AQ95" s="111"/>
      <c r="AR95" s="95"/>
      <c r="AS95" s="111"/>
      <c r="AT95" s="111"/>
      <c r="AU95" s="111"/>
      <c r="AV95" s="111"/>
      <c r="AW95" s="95"/>
      <c r="AX95" s="111"/>
      <c r="AY95" s="111"/>
      <c r="AZ95" s="111"/>
      <c r="BA95" s="111"/>
      <c r="BB95" s="111"/>
      <c r="BC95" s="95"/>
      <c r="BD95" s="111"/>
      <c r="BE95" s="111"/>
      <c r="BF95" s="111"/>
      <c r="BG95" s="111"/>
      <c r="BH95" s="111"/>
      <c r="BI95" s="95"/>
      <c r="BJ95" s="95"/>
      <c r="BK95" s="111"/>
      <c r="BL95" s="111"/>
      <c r="BM95" s="111"/>
      <c r="BN95" s="111"/>
      <c r="BO95" s="111"/>
      <c r="BP95" s="95"/>
      <c r="BQ95" s="111"/>
      <c r="BR95" s="111"/>
      <c r="BS95" s="111"/>
      <c r="BT95" s="111"/>
      <c r="BU95" s="95"/>
      <c r="BV95" s="111"/>
      <c r="BW95" s="111"/>
      <c r="BX95" s="111"/>
      <c r="BY95" s="111"/>
      <c r="BZ95" s="111"/>
      <c r="CA95" s="95"/>
      <c r="CB95" s="111"/>
      <c r="CC95" s="111"/>
      <c r="CD95" s="111"/>
      <c r="CE95" s="111"/>
      <c r="CF95" s="111"/>
      <c r="CG95" s="95"/>
      <c r="CH95" s="95"/>
      <c r="CI95" s="111"/>
      <c r="CJ95" s="111"/>
      <c r="CK95" s="111"/>
      <c r="CL95" s="111"/>
      <c r="CM95" s="111"/>
      <c r="CN95" s="95"/>
      <c r="CO95" s="111"/>
      <c r="CP95" s="111"/>
      <c r="CQ95" s="111"/>
      <c r="CR95" s="111"/>
      <c r="CS95" s="95"/>
      <c r="CT95" s="111"/>
      <c r="CU95" s="111"/>
      <c r="CV95" s="111"/>
      <c r="CW95" s="111"/>
      <c r="CX95" s="111"/>
      <c r="CY95" s="95"/>
      <c r="CZ95" s="111"/>
      <c r="DA95" s="111"/>
      <c r="DB95" s="111"/>
      <c r="DC95" s="111"/>
      <c r="DD95" s="111"/>
      <c r="DE95" s="95"/>
      <c r="DF95" s="95"/>
      <c r="DG95" s="111"/>
      <c r="DH95" s="111"/>
      <c r="DI95" s="111"/>
      <c r="DJ95" s="111"/>
      <c r="DK95" s="111"/>
      <c r="DL95" s="95"/>
      <c r="DM95" s="111"/>
      <c r="DN95" s="111"/>
      <c r="DO95" s="111"/>
      <c r="DP95" s="111"/>
    </row>
    <row r="96" spans="1:120" x14ac:dyDescent="0.2">
      <c r="A96" s="90" t="str">
        <f ca="1">CELL("filename")</f>
        <v>M:\IE\Projects\Nuffield via NFER AI and automation\Data\Results\Workbooks\NE\[NE_MainTables.Main.xlsm]Manager</v>
      </c>
      <c r="Y96" s="90" t="str">
        <f ca="1">CELL("filename")</f>
        <v>M:\IE\Projects\Nuffield via NFER AI and automation\Data\Results\Workbooks\NE\[NE_MainTables.Main.xlsm]Manager</v>
      </c>
      <c r="AW96" s="90" t="str">
        <f ca="1">CELL("filename")</f>
        <v>M:\IE\Projects\Nuffield via NFER AI and automation\Data\Results\Workbooks\NE\[NE_MainTables.Main.xlsm]Manager</v>
      </c>
      <c r="BU96" s="90" t="str">
        <f ca="1">CELL("filename")</f>
        <v>M:\IE\Projects\Nuffield via NFER AI and automation\Data\Results\Workbooks\NE\[NE_MainTables.Main.xlsm]Manager</v>
      </c>
      <c r="CS96" s="90" t="str">
        <f ca="1">CELL("filename")</f>
        <v>M:\IE\Projects\Nuffield via NFER AI and automation\Data\Results\Workbooks\NE\[NE_MainTables.Main.xlsm]Manager</v>
      </c>
    </row>
    <row r="99" spans="1:1" x14ac:dyDescent="0.2">
      <c r="A99" s="90" t="s">
        <v>45</v>
      </c>
    </row>
    <row r="100" spans="1:1" x14ac:dyDescent="0.2">
      <c r="A100" s="90">
        <v>2015</v>
      </c>
    </row>
    <row r="101" spans="1:1" x14ac:dyDescent="0.2">
      <c r="A101" s="90">
        <v>2025</v>
      </c>
    </row>
  </sheetData>
  <mergeCells count="60">
    <mergeCell ref="DL83:DP83"/>
    <mergeCell ref="N83:R83"/>
    <mergeCell ref="T83:X83"/>
    <mergeCell ref="N56:R56"/>
    <mergeCell ref="T56:X56"/>
    <mergeCell ref="BP56:BT56"/>
    <mergeCell ref="CH56:CL56"/>
    <mergeCell ref="CN56:CR56"/>
    <mergeCell ref="DF56:DJ56"/>
    <mergeCell ref="DL56:DP56"/>
    <mergeCell ref="BJ83:BN83"/>
    <mergeCell ref="BP83:BT83"/>
    <mergeCell ref="CH83:CL83"/>
    <mergeCell ref="CN83:CR83"/>
    <mergeCell ref="DF83:DJ83"/>
    <mergeCell ref="CT83:CX83"/>
    <mergeCell ref="CZ83:DD83"/>
    <mergeCell ref="N4:R4"/>
    <mergeCell ref="T4:X4"/>
    <mergeCell ref="AL4:AP4"/>
    <mergeCell ref="AR4:AV4"/>
    <mergeCell ref="BJ4:BN4"/>
    <mergeCell ref="BP4:BT4"/>
    <mergeCell ref="CT4:CX4"/>
    <mergeCell ref="CZ4:DD4"/>
    <mergeCell ref="CT56:CX56"/>
    <mergeCell ref="CZ56:DD56"/>
    <mergeCell ref="AL56:AP56"/>
    <mergeCell ref="AR56:AV56"/>
    <mergeCell ref="AL83:AP83"/>
    <mergeCell ref="AR83:AV83"/>
    <mergeCell ref="Z4:AD4"/>
    <mergeCell ref="DF4:DJ4"/>
    <mergeCell ref="DL4:DP4"/>
    <mergeCell ref="AX83:BB83"/>
    <mergeCell ref="BD83:BH83"/>
    <mergeCell ref="CH4:CL4"/>
    <mergeCell ref="CN4:CR4"/>
    <mergeCell ref="CB56:CF56"/>
    <mergeCell ref="BV83:BZ83"/>
    <mergeCell ref="CB83:CF83"/>
    <mergeCell ref="AX4:BB4"/>
    <mergeCell ref="BD4:BH4"/>
    <mergeCell ref="AX56:BB56"/>
    <mergeCell ref="BD56:BH56"/>
    <mergeCell ref="BJ56:BN56"/>
    <mergeCell ref="BV4:BZ4"/>
    <mergeCell ref="CB4:CF4"/>
    <mergeCell ref="BV56:BZ56"/>
    <mergeCell ref="B83:F83"/>
    <mergeCell ref="H83:L83"/>
    <mergeCell ref="B4:F4"/>
    <mergeCell ref="H4:L4"/>
    <mergeCell ref="B56:F56"/>
    <mergeCell ref="H56:L56"/>
    <mergeCell ref="AF4:AJ4"/>
    <mergeCell ref="Z56:AD56"/>
    <mergeCell ref="AF56:AJ56"/>
    <mergeCell ref="Z83:AD83"/>
    <mergeCell ref="AF83:AJ83"/>
  </mergeCells>
  <pageMargins left="0.31496062992125984" right="0.31496062992125984" top="0.74803149606299213" bottom="0.74803149606299213" header="0.31496062992125984" footer="0.31496062992125984"/>
  <pageSetup paperSize="9" scale="65" pageOrder="overThenDown" orientation="landscape" r:id="rId1"/>
  <rowBreaks count="2" manualBreakCount="2">
    <brk id="52" max="16383" man="1"/>
    <brk id="96" max="16383" man="1"/>
  </rowBreaks>
  <colBreaks count="4" manualBreakCount="4">
    <brk id="24" max="1048575" man="1"/>
    <brk id="48" max="1048575" man="1"/>
    <brk id="96" max="1048575" man="1"/>
    <brk id="120" max="1048575" man="1"/>
  </colBreaks>
  <ignoredErrors>
    <ignoredError sqref="F8:F48 L8 L9:L50 F50 R8:R50 X8:X50 AD8:AD50 AJ8:AJ50 AP8:AP50 AV8:AV50 BB8:BB50 BH8:BH50 BN8:BN50 BT8:BT50 BZ8:BZ50 CF8:CF50 CL8:CM50 CR8:CR50 CX8:CX50 DD8:DD50 DJ8:DJ50 DP8:DP50" formulaRange="1"/>
  </ignoredErrors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Sheet56">
    <pageSetUpPr fitToPage="1"/>
  </sheetPr>
  <dimension ref="A1:AF81"/>
  <sheetViews>
    <sheetView zoomScale="85" zoomScaleNormal="85" zoomScaleSheetLayoutView="85" workbookViewId="0">
      <selection activeCell="E45" sqref="E45"/>
    </sheetView>
  </sheetViews>
  <sheetFormatPr defaultColWidth="9.140625" defaultRowHeight="12.75" x14ac:dyDescent="0.2"/>
  <cols>
    <col min="1" max="1" width="50.7109375" style="129" customWidth="1"/>
    <col min="2" max="2" width="13" style="129" customWidth="1"/>
    <col min="3" max="3" width="9.7109375" style="129" customWidth="1"/>
    <col min="4" max="4" width="10.140625" style="129" customWidth="1"/>
    <col min="5" max="5" width="13" style="129" customWidth="1"/>
    <col min="6" max="6" width="9.7109375" style="129" customWidth="1"/>
    <col min="7" max="7" width="3.7109375" style="129" customWidth="1"/>
    <col min="8" max="9" width="10.140625" style="129" customWidth="1"/>
    <col min="10" max="10" width="3.7109375" style="129" customWidth="1"/>
    <col min="11" max="12" width="10.140625" style="129" customWidth="1"/>
    <col min="13" max="13" width="3.7109375" style="129" customWidth="1"/>
    <col min="14" max="14" width="11.42578125" style="129" customWidth="1"/>
    <col min="15" max="15" width="10.140625" style="129" customWidth="1"/>
    <col min="16" max="16" width="3.7109375" style="129" customWidth="1"/>
    <col min="17" max="18" width="10.140625" style="129" customWidth="1"/>
    <col min="19" max="19" width="2.42578125" style="129" customWidth="1"/>
    <col min="20" max="22" width="13" style="129" customWidth="1"/>
    <col min="23" max="23" width="23.28515625" style="129" customWidth="1"/>
    <col min="24" max="24" width="9.140625" style="129"/>
    <col min="25" max="25" width="12.28515625" style="129" customWidth="1"/>
    <col min="26" max="26" width="10.85546875" style="129" customWidth="1"/>
    <col min="27" max="27" width="8.140625" style="129" customWidth="1"/>
    <col min="28" max="28" width="8" style="129" customWidth="1"/>
    <col min="29" max="16384" width="9.140625" style="129"/>
  </cols>
  <sheetData>
    <row r="1" spans="1:32" ht="12.75" customHeight="1" x14ac:dyDescent="0.2">
      <c r="A1" s="127" t="e">
        <f>CONCATENATE("Table 4.6  Shift-share by industry, ",I3)</f>
        <v>#REF!</v>
      </c>
      <c r="B1" s="128"/>
      <c r="C1" s="128"/>
      <c r="D1" s="128"/>
      <c r="E1" s="128"/>
      <c r="F1" s="128"/>
      <c r="G1" s="128"/>
      <c r="H1" s="128"/>
      <c r="I1" s="128"/>
      <c r="J1" s="128"/>
      <c r="K1" s="128"/>
      <c r="L1" s="128"/>
      <c r="M1" s="128"/>
      <c r="N1" s="128"/>
      <c r="O1" s="128"/>
      <c r="P1" s="128"/>
      <c r="Q1" s="128"/>
      <c r="R1" s="128"/>
      <c r="S1" s="128"/>
      <c r="T1" s="128"/>
      <c r="U1" s="128"/>
    </row>
    <row r="2" spans="1:32" ht="12.75" customHeight="1" x14ac:dyDescent="0.2">
      <c r="A2" s="127"/>
      <c r="B2" s="127"/>
      <c r="C2" s="127"/>
      <c r="D2" s="127"/>
      <c r="E2" s="127"/>
      <c r="F2" s="127"/>
      <c r="G2" s="127"/>
      <c r="H2" s="127"/>
      <c r="I2" s="127"/>
      <c r="J2" s="127"/>
      <c r="K2" s="384" t="s">
        <v>53</v>
      </c>
      <c r="L2" s="384"/>
      <c r="M2" s="384"/>
      <c r="N2" s="384"/>
      <c r="O2" s="384"/>
      <c r="P2" s="384"/>
      <c r="Q2" s="384"/>
      <c r="R2" s="384"/>
      <c r="S2" s="191"/>
      <c r="T2" s="191"/>
      <c r="U2" s="128"/>
    </row>
    <row r="3" spans="1:32" ht="12.75" customHeight="1" x14ac:dyDescent="0.2">
      <c r="A3" s="128"/>
      <c r="B3" s="130" t="s">
        <v>54</v>
      </c>
      <c r="C3" s="131" t="e">
        <f>#REF!</f>
        <v>#REF!</v>
      </c>
      <c r="D3" s="127"/>
      <c r="E3" s="130" t="s">
        <v>55</v>
      </c>
      <c r="F3" s="131" t="e">
        <f>#REF!</f>
        <v>#REF!</v>
      </c>
      <c r="G3" s="127"/>
      <c r="H3" s="130" t="s">
        <v>18</v>
      </c>
      <c r="I3" s="130" t="e">
        <f>CONCATENATE(C3,"-",F3)</f>
        <v>#REF!</v>
      </c>
      <c r="J3" s="127"/>
      <c r="K3" s="385" t="s">
        <v>56</v>
      </c>
      <c r="L3" s="385"/>
      <c r="M3" s="127"/>
      <c r="N3" s="386" t="s">
        <v>69</v>
      </c>
      <c r="O3" s="386"/>
      <c r="P3" s="127"/>
      <c r="Q3" s="386" t="s">
        <v>68</v>
      </c>
      <c r="R3" s="386"/>
      <c r="S3" s="191"/>
      <c r="T3" s="192" t="s">
        <v>72</v>
      </c>
      <c r="U3" s="152" t="s">
        <v>71</v>
      </c>
      <c r="V3" s="159"/>
      <c r="AA3" s="159"/>
      <c r="AD3" s="159"/>
    </row>
    <row r="4" spans="1:32" ht="12.75" customHeight="1" x14ac:dyDescent="0.2">
      <c r="A4" s="132" t="s">
        <v>59</v>
      </c>
      <c r="B4" s="133" t="s">
        <v>60</v>
      </c>
      <c r="C4" s="133" t="s">
        <v>61</v>
      </c>
      <c r="D4" s="127"/>
      <c r="E4" s="133" t="str">
        <f>B4</f>
        <v>000s</v>
      </c>
      <c r="F4" s="133" t="str">
        <f>C4</f>
        <v>% share</v>
      </c>
      <c r="G4" s="127"/>
      <c r="H4" s="133" t="str">
        <f>E4</f>
        <v>000s</v>
      </c>
      <c r="I4" s="133" t="s">
        <v>62</v>
      </c>
      <c r="J4" s="127"/>
      <c r="K4" s="133" t="str">
        <f>H4</f>
        <v>000s</v>
      </c>
      <c r="L4" s="133" t="str">
        <f>I4</f>
        <v xml:space="preserve">%   </v>
      </c>
      <c r="M4" s="127"/>
      <c r="N4" s="133" t="str">
        <f>K4</f>
        <v>000s</v>
      </c>
      <c r="O4" s="133" t="str">
        <f>L4</f>
        <v xml:space="preserve">%   </v>
      </c>
      <c r="P4" s="127"/>
      <c r="Q4" s="133" t="str">
        <f>N4</f>
        <v>000s</v>
      </c>
      <c r="R4" s="133" t="str">
        <f>O4</f>
        <v xml:space="preserve">%   </v>
      </c>
      <c r="S4" s="153"/>
      <c r="T4" s="133"/>
      <c r="U4" s="165"/>
      <c r="V4" s="159"/>
      <c r="W4" s="167"/>
      <c r="Y4" s="160"/>
      <c r="Z4" s="160"/>
      <c r="AA4" s="159"/>
      <c r="AB4" s="160"/>
      <c r="AC4" s="159"/>
    </row>
    <row r="5" spans="1:32" ht="12.75" customHeight="1" x14ac:dyDescent="0.2">
      <c r="A5" s="132"/>
      <c r="B5" s="130"/>
      <c r="C5" s="158"/>
      <c r="D5" s="127" t="s">
        <v>70</v>
      </c>
      <c r="E5" s="130"/>
      <c r="F5" s="158"/>
      <c r="G5" s="127"/>
      <c r="H5" s="130"/>
      <c r="I5" s="130"/>
      <c r="J5" s="127"/>
      <c r="K5" s="130"/>
      <c r="L5" s="130"/>
      <c r="M5" s="127"/>
      <c r="N5" s="130"/>
      <c r="O5" s="130"/>
      <c r="P5" s="127"/>
      <c r="Q5" s="158"/>
      <c r="R5" s="158"/>
      <c r="S5" s="133"/>
      <c r="T5" s="133"/>
      <c r="U5" s="154"/>
      <c r="V5" s="159"/>
      <c r="W5" s="135"/>
    </row>
    <row r="6" spans="1:32" x14ac:dyDescent="0.2">
      <c r="A6" s="35" t="str">
        <f>name!A4</f>
        <v>Agriculture, etc</v>
      </c>
      <c r="B6" s="149">
        <v>290.31999999994002</v>
      </c>
      <c r="C6" s="140">
        <v>0.93859557238401636</v>
      </c>
      <c r="D6" s="163">
        <v>100</v>
      </c>
      <c r="E6" s="149">
        <v>302.0150000000844</v>
      </c>
      <c r="F6" s="140">
        <v>0.90967729595909619</v>
      </c>
      <c r="G6" s="145"/>
      <c r="H6" s="149">
        <v>11.695000000144354</v>
      </c>
      <c r="I6" s="141">
        <v>4.0283135850601992</v>
      </c>
      <c r="J6" s="145"/>
      <c r="K6" s="149">
        <v>21.295935731168065</v>
      </c>
      <c r="L6" s="141">
        <v>7.3353319547990026</v>
      </c>
      <c r="M6" s="145"/>
      <c r="N6" s="149">
        <v>-0.65613111154677028</v>
      </c>
      <c r="O6" s="141">
        <v>-0.22600272511260189</v>
      </c>
      <c r="P6" s="145"/>
      <c r="Q6" s="150">
        <v>-8.9448046194769404</v>
      </c>
      <c r="R6" s="140">
        <v>-3.0810156446262016</v>
      </c>
      <c r="S6" s="140"/>
      <c r="T6" s="161">
        <v>290.31999999994002</v>
      </c>
      <c r="U6" s="162">
        <v>302.0150000000844</v>
      </c>
      <c r="V6" s="168"/>
      <c r="Y6" s="134"/>
      <c r="Z6" s="150"/>
      <c r="AA6" s="150"/>
      <c r="AB6" s="134"/>
      <c r="AC6" s="150"/>
      <c r="AE6" s="134"/>
      <c r="AF6" s="150"/>
    </row>
    <row r="7" spans="1:32" x14ac:dyDescent="0.2">
      <c r="A7" t="str">
        <f>name!A5</f>
        <v>Coal, oil &amp; gas; Mining &amp; related</v>
      </c>
      <c r="B7" s="150">
        <v>12.074999999997509</v>
      </c>
      <c r="C7" s="140">
        <v>3.9038101186749101E-2</v>
      </c>
      <c r="D7" s="164">
        <v>100</v>
      </c>
      <c r="E7" s="150">
        <v>12.334000000003453</v>
      </c>
      <c r="F7" s="140">
        <v>3.715033944790655E-2</v>
      </c>
      <c r="H7" s="150">
        <v>0.25900000000594448</v>
      </c>
      <c r="I7" s="140">
        <v>2.1449275362815561</v>
      </c>
      <c r="K7" s="150">
        <v>0.88574133354179663</v>
      </c>
      <c r="L7" s="140">
        <v>7.3353319547990017</v>
      </c>
      <c r="N7" s="150">
        <v>-4.283170925688029E-2</v>
      </c>
      <c r="O7" s="140">
        <v>-0.35471394829721842</v>
      </c>
      <c r="Q7" s="150">
        <v>-0.58390962427897186</v>
      </c>
      <c r="R7" s="140">
        <v>-4.8356904702202259</v>
      </c>
      <c r="S7" s="140"/>
      <c r="T7" s="161">
        <v>12.074999999997509</v>
      </c>
      <c r="U7" s="162">
        <v>12.334000000003453</v>
      </c>
      <c r="V7" s="168"/>
      <c r="W7" s="135"/>
      <c r="Y7" s="134"/>
      <c r="Z7" s="150"/>
      <c r="AA7" s="150"/>
      <c r="AB7" s="134"/>
      <c r="AC7" s="150"/>
      <c r="AE7" s="134"/>
      <c r="AF7" s="150"/>
    </row>
    <row r="8" spans="1:32" x14ac:dyDescent="0.2">
      <c r="A8" t="str">
        <f>name!A6</f>
        <v>Food products</v>
      </c>
      <c r="B8" s="150">
        <v>10.050999999997924</v>
      </c>
      <c r="C8" s="140">
        <v>3.2494571844970191E-2</v>
      </c>
      <c r="D8" s="164">
        <v>100</v>
      </c>
      <c r="E8" s="150">
        <v>9.1810000000025642</v>
      </c>
      <c r="F8" s="140">
        <v>2.7653418718277107E-2</v>
      </c>
      <c r="H8" s="150">
        <v>-0.86999999999535793</v>
      </c>
      <c r="I8" s="140">
        <v>-8.6558551387477642</v>
      </c>
      <c r="K8" s="150">
        <v>0.7372742147766953</v>
      </c>
      <c r="L8" s="140">
        <v>7.3353319547990017</v>
      </c>
      <c r="N8" s="150">
        <v>-0.1098416494645672</v>
      </c>
      <c r="O8" s="140">
        <v>-1.0928429953695145</v>
      </c>
      <c r="Q8" s="150">
        <v>-1.497432565307486</v>
      </c>
      <c r="R8" s="140">
        <v>-14.898344098177249</v>
      </c>
      <c r="S8" s="140"/>
      <c r="T8" s="161">
        <v>10.050999999997924</v>
      </c>
      <c r="U8" s="162">
        <v>9.1810000000025642</v>
      </c>
      <c r="V8" s="168"/>
      <c r="Y8" s="134"/>
      <c r="Z8" s="150"/>
      <c r="AA8" s="150"/>
      <c r="AB8" s="134"/>
      <c r="AC8" s="150"/>
      <c r="AE8" s="134"/>
      <c r="AF8" s="150"/>
    </row>
    <row r="9" spans="1:32" x14ac:dyDescent="0.2">
      <c r="A9" t="str">
        <f>name!A7</f>
        <v>Beverages and tobacco</v>
      </c>
      <c r="B9" s="150">
        <v>2.1699999999991144</v>
      </c>
      <c r="C9" s="140">
        <v>7.0155428219650902E-3</v>
      </c>
      <c r="D9" s="164">
        <v>100</v>
      </c>
      <c r="E9" s="150">
        <v>1.1269999999995304</v>
      </c>
      <c r="F9" s="140">
        <v>3.3945542855327972E-3</v>
      </c>
      <c r="H9" s="150">
        <v>-1.042999999999584</v>
      </c>
      <c r="I9" s="140">
        <v>-48.064516129032704</v>
      </c>
      <c r="K9" s="150">
        <v>0.15917670341907339</v>
      </c>
      <c r="L9" s="140">
        <v>7.3353319547990026</v>
      </c>
      <c r="N9" s="150">
        <v>-8.2157152051436144E-2</v>
      </c>
      <c r="O9" s="140">
        <v>-3.786043873339616</v>
      </c>
      <c r="Q9" s="150">
        <v>-1.1200195513672213</v>
      </c>
      <c r="R9" s="140">
        <v>-51.613804210492084</v>
      </c>
      <c r="S9" s="140"/>
      <c r="T9" s="161">
        <v>2.1699999999991144</v>
      </c>
      <c r="U9" s="162">
        <v>1.1269999999995304</v>
      </c>
      <c r="V9" s="168"/>
      <c r="W9" s="135"/>
      <c r="Y9" s="134"/>
      <c r="Z9" s="150"/>
      <c r="AA9" s="150"/>
      <c r="AB9" s="134"/>
      <c r="AC9" s="150"/>
      <c r="AE9" s="134"/>
      <c r="AF9" s="150"/>
    </row>
    <row r="10" spans="1:32" x14ac:dyDescent="0.2">
      <c r="A10" t="str">
        <f>name!A8</f>
        <v>Textiles</v>
      </c>
      <c r="B10" s="150">
        <v>11.083999999995481</v>
      </c>
      <c r="C10" s="140">
        <v>3.5834228865742432E-2</v>
      </c>
      <c r="D10" s="164">
        <v>100</v>
      </c>
      <c r="E10" s="150">
        <v>7.2319999999969857</v>
      </c>
      <c r="F10" s="140">
        <v>2.1782978343365737E-2</v>
      </c>
      <c r="H10" s="150">
        <v>-3.851999999998494</v>
      </c>
      <c r="I10" s="140">
        <v>-34.75279682425176</v>
      </c>
      <c r="K10" s="150">
        <v>0.81304819386958971</v>
      </c>
      <c r="L10" s="140">
        <v>7.3353319547989999</v>
      </c>
      <c r="N10" s="150">
        <v>-0.31881093078995182</v>
      </c>
      <c r="O10" s="140">
        <v>-2.8763165895893343</v>
      </c>
      <c r="Q10" s="150">
        <v>-4.3462372630781321</v>
      </c>
      <c r="R10" s="140">
        <v>-39.211812189461426</v>
      </c>
      <c r="S10" s="140"/>
      <c r="T10" s="161">
        <v>11.083999999995481</v>
      </c>
      <c r="U10" s="162">
        <v>7.2319999999969857</v>
      </c>
      <c r="V10" s="168"/>
      <c r="Y10" s="134"/>
      <c r="Z10" s="150"/>
      <c r="AA10" s="150"/>
      <c r="AB10" s="134"/>
      <c r="AC10" s="150"/>
      <c r="AE10" s="134"/>
      <c r="AF10" s="150"/>
    </row>
    <row r="11" spans="1:32" x14ac:dyDescent="0.2">
      <c r="A11" t="str">
        <f>name!A9</f>
        <v>Wearing apparel; Leather, etc</v>
      </c>
      <c r="B11" s="150">
        <v>37.589999999984677</v>
      </c>
      <c r="C11" s="140">
        <v>0.12152730630307274</v>
      </c>
      <c r="D11" s="164">
        <v>100</v>
      </c>
      <c r="E11" s="150">
        <v>29.919999999987525</v>
      </c>
      <c r="F11" s="140">
        <v>9.0119844031181243E-2</v>
      </c>
      <c r="H11" s="150">
        <v>-7.6699999999971515</v>
      </c>
      <c r="I11" s="140">
        <v>-20.404362862464161</v>
      </c>
      <c r="K11" s="150">
        <v>2.7573512818078205</v>
      </c>
      <c r="L11" s="140">
        <v>7.3353319547990017</v>
      </c>
      <c r="N11" s="150">
        <v>-0.7126086226066608</v>
      </c>
      <c r="O11" s="140">
        <v>-1.8957398845622542</v>
      </c>
      <c r="Q11" s="150">
        <v>-9.7147426591983113</v>
      </c>
      <c r="R11" s="140">
        <v>-25.843954932700907</v>
      </c>
      <c r="S11" s="140"/>
      <c r="T11" s="161">
        <v>37.589999999984677</v>
      </c>
      <c r="U11" s="162">
        <v>29.919999999987525</v>
      </c>
      <c r="V11" s="168"/>
      <c r="W11" s="135"/>
      <c r="Y11" s="134"/>
      <c r="Z11" s="150"/>
      <c r="AA11" s="150"/>
      <c r="AB11" s="134"/>
      <c r="AC11" s="150"/>
      <c r="AE11" s="134"/>
      <c r="AF11" s="150"/>
    </row>
    <row r="12" spans="1:32" x14ac:dyDescent="0.2">
      <c r="A12" t="str">
        <f>name!A10</f>
        <v xml:space="preserve">Wood and cork </v>
      </c>
      <c r="B12" s="150">
        <v>395.97300000001809</v>
      </c>
      <c r="C12" s="140">
        <v>1.2801684506190061</v>
      </c>
      <c r="D12" s="164">
        <v>100</v>
      </c>
      <c r="E12" s="150">
        <v>368.47099999980418</v>
      </c>
      <c r="F12" s="140">
        <v>1.1098445538104806</v>
      </c>
      <c r="H12" s="150">
        <v>-27.502000000213915</v>
      </c>
      <c r="I12" s="140">
        <v>-6.945423046574553</v>
      </c>
      <c r="K12" s="150">
        <v>29.045934001377578</v>
      </c>
      <c r="L12" s="140">
        <v>7.3353319547990017</v>
      </c>
      <c r="N12" s="150">
        <v>-3.864504443275159</v>
      </c>
      <c r="O12" s="140">
        <v>-0.97595150257087782</v>
      </c>
      <c r="Q12" s="150">
        <v>-52.683429558316334</v>
      </c>
      <c r="R12" s="140">
        <v>-13.304803498802679</v>
      </c>
      <c r="S12" s="140"/>
      <c r="T12" s="161">
        <v>395.97300000001809</v>
      </c>
      <c r="U12" s="162">
        <v>368.47099999980418</v>
      </c>
      <c r="V12" s="168"/>
      <c r="Y12" s="134"/>
      <c r="Z12" s="150"/>
      <c r="AA12" s="150"/>
      <c r="AB12" s="134"/>
      <c r="AC12" s="150"/>
      <c r="AE12" s="134"/>
      <c r="AF12" s="150"/>
    </row>
    <row r="13" spans="1:32" x14ac:dyDescent="0.2">
      <c r="A13" t="str">
        <f>name!A11</f>
        <v>Paper, etc</v>
      </c>
      <c r="B13" s="150">
        <v>75.845999999976854</v>
      </c>
      <c r="C13" s="140">
        <v>0.24520776998839583</v>
      </c>
      <c r="D13" s="164">
        <v>100</v>
      </c>
      <c r="E13" s="150">
        <v>49.305999999976621</v>
      </c>
      <c r="F13" s="140">
        <v>0.14851099698533315</v>
      </c>
      <c r="H13" s="150">
        <v>-26.540000000000227</v>
      </c>
      <c r="I13" s="140">
        <v>-34.991957387348478</v>
      </c>
      <c r="K13" s="150">
        <v>5.5635558744351528</v>
      </c>
      <c r="L13" s="140">
        <v>7.3353319547990017</v>
      </c>
      <c r="N13" s="150">
        <v>-2.1939675871835931</v>
      </c>
      <c r="O13" s="140">
        <v>-2.8926609012792532</v>
      </c>
      <c r="Q13" s="150">
        <v>-29.909588287251786</v>
      </c>
      <c r="R13" s="140">
        <v>-39.434628440868224</v>
      </c>
      <c r="S13" s="140"/>
      <c r="T13" s="161">
        <v>75.845999999976854</v>
      </c>
      <c r="U13" s="162">
        <v>49.305999999976621</v>
      </c>
      <c r="V13" s="168"/>
      <c r="Y13" s="134"/>
      <c r="Z13" s="150"/>
      <c r="AA13" s="150"/>
      <c r="AB13" s="134"/>
      <c r="AC13" s="150"/>
      <c r="AE13" s="134"/>
      <c r="AF13" s="150"/>
    </row>
    <row r="14" spans="1:32" x14ac:dyDescent="0.2">
      <c r="A14" t="str">
        <f>name!A12</f>
        <v>Printing and recording</v>
      </c>
      <c r="B14" s="150">
        <v>73.1450000000373</v>
      </c>
      <c r="C14" s="140">
        <v>0.2364755206051187</v>
      </c>
      <c r="D14" s="164">
        <v>100</v>
      </c>
      <c r="E14" s="150">
        <v>122.94699999997626</v>
      </c>
      <c r="F14" s="140">
        <v>0.37031966791791843</v>
      </c>
      <c r="H14" s="150">
        <v>49.801999999938957</v>
      </c>
      <c r="I14" s="140">
        <v>68.086677148012257</v>
      </c>
      <c r="K14" s="150">
        <v>5.3654285583404651</v>
      </c>
      <c r="L14" s="140">
        <v>7.3353319547989999</v>
      </c>
      <c r="N14" s="150">
        <v>3.0368099350038165</v>
      </c>
      <c r="O14" s="140">
        <v>4.1517669492135729</v>
      </c>
      <c r="Q14" s="150">
        <v>41.399761506594672</v>
      </c>
      <c r="R14" s="140">
        <v>56.599578243999673</v>
      </c>
      <c r="S14" s="140"/>
      <c r="T14" s="161">
        <v>73.1450000000373</v>
      </c>
      <c r="U14" s="162">
        <v>122.94699999997626</v>
      </c>
      <c r="V14" s="168"/>
      <c r="Y14" s="134"/>
      <c r="Z14" s="150"/>
      <c r="AA14" s="150"/>
      <c r="AB14" s="134"/>
      <c r="AC14" s="150"/>
      <c r="AE14" s="134"/>
      <c r="AF14" s="150"/>
    </row>
    <row r="15" spans="1:32" x14ac:dyDescent="0.2">
      <c r="A15" t="str">
        <f>name!A13</f>
        <v>Coke and petroleum; Chemicals, etc</v>
      </c>
      <c r="B15" s="150">
        <v>80.073000000040807</v>
      </c>
      <c r="C15" s="140">
        <v>0.25887353013074937</v>
      </c>
      <c r="D15" s="164">
        <v>100</v>
      </c>
      <c r="E15" s="150">
        <v>72.98899999998595</v>
      </c>
      <c r="F15" s="140">
        <v>0.2198448294115429</v>
      </c>
      <c r="H15" s="150">
        <v>-7.0840000000548606</v>
      </c>
      <c r="I15" s="140">
        <v>-8.846927179013214</v>
      </c>
      <c r="K15" s="150">
        <v>5.873620356169198</v>
      </c>
      <c r="L15" s="140">
        <v>7.3353319547990017</v>
      </c>
      <c r="N15" s="150">
        <v>-0.88552804492364956</v>
      </c>
      <c r="O15" s="140">
        <v>-1.1059009215630717</v>
      </c>
      <c r="Q15" s="150">
        <v>-12.072092311300409</v>
      </c>
      <c r="R15" s="140">
        <v>-15.076358212249144</v>
      </c>
      <c r="S15" s="140"/>
      <c r="T15" s="161">
        <v>80.073000000040807</v>
      </c>
      <c r="U15" s="162">
        <v>72.98899999998595</v>
      </c>
      <c r="V15" s="168"/>
      <c r="Y15" s="134"/>
      <c r="Z15" s="150"/>
      <c r="AA15" s="150"/>
      <c r="AB15" s="134"/>
      <c r="AC15" s="150"/>
      <c r="AE15" s="134"/>
      <c r="AF15" s="150"/>
    </row>
    <row r="16" spans="1:32" x14ac:dyDescent="0.2">
      <c r="A16" t="str">
        <f>name!A14</f>
        <v>Pharmaceuticals</v>
      </c>
      <c r="B16" s="150">
        <v>104.71500000005337</v>
      </c>
      <c r="C16" s="140">
        <v>0.33854035327315601</v>
      </c>
      <c r="D16" s="164">
        <v>100</v>
      </c>
      <c r="E16" s="150">
        <v>86.702999999983263</v>
      </c>
      <c r="F16" s="140">
        <v>0.26115176594375861</v>
      </c>
      <c r="H16" s="150">
        <v>-18.012000000070095</v>
      </c>
      <c r="I16" s="140">
        <v>-17.200974072540628</v>
      </c>
      <c r="K16" s="150">
        <v>7.6811928564716885</v>
      </c>
      <c r="L16" s="140">
        <v>7.3353319547990017</v>
      </c>
      <c r="N16" s="150">
        <v>-1.7558812662057193</v>
      </c>
      <c r="O16" s="140">
        <v>-1.6768192390821033</v>
      </c>
      <c r="Q16" s="150">
        <v>-23.937311590336066</v>
      </c>
      <c r="R16" s="140">
        <v>-22.859486788257524</v>
      </c>
      <c r="S16" s="140"/>
      <c r="T16" s="161">
        <v>104.71500000005337</v>
      </c>
      <c r="U16" s="162">
        <v>86.702999999983263</v>
      </c>
      <c r="V16" s="168"/>
      <c r="Y16" s="134"/>
      <c r="Z16" s="150"/>
      <c r="AA16" s="150"/>
      <c r="AB16" s="134"/>
      <c r="AC16" s="150"/>
      <c r="AE16" s="134"/>
      <c r="AF16" s="150"/>
    </row>
    <row r="17" spans="1:32" x14ac:dyDescent="0.2">
      <c r="A17" t="str">
        <f>name!A15</f>
        <v>Rubber and plastic</v>
      </c>
      <c r="B17" s="150">
        <v>11.055999999985691</v>
      </c>
      <c r="C17" s="140">
        <v>3.5743705732524098E-2</v>
      </c>
      <c r="D17" s="164">
        <v>100</v>
      </c>
      <c r="E17" s="150">
        <v>18.25699999999954</v>
      </c>
      <c r="F17" s="140">
        <v>5.4990574614903753E-2</v>
      </c>
      <c r="H17" s="150">
        <v>7.2010000000138481</v>
      </c>
      <c r="I17" s="140">
        <v>65.132054992973664</v>
      </c>
      <c r="K17" s="150">
        <v>0.81099430092152791</v>
      </c>
      <c r="L17" s="140">
        <v>7.3353319547990017</v>
      </c>
      <c r="N17" s="150">
        <v>0.43669509510288052</v>
      </c>
      <c r="O17" s="140">
        <v>3.9498470975347839</v>
      </c>
      <c r="Q17" s="150">
        <v>5.9533106039894399</v>
      </c>
      <c r="R17" s="140">
        <v>53.846875940639883</v>
      </c>
      <c r="S17" s="140"/>
      <c r="T17" s="161">
        <v>11.055999999985691</v>
      </c>
      <c r="U17" s="162">
        <v>18.25699999999954</v>
      </c>
      <c r="V17" s="168"/>
      <c r="Y17" s="134"/>
      <c r="Z17" s="150"/>
      <c r="AA17" s="150"/>
      <c r="AB17" s="134"/>
      <c r="AC17" s="150"/>
      <c r="AE17" s="134"/>
      <c r="AF17" s="150"/>
    </row>
    <row r="18" spans="1:32" x14ac:dyDescent="0.2">
      <c r="A18" t="str">
        <f>name!A16</f>
        <v>Other non-metallic</v>
      </c>
      <c r="B18" s="150">
        <v>93.389000000008025</v>
      </c>
      <c r="C18" s="140">
        <v>0.30192374589899607</v>
      </c>
      <c r="D18" s="164">
        <v>100</v>
      </c>
      <c r="E18" s="150">
        <v>88.958999999932729</v>
      </c>
      <c r="F18" s="140">
        <v>0.26794689856842019</v>
      </c>
      <c r="H18" s="150">
        <v>-4.4300000000752915</v>
      </c>
      <c r="I18" s="140">
        <v>-4.7435993533231011</v>
      </c>
      <c r="K18" s="150">
        <v>6.8503931592678278</v>
      </c>
      <c r="L18" s="140">
        <v>7.3353319547990017</v>
      </c>
      <c r="N18" s="150">
        <v>-0.77090578561093448</v>
      </c>
      <c r="O18" s="140">
        <v>-0.82547814583180912</v>
      </c>
      <c r="Q18" s="150">
        <v>-10.509487373732185</v>
      </c>
      <c r="R18" s="140">
        <v>-11.253453162290294</v>
      </c>
      <c r="S18" s="140"/>
      <c r="T18" s="161">
        <v>93.389000000008025</v>
      </c>
      <c r="U18" s="162">
        <v>88.958999999932729</v>
      </c>
      <c r="V18" s="168"/>
      <c r="Y18" s="134"/>
      <c r="Z18" s="150"/>
      <c r="AA18" s="150"/>
      <c r="AB18" s="134"/>
      <c r="AC18" s="150"/>
      <c r="AE18" s="134"/>
      <c r="AF18" s="150"/>
    </row>
    <row r="19" spans="1:32" x14ac:dyDescent="0.2">
      <c r="A19" t="str">
        <f>name!A17</f>
        <v>Basic metals</v>
      </c>
      <c r="B19" s="150">
        <v>27.854999999989587</v>
      </c>
      <c r="C19" s="140">
        <v>9.0054352675504282E-2</v>
      </c>
      <c r="D19" s="164">
        <v>100</v>
      </c>
      <c r="E19" s="150">
        <v>33.922000000006818</v>
      </c>
      <c r="F19" s="140">
        <v>0.1021739755757894</v>
      </c>
      <c r="H19" s="150">
        <v>6.0670000000172291</v>
      </c>
      <c r="I19" s="140">
        <v>21.78064979364386</v>
      </c>
      <c r="K19" s="150">
        <v>2.0432567160084982</v>
      </c>
      <c r="L19" s="140">
        <v>7.3353319547990017</v>
      </c>
      <c r="N19" s="150">
        <v>0.27498394192814857</v>
      </c>
      <c r="O19" s="140">
        <v>0.98719778111021839</v>
      </c>
      <c r="Q19" s="150">
        <v>3.7487593420805823</v>
      </c>
      <c r="R19" s="140">
        <v>13.458120057734638</v>
      </c>
      <c r="S19" s="140"/>
      <c r="T19" s="161">
        <v>27.854999999989587</v>
      </c>
      <c r="U19" s="162">
        <v>33.922000000006818</v>
      </c>
      <c r="V19" s="168"/>
      <c r="Y19" s="134"/>
      <c r="Z19" s="150"/>
      <c r="AA19" s="150"/>
      <c r="AB19" s="134"/>
      <c r="AC19" s="150"/>
      <c r="AE19" s="134"/>
      <c r="AF19" s="150"/>
    </row>
    <row r="20" spans="1:32" x14ac:dyDescent="0.2">
      <c r="A20" t="str">
        <f>name!A18</f>
        <v>Metal products</v>
      </c>
      <c r="B20" s="150">
        <v>171.25499999999897</v>
      </c>
      <c r="C20" s="140">
        <v>0.55366211335304816</v>
      </c>
      <c r="D20" s="164">
        <v>100</v>
      </c>
      <c r="E20" s="150">
        <v>174.72100000005108</v>
      </c>
      <c r="F20" s="140">
        <v>0.52626434722537385</v>
      </c>
      <c r="H20" s="150">
        <v>3.4660000000520959</v>
      </c>
      <c r="I20" s="140">
        <v>2.0238825144095745</v>
      </c>
      <c r="K20" s="150">
        <v>12.562122739190956</v>
      </c>
      <c r="L20" s="140">
        <v>7.3353319547990026</v>
      </c>
      <c r="N20" s="150">
        <v>-0.62163202533603767</v>
      </c>
      <c r="O20" s="140">
        <v>-0.36298620497856493</v>
      </c>
      <c r="Q20" s="150">
        <v>-8.4744907138028225</v>
      </c>
      <c r="R20" s="140">
        <v>-4.9484632354108635</v>
      </c>
      <c r="S20" s="140"/>
      <c r="T20" s="161">
        <v>171.25499999999897</v>
      </c>
      <c r="U20" s="162">
        <v>174.72100000005108</v>
      </c>
      <c r="V20" s="168"/>
      <c r="Y20" s="134"/>
      <c r="Z20" s="150"/>
      <c r="AA20" s="150"/>
      <c r="AB20" s="134"/>
      <c r="AC20" s="150"/>
      <c r="AE20" s="134"/>
      <c r="AF20" s="150"/>
    </row>
    <row r="21" spans="1:32" x14ac:dyDescent="0.2">
      <c r="A21" t="str">
        <f>name!A19</f>
        <v>Computer, etc</v>
      </c>
      <c r="B21" s="150">
        <v>80.063999999999524</v>
      </c>
      <c r="C21" s="140">
        <v>0.25884443340923446</v>
      </c>
      <c r="D21" s="164">
        <v>100</v>
      </c>
      <c r="E21" s="150">
        <v>93.491000000027313</v>
      </c>
      <c r="F21" s="140">
        <v>0.28159740435578678</v>
      </c>
      <c r="H21" s="150">
        <v>13.427000000027794</v>
      </c>
      <c r="I21" s="140">
        <v>16.770333733048403</v>
      </c>
      <c r="K21" s="150">
        <v>5.8729601762902375</v>
      </c>
      <c r="L21" s="140">
        <v>7.3353319547990017</v>
      </c>
      <c r="N21" s="150">
        <v>0.51624557075223443</v>
      </c>
      <c r="O21" s="140">
        <v>0.64479113053586812</v>
      </c>
      <c r="Q21" s="150">
        <v>7.0377942529853215</v>
      </c>
      <c r="R21" s="140">
        <v>8.7902106477135344</v>
      </c>
      <c r="S21" s="140"/>
      <c r="T21" s="161">
        <v>80.063999999999524</v>
      </c>
      <c r="U21" s="162">
        <v>93.491000000027313</v>
      </c>
      <c r="V21" s="168"/>
      <c r="Y21" s="134"/>
      <c r="Z21" s="150"/>
      <c r="AA21" s="150"/>
      <c r="AB21" s="134"/>
      <c r="AC21" s="150"/>
      <c r="AE21" s="134"/>
      <c r="AF21" s="150"/>
    </row>
    <row r="22" spans="1:32" x14ac:dyDescent="0.2">
      <c r="A22" t="str">
        <f>name!A20</f>
        <v>Electrical equipment</v>
      </c>
      <c r="B22" s="150">
        <v>66.058000000045865</v>
      </c>
      <c r="C22" s="140">
        <v>0.21356346900178841</v>
      </c>
      <c r="D22" s="164">
        <v>100</v>
      </c>
      <c r="E22" s="150">
        <v>69.29699999994429</v>
      </c>
      <c r="F22" s="140">
        <v>0.20872442619740475</v>
      </c>
      <c r="H22" s="150">
        <v>3.2389999998984278</v>
      </c>
      <c r="I22" s="140">
        <v>4.9032668259653311</v>
      </c>
      <c r="K22" s="150">
        <v>4.845573582704489</v>
      </c>
      <c r="L22" s="140">
        <v>7.3353319547990017</v>
      </c>
      <c r="N22" s="150">
        <v>-0.10979376804513397</v>
      </c>
      <c r="O22" s="140">
        <v>-0.16620813231562828</v>
      </c>
      <c r="Q22" s="150">
        <v>-1.4967798147609273</v>
      </c>
      <c r="R22" s="140">
        <v>-2.2658569965180417</v>
      </c>
      <c r="S22" s="140"/>
      <c r="T22" s="161">
        <v>66.058000000045865</v>
      </c>
      <c r="U22" s="162">
        <v>69.29699999994429</v>
      </c>
      <c r="V22" s="168"/>
      <c r="Y22" s="134"/>
      <c r="Z22" s="150"/>
      <c r="AA22" s="150"/>
      <c r="AB22" s="134"/>
      <c r="AC22" s="150"/>
      <c r="AE22" s="134"/>
      <c r="AF22" s="150"/>
    </row>
    <row r="23" spans="1:32" x14ac:dyDescent="0.2">
      <c r="A23" t="str">
        <f>name!A21</f>
        <v>Machinery n.e.c.</v>
      </c>
      <c r="B23" s="150">
        <v>320.67900000022286</v>
      </c>
      <c r="C23" s="140">
        <v>1.036745279542592</v>
      </c>
      <c r="D23" s="164">
        <v>100</v>
      </c>
      <c r="E23" s="150">
        <v>294.9469999997628</v>
      </c>
      <c r="F23" s="140">
        <v>0.88838829002187569</v>
      </c>
      <c r="H23" s="150">
        <v>-25.732000000460072</v>
      </c>
      <c r="I23" s="140">
        <v>-8.0242236006854792</v>
      </c>
      <c r="K23" s="150">
        <v>23.522869159346239</v>
      </c>
      <c r="L23" s="140">
        <v>7.3353319547990017</v>
      </c>
      <c r="N23" s="150">
        <v>-3.366093988785714</v>
      </c>
      <c r="O23" s="140">
        <v>-1.0496770879238662</v>
      </c>
      <c r="Q23" s="150">
        <v>-45.888775171020598</v>
      </c>
      <c r="R23" s="140">
        <v>-14.309878467560615</v>
      </c>
      <c r="S23" s="140"/>
      <c r="T23" s="161">
        <v>320.67900000022286</v>
      </c>
      <c r="U23" s="162">
        <v>294.9469999997628</v>
      </c>
      <c r="V23" s="168"/>
      <c r="Y23" s="134"/>
      <c r="Z23" s="150"/>
      <c r="AA23" s="150"/>
      <c r="AB23" s="134"/>
      <c r="AC23" s="150"/>
      <c r="AE23" s="134"/>
      <c r="AF23" s="150"/>
    </row>
    <row r="24" spans="1:32" x14ac:dyDescent="0.2">
      <c r="A24" t="str">
        <f>name!A22</f>
        <v>Motor vehicles, etc</v>
      </c>
      <c r="B24" s="150">
        <v>140.47299999999331</v>
      </c>
      <c r="C24" s="140">
        <v>0.45414486029044115</v>
      </c>
      <c r="D24" s="164">
        <v>100</v>
      </c>
      <c r="E24" s="150">
        <v>162.91900000005276</v>
      </c>
      <c r="F24" s="140">
        <v>0.49071640607375983</v>
      </c>
      <c r="H24" s="150">
        <v>22.44600000005946</v>
      </c>
      <c r="I24" s="140">
        <v>15.97887138457962</v>
      </c>
      <c r="K24" s="150">
        <v>10.304160856864311</v>
      </c>
      <c r="L24" s="140">
        <v>7.3353319547990017</v>
      </c>
      <c r="N24" s="150">
        <v>0.82977728801001405</v>
      </c>
      <c r="O24" s="140">
        <v>0.59070233283980089</v>
      </c>
      <c r="Q24" s="150">
        <v>11.312061855185135</v>
      </c>
      <c r="R24" s="140">
        <v>8.0528370969408165</v>
      </c>
      <c r="S24" s="140"/>
      <c r="T24" s="161">
        <v>140.47299999999331</v>
      </c>
      <c r="U24" s="162">
        <v>162.91900000005276</v>
      </c>
      <c r="V24" s="168"/>
      <c r="Y24" s="134"/>
      <c r="Z24" s="150"/>
      <c r="AA24" s="150"/>
      <c r="AB24" s="134"/>
      <c r="AC24" s="150"/>
      <c r="AE24" s="134"/>
      <c r="AF24" s="150"/>
    </row>
    <row r="25" spans="1:32" x14ac:dyDescent="0.2">
      <c r="A25" t="str">
        <f>name!A23</f>
        <v>Other transport equipment</v>
      </c>
      <c r="B25" s="150">
        <v>67.744000000034035</v>
      </c>
      <c r="C25" s="140">
        <v>0.21901425480720543</v>
      </c>
      <c r="D25" s="164">
        <v>100</v>
      </c>
      <c r="E25" s="150">
        <v>77.434000000005142</v>
      </c>
      <c r="F25" s="140">
        <v>0.23323328886075737</v>
      </c>
      <c r="H25" s="150">
        <v>9.6899999999711</v>
      </c>
      <c r="I25" s="140">
        <v>14.303849787385202</v>
      </c>
      <c r="K25" s="150">
        <v>4.9692472794615323</v>
      </c>
      <c r="L25" s="140">
        <v>7.3353319547990017</v>
      </c>
      <c r="N25" s="150">
        <v>0.32261779649633304</v>
      </c>
      <c r="O25" s="140">
        <v>0.4762308049364829</v>
      </c>
      <c r="Q25" s="150">
        <v>4.3981349240132346</v>
      </c>
      <c r="R25" s="140">
        <v>6.4922870276497182</v>
      </c>
      <c r="S25" s="140"/>
      <c r="T25" s="161">
        <v>67.744000000034035</v>
      </c>
      <c r="U25" s="162">
        <v>77.434000000005142</v>
      </c>
      <c r="V25" s="168"/>
      <c r="Y25" s="134"/>
      <c r="Z25" s="150"/>
      <c r="AA25" s="150"/>
      <c r="AB25" s="134"/>
      <c r="AC25" s="150"/>
      <c r="AE25" s="134"/>
      <c r="AF25" s="150"/>
    </row>
    <row r="26" spans="1:32" x14ac:dyDescent="0.2">
      <c r="A26" t="str">
        <f>name!A24</f>
        <v>Furniture</v>
      </c>
      <c r="B26" s="150">
        <v>182.40299999999939</v>
      </c>
      <c r="C26" s="140">
        <v>0.58970325223751896</v>
      </c>
      <c r="D26" s="164">
        <v>100</v>
      </c>
      <c r="E26" s="150">
        <v>185.13999999993501</v>
      </c>
      <c r="F26" s="140">
        <v>0.55764665521169765</v>
      </c>
      <c r="H26" s="150">
        <v>2.7369999999356223</v>
      </c>
      <c r="I26" s="140">
        <v>1.5005235659148322</v>
      </c>
      <c r="K26" s="150">
        <v>13.379865545511977</v>
      </c>
      <c r="L26" s="140">
        <v>7.3353319547990017</v>
      </c>
      <c r="N26" s="150">
        <v>-0.727336938408782</v>
      </c>
      <c r="O26" s="140">
        <v>-0.39875272797529882</v>
      </c>
      <c r="Q26" s="150">
        <v>-9.9155286071675732</v>
      </c>
      <c r="R26" s="140">
        <v>-5.4360556609088704</v>
      </c>
      <c r="S26" s="140"/>
      <c r="T26" s="161">
        <v>182.40299999999939</v>
      </c>
      <c r="U26" s="162">
        <v>185.13999999993501</v>
      </c>
      <c r="V26" s="168"/>
      <c r="Y26" s="134"/>
      <c r="Z26" s="150"/>
      <c r="AA26" s="150"/>
      <c r="AB26" s="134"/>
      <c r="AC26" s="150"/>
      <c r="AE26" s="134"/>
      <c r="AF26" s="150"/>
    </row>
    <row r="27" spans="1:32" x14ac:dyDescent="0.2">
      <c r="A27" t="str">
        <f>name!A25</f>
        <v>Other manufacturing</v>
      </c>
      <c r="B27" s="150">
        <v>90.135000000064551</v>
      </c>
      <c r="C27" s="140">
        <v>0.29140366463526929</v>
      </c>
      <c r="D27" s="164">
        <v>100</v>
      </c>
      <c r="E27" s="150">
        <v>65.68600000003066</v>
      </c>
      <c r="F27" s="140">
        <v>0.19784799716034099</v>
      </c>
      <c r="H27" s="150">
        <v>-24.449000000033891</v>
      </c>
      <c r="I27" s="140">
        <v>-27.124868253193966</v>
      </c>
      <c r="K27" s="150">
        <v>6.6117014574628152</v>
      </c>
      <c r="L27" s="140">
        <v>7.3353319547990017</v>
      </c>
      <c r="N27" s="150">
        <v>-2.1226985726898846</v>
      </c>
      <c r="O27" s="140">
        <v>-2.3550214374974918</v>
      </c>
      <c r="Q27" s="150">
        <v>-28.938002884806821</v>
      </c>
      <c r="R27" s="140">
        <v>-32.105178770495471</v>
      </c>
      <c r="S27" s="140"/>
      <c r="T27" s="161">
        <v>90.135000000064551</v>
      </c>
      <c r="U27" s="162">
        <v>65.68600000003066</v>
      </c>
      <c r="V27" s="168"/>
      <c r="Y27" s="134"/>
      <c r="Z27" s="150"/>
      <c r="AA27" s="150"/>
      <c r="AB27" s="134"/>
      <c r="AC27" s="150"/>
      <c r="AE27" s="134"/>
      <c r="AF27" s="150"/>
    </row>
    <row r="28" spans="1:32" x14ac:dyDescent="0.2">
      <c r="A28" t="str">
        <f>name!A26</f>
        <v>Repair and installation</v>
      </c>
      <c r="B28" s="150">
        <v>65.316000000028879</v>
      </c>
      <c r="C28" s="140">
        <v>0.2111646059722864</v>
      </c>
      <c r="D28" s="164">
        <v>100</v>
      </c>
      <c r="E28" s="150">
        <v>58.65599999997378</v>
      </c>
      <c r="F28" s="140">
        <v>0.17667344824508047</v>
      </c>
      <c r="H28" s="150">
        <v>-6.6600000000551081</v>
      </c>
      <c r="I28" s="140">
        <v>-10.196582766936375</v>
      </c>
      <c r="K28" s="150">
        <v>4.7911454195986343</v>
      </c>
      <c r="L28" s="140">
        <v>7.3353319547990017</v>
      </c>
      <c r="N28" s="150">
        <v>-0.78257505134664118</v>
      </c>
      <c r="O28" s="140">
        <v>-1.1981368291786012</v>
      </c>
      <c r="Q28" s="150">
        <v>-10.668570368307101</v>
      </c>
      <c r="R28" s="140">
        <v>-16.333777892556778</v>
      </c>
      <c r="S28" s="140"/>
      <c r="T28" s="161">
        <v>65.316000000028879</v>
      </c>
      <c r="U28" s="162">
        <v>58.65599999997378</v>
      </c>
      <c r="V28" s="168"/>
      <c r="Y28" s="134"/>
      <c r="Z28" s="150"/>
      <c r="AA28" s="150"/>
      <c r="AB28" s="134"/>
      <c r="AC28" s="150"/>
      <c r="AE28" s="134"/>
      <c r="AF28" s="150"/>
    </row>
    <row r="29" spans="1:32" x14ac:dyDescent="0.2">
      <c r="A29" t="str">
        <f>name!A27</f>
        <v>Electricity, gas, etc</v>
      </c>
      <c r="B29" s="150">
        <v>217.60999999992853</v>
      </c>
      <c r="C29" s="140">
        <v>0.70352639331241695</v>
      </c>
      <c r="D29" s="164">
        <v>100</v>
      </c>
      <c r="E29" s="150">
        <v>203.759000000095</v>
      </c>
      <c r="F29" s="140">
        <v>0.61372758355500256</v>
      </c>
      <c r="H29" s="150">
        <v>-13.850999999833526</v>
      </c>
      <c r="I29" s="140">
        <v>-6.3650567528321655</v>
      </c>
      <c r="K29" s="150">
        <v>15.962415866832863</v>
      </c>
      <c r="L29" s="140">
        <v>7.3353319547990017</v>
      </c>
      <c r="N29" s="150">
        <v>-2.03745866440849</v>
      </c>
      <c r="O29" s="140">
        <v>-0.93628907881492551</v>
      </c>
      <c r="Q29" s="150">
        <v>-27.775957202257899</v>
      </c>
      <c r="R29" s="140">
        <v>-12.764099628816242</v>
      </c>
      <c r="S29" s="140"/>
      <c r="T29" s="161">
        <v>217.60999999992853</v>
      </c>
      <c r="U29" s="162">
        <v>203.759000000095</v>
      </c>
      <c r="V29" s="168"/>
      <c r="W29" s="139"/>
      <c r="Y29" s="134"/>
      <c r="Z29" s="150"/>
      <c r="AA29" s="150"/>
      <c r="AB29" s="134"/>
      <c r="AC29" s="150"/>
      <c r="AE29" s="134"/>
      <c r="AF29" s="150"/>
    </row>
    <row r="30" spans="1:32" x14ac:dyDescent="0.2">
      <c r="A30" t="str">
        <f>name!A28</f>
        <v>Water</v>
      </c>
      <c r="B30" s="150">
        <v>76.56499999997483</v>
      </c>
      <c r="C30" s="140">
        <v>0.24753227472986161</v>
      </c>
      <c r="D30" s="164">
        <v>100</v>
      </c>
      <c r="E30" s="150">
        <v>91.782000000042814</v>
      </c>
      <c r="F30" s="140">
        <v>0.27644985043038717</v>
      </c>
      <c r="H30" s="150">
        <v>15.217000000067987</v>
      </c>
      <c r="I30" s="140">
        <v>19.874616339153647</v>
      </c>
      <c r="K30" s="150">
        <v>5.616296911190009</v>
      </c>
      <c r="L30" s="140">
        <v>7.3353319547990017</v>
      </c>
      <c r="N30" s="150">
        <v>0.65611521270592732</v>
      </c>
      <c r="O30" s="140">
        <v>0.85693882675653765</v>
      </c>
      <c r="Q30" s="150">
        <v>8.9445878761720508</v>
      </c>
      <c r="R30" s="140">
        <v>11.682345557598108</v>
      </c>
      <c r="S30" s="140"/>
      <c r="T30" s="161">
        <v>76.56499999997483</v>
      </c>
      <c r="U30" s="162">
        <v>91.782000000042814</v>
      </c>
      <c r="V30" s="168"/>
      <c r="Y30" s="134"/>
      <c r="Z30" s="150"/>
      <c r="AA30" s="150"/>
      <c r="AB30" s="134"/>
      <c r="AC30" s="150"/>
      <c r="AE30" s="134"/>
      <c r="AF30" s="150"/>
    </row>
    <row r="31" spans="1:32" x14ac:dyDescent="0.2">
      <c r="A31" t="str">
        <f>name!A29</f>
        <v>Sewerage</v>
      </c>
      <c r="B31" s="150">
        <v>82.465999999925302</v>
      </c>
      <c r="C31" s="140">
        <v>0.266610025048795</v>
      </c>
      <c r="D31" s="164">
        <v>100</v>
      </c>
      <c r="E31" s="150">
        <v>87.377999999966974</v>
      </c>
      <c r="F31" s="140">
        <v>0.26318488408278279</v>
      </c>
      <c r="H31" s="150">
        <v>4.9120000000416617</v>
      </c>
      <c r="I31" s="140">
        <v>5.9563941503724092</v>
      </c>
      <c r="K31" s="150">
        <v>6.0491548498390655</v>
      </c>
      <c r="L31" s="140">
        <v>7.3353319547990017</v>
      </c>
      <c r="N31" s="150">
        <v>-7.7713537149029399E-2</v>
      </c>
      <c r="O31" s="140">
        <v>-9.4237063940411564E-2</v>
      </c>
      <c r="Q31" s="150">
        <v>-1.0594413126483744</v>
      </c>
      <c r="R31" s="140">
        <v>-1.284700740486181</v>
      </c>
      <c r="S31" s="140"/>
      <c r="T31" s="161">
        <v>82.465999999925302</v>
      </c>
      <c r="U31" s="162">
        <v>87.377999999966974</v>
      </c>
      <c r="V31" s="168"/>
      <c r="Y31" s="134"/>
      <c r="Z31" s="150"/>
      <c r="AA31" s="150"/>
      <c r="AB31" s="134"/>
      <c r="AC31" s="150"/>
      <c r="AE31" s="134"/>
      <c r="AF31" s="150"/>
    </row>
    <row r="32" spans="1:32" x14ac:dyDescent="0.2">
      <c r="A32" t="str">
        <f>name!A30</f>
        <v>Waste management</v>
      </c>
      <c r="B32" s="150">
        <v>32.932999999964288</v>
      </c>
      <c r="C32" s="140">
        <v>0.10647136947263597</v>
      </c>
      <c r="D32" s="164">
        <v>100</v>
      </c>
      <c r="E32" s="150">
        <v>34.895000000015962</v>
      </c>
      <c r="F32" s="140">
        <v>0.10510467772295519</v>
      </c>
      <c r="H32" s="150">
        <v>1.9620000000516737</v>
      </c>
      <c r="I32" s="140">
        <v>5.957550177796743</v>
      </c>
      <c r="K32" s="150">
        <v>2.4157448726713358</v>
      </c>
      <c r="L32" s="140">
        <v>7.3353319547990017</v>
      </c>
      <c r="N32" s="150">
        <v>-3.1009074112286816E-2</v>
      </c>
      <c r="O32" s="140">
        <v>-9.4158060645311514E-2</v>
      </c>
      <c r="Q32" s="150">
        <v>-0.42273579850737519</v>
      </c>
      <c r="R32" s="140">
        <v>-1.2836237163569477</v>
      </c>
      <c r="S32" s="140"/>
      <c r="T32" s="161">
        <v>32.932999999964288</v>
      </c>
      <c r="U32" s="162">
        <v>34.895000000015962</v>
      </c>
      <c r="V32" s="168"/>
      <c r="Y32" s="134"/>
      <c r="Z32" s="150"/>
      <c r="AA32" s="150"/>
      <c r="AB32" s="134"/>
      <c r="AC32" s="150"/>
      <c r="AE32" s="134"/>
      <c r="AF32" s="150"/>
    </row>
    <row r="33" spans="1:32" x14ac:dyDescent="0.2">
      <c r="A33" t="str">
        <f>name!A31</f>
        <v>Construction</v>
      </c>
      <c r="B33" s="150">
        <v>35.430000000000284</v>
      </c>
      <c r="C33" s="140">
        <v>0.11454409317157906</v>
      </c>
      <c r="D33" s="164">
        <v>100</v>
      </c>
      <c r="E33" s="150">
        <v>35.217999999995349</v>
      </c>
      <c r="F33" s="140">
        <v>0.10607756240277558</v>
      </c>
      <c r="H33" s="150">
        <v>-0.2120000000049331</v>
      </c>
      <c r="I33" s="140">
        <v>-0.59836296924903021</v>
      </c>
      <c r="K33" s="150">
        <v>2.598908111585307</v>
      </c>
      <c r="L33" s="140">
        <v>7.3353319547990017</v>
      </c>
      <c r="N33" s="150">
        <v>-0.19209838659309805</v>
      </c>
      <c r="O33" s="140">
        <v>-0.54219132541094139</v>
      </c>
      <c r="Q33" s="150">
        <v>-2.618809724997142</v>
      </c>
      <c r="R33" s="140">
        <v>-7.3915035986370903</v>
      </c>
      <c r="S33" s="140"/>
      <c r="T33" s="161">
        <v>35.430000000000284</v>
      </c>
      <c r="U33" s="162">
        <v>35.217999999995349</v>
      </c>
      <c r="V33" s="168"/>
      <c r="Y33" s="134"/>
      <c r="Z33" s="150"/>
      <c r="AA33" s="150"/>
      <c r="AB33" s="134"/>
      <c r="AC33" s="150"/>
      <c r="AE33" s="134"/>
      <c r="AF33" s="150"/>
    </row>
    <row r="34" spans="1:32" x14ac:dyDescent="0.2">
      <c r="A34" t="str">
        <f>name!A32</f>
        <v>Civil engineering</v>
      </c>
      <c r="B34" s="150">
        <v>145.50300000000124</v>
      </c>
      <c r="C34" s="140">
        <v>0.47040669457364592</v>
      </c>
      <c r="D34" s="164">
        <v>100</v>
      </c>
      <c r="E34" s="150">
        <v>144.62799999998086</v>
      </c>
      <c r="F34" s="140">
        <v>0.43562342254496622</v>
      </c>
      <c r="H34" s="150">
        <v>-0.8750000000203727</v>
      </c>
      <c r="I34" s="140">
        <v>-0.60136217124070657</v>
      </c>
      <c r="K34" s="150">
        <v>10.673128054191281</v>
      </c>
      <c r="L34" s="140">
        <v>7.3353319547990017</v>
      </c>
      <c r="N34" s="150">
        <v>-0.78920287654993049</v>
      </c>
      <c r="O34" s="140">
        <v>-0.54239629186334559</v>
      </c>
      <c r="Q34" s="150">
        <v>-10.758925177661723</v>
      </c>
      <c r="R34" s="140">
        <v>-7.3942978341763625</v>
      </c>
      <c r="S34" s="140"/>
      <c r="T34" s="161">
        <v>145.50300000000124</v>
      </c>
      <c r="U34" s="162">
        <v>144.62799999998086</v>
      </c>
      <c r="V34" s="168"/>
      <c r="Y34" s="134"/>
      <c r="Z34" s="150"/>
      <c r="AA34" s="150"/>
      <c r="AB34" s="134"/>
      <c r="AC34" s="150"/>
      <c r="AE34" s="134"/>
      <c r="AF34" s="150"/>
    </row>
    <row r="35" spans="1:32" x14ac:dyDescent="0.2">
      <c r="A35" t="str">
        <f>name!A33</f>
        <v>Specialised construction</v>
      </c>
      <c r="B35" s="150">
        <v>1697.6410000011963</v>
      </c>
      <c r="C35" s="140">
        <v>5.4884207980815161</v>
      </c>
      <c r="D35" s="164">
        <v>100</v>
      </c>
      <c r="E35" s="150">
        <v>1865.8430000002486</v>
      </c>
      <c r="F35" s="140">
        <v>5.619969256242106</v>
      </c>
      <c r="H35" s="150">
        <v>168.20199999905239</v>
      </c>
      <c r="I35" s="140">
        <v>9.9079840790210572</v>
      </c>
      <c r="K35" s="150">
        <v>124.52760275085707</v>
      </c>
      <c r="L35" s="140">
        <v>7.3353319547990017</v>
      </c>
      <c r="N35" s="150">
        <v>2.9847226994760661</v>
      </c>
      <c r="O35" s="140">
        <v>0.17581589390654223</v>
      </c>
      <c r="Q35" s="150">
        <v>40.689674548719267</v>
      </c>
      <c r="R35" s="140">
        <v>2.3968362303155142</v>
      </c>
      <c r="S35" s="140"/>
      <c r="T35" s="161">
        <v>1697.6410000011963</v>
      </c>
      <c r="U35" s="162">
        <v>1865.8430000002486</v>
      </c>
      <c r="V35" s="168"/>
      <c r="Y35" s="134"/>
      <c r="Z35" s="150"/>
      <c r="AA35" s="150"/>
      <c r="AB35" s="134"/>
      <c r="AC35" s="150"/>
      <c r="AE35" s="134"/>
      <c r="AF35" s="150"/>
    </row>
    <row r="36" spans="1:32" x14ac:dyDescent="0.2">
      <c r="A36" t="str">
        <f>name!A34</f>
        <v>Motor vehicle trade</v>
      </c>
      <c r="B36" s="150">
        <v>569.9599999994731</v>
      </c>
      <c r="C36" s="140">
        <v>1.842663035394082</v>
      </c>
      <c r="D36" s="164">
        <v>100</v>
      </c>
      <c r="E36" s="150">
        <v>641.79699999991612</v>
      </c>
      <c r="F36" s="140">
        <v>1.9331098108187363</v>
      </c>
      <c r="H36" s="150">
        <v>71.837000000443084</v>
      </c>
      <c r="I36" s="140">
        <v>12.603866938120129</v>
      </c>
      <c r="K36" s="150">
        <v>41.808458009533737</v>
      </c>
      <c r="L36" s="140">
        <v>7.3353319547990017</v>
      </c>
      <c r="N36" s="150">
        <v>2.0521604546274403</v>
      </c>
      <c r="O36" s="140">
        <v>0.36005341684141651</v>
      </c>
      <c r="Q36" s="150">
        <v>27.976381536281906</v>
      </c>
      <c r="R36" s="140">
        <v>4.9084815664797121</v>
      </c>
      <c r="S36" s="140"/>
      <c r="T36" s="161">
        <v>569.9599999994731</v>
      </c>
      <c r="U36" s="162">
        <v>641.79699999991612</v>
      </c>
      <c r="V36" s="168"/>
      <c r="Y36" s="134"/>
      <c r="Z36" s="150"/>
      <c r="AA36" s="150"/>
      <c r="AB36" s="134"/>
      <c r="AC36" s="150"/>
      <c r="AE36" s="134"/>
      <c r="AF36" s="150"/>
    </row>
    <row r="37" spans="1:32" x14ac:dyDescent="0.2">
      <c r="A37" t="str">
        <f>name!A35</f>
        <v>Wholesale trade</v>
      </c>
      <c r="B37" s="150">
        <v>1164.0059999989242</v>
      </c>
      <c r="C37" s="140">
        <v>3.7631953631428945</v>
      </c>
      <c r="D37" s="164">
        <v>100</v>
      </c>
      <c r="E37" s="150">
        <v>1232.8599999998389</v>
      </c>
      <c r="F37" s="140">
        <v>3.7134074502778711</v>
      </c>
      <c r="H37" s="150">
        <v>68.854000000914795</v>
      </c>
      <c r="I37" s="140">
        <v>5.9152616052647868</v>
      </c>
      <c r="K37" s="150">
        <v>85.383704073698738</v>
      </c>
      <c r="L37" s="140">
        <v>7.3353319547989999</v>
      </c>
      <c r="N37" s="150">
        <v>-1.1296454231819553</v>
      </c>
      <c r="O37" s="140">
        <v>-9.7048075627015618E-2</v>
      </c>
      <c r="Q37" s="150">
        <v>-15.400058649601988</v>
      </c>
      <c r="R37" s="140">
        <v>-1.3230222739071982</v>
      </c>
      <c r="S37" s="140"/>
      <c r="T37" s="161">
        <v>1164.0059999989242</v>
      </c>
      <c r="U37" s="162">
        <v>1232.8599999998389</v>
      </c>
      <c r="V37" s="168"/>
      <c r="Y37" s="134"/>
      <c r="Z37" s="150"/>
      <c r="AA37" s="150"/>
      <c r="AB37" s="134"/>
      <c r="AC37" s="150"/>
      <c r="AE37" s="134"/>
      <c r="AF37" s="150"/>
    </row>
    <row r="38" spans="1:32" x14ac:dyDescent="0.2">
      <c r="A38" t="str">
        <f>name!A36</f>
        <v>Retail trade</v>
      </c>
      <c r="B38" s="150">
        <v>3028.8189999972019</v>
      </c>
      <c r="C38" s="140">
        <v>9.7920780619679828</v>
      </c>
      <c r="D38" s="164">
        <v>100</v>
      </c>
      <c r="E38" s="150">
        <v>3261.3079999995739</v>
      </c>
      <c r="F38" s="140">
        <v>9.8231473361540029</v>
      </c>
      <c r="H38" s="150">
        <v>232.48900000237208</v>
      </c>
      <c r="I38" s="140">
        <v>7.675896116690593</v>
      </c>
      <c r="K38" s="150">
        <v>222.17392795981831</v>
      </c>
      <c r="L38" s="140">
        <v>7.3353319547990017</v>
      </c>
      <c r="N38" s="150">
        <v>0.70493542239819362</v>
      </c>
      <c r="O38" s="140">
        <v>2.3274267045962298E-2</v>
      </c>
      <c r="Q38" s="150">
        <v>9.610136620155572</v>
      </c>
      <c r="R38" s="140">
        <v>0.31728989484562958</v>
      </c>
      <c r="S38" s="140"/>
      <c r="T38" s="161">
        <v>3028.8189999972019</v>
      </c>
      <c r="U38" s="162">
        <v>3261.3079999995739</v>
      </c>
      <c r="V38" s="168"/>
      <c r="Y38" s="134"/>
      <c r="Z38" s="150"/>
      <c r="AA38" s="150"/>
      <c r="AB38" s="134"/>
      <c r="AC38" s="150"/>
      <c r="AE38" s="134"/>
      <c r="AF38" s="150"/>
    </row>
    <row r="39" spans="1:32" x14ac:dyDescent="0.2">
      <c r="A39" t="str">
        <f>name!A37</f>
        <v>Land transport, etc</v>
      </c>
      <c r="B39" s="150">
        <v>716.96500000073365</v>
      </c>
      <c r="C39" s="140">
        <v>2.3179256494734561</v>
      </c>
      <c r="D39" s="164">
        <v>100</v>
      </c>
      <c r="E39" s="150">
        <v>704.04699999997217</v>
      </c>
      <c r="F39" s="140">
        <v>2.1206084836445522</v>
      </c>
      <c r="H39" s="150">
        <v>-12.918000000761472</v>
      </c>
      <c r="I39" s="140">
        <v>-1.8017615923717691</v>
      </c>
      <c r="K39" s="150">
        <v>52.591762749778475</v>
      </c>
      <c r="L39" s="140">
        <v>7.3353319547990017</v>
      </c>
      <c r="N39" s="150">
        <v>-4.476958773069212</v>
      </c>
      <c r="O39" s="140">
        <v>-0.62443198385759846</v>
      </c>
      <c r="Q39" s="150">
        <v>-61.032803977470735</v>
      </c>
      <c r="R39" s="140">
        <v>-8.5126615633131717</v>
      </c>
      <c r="S39" s="140"/>
      <c r="T39" s="161">
        <v>716.96500000073365</v>
      </c>
      <c r="U39" s="162">
        <v>704.04699999997217</v>
      </c>
      <c r="V39" s="168"/>
      <c r="Y39" s="134"/>
      <c r="Z39" s="150"/>
      <c r="AA39" s="150"/>
      <c r="AB39" s="134"/>
      <c r="AC39" s="150"/>
      <c r="AE39" s="134"/>
      <c r="AF39" s="150"/>
    </row>
    <row r="40" spans="1:32" x14ac:dyDescent="0.2">
      <c r="A40" t="str">
        <f>name!A38</f>
        <v>Water transport</v>
      </c>
      <c r="B40" s="150">
        <v>18.247000000011084</v>
      </c>
      <c r="C40" s="140">
        <v>5.8991986116371888E-2</v>
      </c>
      <c r="D40" s="164">
        <v>100</v>
      </c>
      <c r="E40" s="150">
        <v>17.84799999999214</v>
      </c>
      <c r="F40" s="140">
        <v>5.3758655623946702E-2</v>
      </c>
      <c r="H40" s="150">
        <v>-0.39900000001894298</v>
      </c>
      <c r="I40" s="140">
        <v>-2.1866608210593554</v>
      </c>
      <c r="K40" s="150">
        <v>1.338478021792987</v>
      </c>
      <c r="L40" s="140">
        <v>7.3353319547990026</v>
      </c>
      <c r="N40" s="150">
        <v>-0.11873982054226906</v>
      </c>
      <c r="O40" s="140">
        <v>-0.65073612397762337</v>
      </c>
      <c r="Q40" s="150">
        <v>-1.6187382012696609</v>
      </c>
      <c r="R40" s="140">
        <v>-8.871256651880735</v>
      </c>
      <c r="S40" s="140"/>
      <c r="T40" s="161">
        <v>18.247000000011084</v>
      </c>
      <c r="U40" s="162">
        <v>17.84799999999214</v>
      </c>
      <c r="V40" s="168"/>
      <c r="Y40" s="134"/>
      <c r="Z40" s="150"/>
      <c r="AA40" s="150"/>
      <c r="AB40" s="134"/>
      <c r="AC40" s="150"/>
      <c r="AE40" s="134"/>
      <c r="AF40" s="150"/>
    </row>
    <row r="41" spans="1:32" x14ac:dyDescent="0.2">
      <c r="A41" t="str">
        <f>name!A39</f>
        <v>Air transport</v>
      </c>
      <c r="B41" s="150">
        <v>83.957000000060233</v>
      </c>
      <c r="C41" s="140">
        <v>0.2714303818914221</v>
      </c>
      <c r="D41" s="164">
        <v>100</v>
      </c>
      <c r="E41" s="150">
        <v>115.2650000001187</v>
      </c>
      <c r="F41" s="140">
        <v>0.34718127748225713</v>
      </c>
      <c r="H41" s="150">
        <v>31.30800000005847</v>
      </c>
      <c r="I41" s="140">
        <v>37.290517765089284</v>
      </c>
      <c r="K41" s="150">
        <v>6.1585246492950159</v>
      </c>
      <c r="L41" s="140">
        <v>7.3353319547990017</v>
      </c>
      <c r="N41" s="150">
        <v>1.7187234326956968</v>
      </c>
      <c r="O41" s="140">
        <v>2.0471472690716244</v>
      </c>
      <c r="Q41" s="150">
        <v>23.430751918067756</v>
      </c>
      <c r="R41" s="140">
        <v>27.908038541218655</v>
      </c>
      <c r="S41" s="140"/>
      <c r="T41" s="161">
        <v>83.957000000060233</v>
      </c>
      <c r="U41" s="162">
        <v>115.2650000001187</v>
      </c>
      <c r="V41" s="168"/>
      <c r="Y41" s="134"/>
      <c r="Z41" s="150"/>
      <c r="AA41" s="150"/>
      <c r="AB41" s="134"/>
      <c r="AC41" s="150"/>
      <c r="AE41" s="134"/>
      <c r="AF41" s="150"/>
    </row>
    <row r="42" spans="1:32" x14ac:dyDescent="0.2">
      <c r="A42" t="str">
        <f>name!A40</f>
        <v>Warehousing, etc</v>
      </c>
      <c r="B42" s="150">
        <v>340.75900000006266</v>
      </c>
      <c r="C42" s="140">
        <v>1.1016632979130954</v>
      </c>
      <c r="D42" s="164">
        <v>100</v>
      </c>
      <c r="E42" s="150">
        <v>336.28300000019055</v>
      </c>
      <c r="F42" s="140">
        <v>1.0128934328331394</v>
      </c>
      <c r="H42" s="150">
        <v>-4.4759999998720597</v>
      </c>
      <c r="I42" s="140">
        <v>-1.3135383070942328</v>
      </c>
      <c r="K42" s="150">
        <v>24.995803815858125</v>
      </c>
      <c r="L42" s="140">
        <v>7.3353319547990017</v>
      </c>
      <c r="N42" s="150">
        <v>-2.01411278427996</v>
      </c>
      <c r="O42" s="140">
        <v>-0.59106664366299633</v>
      </c>
      <c r="Q42" s="150">
        <v>-27.457691031450224</v>
      </c>
      <c r="R42" s="140">
        <v>-8.0578036182302366</v>
      </c>
      <c r="S42" s="140"/>
      <c r="T42" s="161">
        <v>340.75900000006266</v>
      </c>
      <c r="U42" s="162">
        <v>336.28300000019055</v>
      </c>
      <c r="V42" s="168"/>
      <c r="Y42" s="134"/>
      <c r="Z42" s="150"/>
      <c r="AA42" s="150"/>
      <c r="AB42" s="134"/>
      <c r="AC42" s="150"/>
      <c r="AE42" s="134"/>
      <c r="AF42" s="150"/>
    </row>
    <row r="43" spans="1:32" x14ac:dyDescent="0.2">
      <c r="A43" t="str">
        <f>name!A41</f>
        <v>Postal and courier</v>
      </c>
      <c r="B43" s="150">
        <v>325.27900000005985</v>
      </c>
      <c r="C43" s="140">
        <v>1.0516169371370201</v>
      </c>
      <c r="D43" s="164">
        <v>100</v>
      </c>
      <c r="E43" s="150">
        <v>535.52800000030322</v>
      </c>
      <c r="F43" s="140">
        <v>1.6130247270848221</v>
      </c>
      <c r="H43" s="150">
        <v>210.24900000024343</v>
      </c>
      <c r="I43" s="140">
        <v>64.63651204049593</v>
      </c>
      <c r="K43" s="150">
        <v>23.860294429255035</v>
      </c>
      <c r="L43" s="140">
        <v>7.3353319547990017</v>
      </c>
      <c r="N43" s="150">
        <v>12.737865557301006</v>
      </c>
      <c r="O43" s="140">
        <v>3.9159815288717268</v>
      </c>
      <c r="Q43" s="150">
        <v>173.6508400136874</v>
      </c>
      <c r="R43" s="140">
        <v>53.385198556825195</v>
      </c>
      <c r="S43" s="140"/>
      <c r="T43" s="161">
        <v>325.27900000005985</v>
      </c>
      <c r="U43" s="162">
        <v>535.52800000030322</v>
      </c>
      <c r="V43" s="168"/>
      <c r="Y43" s="134"/>
      <c r="Z43" s="150"/>
      <c r="AA43" s="150"/>
      <c r="AB43" s="134"/>
      <c r="AC43" s="150"/>
      <c r="AE43" s="134"/>
      <c r="AF43" s="150"/>
    </row>
    <row r="44" spans="1:32" x14ac:dyDescent="0.2">
      <c r="A44" t="str">
        <f>name!A42</f>
        <v>Accommodation</v>
      </c>
      <c r="B44" s="150">
        <v>2144.1589999988464</v>
      </c>
      <c r="C44" s="140">
        <v>6.9319996689400423</v>
      </c>
      <c r="D44" s="164">
        <v>100</v>
      </c>
      <c r="E44" s="150">
        <v>2258.3650000006869</v>
      </c>
      <c r="F44" s="140">
        <v>6.8022560683698323</v>
      </c>
      <c r="H44" s="150">
        <v>114.20600000184029</v>
      </c>
      <c r="I44" s="140">
        <v>5.3263773816168358</v>
      </c>
      <c r="K44" s="150">
        <v>157.28118028861411</v>
      </c>
      <c r="L44" s="140">
        <v>7.3353319547990017</v>
      </c>
      <c r="N44" s="150">
        <v>-2.9437720148788173</v>
      </c>
      <c r="O44" s="140">
        <v>-0.13729261751952168</v>
      </c>
      <c r="Q44" s="150">
        <v>-40.131408271894998</v>
      </c>
      <c r="R44" s="140">
        <v>-1.8716619556626439</v>
      </c>
      <c r="S44" s="140"/>
      <c r="T44" s="161">
        <v>2144.1589999988464</v>
      </c>
      <c r="U44" s="162">
        <v>2258.3650000006869</v>
      </c>
      <c r="V44" s="168"/>
      <c r="Y44" s="134"/>
      <c r="Z44" s="150"/>
      <c r="AA44" s="150"/>
      <c r="AB44" s="134"/>
      <c r="AC44" s="150"/>
      <c r="AE44" s="134"/>
      <c r="AF44" s="150"/>
    </row>
    <row r="45" spans="1:32" x14ac:dyDescent="0.2">
      <c r="A45" t="str">
        <f>name!A43</f>
        <v>Food and beverage services</v>
      </c>
      <c r="B45" s="150">
        <v>197.47100000001379</v>
      </c>
      <c r="C45" s="140">
        <v>0.63841762976817074</v>
      </c>
      <c r="D45" s="164">
        <v>100</v>
      </c>
      <c r="E45" s="150">
        <v>286.78200000015835</v>
      </c>
      <c r="F45" s="140">
        <v>0.86379509060746196</v>
      </c>
      <c r="H45" s="150">
        <v>89.311000000144531</v>
      </c>
      <c r="I45" s="140">
        <v>45.227400479127716</v>
      </c>
      <c r="K45" s="150">
        <v>14.485153364462148</v>
      </c>
      <c r="L45" s="140">
        <v>7.3353319547990017</v>
      </c>
      <c r="N45" s="150">
        <v>5.1136230156045031</v>
      </c>
      <c r="O45" s="140">
        <v>2.5895564491009546</v>
      </c>
      <c r="Q45" s="150">
        <v>69.712223620077879</v>
      </c>
      <c r="R45" s="140">
        <v>35.30251207522776</v>
      </c>
      <c r="S45" s="140"/>
      <c r="T45" s="161">
        <v>197.47100000001379</v>
      </c>
      <c r="U45" s="162">
        <v>286.78200000015835</v>
      </c>
      <c r="V45" s="168"/>
      <c r="Y45" s="134"/>
      <c r="Z45" s="150"/>
      <c r="AA45" s="150"/>
      <c r="AB45" s="134"/>
      <c r="AC45" s="150"/>
      <c r="AE45" s="134"/>
      <c r="AF45" s="150"/>
    </row>
    <row r="46" spans="1:32" x14ac:dyDescent="0.2">
      <c r="A46" t="str">
        <f>name!A44</f>
        <v>Publishing activities</v>
      </c>
      <c r="B46" s="150">
        <v>187.13600000001301</v>
      </c>
      <c r="C46" s="140">
        <v>0.60500489471515484</v>
      </c>
      <c r="D46" s="164">
        <v>100</v>
      </c>
      <c r="E46" s="150">
        <v>179.50800000009909</v>
      </c>
      <c r="F46" s="140">
        <v>0.54068291986513894</v>
      </c>
      <c r="H46" s="150">
        <v>-7.6279999999139108</v>
      </c>
      <c r="I46" s="140">
        <v>-4.076179890514589</v>
      </c>
      <c r="K46" s="150">
        <v>13.727046806933613</v>
      </c>
      <c r="L46" s="140">
        <v>7.3353319547990017</v>
      </c>
      <c r="N46" s="150">
        <v>-1.4594109356690108</v>
      </c>
      <c r="O46" s="140">
        <v>-0.77986647981623491</v>
      </c>
      <c r="Q46" s="150">
        <v>-19.895635871178513</v>
      </c>
      <c r="R46" s="140">
        <v>-10.631645365497354</v>
      </c>
      <c r="S46" s="140"/>
      <c r="T46" s="161">
        <v>187.13600000001301</v>
      </c>
      <c r="U46" s="161">
        <v>179.50800000009909</v>
      </c>
      <c r="V46" s="168"/>
      <c r="Y46" s="134"/>
      <c r="Z46" s="150"/>
      <c r="AA46" s="150"/>
      <c r="AB46" s="134"/>
      <c r="AC46" s="150"/>
      <c r="AE46" s="134"/>
      <c r="AF46" s="150"/>
    </row>
    <row r="47" spans="1:32" x14ac:dyDescent="0.2">
      <c r="A47" t="str">
        <f>name!A45</f>
        <v>Film and music</v>
      </c>
      <c r="B47" s="150">
        <v>199.87700000026544</v>
      </c>
      <c r="C47" s="140">
        <v>0.64619615328495417</v>
      </c>
      <c r="D47" s="164">
        <v>100</v>
      </c>
      <c r="E47" s="150">
        <v>198.79299999997147</v>
      </c>
      <c r="F47" s="140">
        <v>0.59876985810479655</v>
      </c>
      <c r="H47" s="150">
        <v>-1.0840000002939487</v>
      </c>
      <c r="I47" s="140">
        <v>-0.54233353527044592</v>
      </c>
      <c r="K47" s="150">
        <v>14.66164145131307</v>
      </c>
      <c r="L47" s="140">
        <v>7.3353319547990017</v>
      </c>
      <c r="N47" s="150">
        <v>-1.0760623252874428</v>
      </c>
      <c r="O47" s="140">
        <v>-0.53836225543009641</v>
      </c>
      <c r="Q47" s="150">
        <v>-14.669579126319576</v>
      </c>
      <c r="R47" s="140">
        <v>-7.3393032346393507</v>
      </c>
      <c r="S47" s="140"/>
      <c r="T47" s="161">
        <v>199.87700000026544</v>
      </c>
      <c r="U47" s="161">
        <v>198.79299999997147</v>
      </c>
      <c r="V47" s="168"/>
      <c r="Y47" s="134"/>
      <c r="Z47" s="134"/>
      <c r="AA47" s="134"/>
      <c r="AB47" s="134"/>
      <c r="AC47" s="134"/>
      <c r="AE47" s="134"/>
      <c r="AF47" s="150"/>
    </row>
    <row r="48" spans="1:32" x14ac:dyDescent="0.2">
      <c r="A48" t="str">
        <f>name!A46</f>
        <v>Broadcasting</v>
      </c>
      <c r="B48" s="150">
        <v>438.62000000015314</v>
      </c>
      <c r="C48" s="140">
        <v>1.4180448813698885</v>
      </c>
      <c r="D48" s="164">
        <v>100</v>
      </c>
      <c r="E48" s="150">
        <v>414.383999999926</v>
      </c>
      <c r="F48" s="140">
        <v>1.2481357436171761</v>
      </c>
      <c r="H48" s="150">
        <v>-24.236000000227126</v>
      </c>
      <c r="I48" s="140">
        <v>-5.525511832615627</v>
      </c>
      <c r="K48" s="150">
        <v>32.174233020150616</v>
      </c>
      <c r="L48" s="140">
        <v>7.3353319547990017</v>
      </c>
      <c r="N48" s="150">
        <v>-3.8550939128439801</v>
      </c>
      <c r="O48" s="140">
        <v>-0.87891430232151613</v>
      </c>
      <c r="Q48" s="150">
        <v>-52.555139107533762</v>
      </c>
      <c r="R48" s="140">
        <v>-11.981929485093113</v>
      </c>
      <c r="S48" s="140"/>
      <c r="T48" s="161">
        <v>438.62000000015314</v>
      </c>
      <c r="U48" s="161">
        <v>414.383999999926</v>
      </c>
      <c r="Y48" s="134"/>
      <c r="Z48" s="134"/>
      <c r="AA48" s="134"/>
      <c r="AB48" s="134"/>
      <c r="AC48" s="134"/>
      <c r="AE48" s="134"/>
    </row>
    <row r="49" spans="1:21" x14ac:dyDescent="0.2">
      <c r="A49" t="str">
        <f>name!A47</f>
        <v>Telecommunications</v>
      </c>
      <c r="B49" s="150">
        <v>613.98799999968332</v>
      </c>
      <c r="C49" s="140">
        <v>1.9850041963927363</v>
      </c>
      <c r="D49" s="164">
        <v>100</v>
      </c>
      <c r="E49" s="150">
        <v>538.85800000020777</v>
      </c>
      <c r="F49" s="140">
        <v>1.6230547765706296</v>
      </c>
      <c r="H49" s="150">
        <v>-75.129999999475544</v>
      </c>
      <c r="I49" s="140">
        <v>-12.236395499507205</v>
      </c>
      <c r="K49" s="150">
        <v>45.038057962608065</v>
      </c>
      <c r="L49" s="140">
        <v>7.3353319547990017</v>
      </c>
      <c r="N49" s="150">
        <v>-8.2123246787610498</v>
      </c>
      <c r="O49" s="140">
        <v>-1.3375383034791049</v>
      </c>
      <c r="Q49" s="150">
        <v>-111.95573328332256</v>
      </c>
      <c r="R49" s="140">
        <v>-18.234189150827103</v>
      </c>
      <c r="S49" s="140"/>
      <c r="T49" s="161">
        <v>613.98799999968332</v>
      </c>
      <c r="U49" s="161">
        <v>538.85800000020777</v>
      </c>
    </row>
    <row r="50" spans="1:21" x14ac:dyDescent="0.2">
      <c r="A50" t="str">
        <f>name!A48</f>
        <v>Computing services</v>
      </c>
      <c r="B50" s="150">
        <v>132.72299999993143</v>
      </c>
      <c r="C50" s="140">
        <v>0.42908935021178413</v>
      </c>
      <c r="D50" s="164">
        <v>100</v>
      </c>
      <c r="E50" s="150">
        <v>135.03200000005205</v>
      </c>
      <c r="F50" s="140">
        <v>0.40672001267474028</v>
      </c>
      <c r="H50" s="150">
        <v>2.3090000001206064</v>
      </c>
      <c r="I50" s="140">
        <v>1.7397135388152762</v>
      </c>
      <c r="K50" s="150">
        <v>9.7356726303628491</v>
      </c>
      <c r="L50" s="140">
        <v>7.3353319547990017</v>
      </c>
      <c r="N50" s="150">
        <v>-0.50754125477889156</v>
      </c>
      <c r="O50" s="140">
        <v>-0.38240640640970575</v>
      </c>
      <c r="Q50" s="150">
        <v>-6.9191313754633512</v>
      </c>
      <c r="R50" s="140">
        <v>-5.2132120095740202</v>
      </c>
      <c r="S50" s="140"/>
      <c r="T50" s="161">
        <v>132.72299999993143</v>
      </c>
      <c r="U50" s="161">
        <v>135.03200000005205</v>
      </c>
    </row>
    <row r="51" spans="1:21" x14ac:dyDescent="0.2">
      <c r="A51" t="str">
        <f>name!A49</f>
        <v>Information services</v>
      </c>
      <c r="B51" s="150">
        <v>312.76299999983866</v>
      </c>
      <c r="C51" s="140">
        <v>1.0111530966018576</v>
      </c>
      <c r="D51" s="164">
        <v>100</v>
      </c>
      <c r="E51" s="150">
        <v>502.44200000019339</v>
      </c>
      <c r="F51" s="140">
        <v>1.5133688059743005</v>
      </c>
      <c r="H51" s="150">
        <v>189.6790000003547</v>
      </c>
      <c r="I51" s="140">
        <v>60.646240124456078</v>
      </c>
      <c r="K51" s="150">
        <v>22.942204281776167</v>
      </c>
      <c r="L51" s="140">
        <v>7.3353319547990017</v>
      </c>
      <c r="N51" s="150">
        <v>11.394847562313828</v>
      </c>
      <c r="O51" s="140">
        <v>3.6432850312599978</v>
      </c>
      <c r="Q51" s="150">
        <v>155.34194815626472</v>
      </c>
      <c r="R51" s="140">
        <v>49.667623138397076</v>
      </c>
      <c r="S51" s="140"/>
      <c r="T51" s="161">
        <v>312.76299999983866</v>
      </c>
      <c r="U51" s="161">
        <v>502.44200000019339</v>
      </c>
    </row>
    <row r="52" spans="1:21" x14ac:dyDescent="0.2">
      <c r="A52" t="str">
        <f>name!A50</f>
        <v>Financial services</v>
      </c>
      <c r="B52" s="150">
        <v>548.61799999979723</v>
      </c>
      <c r="C52" s="140">
        <v>1.7736650100926228</v>
      </c>
      <c r="D52" s="164">
        <v>100</v>
      </c>
      <c r="E52" s="150">
        <v>580.38300000007268</v>
      </c>
      <c r="F52" s="140">
        <v>1.7481291924591382</v>
      </c>
      <c r="H52" s="150">
        <v>31.765000000275439</v>
      </c>
      <c r="I52" s="140">
        <v>5.7900032445685667</v>
      </c>
      <c r="K52" s="150">
        <v>40.242951463764314</v>
      </c>
      <c r="L52" s="140">
        <v>7.3353319547990017</v>
      </c>
      <c r="N52" s="150">
        <v>-0.57938599665903823</v>
      </c>
      <c r="O52" s="140">
        <v>-0.10560827327197655</v>
      </c>
      <c r="Q52" s="150">
        <v>-7.8985654668298366</v>
      </c>
      <c r="R52" s="140">
        <v>-1.4397204369584586</v>
      </c>
      <c r="S52" s="140"/>
      <c r="T52" s="161">
        <v>548.61799999979723</v>
      </c>
      <c r="U52" s="161">
        <v>580.38300000007268</v>
      </c>
    </row>
    <row r="53" spans="1:21" x14ac:dyDescent="0.2">
      <c r="A53" t="str">
        <f>name!A51</f>
        <v>Insurance and pensions</v>
      </c>
      <c r="B53" s="150">
        <v>1501.1650000006377</v>
      </c>
      <c r="C53" s="140">
        <v>4.8532199725087537</v>
      </c>
      <c r="D53" s="164">
        <v>100</v>
      </c>
      <c r="E53" s="150">
        <v>1898.5639999980804</v>
      </c>
      <c r="F53" s="140">
        <v>5.7185257875372297</v>
      </c>
      <c r="H53" s="150">
        <v>397.39899999744262</v>
      </c>
      <c r="I53" s="140">
        <v>26.472706198004467</v>
      </c>
      <c r="K53" s="150">
        <v>110.11543593930521</v>
      </c>
      <c r="L53" s="140">
        <v>7.3353319547990017</v>
      </c>
      <c r="N53" s="150">
        <v>19.633053433064049</v>
      </c>
      <c r="O53" s="140">
        <v>1.3078544619049677</v>
      </c>
      <c r="Q53" s="150">
        <v>267.65051062507337</v>
      </c>
      <c r="R53" s="140">
        <v>17.829519781300501</v>
      </c>
      <c r="S53" s="140"/>
      <c r="T53" s="161">
        <v>1501.1650000006377</v>
      </c>
      <c r="U53" s="161">
        <v>1898.5639999980804</v>
      </c>
    </row>
    <row r="54" spans="1:21" x14ac:dyDescent="0.2">
      <c r="A54" t="str">
        <f>name!A52</f>
        <v>Auxiliary financial services</v>
      </c>
      <c r="B54" s="150">
        <v>471.13500000027409</v>
      </c>
      <c r="C54" s="140">
        <v>1.5231648697833153</v>
      </c>
      <c r="D54" s="164">
        <v>100</v>
      </c>
      <c r="E54" s="150">
        <v>502.06400000003481</v>
      </c>
      <c r="F54" s="140">
        <v>1.5122302598159418</v>
      </c>
      <c r="H54" s="150">
        <v>30.928999999760709</v>
      </c>
      <c r="I54" s="140">
        <v>6.5647850403265977</v>
      </c>
      <c r="K54" s="150">
        <v>34.559316205262384</v>
      </c>
      <c r="L54" s="140">
        <v>7.3353319547990017</v>
      </c>
      <c r="N54" s="150">
        <v>-0.24809700574137494</v>
      </c>
      <c r="O54" s="140">
        <v>-5.2659430044728284E-2</v>
      </c>
      <c r="Q54" s="150">
        <v>-3.3822191997602999</v>
      </c>
      <c r="R54" s="140">
        <v>-0.71788748442767625</v>
      </c>
      <c r="S54" s="140"/>
      <c r="T54" s="161">
        <v>471.13500000027409</v>
      </c>
      <c r="U54" s="161">
        <v>502.06400000003481</v>
      </c>
    </row>
    <row r="55" spans="1:21" x14ac:dyDescent="0.2">
      <c r="A55" t="str">
        <f>name!A53</f>
        <v>Real estate</v>
      </c>
      <c r="B55" s="150">
        <v>106.49900000005229</v>
      </c>
      <c r="C55" s="140">
        <v>0.34430797004476121</v>
      </c>
      <c r="D55" s="164">
        <v>100</v>
      </c>
      <c r="E55" s="150">
        <v>125.1209999999075</v>
      </c>
      <c r="F55" s="140">
        <v>0.37686781433896366</v>
      </c>
      <c r="H55" s="150">
        <v>18.621999999855209</v>
      </c>
      <c r="I55" s="140">
        <v>17.485610193378402</v>
      </c>
      <c r="K55" s="150">
        <v>7.8120551785452239</v>
      </c>
      <c r="L55" s="140">
        <v>7.3353319547990017</v>
      </c>
      <c r="N55" s="150">
        <v>0.73875519116819888</v>
      </c>
      <c r="O55" s="140">
        <v>0.6936733595318606</v>
      </c>
      <c r="Q55" s="150">
        <v>10.071189630141788</v>
      </c>
      <c r="R55" s="140">
        <v>9.4566048790475428</v>
      </c>
      <c r="S55" s="140"/>
      <c r="T55" s="161">
        <v>106.49900000005229</v>
      </c>
      <c r="U55" s="161">
        <v>125.1209999999075</v>
      </c>
    </row>
    <row r="56" spans="1:21" x14ac:dyDescent="0.2">
      <c r="A56" t="str">
        <f>name!A54</f>
        <v>Legal and accounting</v>
      </c>
      <c r="B56" s="150">
        <v>216.71200000001988</v>
      </c>
      <c r="C56" s="140">
        <v>0.7006231871126537</v>
      </c>
      <c r="D56" s="164">
        <v>100</v>
      </c>
      <c r="E56" s="150">
        <v>307.62700000008448</v>
      </c>
      <c r="F56" s="140">
        <v>0.92658079076869526</v>
      </c>
      <c r="H56" s="150">
        <v>90.91500000006458</v>
      </c>
      <c r="I56" s="140">
        <v>41.951991583325444</v>
      </c>
      <c r="K56" s="150">
        <v>15.89654458588547</v>
      </c>
      <c r="L56" s="140">
        <v>7.3353319547990017</v>
      </c>
      <c r="N56" s="150">
        <v>5.1267859629951857</v>
      </c>
      <c r="O56" s="140">
        <v>2.3657139258530746</v>
      </c>
      <c r="Q56" s="150">
        <v>69.89166945118393</v>
      </c>
      <c r="R56" s="140">
        <v>32.25094570267337</v>
      </c>
      <c r="S56" s="140"/>
      <c r="T56" s="161">
        <v>216.71200000001988</v>
      </c>
      <c r="U56" s="161">
        <v>307.62700000008448</v>
      </c>
    </row>
    <row r="57" spans="1:21" ht="12.75" customHeight="1" x14ac:dyDescent="0.2">
      <c r="A57" t="str">
        <f>name!A55</f>
        <v>Head offices, etc</v>
      </c>
      <c r="B57" s="150">
        <v>488.51200000004457</v>
      </c>
      <c r="C57" s="140">
        <v>1.5793441728320374</v>
      </c>
      <c r="D57" s="164">
        <v>100</v>
      </c>
      <c r="E57" s="150">
        <v>554.93600000015249</v>
      </c>
      <c r="F57" s="140">
        <v>1.6714821446297523</v>
      </c>
      <c r="H57" s="150">
        <v>66.424000000107924</v>
      </c>
      <c r="I57" s="140">
        <v>13.597209485151206</v>
      </c>
      <c r="K57" s="150">
        <v>35.833976839030967</v>
      </c>
      <c r="L57" s="140">
        <v>7.3353319547990017</v>
      </c>
      <c r="N57" s="150">
        <v>2.0905322628152163</v>
      </c>
      <c r="O57" s="140">
        <v>0.42793877383053552</v>
      </c>
      <c r="Q57" s="150">
        <v>28.49949089826174</v>
      </c>
      <c r="R57" s="140">
        <v>5.83393875652167</v>
      </c>
      <c r="S57" s="140"/>
      <c r="T57" s="161">
        <v>488.51200000004457</v>
      </c>
      <c r="U57" s="161">
        <v>554.93600000015249</v>
      </c>
    </row>
    <row r="58" spans="1:21" x14ac:dyDescent="0.2">
      <c r="A58" t="str">
        <f>name!A56</f>
        <v>Architectural and related</v>
      </c>
      <c r="B58" s="150">
        <v>154.33900000012474</v>
      </c>
      <c r="C58" s="140">
        <v>0.49897320903252856</v>
      </c>
      <c r="D58" s="164">
        <v>100</v>
      </c>
      <c r="E58" s="150">
        <v>141.48199999997618</v>
      </c>
      <c r="F58" s="140">
        <v>0.42614758600343433</v>
      </c>
      <c r="H58" s="150">
        <v>-12.857000000148545</v>
      </c>
      <c r="I58" s="140">
        <v>-8.3303636800407901</v>
      </c>
      <c r="K58" s="150">
        <v>11.321277985726381</v>
      </c>
      <c r="L58" s="140">
        <v>7.3353319547990017</v>
      </c>
      <c r="N58" s="150">
        <v>-1.6523514847514473</v>
      </c>
      <c r="O58" s="140">
        <v>-1.0705988018259234</v>
      </c>
      <c r="Q58" s="150">
        <v>-22.525926501123479</v>
      </c>
      <c r="R58" s="140">
        <v>-14.595096833013868</v>
      </c>
      <c r="S58" s="140"/>
      <c r="T58" s="161">
        <v>154.33900000012474</v>
      </c>
      <c r="U58" s="161">
        <v>141.48199999997618</v>
      </c>
    </row>
    <row r="59" spans="1:21" x14ac:dyDescent="0.2">
      <c r="A59" t="str">
        <f>name!A57</f>
        <v>Scientific research and development</v>
      </c>
      <c r="B59" s="150">
        <v>945.30400000076372</v>
      </c>
      <c r="C59" s="140">
        <v>3.0561385676419133</v>
      </c>
      <c r="D59" s="164">
        <v>100</v>
      </c>
      <c r="E59" s="150">
        <v>1147.9249999998067</v>
      </c>
      <c r="F59" s="140">
        <v>3.4575809478449013</v>
      </c>
      <c r="H59" s="150">
        <v>202.62099999904308</v>
      </c>
      <c r="I59" s="140">
        <v>21.434480336365802</v>
      </c>
      <c r="K59" s="150">
        <v>69.341186382049173</v>
      </c>
      <c r="L59" s="140">
        <v>7.3353319547990017</v>
      </c>
      <c r="N59" s="150">
        <v>9.1083863807875787</v>
      </c>
      <c r="O59" s="140">
        <v>0.96354044633051583</v>
      </c>
      <c r="Q59" s="150">
        <v>124.17142723620634</v>
      </c>
      <c r="R59" s="140">
        <v>13.135607935236285</v>
      </c>
      <c r="S59" s="140"/>
      <c r="T59" s="161">
        <v>945.30400000076372</v>
      </c>
      <c r="U59" s="161">
        <v>1147.9249999998067</v>
      </c>
    </row>
    <row r="60" spans="1:21" x14ac:dyDescent="0.2">
      <c r="A60" t="str">
        <f>name!A58</f>
        <v>Advertising, etc</v>
      </c>
      <c r="B60" s="150">
        <v>116.95000000009452</v>
      </c>
      <c r="C60" s="140">
        <v>0.37809572950682724</v>
      </c>
      <c r="D60" s="164">
        <v>100</v>
      </c>
      <c r="E60" s="150">
        <v>118.9089999999799</v>
      </c>
      <c r="F60" s="140">
        <v>0.35815710340596213</v>
      </c>
      <c r="H60" s="150">
        <v>1.9589999998853891</v>
      </c>
      <c r="I60" s="140">
        <v>1.6750748181990645</v>
      </c>
      <c r="K60" s="150">
        <v>8.5786707211443645</v>
      </c>
      <c r="L60" s="140">
        <v>7.3353319547989999</v>
      </c>
      <c r="N60" s="150">
        <v>-0.45239047839668522</v>
      </c>
      <c r="O60" s="140">
        <v>-0.38682383787628871</v>
      </c>
      <c r="Q60" s="150">
        <v>-6.1672802428622902</v>
      </c>
      <c r="R60" s="140">
        <v>-5.2734332987236474</v>
      </c>
      <c r="S60" s="140"/>
      <c r="T60" s="161">
        <v>116.95000000009452</v>
      </c>
      <c r="U60" s="161">
        <v>118.9089999999799</v>
      </c>
    </row>
    <row r="61" spans="1:21" ht="12.75" customHeight="1" x14ac:dyDescent="0.2">
      <c r="A61" t="str">
        <f>name!A59</f>
        <v>Other professional</v>
      </c>
      <c r="B61" s="150">
        <v>1329.574000001074</v>
      </c>
      <c r="C61" s="140">
        <v>4.2984715815588732</v>
      </c>
      <c r="D61" s="164">
        <v>100</v>
      </c>
      <c r="E61" s="150">
        <v>1355.4139999997719</v>
      </c>
      <c r="F61" s="140">
        <v>4.0825433916346876</v>
      </c>
      <c r="H61" s="150">
        <v>25.839999998697778</v>
      </c>
      <c r="I61" s="140">
        <v>1.9434796407478565</v>
      </c>
      <c r="K61" s="150">
        <v>97.528666484778057</v>
      </c>
      <c r="L61" s="140">
        <v>7.3353319547990017</v>
      </c>
      <c r="N61" s="150">
        <v>-4.899227090420851</v>
      </c>
      <c r="O61" s="140">
        <v>-0.36848096385886708</v>
      </c>
      <c r="Q61" s="150">
        <v>-66.789439395659429</v>
      </c>
      <c r="R61" s="140">
        <v>-5.0233713501922779</v>
      </c>
      <c r="S61" s="140"/>
      <c r="T61" s="161">
        <v>1329.574000001074</v>
      </c>
      <c r="U61" s="161">
        <v>1355.4139999997719</v>
      </c>
    </row>
    <row r="62" spans="1:21" ht="12.75" customHeight="1" x14ac:dyDescent="0.2">
      <c r="A62" t="str">
        <f>name!A60</f>
        <v>Veterinary</v>
      </c>
      <c r="B62" s="150">
        <v>1373.6089999998901</v>
      </c>
      <c r="C62" s="140">
        <v>4.4408353733363164</v>
      </c>
      <c r="D62" s="164">
        <v>100</v>
      </c>
      <c r="E62" s="150">
        <v>1410.480000000412</v>
      </c>
      <c r="F62" s="140">
        <v>4.2484036634087783</v>
      </c>
      <c r="H62" s="150">
        <v>36.87100000052201</v>
      </c>
      <c r="I62" s="140">
        <v>2.6842427503405233</v>
      </c>
      <c r="K62" s="150">
        <v>100.75877991098696</v>
      </c>
      <c r="L62" s="140">
        <v>7.3353319547990017</v>
      </c>
      <c r="N62" s="150">
        <v>-4.366111931304566</v>
      </c>
      <c r="O62" s="140">
        <v>-0.31785696885393994</v>
      </c>
      <c r="Q62" s="150">
        <v>-59.521667979160384</v>
      </c>
      <c r="R62" s="140">
        <v>-4.3332322356045383</v>
      </c>
      <c r="S62" s="140"/>
      <c r="T62" s="161">
        <v>1373.6089999998901</v>
      </c>
      <c r="U62" s="161">
        <v>1410.480000000412</v>
      </c>
    </row>
    <row r="63" spans="1:21" x14ac:dyDescent="0.2">
      <c r="A63" t="str">
        <f>name!A61</f>
        <v>Rental and leasing</v>
      </c>
      <c r="B63" s="150">
        <v>2644.983000000736</v>
      </c>
      <c r="C63" s="140">
        <v>8.5511481566278444</v>
      </c>
      <c r="D63" s="164">
        <v>100</v>
      </c>
      <c r="E63" s="150">
        <v>2641.450000001309</v>
      </c>
      <c r="F63" s="140">
        <v>7.9561183829004314</v>
      </c>
      <c r="H63" s="150">
        <v>-3.5329999994267709</v>
      </c>
      <c r="I63" s="140">
        <v>-0.13357363731357774</v>
      </c>
      <c r="K63" s="150">
        <v>194.01828319805523</v>
      </c>
      <c r="L63" s="140">
        <v>7.3353319547989999</v>
      </c>
      <c r="N63" s="150">
        <v>-13.500719790574287</v>
      </c>
      <c r="O63" s="140">
        <v>-0.51042746930965266</v>
      </c>
      <c r="Q63" s="150">
        <v>-184.05056340690771</v>
      </c>
      <c r="R63" s="140">
        <v>-6.9584781228029264</v>
      </c>
      <c r="S63" s="140"/>
      <c r="T63" s="161">
        <v>2644.983000000736</v>
      </c>
      <c r="U63" s="161">
        <v>2641.450000001309</v>
      </c>
    </row>
    <row r="64" spans="1:21" x14ac:dyDescent="0.2">
      <c r="A64" t="str">
        <f>name!A62</f>
        <v>Employment activities</v>
      </c>
      <c r="B64" s="150">
        <v>2374.4340000002467</v>
      </c>
      <c r="C64" s="140">
        <v>7.6764716151789791</v>
      </c>
      <c r="D64" s="164">
        <v>100</v>
      </c>
      <c r="E64" s="150">
        <v>2612.1830000006412</v>
      </c>
      <c r="F64" s="140">
        <v>7.8679653924150754</v>
      </c>
      <c r="H64" s="150">
        <v>237.7490000003944</v>
      </c>
      <c r="I64" s="140">
        <v>10.012870435664656</v>
      </c>
      <c r="K64" s="150">
        <v>174.17261594763022</v>
      </c>
      <c r="L64" s="140">
        <v>7.3353319547990017</v>
      </c>
      <c r="N64" s="150">
        <v>4.3448310357788387</v>
      </c>
      <c r="O64" s="140">
        <v>0.18298386208159026</v>
      </c>
      <c r="Q64" s="150">
        <v>59.231553016985345</v>
      </c>
      <c r="R64" s="140">
        <v>2.4945546187840635</v>
      </c>
      <c r="S64" s="140"/>
      <c r="T64" s="161">
        <v>2374.4340000002467</v>
      </c>
      <c r="U64" s="161">
        <v>2612.1830000006412</v>
      </c>
    </row>
    <row r="65" spans="1:21" x14ac:dyDescent="0.2">
      <c r="A65" t="str">
        <f>name!A63</f>
        <v>Travel, etc</v>
      </c>
      <c r="B65" s="150">
        <v>1674.2150000001743</v>
      </c>
      <c r="C65" s="140">
        <v>5.4126852652913824</v>
      </c>
      <c r="D65" s="164">
        <v>100</v>
      </c>
      <c r="E65" s="150">
        <v>1674.3130000004107</v>
      </c>
      <c r="F65" s="140">
        <v>5.0430757493141405</v>
      </c>
      <c r="H65" s="150">
        <v>9.8000000236323159E-2</v>
      </c>
      <c r="I65" s="140">
        <v>5.8534895599617097E-3</v>
      </c>
      <c r="K65" s="150">
        <v>122.80922788705089</v>
      </c>
      <c r="L65" s="140">
        <v>7.3353319547990017</v>
      </c>
      <c r="N65" s="150">
        <v>-8.3861257494394739</v>
      </c>
      <c r="O65" s="140">
        <v>-0.50089897351526547</v>
      </c>
      <c r="Q65" s="150">
        <v>-114.3251021373751</v>
      </c>
      <c r="R65" s="140">
        <v>-6.8285794917237741</v>
      </c>
      <c r="S65" s="140"/>
      <c r="T65" s="161">
        <v>1674.2150000001743</v>
      </c>
      <c r="U65" s="161">
        <v>1674.3130000004107</v>
      </c>
    </row>
    <row r="66" spans="1:21" x14ac:dyDescent="0.2">
      <c r="A66" t="str">
        <f>name!A64</f>
        <v>Security, etc</v>
      </c>
      <c r="B66" s="150">
        <v>413.60599999980559</v>
      </c>
      <c r="C66" s="140">
        <v>1.3371753937426327</v>
      </c>
      <c r="D66" s="164">
        <v>100</v>
      </c>
      <c r="E66" s="150">
        <v>428.36800000013642</v>
      </c>
      <c r="F66" s="140">
        <v>1.2902559274056631</v>
      </c>
      <c r="H66" s="150">
        <v>14.762000000330852</v>
      </c>
      <c r="I66" s="140">
        <v>3.5690971601808945</v>
      </c>
      <c r="K66" s="150">
        <v>30.339373084951696</v>
      </c>
      <c r="L66" s="140">
        <v>7.3353319547990017</v>
      </c>
      <c r="N66" s="150">
        <v>-1.064562809640007</v>
      </c>
      <c r="O66" s="140">
        <v>-0.25738572690930678</v>
      </c>
      <c r="Q66" s="150">
        <v>-14.512810274980836</v>
      </c>
      <c r="R66" s="140">
        <v>-3.5088490677087996</v>
      </c>
      <c r="S66" s="140"/>
      <c r="T66" s="161">
        <v>413.60599999980559</v>
      </c>
      <c r="U66" s="161">
        <v>428.36800000013642</v>
      </c>
    </row>
    <row r="67" spans="1:21" x14ac:dyDescent="0.2">
      <c r="A67" t="str">
        <f>name!A65</f>
        <v>Services to buildings</v>
      </c>
      <c r="B67" s="150">
        <v>435.47399999979547</v>
      </c>
      <c r="C67" s="140">
        <v>1.4078739607613997</v>
      </c>
      <c r="D67" s="164">
        <v>100</v>
      </c>
      <c r="E67" s="150">
        <v>454.83400000014473</v>
      </c>
      <c r="F67" s="140">
        <v>1.3699722306185969</v>
      </c>
      <c r="H67" s="150">
        <v>19.360000000349245</v>
      </c>
      <c r="I67" s="140">
        <v>4.4457303996009729</v>
      </c>
      <c r="K67" s="150">
        <v>31.943463476826398</v>
      </c>
      <c r="L67" s="140">
        <v>7.3353319547990017</v>
      </c>
      <c r="N67" s="150">
        <v>-0.85995804046995161</v>
      </c>
      <c r="O67" s="140">
        <v>-0.19747632246020552</v>
      </c>
      <c r="Q67" s="150">
        <v>-11.723505436007201</v>
      </c>
      <c r="R67" s="140">
        <v>-2.6921252327378231</v>
      </c>
      <c r="S67" s="140"/>
      <c r="T67" s="161">
        <v>435.47399999979547</v>
      </c>
      <c r="U67" s="161">
        <v>454.83400000014473</v>
      </c>
    </row>
    <row r="68" spans="1:21" x14ac:dyDescent="0.2">
      <c r="A68" t="str">
        <f>name!A66</f>
        <v>Office administrative</v>
      </c>
      <c r="B68" s="150">
        <v>242.30100000016066</v>
      </c>
      <c r="C68" s="140">
        <v>0.78335163193861013</v>
      </c>
      <c r="D68" s="164">
        <v>100</v>
      </c>
      <c r="E68" s="150">
        <v>263.26700000002035</v>
      </c>
      <c r="F68" s="140">
        <v>0.79296727869547856</v>
      </c>
      <c r="H68" s="150">
        <v>20.965999999859719</v>
      </c>
      <c r="I68" s="140">
        <v>8.6528739047077057</v>
      </c>
      <c r="K68" s="150">
        <v>17.773582679809312</v>
      </c>
      <c r="L68" s="140">
        <v>7.3353319547990017</v>
      </c>
      <c r="N68" s="150">
        <v>0.2181708516137455</v>
      </c>
      <c r="O68" s="140">
        <v>9.0041251011593354E-2</v>
      </c>
      <c r="Q68" s="150">
        <v>2.974246468436661</v>
      </c>
      <c r="R68" s="140">
        <v>1.2275006988971109</v>
      </c>
      <c r="S68" s="140"/>
      <c r="T68" s="161">
        <v>242.30100000016066</v>
      </c>
      <c r="U68" s="161">
        <v>263.26700000002035</v>
      </c>
    </row>
    <row r="69" spans="1:21" x14ac:dyDescent="0.2">
      <c r="A69" t="str">
        <f>name!A67</f>
        <v>Public administration and defence</v>
      </c>
      <c r="B69" s="150">
        <v>90.647000000060117</v>
      </c>
      <c r="C69" s="140">
        <v>0.29305894478495426</v>
      </c>
      <c r="D69" s="164">
        <v>100</v>
      </c>
      <c r="E69" s="150">
        <v>97.768000000007532</v>
      </c>
      <c r="F69" s="140">
        <v>0.29447984329027005</v>
      </c>
      <c r="H69" s="150">
        <v>7.1209999999474238</v>
      </c>
      <c r="I69" s="140">
        <v>7.8557481217720406</v>
      </c>
      <c r="K69" s="150">
        <v>6.6492583570710604</v>
      </c>
      <c r="L69" s="140">
        <v>7.3353319547990017</v>
      </c>
      <c r="N69" s="150">
        <v>3.2238979321913774E-2</v>
      </c>
      <c r="O69" s="140">
        <v>3.5565412337851661E-2</v>
      </c>
      <c r="Q69" s="150">
        <v>0.43950266355444967</v>
      </c>
      <c r="R69" s="140">
        <v>0.48485075463518729</v>
      </c>
      <c r="S69" s="140"/>
      <c r="T69" s="161">
        <v>90.647000000060117</v>
      </c>
      <c r="U69" s="161">
        <v>97.768000000007532</v>
      </c>
    </row>
    <row r="70" spans="1:21" x14ac:dyDescent="0.2">
      <c r="A70" t="str">
        <f>name!A68</f>
        <v xml:space="preserve">Education </v>
      </c>
      <c r="B70" s="150">
        <v>541.20600000035859</v>
      </c>
      <c r="C70" s="140">
        <v>1.7497022435523057</v>
      </c>
      <c r="D70" s="164">
        <v>100</v>
      </c>
      <c r="E70" s="150">
        <v>583.72000000004539</v>
      </c>
      <c r="F70" s="140">
        <v>1.75818032613326</v>
      </c>
      <c r="H70" s="150">
        <v>42.513999999686845</v>
      </c>
      <c r="I70" s="140">
        <v>7.8554191933678998</v>
      </c>
      <c r="K70" s="150">
        <v>39.699256659315786</v>
      </c>
      <c r="L70" s="140">
        <v>7.3353319547990017</v>
      </c>
      <c r="N70" s="150">
        <v>0.19236048739177392</v>
      </c>
      <c r="O70" s="140">
        <v>3.5542933262315363E-2</v>
      </c>
      <c r="Q70" s="150">
        <v>2.6223828529792854</v>
      </c>
      <c r="R70" s="140">
        <v>0.48454430530658343</v>
      </c>
      <c r="S70" s="140"/>
      <c r="T70" s="161">
        <v>541.20600000035859</v>
      </c>
      <c r="U70" s="161">
        <v>583.72000000004539</v>
      </c>
    </row>
    <row r="71" spans="1:21" x14ac:dyDescent="0.2">
      <c r="A71" t="str">
        <f>name!A69</f>
        <v>Health</v>
      </c>
      <c r="B71" s="150">
        <v>89.69100000005939</v>
      </c>
      <c r="C71" s="140">
        <v>0.28996822638043518</v>
      </c>
      <c r="D71" s="164">
        <v>100</v>
      </c>
      <c r="E71" s="150">
        <v>93.170000000007207</v>
      </c>
      <c r="F71" s="140">
        <v>0.28063054372958912</v>
      </c>
      <c r="H71" s="150">
        <v>3.4789999999478169</v>
      </c>
      <c r="I71" s="140">
        <v>3.8788730195287302</v>
      </c>
      <c r="K71" s="150">
        <v>6.5791325835831289</v>
      </c>
      <c r="L71" s="140">
        <v>7.3353319547990017</v>
      </c>
      <c r="N71" s="150">
        <v>-0.21186408231755838</v>
      </c>
      <c r="O71" s="140">
        <v>-0.23621554260451783</v>
      </c>
      <c r="Q71" s="150">
        <v>-2.8882685013177536</v>
      </c>
      <c r="R71" s="140">
        <v>-3.2202433926657537</v>
      </c>
      <c r="S71" s="140"/>
      <c r="T71" s="161">
        <v>89.69100000005939</v>
      </c>
      <c r="U71" s="161">
        <v>93.170000000007207</v>
      </c>
    </row>
    <row r="72" spans="1:21" x14ac:dyDescent="0.2">
      <c r="A72" s="23" t="str">
        <f>name!A3</f>
        <v>All industries</v>
      </c>
      <c r="B72" s="151">
        <v>30931.320000000887</v>
      </c>
      <c r="C72" s="146">
        <v>100</v>
      </c>
      <c r="D72" s="197">
        <v>100</v>
      </c>
      <c r="E72" s="151">
        <v>33200.235000002089</v>
      </c>
      <c r="F72" s="146">
        <v>100</v>
      </c>
      <c r="G72" s="144"/>
      <c r="H72" s="151">
        <v>2268.9150000011996</v>
      </c>
      <c r="I72" s="146">
        <v>7.3353319547990017</v>
      </c>
      <c r="J72" s="144"/>
      <c r="K72" s="151">
        <v>2268.9150000011996</v>
      </c>
      <c r="L72" s="146">
        <v>7.3353319547990017</v>
      </c>
      <c r="M72" s="144"/>
      <c r="N72" s="151">
        <v>-2.5920599000528455E-11</v>
      </c>
      <c r="O72" s="146">
        <v>-8.3800494128694509E-14</v>
      </c>
      <c r="P72" s="144"/>
      <c r="Q72" s="151">
        <v>2.5963231564674061E-11</v>
      </c>
      <c r="R72" s="146">
        <v>2.7161651386449669E-13</v>
      </c>
      <c r="S72" s="146"/>
      <c r="T72" s="166">
        <v>30931.320000000887</v>
      </c>
      <c r="U72" s="166">
        <v>33200.235000002089</v>
      </c>
    </row>
    <row r="75" spans="1:21" x14ac:dyDescent="0.2">
      <c r="A75" s="169" t="s">
        <v>73</v>
      </c>
      <c r="B75" s="170"/>
      <c r="C75" s="170"/>
      <c r="D75" s="170"/>
      <c r="E75" s="170"/>
    </row>
    <row r="76" spans="1:21" x14ac:dyDescent="0.2">
      <c r="A76" s="383" t="s">
        <v>74</v>
      </c>
      <c r="B76" s="383"/>
      <c r="C76" s="383"/>
      <c r="D76" s="383"/>
      <c r="E76" s="383"/>
      <c r="F76" s="383"/>
      <c r="G76" s="383"/>
      <c r="H76" s="383"/>
      <c r="I76" s="383"/>
      <c r="J76" s="383"/>
      <c r="K76" s="383"/>
      <c r="L76" s="383"/>
      <c r="M76" s="383"/>
      <c r="N76" s="383"/>
      <c r="O76" s="383"/>
      <c r="P76" s="383"/>
      <c r="Q76" s="383"/>
      <c r="R76" s="383"/>
    </row>
    <row r="77" spans="1:21" x14ac:dyDescent="0.2">
      <c r="A77" s="383" t="s">
        <v>75</v>
      </c>
      <c r="B77" s="383"/>
      <c r="C77" s="383"/>
      <c r="D77" s="383"/>
      <c r="E77" s="383"/>
      <c r="F77" s="383"/>
      <c r="G77" s="383"/>
      <c r="H77" s="383"/>
      <c r="I77" s="383"/>
      <c r="J77" s="383"/>
      <c r="K77" s="383"/>
      <c r="L77" s="383"/>
      <c r="M77" s="383"/>
      <c r="N77" s="383"/>
      <c r="O77" s="383"/>
      <c r="P77" s="383"/>
      <c r="Q77" s="383"/>
      <c r="R77" s="383"/>
    </row>
    <row r="78" spans="1:21" x14ac:dyDescent="0.2">
      <c r="A78" s="383" t="s">
        <v>76</v>
      </c>
      <c r="B78" s="383"/>
      <c r="C78" s="383"/>
      <c r="D78" s="383"/>
      <c r="E78" s="383"/>
      <c r="F78" s="383"/>
      <c r="G78" s="383"/>
      <c r="H78" s="383"/>
      <c r="I78" s="383"/>
      <c r="J78" s="383"/>
      <c r="K78" s="383"/>
      <c r="L78" s="383"/>
      <c r="M78" s="383"/>
      <c r="N78" s="383"/>
      <c r="O78" s="383"/>
      <c r="P78" s="383"/>
      <c r="Q78" s="383"/>
      <c r="R78" s="383"/>
    </row>
    <row r="79" spans="1:21" x14ac:dyDescent="0.2">
      <c r="A79" s="383" t="s">
        <v>77</v>
      </c>
      <c r="B79" s="383"/>
      <c r="C79" s="383"/>
      <c r="D79" s="383"/>
      <c r="E79" s="383"/>
      <c r="F79" s="383"/>
      <c r="G79" s="383"/>
      <c r="H79" s="383"/>
      <c r="I79" s="383"/>
      <c r="J79" s="383"/>
      <c r="K79" s="383"/>
      <c r="L79" s="383"/>
      <c r="M79" s="383"/>
      <c r="N79" s="383"/>
      <c r="O79" s="383"/>
      <c r="P79" s="383"/>
      <c r="Q79" s="383"/>
      <c r="R79" s="383"/>
    </row>
    <row r="80" spans="1:21" x14ac:dyDescent="0.2">
      <c r="A80" s="383" t="s">
        <v>78</v>
      </c>
      <c r="B80" s="383"/>
      <c r="C80" s="383"/>
      <c r="D80" s="383"/>
      <c r="E80" s="383"/>
      <c r="F80" s="383"/>
      <c r="G80" s="383"/>
      <c r="H80" s="383"/>
      <c r="I80" s="383"/>
      <c r="J80" s="383"/>
      <c r="K80" s="383"/>
      <c r="L80" s="383"/>
      <c r="M80" s="383"/>
      <c r="N80" s="383"/>
      <c r="O80" s="383"/>
      <c r="P80" s="383"/>
      <c r="Q80" s="383"/>
      <c r="R80" s="383"/>
    </row>
    <row r="81" spans="1:18" x14ac:dyDescent="0.2">
      <c r="A81" s="383" t="s">
        <v>79</v>
      </c>
      <c r="B81" s="383"/>
      <c r="C81" s="383"/>
      <c r="D81" s="383"/>
      <c r="E81" s="383"/>
      <c r="F81" s="383"/>
      <c r="G81" s="383"/>
      <c r="H81" s="383"/>
      <c r="I81" s="383"/>
      <c r="J81" s="383"/>
      <c r="K81" s="383"/>
      <c r="L81" s="383"/>
      <c r="M81" s="383"/>
      <c r="N81" s="383"/>
      <c r="O81" s="383"/>
      <c r="P81" s="383"/>
      <c r="Q81" s="383"/>
      <c r="R81" s="383"/>
    </row>
  </sheetData>
  <mergeCells count="10">
    <mergeCell ref="K2:R2"/>
    <mergeCell ref="K3:L3"/>
    <mergeCell ref="N3:O3"/>
    <mergeCell ref="Q3:R3"/>
    <mergeCell ref="A76:R76"/>
    <mergeCell ref="A77:R77"/>
    <mergeCell ref="A78:R78"/>
    <mergeCell ref="A79:R79"/>
    <mergeCell ref="A80:R80"/>
    <mergeCell ref="A81:R81"/>
  </mergeCells>
  <pageMargins left="0.39370078740157483" right="0.39370078740157483" top="0.74803149606299213" bottom="0.74803149606299213" header="0.31496062992125984" footer="0.31496062992125984"/>
  <pageSetup paperSize="9" scale="61" orientation="landscape" r:id="rId1"/>
  <rowBreaks count="1" manualBreakCount="1">
    <brk id="34" max="16383" man="1"/>
  </rowBreaks>
  <colBreaks count="1" manualBreakCount="1">
    <brk id="24" max="1048575" man="1"/>
  </colBreaks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Sheet53"/>
  <dimension ref="A1:BH97"/>
  <sheetViews>
    <sheetView zoomScale="85" zoomScaleNormal="85" workbookViewId="0">
      <selection activeCell="A9" sqref="A9"/>
    </sheetView>
  </sheetViews>
  <sheetFormatPr defaultColWidth="9.140625" defaultRowHeight="12.75" x14ac:dyDescent="0.2"/>
  <cols>
    <col min="1" max="1" width="18.140625" style="90" customWidth="1"/>
    <col min="2" max="6" width="7.7109375" style="90" customWidth="1"/>
    <col min="7" max="7" width="3.5703125" style="90" customWidth="1"/>
    <col min="8" max="12" width="7.7109375" style="90" customWidth="1"/>
    <col min="13" max="13" width="3.5703125" style="90" customWidth="1"/>
    <col min="14" max="18" width="7.7109375" style="90" customWidth="1"/>
    <col min="19" max="19" width="3.5703125" style="90" customWidth="1"/>
    <col min="20" max="24" width="7.7109375" style="90" customWidth="1"/>
    <col min="25" max="16384" width="9.140625" style="90"/>
  </cols>
  <sheetData>
    <row r="1" spans="1:60" ht="15.75" x14ac:dyDescent="0.25">
      <c r="A1" s="18" t="str">
        <f>CONCATENATE("Basic Table 2a  Population by Gender, Age Group and ISCED Qualification, ",Info!B8,", ",$B$5,"-",$F$5)</f>
        <v>Basic Table 2a  Population by Gender, Age Group and ISCED Qualification, , 2008-2025</v>
      </c>
      <c r="P1" s="180" t="s">
        <v>105</v>
      </c>
      <c r="Y1" s="18" t="str">
        <f>CONCATENATE("Basic Table 2a  Population by Gender, Age Group and ISCED Qualification, ",Info!B8,", ",$B$5,"-",$F$5," (continued)")</f>
        <v>Basic Table 2a  Population by Gender, Age Group and ISCED Qualification, , 2008-2025 (continued)</v>
      </c>
      <c r="AQ1" s="18" t="str">
        <f>CONCATENATE("Basic Table 2a  Population by Gender, Age Group and ISCED Qualification, ",Info!B8,", ",$B$5,"-",$F$5, " (continued)")</f>
        <v>Basic Table 2a  Population by Gender, Age Group and ISCED Qualification, , 2008-2025 (continued)</v>
      </c>
    </row>
    <row r="2" spans="1:60" ht="12.75" customHeight="1" x14ac:dyDescent="0.2">
      <c r="W2" s="381" t="s">
        <v>13</v>
      </c>
      <c r="X2" s="381"/>
      <c r="AP2" s="120" t="s">
        <v>13</v>
      </c>
      <c r="BH2" s="120" t="s">
        <v>13</v>
      </c>
    </row>
    <row r="3" spans="1:60" x14ac:dyDescent="0.2">
      <c r="A3" s="117" t="s">
        <v>101</v>
      </c>
      <c r="B3" s="183" t="s">
        <v>118</v>
      </c>
      <c r="C3" s="183"/>
      <c r="D3" s="184"/>
      <c r="E3" s="183"/>
      <c r="F3" s="183"/>
      <c r="G3" s="117"/>
      <c r="H3" s="183" t="s">
        <v>46</v>
      </c>
      <c r="I3" s="183"/>
      <c r="J3" s="183"/>
      <c r="K3" s="183"/>
      <c r="L3" s="183"/>
      <c r="M3" s="117"/>
      <c r="N3" s="183" t="s">
        <v>47</v>
      </c>
      <c r="O3" s="183"/>
      <c r="P3" s="183"/>
      <c r="Q3" s="183"/>
      <c r="R3" s="183"/>
      <c r="S3" s="117"/>
      <c r="T3" s="387" t="s">
        <v>48</v>
      </c>
      <c r="U3" s="387"/>
      <c r="V3" s="387"/>
      <c r="W3" s="387"/>
      <c r="X3" s="387"/>
      <c r="Y3" s="117" t="s">
        <v>101</v>
      </c>
      <c r="Z3" s="387" t="s">
        <v>119</v>
      </c>
      <c r="AA3" s="387"/>
      <c r="AB3" s="387"/>
      <c r="AC3" s="387"/>
      <c r="AD3" s="387"/>
      <c r="AE3" s="117"/>
      <c r="AF3" s="183" t="s">
        <v>49</v>
      </c>
      <c r="AG3" s="183"/>
      <c r="AH3" s="183"/>
      <c r="AI3" s="183"/>
      <c r="AJ3" s="183"/>
      <c r="AK3" s="117"/>
      <c r="AL3" s="387" t="s">
        <v>50</v>
      </c>
      <c r="AM3" s="387"/>
      <c r="AN3" s="387"/>
      <c r="AO3" s="387"/>
      <c r="AP3" s="387"/>
      <c r="AQ3" s="117" t="s">
        <v>101</v>
      </c>
      <c r="AR3" s="387" t="s">
        <v>120</v>
      </c>
      <c r="AS3" s="387"/>
      <c r="AT3" s="387"/>
      <c r="AU3" s="387"/>
      <c r="AV3" s="387"/>
      <c r="AW3" s="117"/>
      <c r="AX3" s="183" t="s">
        <v>51</v>
      </c>
      <c r="AY3" s="183"/>
      <c r="AZ3" s="183"/>
      <c r="BA3" s="183"/>
      <c r="BB3" s="183"/>
      <c r="BC3" s="117"/>
      <c r="BD3" s="387" t="s">
        <v>52</v>
      </c>
      <c r="BE3" s="387"/>
      <c r="BF3" s="387"/>
      <c r="BG3" s="387"/>
      <c r="BH3" s="387"/>
    </row>
    <row r="4" spans="1:60" x14ac:dyDescent="0.2">
      <c r="A4" s="179" t="s">
        <v>104</v>
      </c>
      <c r="B4" s="185"/>
      <c r="C4" s="185"/>
      <c r="D4" s="185"/>
      <c r="E4" s="185"/>
      <c r="F4" s="185"/>
      <c r="G4" s="91"/>
      <c r="H4" s="185"/>
      <c r="I4" s="185"/>
      <c r="J4" s="185"/>
      <c r="K4" s="185"/>
      <c r="L4" s="185"/>
      <c r="M4" s="91"/>
      <c r="N4" s="185"/>
      <c r="O4" s="185"/>
      <c r="P4" s="185"/>
      <c r="Q4" s="185"/>
      <c r="R4" s="185"/>
      <c r="S4" s="91"/>
      <c r="T4" s="185"/>
      <c r="U4" s="185"/>
      <c r="V4" s="185"/>
      <c r="W4" s="185"/>
      <c r="X4" s="185"/>
      <c r="Y4" s="179" t="s">
        <v>104</v>
      </c>
      <c r="Z4" s="185"/>
      <c r="AA4" s="185"/>
      <c r="AB4" s="185"/>
      <c r="AC4" s="185"/>
      <c r="AD4" s="185"/>
      <c r="AE4" s="91"/>
      <c r="AF4" s="185"/>
      <c r="AG4" s="185"/>
      <c r="AH4" s="185"/>
      <c r="AI4" s="185"/>
      <c r="AJ4" s="185"/>
      <c r="AK4" s="91"/>
      <c r="AL4" s="185"/>
      <c r="AM4" s="185"/>
      <c r="AN4" s="185"/>
      <c r="AO4" s="185"/>
      <c r="AP4" s="185"/>
      <c r="AQ4" s="179" t="s">
        <v>104</v>
      </c>
      <c r="AR4" s="185"/>
      <c r="AS4" s="185"/>
      <c r="AT4" s="185"/>
      <c r="AU4" s="185"/>
      <c r="AV4" s="185"/>
      <c r="AW4" s="91"/>
      <c r="AX4" s="185"/>
      <c r="AY4" s="185"/>
      <c r="AZ4" s="185"/>
      <c r="BA4" s="185"/>
      <c r="BB4" s="185"/>
      <c r="BC4" s="91"/>
      <c r="BD4" s="185"/>
      <c r="BE4" s="185"/>
      <c r="BF4" s="185"/>
      <c r="BG4" s="185"/>
      <c r="BH4" s="185"/>
    </row>
    <row r="5" spans="1:60" x14ac:dyDescent="0.2">
      <c r="A5" s="178"/>
      <c r="B5" s="186">
        <v>2008</v>
      </c>
      <c r="C5" s="186">
        <v>2010</v>
      </c>
      <c r="D5" s="186">
        <v>2015</v>
      </c>
      <c r="E5" s="186">
        <v>2020</v>
      </c>
      <c r="F5" s="119">
        <v>2025</v>
      </c>
      <c r="G5" s="119"/>
      <c r="H5" s="119">
        <f>B5</f>
        <v>2008</v>
      </c>
      <c r="I5" s="119">
        <f>C5</f>
        <v>2010</v>
      </c>
      <c r="J5" s="119">
        <f>D5</f>
        <v>2015</v>
      </c>
      <c r="K5" s="119">
        <f>E5</f>
        <v>2020</v>
      </c>
      <c r="L5" s="119">
        <f>F5</f>
        <v>2025</v>
      </c>
      <c r="M5" s="119"/>
      <c r="N5" s="119">
        <f>B5</f>
        <v>2008</v>
      </c>
      <c r="O5" s="119">
        <f>C5</f>
        <v>2010</v>
      </c>
      <c r="P5" s="119">
        <f>D5</f>
        <v>2015</v>
      </c>
      <c r="Q5" s="119">
        <f>E5</f>
        <v>2020</v>
      </c>
      <c r="R5" s="119">
        <f>F5</f>
        <v>2025</v>
      </c>
      <c r="S5" s="119"/>
      <c r="T5" s="119">
        <f>B5</f>
        <v>2008</v>
      </c>
      <c r="U5" s="119">
        <f>C5</f>
        <v>2010</v>
      </c>
      <c r="V5" s="119">
        <f>D5</f>
        <v>2015</v>
      </c>
      <c r="W5" s="119">
        <f>E5</f>
        <v>2020</v>
      </c>
      <c r="X5" s="119">
        <f>F5</f>
        <v>2025</v>
      </c>
      <c r="Y5" s="178"/>
      <c r="Z5" s="186">
        <v>2008</v>
      </c>
      <c r="AA5" s="186">
        <v>2010</v>
      </c>
      <c r="AB5" s="186">
        <v>2012</v>
      </c>
      <c r="AC5" s="186">
        <v>2015</v>
      </c>
      <c r="AD5" s="179">
        <v>2020</v>
      </c>
      <c r="AE5" s="119"/>
      <c r="AF5" s="119">
        <f>Z5</f>
        <v>2008</v>
      </c>
      <c r="AG5" s="119">
        <f>AA5</f>
        <v>2010</v>
      </c>
      <c r="AH5" s="119">
        <f>AB5</f>
        <v>2012</v>
      </c>
      <c r="AI5" s="119">
        <f>AC5</f>
        <v>2015</v>
      </c>
      <c r="AJ5" s="119">
        <f>AD5</f>
        <v>2020</v>
      </c>
      <c r="AK5" s="119"/>
      <c r="AL5" s="119">
        <f>Z5</f>
        <v>2008</v>
      </c>
      <c r="AM5" s="119">
        <f>AA5</f>
        <v>2010</v>
      </c>
      <c r="AN5" s="119">
        <f>AB5</f>
        <v>2012</v>
      </c>
      <c r="AO5" s="119">
        <f>AC5</f>
        <v>2015</v>
      </c>
      <c r="AP5" s="119">
        <f>AD5</f>
        <v>2020</v>
      </c>
      <c r="AQ5" s="178"/>
      <c r="AR5" s="186">
        <v>2008</v>
      </c>
      <c r="AS5" s="186">
        <v>2010</v>
      </c>
      <c r="AT5" s="186">
        <v>2012</v>
      </c>
      <c r="AU5" s="186">
        <v>2015</v>
      </c>
      <c r="AV5" s="179">
        <v>2020</v>
      </c>
      <c r="AW5" s="119"/>
      <c r="AX5" s="119">
        <f>AR5</f>
        <v>2008</v>
      </c>
      <c r="AY5" s="119">
        <f>AS5</f>
        <v>2010</v>
      </c>
      <c r="AZ5" s="119">
        <f>AT5</f>
        <v>2012</v>
      </c>
      <c r="BA5" s="119">
        <f>AU5</f>
        <v>2015</v>
      </c>
      <c r="BB5" s="119">
        <f>AV5</f>
        <v>2020</v>
      </c>
      <c r="BC5" s="119"/>
      <c r="BD5" s="119">
        <f>AR5</f>
        <v>2008</v>
      </c>
      <c r="BE5" s="119">
        <f>AS5</f>
        <v>2010</v>
      </c>
      <c r="BF5" s="119">
        <f>AT5</f>
        <v>2012</v>
      </c>
      <c r="BG5" s="119">
        <f>AU5</f>
        <v>2015</v>
      </c>
      <c r="BH5" s="119">
        <f>AV5</f>
        <v>2020</v>
      </c>
    </row>
    <row r="6" spans="1:60" x14ac:dyDescent="0.2">
      <c r="A6" s="113" t="s">
        <v>100</v>
      </c>
      <c r="F6" s="187"/>
      <c r="G6" s="187"/>
      <c r="H6" s="187"/>
      <c r="I6" s="187"/>
      <c r="J6" s="187"/>
      <c r="K6" s="187"/>
      <c r="L6" s="187"/>
      <c r="M6" s="187"/>
      <c r="N6" s="187"/>
      <c r="O6" s="187"/>
      <c r="P6" s="187"/>
      <c r="Q6" s="187"/>
      <c r="R6" s="187"/>
      <c r="S6" s="187"/>
      <c r="Y6" s="113" t="str">
        <f>A6</f>
        <v>Males and females</v>
      </c>
      <c r="AD6" s="187"/>
      <c r="AE6" s="187"/>
      <c r="AF6" s="187"/>
      <c r="AG6" s="187"/>
      <c r="AH6" s="187"/>
      <c r="AI6" s="187"/>
      <c r="AJ6" s="187"/>
      <c r="AK6" s="187"/>
      <c r="AL6" s="187"/>
      <c r="AM6" s="187"/>
      <c r="AN6" s="187"/>
      <c r="AO6" s="187"/>
      <c r="AP6" s="187"/>
      <c r="AQ6" s="113" t="str">
        <f>A6</f>
        <v>Males and females</v>
      </c>
      <c r="AV6" s="187"/>
      <c r="AW6" s="187"/>
      <c r="AX6" s="187"/>
      <c r="AY6" s="187"/>
      <c r="AZ6" s="187"/>
      <c r="BA6" s="187"/>
      <c r="BB6" s="187"/>
      <c r="BC6" s="187"/>
      <c r="BD6" s="187"/>
      <c r="BE6" s="187"/>
      <c r="BF6" s="187"/>
      <c r="BG6" s="187"/>
      <c r="BH6" s="187"/>
    </row>
    <row r="7" spans="1:60" x14ac:dyDescent="0.2">
      <c r="A7" s="90" t="s">
        <v>117</v>
      </c>
      <c r="B7" s="188">
        <f>SUM(B21,B35)</f>
        <v>3459.4640427147242</v>
      </c>
      <c r="C7" s="188">
        <f t="shared" ref="C7:F7" si="0">SUM(C21,C35)</f>
        <v>3400.2899538632541</v>
      </c>
      <c r="D7" s="188">
        <f t="shared" si="0"/>
        <v>3045.4402650537522</v>
      </c>
      <c r="E7" s="188">
        <f t="shared" si="0"/>
        <v>2678.9714989136332</v>
      </c>
      <c r="F7" s="188">
        <f t="shared" si="0"/>
        <v>2317.0105072138758</v>
      </c>
      <c r="G7" s="187"/>
      <c r="H7" s="188">
        <f>SUM(H21,H35)</f>
        <v>1679.4259754428681</v>
      </c>
      <c r="I7" s="188">
        <f t="shared" ref="I7:L7" si="1">SUM(I21,I35)</f>
        <v>1648.317888485841</v>
      </c>
      <c r="J7" s="188">
        <f t="shared" si="1"/>
        <v>1477.7490935463652</v>
      </c>
      <c r="K7" s="188">
        <f t="shared" si="1"/>
        <v>1288.2296891194944</v>
      </c>
      <c r="L7" s="188">
        <f t="shared" si="1"/>
        <v>1088.2685344941576</v>
      </c>
      <c r="M7" s="187"/>
      <c r="N7" s="188">
        <f>SUM(N21,N35)</f>
        <v>1780.0380672718561</v>
      </c>
      <c r="O7" s="188">
        <f t="shared" ref="O7:R7" si="2">SUM(O21,O35)</f>
        <v>1751.9720653774136</v>
      </c>
      <c r="P7" s="188">
        <f t="shared" si="2"/>
        <v>1567.6911715073866</v>
      </c>
      <c r="Q7" s="188">
        <f t="shared" si="2"/>
        <v>1390.7418097941386</v>
      </c>
      <c r="R7" s="188">
        <f t="shared" si="2"/>
        <v>1228.7419727197182</v>
      </c>
      <c r="S7" s="187"/>
      <c r="T7" s="188">
        <f>SUM(T21,T35)</f>
        <v>0</v>
      </c>
      <c r="U7" s="188">
        <f t="shared" ref="U7:X7" si="3">SUM(U21,U35)</f>
        <v>0</v>
      </c>
      <c r="V7" s="188">
        <f t="shared" si="3"/>
        <v>0</v>
      </c>
      <c r="W7" s="188">
        <f t="shared" si="3"/>
        <v>0</v>
      </c>
      <c r="X7" s="188">
        <f t="shared" si="3"/>
        <v>0</v>
      </c>
      <c r="Y7" s="90" t="str">
        <f>A7</f>
        <v>15+</v>
      </c>
      <c r="Z7" s="188">
        <f>SUM(Z21,Z35)</f>
        <v>3091.791884793171</v>
      </c>
      <c r="AA7" s="188">
        <f t="shared" ref="AA7:AD7" si="4">SUM(AA21,AA35)</f>
        <v>3065.8806069644388</v>
      </c>
      <c r="AB7" s="188">
        <f t="shared" si="4"/>
        <v>3409.3013579609269</v>
      </c>
      <c r="AC7" s="188">
        <f t="shared" si="4"/>
        <v>3706.9349474249966</v>
      </c>
      <c r="AD7" s="188">
        <f t="shared" si="4"/>
        <v>4020.4986268054308</v>
      </c>
      <c r="AE7" s="187"/>
      <c r="AF7" s="188">
        <f>SUM(AF21,AF35)</f>
        <v>2927.4264642789112</v>
      </c>
      <c r="AG7" s="188">
        <f t="shared" ref="AG7:AJ7" si="5">SUM(AG21,AG35)</f>
        <v>2904.0501410418874</v>
      </c>
      <c r="AH7" s="188">
        <f t="shared" si="5"/>
        <v>3230.1495942820802</v>
      </c>
      <c r="AI7" s="188">
        <f t="shared" si="5"/>
        <v>3512.6427518955061</v>
      </c>
      <c r="AJ7" s="188">
        <f t="shared" si="5"/>
        <v>3811.1764268486331</v>
      </c>
      <c r="AK7" s="187"/>
      <c r="AL7" s="188">
        <f>SUM(AL21,AL35)</f>
        <v>164.36542051425988</v>
      </c>
      <c r="AM7" s="188">
        <f t="shared" ref="AM7:AP7" si="6">SUM(AM21,AM35)</f>
        <v>161.83046592255167</v>
      </c>
      <c r="AN7" s="188">
        <f t="shared" si="6"/>
        <v>179.15176367884681</v>
      </c>
      <c r="AO7" s="188">
        <f t="shared" si="6"/>
        <v>194.29219552948987</v>
      </c>
      <c r="AP7" s="188">
        <f t="shared" si="6"/>
        <v>209.3221999567977</v>
      </c>
      <c r="AQ7" s="90" t="str">
        <f>A7</f>
        <v>15+</v>
      </c>
      <c r="AR7" s="188">
        <f>SUM(AR21,AR35)</f>
        <v>2315.1550724921058</v>
      </c>
      <c r="AS7" s="188">
        <f t="shared" ref="AS7:AV7" si="7">SUM(AS21,AS35)</f>
        <v>2541.5004391723069</v>
      </c>
      <c r="AT7" s="188">
        <f t="shared" si="7"/>
        <v>2941.8093769853213</v>
      </c>
      <c r="AU7" s="188">
        <f t="shared" si="7"/>
        <v>3371.4645536613707</v>
      </c>
      <c r="AV7" s="188">
        <f t="shared" si="7"/>
        <v>3852.3018659806939</v>
      </c>
      <c r="AW7" s="187"/>
      <c r="AX7" s="188">
        <f>SUM(AX21,AX35)</f>
        <v>2273.2830854649774</v>
      </c>
      <c r="AY7" s="188">
        <f t="shared" ref="AY7:BB7" si="8">SUM(AY21,AY35)</f>
        <v>2495.5789443393905</v>
      </c>
      <c r="AZ7" s="188">
        <f t="shared" si="8"/>
        <v>2888.5095204216923</v>
      </c>
      <c r="BA7" s="188">
        <f t="shared" si="8"/>
        <v>3309.625834412429</v>
      </c>
      <c r="BB7" s="188">
        <f t="shared" si="8"/>
        <v>3780.5650780045271</v>
      </c>
      <c r="BC7" s="187"/>
      <c r="BD7" s="188">
        <f>SUM(BD21,BD35)</f>
        <v>41.87198702712827</v>
      </c>
      <c r="BE7" s="188">
        <f t="shared" ref="BE7:BH7" si="9">SUM(BE21,BE35)</f>
        <v>45.921494832916046</v>
      </c>
      <c r="BF7" s="188">
        <f t="shared" si="9"/>
        <v>53.299856563628751</v>
      </c>
      <c r="BG7" s="188">
        <f t="shared" si="9"/>
        <v>61.838719248942184</v>
      </c>
      <c r="BH7" s="188">
        <f t="shared" si="9"/>
        <v>71.736787976166625</v>
      </c>
    </row>
    <row r="8" spans="1:60" x14ac:dyDescent="0.2">
      <c r="A8" s="90" t="s">
        <v>107</v>
      </c>
      <c r="B8" s="188">
        <f t="shared" ref="B8:F18" si="10">SUM(B22,B36)</f>
        <v>501.63108046561928</v>
      </c>
      <c r="C8" s="188">
        <f t="shared" si="10"/>
        <v>493.36896304450306</v>
      </c>
      <c r="D8" s="188">
        <f t="shared" si="10"/>
        <v>467.66784217805935</v>
      </c>
      <c r="E8" s="188">
        <f t="shared" si="10"/>
        <v>467.57168305686275</v>
      </c>
      <c r="F8" s="188">
        <f t="shared" si="10"/>
        <v>503.21354379106839</v>
      </c>
      <c r="G8" s="187"/>
      <c r="H8" s="188">
        <f t="shared" ref="H8:L18" si="11">SUM(H22,H36)</f>
        <v>114.48583632559203</v>
      </c>
      <c r="I8" s="188">
        <f t="shared" si="11"/>
        <v>112.4668251880446</v>
      </c>
      <c r="J8" s="188">
        <f t="shared" si="11"/>
        <v>106.55167737427834</v>
      </c>
      <c r="K8" s="188">
        <f t="shared" si="11"/>
        <v>106.48887604298042</v>
      </c>
      <c r="L8" s="188">
        <f t="shared" si="11"/>
        <v>114.56799971676224</v>
      </c>
      <c r="M8" s="187"/>
      <c r="N8" s="188">
        <f t="shared" ref="N8:R18" si="12">SUM(N22,N36)</f>
        <v>387.14524414002727</v>
      </c>
      <c r="O8" s="188">
        <f t="shared" si="12"/>
        <v>380.90213785645847</v>
      </c>
      <c r="P8" s="188">
        <f t="shared" si="12"/>
        <v>361.11616480378109</v>
      </c>
      <c r="Q8" s="188">
        <f t="shared" si="12"/>
        <v>361.08280701388242</v>
      </c>
      <c r="R8" s="188">
        <f t="shared" si="12"/>
        <v>388.64554407430614</v>
      </c>
      <c r="S8" s="187"/>
      <c r="T8" s="188">
        <f t="shared" ref="T8:X18" si="13">SUM(T22,T36)</f>
        <v>0</v>
      </c>
      <c r="U8" s="188">
        <f t="shared" si="13"/>
        <v>0</v>
      </c>
      <c r="V8" s="188">
        <f t="shared" si="13"/>
        <v>0</v>
      </c>
      <c r="W8" s="188">
        <f t="shared" si="13"/>
        <v>0</v>
      </c>
      <c r="X8" s="188">
        <f t="shared" si="13"/>
        <v>0</v>
      </c>
      <c r="Y8" s="90" t="str">
        <f t="shared" ref="Y8:Y20" si="14">A8</f>
        <v>15-19</v>
      </c>
      <c r="Z8" s="188">
        <f t="shared" ref="Z8:AD18" si="15">SUM(Z22,Z36)</f>
        <v>150.08101199827104</v>
      </c>
      <c r="AA8" s="188">
        <f t="shared" si="15"/>
        <v>155.93795619324226</v>
      </c>
      <c r="AB8" s="188">
        <f t="shared" si="15"/>
        <v>164.99720704459003</v>
      </c>
      <c r="AC8" s="188">
        <f t="shared" si="15"/>
        <v>178.36278144057661</v>
      </c>
      <c r="AD8" s="188">
        <f t="shared" si="15"/>
        <v>207.50995998860915</v>
      </c>
      <c r="AE8" s="187"/>
      <c r="AF8" s="188">
        <f t="shared" ref="AF8:AJ18" si="16">SUM(AF22,AF36)</f>
        <v>147.86996763731275</v>
      </c>
      <c r="AG8" s="188">
        <f t="shared" si="16"/>
        <v>153.62639813852158</v>
      </c>
      <c r="AH8" s="188">
        <f t="shared" si="16"/>
        <v>162.54197557268748</v>
      </c>
      <c r="AI8" s="188">
        <f t="shared" si="16"/>
        <v>175.70743183187028</v>
      </c>
      <c r="AJ8" s="188">
        <f t="shared" si="16"/>
        <v>204.41892397369543</v>
      </c>
      <c r="AK8" s="187"/>
      <c r="AL8" s="188">
        <f t="shared" ref="AL8:AP18" si="17">SUM(AL22,AL36)</f>
        <v>2.2110443609582711</v>
      </c>
      <c r="AM8" s="188">
        <f t="shared" si="17"/>
        <v>2.3115580547206553</v>
      </c>
      <c r="AN8" s="188">
        <f t="shared" si="17"/>
        <v>2.4552314719025436</v>
      </c>
      <c r="AO8" s="188">
        <f t="shared" si="17"/>
        <v>2.6553496087063317</v>
      </c>
      <c r="AP8" s="188">
        <f t="shared" si="17"/>
        <v>3.0910360149137395</v>
      </c>
      <c r="AQ8" s="90" t="str">
        <f t="shared" ref="AQ8:AQ18" si="18">A8</f>
        <v>15-19</v>
      </c>
      <c r="AR8" s="188">
        <f t="shared" ref="AR8:AV18" si="19">SUM(AR22,AR36)</f>
        <v>0.60290753610971359</v>
      </c>
      <c r="AS8" s="188">
        <f t="shared" si="19"/>
        <v>1.3250807622546965</v>
      </c>
      <c r="AT8" s="188">
        <f t="shared" si="19"/>
        <v>1.9219507773505975</v>
      </c>
      <c r="AU8" s="188">
        <f t="shared" si="19"/>
        <v>1.9655355025605465</v>
      </c>
      <c r="AV8" s="188">
        <f t="shared" si="19"/>
        <v>2.1654962203224546</v>
      </c>
      <c r="AW8" s="187"/>
      <c r="AX8" s="188">
        <f t="shared" ref="AX8:BB18" si="20">SUM(AX22,AX36)</f>
        <v>0.54737466781637356</v>
      </c>
      <c r="AY8" s="188">
        <f t="shared" si="20"/>
        <v>1.2407671949430608</v>
      </c>
      <c r="AZ8" s="188">
        <f t="shared" si="20"/>
        <v>1.8657913659809988</v>
      </c>
      <c r="BA8" s="188">
        <f t="shared" si="20"/>
        <v>1.9082644770900146</v>
      </c>
      <c r="BB8" s="188">
        <f t="shared" si="20"/>
        <v>2.1026008851094398</v>
      </c>
      <c r="BC8" s="187"/>
      <c r="BD8" s="188">
        <f t="shared" ref="BD8:BH18" si="21">SUM(BD22,BD36)</f>
        <v>5.5532868293339949E-2</v>
      </c>
      <c r="BE8" s="188">
        <f t="shared" si="21"/>
        <v>8.4313567311635793E-2</v>
      </c>
      <c r="BF8" s="188">
        <f t="shared" si="21"/>
        <v>5.6159411369598657E-2</v>
      </c>
      <c r="BG8" s="188">
        <f t="shared" si="21"/>
        <v>5.7271025470531763E-2</v>
      </c>
      <c r="BH8" s="188">
        <f t="shared" si="21"/>
        <v>6.2895335213014894E-2</v>
      </c>
    </row>
    <row r="9" spans="1:60" x14ac:dyDescent="0.2">
      <c r="A9" s="90" t="s">
        <v>108</v>
      </c>
      <c r="B9" s="188">
        <f t="shared" si="10"/>
        <v>113.85056817629103</v>
      </c>
      <c r="C9" s="188">
        <f t="shared" si="10"/>
        <v>115.65112792404403</v>
      </c>
      <c r="D9" s="188">
        <f t="shared" si="10"/>
        <v>108.64656736044506</v>
      </c>
      <c r="E9" s="188">
        <f t="shared" si="10"/>
        <v>95.846387380896019</v>
      </c>
      <c r="F9" s="188">
        <f t="shared" si="10"/>
        <v>87.521667739268693</v>
      </c>
      <c r="G9" s="187"/>
      <c r="H9" s="188">
        <f t="shared" si="11"/>
        <v>36.71242366227203</v>
      </c>
      <c r="I9" s="188">
        <f t="shared" si="11"/>
        <v>37.140869961294854</v>
      </c>
      <c r="J9" s="188">
        <f t="shared" si="11"/>
        <v>34.405280511674597</v>
      </c>
      <c r="K9" s="188">
        <f t="shared" si="11"/>
        <v>30.323294922669287</v>
      </c>
      <c r="L9" s="188">
        <f t="shared" si="11"/>
        <v>27.681805786841899</v>
      </c>
      <c r="M9" s="187"/>
      <c r="N9" s="188">
        <f t="shared" si="12"/>
        <v>77.13814451401899</v>
      </c>
      <c r="O9" s="188">
        <f t="shared" si="12"/>
        <v>78.510257962749179</v>
      </c>
      <c r="P9" s="188">
        <f t="shared" si="12"/>
        <v>74.241286848770471</v>
      </c>
      <c r="Q9" s="188">
        <f t="shared" si="12"/>
        <v>65.523092458226728</v>
      </c>
      <c r="R9" s="188">
        <f t="shared" si="12"/>
        <v>59.839861952426787</v>
      </c>
      <c r="S9" s="187"/>
      <c r="T9" s="188">
        <f t="shared" si="13"/>
        <v>0</v>
      </c>
      <c r="U9" s="188">
        <f t="shared" si="13"/>
        <v>0</v>
      </c>
      <c r="V9" s="188">
        <f t="shared" si="13"/>
        <v>0</v>
      </c>
      <c r="W9" s="188">
        <f t="shared" si="13"/>
        <v>0</v>
      </c>
      <c r="X9" s="188">
        <f t="shared" si="13"/>
        <v>0</v>
      </c>
      <c r="Y9" s="90" t="str">
        <f t="shared" si="14"/>
        <v>20-24</v>
      </c>
      <c r="Z9" s="188">
        <f t="shared" si="15"/>
        <v>382.98069564153434</v>
      </c>
      <c r="AA9" s="188">
        <f t="shared" si="15"/>
        <v>394.35590193118628</v>
      </c>
      <c r="AB9" s="188">
        <f t="shared" si="15"/>
        <v>412.87076891444883</v>
      </c>
      <c r="AC9" s="188">
        <f t="shared" si="15"/>
        <v>399.37934349064994</v>
      </c>
      <c r="AD9" s="188">
        <f t="shared" si="15"/>
        <v>400.88677473503026</v>
      </c>
      <c r="AE9" s="187"/>
      <c r="AF9" s="188">
        <f t="shared" si="16"/>
        <v>363.98477719851724</v>
      </c>
      <c r="AG9" s="188">
        <f t="shared" si="16"/>
        <v>374.77312480698299</v>
      </c>
      <c r="AH9" s="188">
        <f t="shared" si="16"/>
        <v>392.37404871527087</v>
      </c>
      <c r="AI9" s="188">
        <f t="shared" si="16"/>
        <v>379.57670333802525</v>
      </c>
      <c r="AJ9" s="188">
        <f t="shared" si="16"/>
        <v>381.02605803364366</v>
      </c>
      <c r="AK9" s="187"/>
      <c r="AL9" s="188">
        <f t="shared" si="17"/>
        <v>18.995918443017182</v>
      </c>
      <c r="AM9" s="188">
        <f t="shared" si="17"/>
        <v>19.582777124203318</v>
      </c>
      <c r="AN9" s="188">
        <f t="shared" si="17"/>
        <v>20.49672019917795</v>
      </c>
      <c r="AO9" s="188">
        <f t="shared" si="17"/>
        <v>19.802640152624711</v>
      </c>
      <c r="AP9" s="188">
        <f t="shared" si="17"/>
        <v>19.860716701386607</v>
      </c>
      <c r="AQ9" s="90" t="str">
        <f t="shared" si="18"/>
        <v>20-24</v>
      </c>
      <c r="AR9" s="188">
        <f t="shared" si="19"/>
        <v>143.68473618217462</v>
      </c>
      <c r="AS9" s="188">
        <f t="shared" si="19"/>
        <v>150.71097014476959</v>
      </c>
      <c r="AT9" s="188">
        <f t="shared" si="19"/>
        <v>186.98366372510611</v>
      </c>
      <c r="AU9" s="188">
        <f t="shared" si="19"/>
        <v>201.56226912845403</v>
      </c>
      <c r="AV9" s="188">
        <f t="shared" si="19"/>
        <v>224.84155752570109</v>
      </c>
      <c r="AW9" s="187"/>
      <c r="AX9" s="188">
        <f t="shared" si="20"/>
        <v>143.33653114819879</v>
      </c>
      <c r="AY9" s="188">
        <f t="shared" si="20"/>
        <v>150.34362309651959</v>
      </c>
      <c r="AZ9" s="188">
        <f t="shared" si="20"/>
        <v>186.52415613000247</v>
      </c>
      <c r="BA9" s="188">
        <f t="shared" si="20"/>
        <v>201.06633972833936</v>
      </c>
      <c r="BB9" s="188">
        <f t="shared" si="20"/>
        <v>224.28837377749321</v>
      </c>
      <c r="BC9" s="187"/>
      <c r="BD9" s="188">
        <f t="shared" si="21"/>
        <v>0.34820503397584823</v>
      </c>
      <c r="BE9" s="188">
        <f t="shared" si="21"/>
        <v>0.36734704825001729</v>
      </c>
      <c r="BF9" s="188">
        <f t="shared" si="21"/>
        <v>0.4595075951036377</v>
      </c>
      <c r="BG9" s="188">
        <f t="shared" si="21"/>
        <v>0.49592940011468256</v>
      </c>
      <c r="BH9" s="188">
        <f t="shared" si="21"/>
        <v>0.55318374820788452</v>
      </c>
    </row>
    <row r="10" spans="1:60" x14ac:dyDescent="0.2">
      <c r="A10" s="90" t="s">
        <v>109</v>
      </c>
      <c r="B10" s="188">
        <f t="shared" si="10"/>
        <v>115.37907358541085</v>
      </c>
      <c r="C10" s="188">
        <f t="shared" si="10"/>
        <v>127.07460532220105</v>
      </c>
      <c r="D10" s="188">
        <f t="shared" si="10"/>
        <v>118.40314244947737</v>
      </c>
      <c r="E10" s="188">
        <f t="shared" si="10"/>
        <v>117.74066640587412</v>
      </c>
      <c r="F10" s="188">
        <f t="shared" si="10"/>
        <v>104.64926095222505</v>
      </c>
      <c r="G10" s="187"/>
      <c r="H10" s="188">
        <f t="shared" si="11"/>
        <v>40.798223765839786</v>
      </c>
      <c r="I10" s="188">
        <f t="shared" si="11"/>
        <v>45.065990030629422</v>
      </c>
      <c r="J10" s="188">
        <f t="shared" si="11"/>
        <v>41.916443930124132</v>
      </c>
      <c r="K10" s="188">
        <f t="shared" si="11"/>
        <v>41.603247748686108</v>
      </c>
      <c r="L10" s="188">
        <f t="shared" si="11"/>
        <v>36.975172705743539</v>
      </c>
      <c r="M10" s="187"/>
      <c r="N10" s="188">
        <f t="shared" si="12"/>
        <v>74.580849819571057</v>
      </c>
      <c r="O10" s="188">
        <f t="shared" si="12"/>
        <v>82.008615291571644</v>
      </c>
      <c r="P10" s="188">
        <f t="shared" si="12"/>
        <v>76.48669851935324</v>
      </c>
      <c r="Q10" s="188">
        <f t="shared" si="12"/>
        <v>76.137418657188022</v>
      </c>
      <c r="R10" s="188">
        <f t="shared" si="12"/>
        <v>67.674088246481503</v>
      </c>
      <c r="S10" s="187"/>
      <c r="T10" s="188">
        <f t="shared" si="13"/>
        <v>0</v>
      </c>
      <c r="U10" s="188">
        <f t="shared" si="13"/>
        <v>0</v>
      </c>
      <c r="V10" s="188">
        <f t="shared" si="13"/>
        <v>0</v>
      </c>
      <c r="W10" s="188">
        <f t="shared" si="13"/>
        <v>0</v>
      </c>
      <c r="X10" s="188">
        <f t="shared" si="13"/>
        <v>0</v>
      </c>
      <c r="Y10" s="90" t="str">
        <f t="shared" si="14"/>
        <v>25-29</v>
      </c>
      <c r="Z10" s="188">
        <f t="shared" si="15"/>
        <v>285.32401508902581</v>
      </c>
      <c r="AA10" s="188">
        <f t="shared" si="15"/>
        <v>266.19879984541552</v>
      </c>
      <c r="AB10" s="188">
        <f t="shared" si="15"/>
        <v>280.11568976670378</v>
      </c>
      <c r="AC10" s="188">
        <f t="shared" si="15"/>
        <v>295.3482302777582</v>
      </c>
      <c r="AD10" s="188">
        <f t="shared" si="15"/>
        <v>289.74487116781143</v>
      </c>
      <c r="AE10" s="187"/>
      <c r="AF10" s="188">
        <f t="shared" si="16"/>
        <v>264.71283723333693</v>
      </c>
      <c r="AG10" s="188">
        <f t="shared" si="16"/>
        <v>246.96600220301298</v>
      </c>
      <c r="AH10" s="188">
        <f t="shared" si="16"/>
        <v>260.0379790136522</v>
      </c>
      <c r="AI10" s="188">
        <f t="shared" si="16"/>
        <v>274.30243506375962</v>
      </c>
      <c r="AJ10" s="188">
        <f t="shared" si="16"/>
        <v>269.19630907068336</v>
      </c>
      <c r="AK10" s="187"/>
      <c r="AL10" s="188">
        <f t="shared" si="17"/>
        <v>20.611177855688922</v>
      </c>
      <c r="AM10" s="188">
        <f t="shared" si="17"/>
        <v>19.232797642402538</v>
      </c>
      <c r="AN10" s="188">
        <f t="shared" si="17"/>
        <v>20.077710753051615</v>
      </c>
      <c r="AO10" s="188">
        <f t="shared" si="17"/>
        <v>21.04579521399852</v>
      </c>
      <c r="AP10" s="188">
        <f t="shared" si="17"/>
        <v>20.548562097128041</v>
      </c>
      <c r="AQ10" s="90" t="str">
        <f t="shared" si="18"/>
        <v>25-29</v>
      </c>
      <c r="AR10" s="188">
        <f t="shared" si="19"/>
        <v>285.48891132556332</v>
      </c>
      <c r="AS10" s="188">
        <f t="shared" si="19"/>
        <v>298.43559483238334</v>
      </c>
      <c r="AT10" s="188">
        <f t="shared" si="19"/>
        <v>329.80716778381884</v>
      </c>
      <c r="AU10" s="188">
        <f t="shared" si="19"/>
        <v>365.58310331636773</v>
      </c>
      <c r="AV10" s="188">
        <f t="shared" si="19"/>
        <v>376.96286787996354</v>
      </c>
      <c r="AW10" s="187"/>
      <c r="AX10" s="188">
        <f t="shared" si="20"/>
        <v>282.70510559860855</v>
      </c>
      <c r="AY10" s="188">
        <f t="shared" si="20"/>
        <v>295.51880182634955</v>
      </c>
      <c r="AZ10" s="188">
        <f t="shared" si="20"/>
        <v>326.59395287550331</v>
      </c>
      <c r="BA10" s="188">
        <f t="shared" si="20"/>
        <v>362.02223728946319</v>
      </c>
      <c r="BB10" s="188">
        <f t="shared" si="20"/>
        <v>373.29368404794025</v>
      </c>
      <c r="BC10" s="187"/>
      <c r="BD10" s="188">
        <f t="shared" si="21"/>
        <v>2.7838057269548049</v>
      </c>
      <c r="BE10" s="188">
        <f t="shared" si="21"/>
        <v>2.916793006033831</v>
      </c>
      <c r="BF10" s="188">
        <f t="shared" si="21"/>
        <v>3.2132149083155843</v>
      </c>
      <c r="BG10" s="188">
        <f t="shared" si="21"/>
        <v>3.5608660269045256</v>
      </c>
      <c r="BH10" s="188">
        <f t="shared" si="21"/>
        <v>3.669183832023271</v>
      </c>
    </row>
    <row r="11" spans="1:60" x14ac:dyDescent="0.2">
      <c r="A11" s="90" t="s">
        <v>110</v>
      </c>
      <c r="B11" s="188">
        <f t="shared" si="10"/>
        <v>116.6348130799831</v>
      </c>
      <c r="C11" s="188">
        <f t="shared" si="10"/>
        <v>121.76030756867036</v>
      </c>
      <c r="D11" s="188">
        <f t="shared" si="10"/>
        <v>118.18823108583572</v>
      </c>
      <c r="E11" s="188">
        <f t="shared" si="10"/>
        <v>109.913241263863</v>
      </c>
      <c r="F11" s="188">
        <f t="shared" si="10"/>
        <v>93.676057480419587</v>
      </c>
      <c r="G11" s="187"/>
      <c r="H11" s="188">
        <f t="shared" si="11"/>
        <v>44.791528463722429</v>
      </c>
      <c r="I11" s="188">
        <f t="shared" si="11"/>
        <v>47.017124581566897</v>
      </c>
      <c r="J11" s="188">
        <f t="shared" si="11"/>
        <v>45.575297988406476</v>
      </c>
      <c r="K11" s="188">
        <f t="shared" si="11"/>
        <v>42.364426936905772</v>
      </c>
      <c r="L11" s="188">
        <f t="shared" si="11"/>
        <v>36.057194740501721</v>
      </c>
      <c r="M11" s="187"/>
      <c r="N11" s="188">
        <f t="shared" si="12"/>
        <v>71.843284616260675</v>
      </c>
      <c r="O11" s="188">
        <f t="shared" si="12"/>
        <v>74.743182987103467</v>
      </c>
      <c r="P11" s="188">
        <f t="shared" si="12"/>
        <v>72.612933097429249</v>
      </c>
      <c r="Q11" s="188">
        <f t="shared" si="12"/>
        <v>67.548814326957228</v>
      </c>
      <c r="R11" s="188">
        <f t="shared" si="12"/>
        <v>57.618862739917844</v>
      </c>
      <c r="S11" s="187"/>
      <c r="T11" s="188">
        <f t="shared" si="13"/>
        <v>0</v>
      </c>
      <c r="U11" s="188">
        <f t="shared" si="13"/>
        <v>0</v>
      </c>
      <c r="V11" s="188">
        <f t="shared" si="13"/>
        <v>0</v>
      </c>
      <c r="W11" s="188">
        <f t="shared" si="13"/>
        <v>0</v>
      </c>
      <c r="X11" s="188">
        <f t="shared" si="13"/>
        <v>0</v>
      </c>
      <c r="Y11" s="90" t="str">
        <f t="shared" si="14"/>
        <v>30-34</v>
      </c>
      <c r="Z11" s="188">
        <f t="shared" si="15"/>
        <v>275.1983307590632</v>
      </c>
      <c r="AA11" s="188">
        <f t="shared" si="15"/>
        <v>266.0829768237935</v>
      </c>
      <c r="AB11" s="188">
        <f t="shared" si="15"/>
        <v>285.51361958464611</v>
      </c>
      <c r="AC11" s="188">
        <f t="shared" si="15"/>
        <v>296.32015564557162</v>
      </c>
      <c r="AD11" s="188">
        <f t="shared" si="15"/>
        <v>317.88848271212305</v>
      </c>
      <c r="AE11" s="187"/>
      <c r="AF11" s="188">
        <f t="shared" si="16"/>
        <v>255.48717394280527</v>
      </c>
      <c r="AG11" s="188">
        <f t="shared" si="16"/>
        <v>247.06950912979124</v>
      </c>
      <c r="AH11" s="188">
        <f t="shared" si="16"/>
        <v>265.15360262399543</v>
      </c>
      <c r="AI11" s="188">
        <f t="shared" si="16"/>
        <v>275.24980054915358</v>
      </c>
      <c r="AJ11" s="188">
        <f t="shared" si="16"/>
        <v>295.36996417982152</v>
      </c>
      <c r="AK11" s="187"/>
      <c r="AL11" s="188">
        <f t="shared" si="17"/>
        <v>19.711156816257962</v>
      </c>
      <c r="AM11" s="188">
        <f t="shared" si="17"/>
        <v>19.01346769400228</v>
      </c>
      <c r="AN11" s="188">
        <f t="shared" si="17"/>
        <v>20.360016960650725</v>
      </c>
      <c r="AO11" s="188">
        <f t="shared" si="17"/>
        <v>21.070355096418023</v>
      </c>
      <c r="AP11" s="188">
        <f t="shared" si="17"/>
        <v>22.518518532301513</v>
      </c>
      <c r="AQ11" s="90" t="str">
        <f t="shared" si="18"/>
        <v>30-34</v>
      </c>
      <c r="AR11" s="188">
        <f t="shared" si="19"/>
        <v>294.76785616095367</v>
      </c>
      <c r="AS11" s="188">
        <f t="shared" si="19"/>
        <v>310.21271560753621</v>
      </c>
      <c r="AT11" s="188">
        <f t="shared" si="19"/>
        <v>340.70814932951816</v>
      </c>
      <c r="AU11" s="188">
        <f t="shared" si="19"/>
        <v>369.83560309056543</v>
      </c>
      <c r="AV11" s="188">
        <f t="shared" si="19"/>
        <v>418.22345980745735</v>
      </c>
      <c r="AW11" s="187"/>
      <c r="AX11" s="188">
        <f t="shared" si="20"/>
        <v>289.63080788660079</v>
      </c>
      <c r="AY11" s="188">
        <f t="shared" si="20"/>
        <v>304.79570037586518</v>
      </c>
      <c r="AZ11" s="188">
        <f t="shared" si="20"/>
        <v>334.81192752241731</v>
      </c>
      <c r="BA11" s="188">
        <f t="shared" si="20"/>
        <v>363.47263912244296</v>
      </c>
      <c r="BB11" s="188">
        <f t="shared" si="20"/>
        <v>411.01000020534735</v>
      </c>
      <c r="BC11" s="187"/>
      <c r="BD11" s="188">
        <f t="shared" si="21"/>
        <v>5.1370482743529013</v>
      </c>
      <c r="BE11" s="188">
        <f t="shared" si="21"/>
        <v>5.4170152316709643</v>
      </c>
      <c r="BF11" s="188">
        <f t="shared" si="21"/>
        <v>5.8962218071008108</v>
      </c>
      <c r="BG11" s="188">
        <f t="shared" si="21"/>
        <v>6.3629639681224219</v>
      </c>
      <c r="BH11" s="188">
        <f t="shared" si="21"/>
        <v>7.213459602110035</v>
      </c>
    </row>
    <row r="12" spans="1:60" x14ac:dyDescent="0.2">
      <c r="A12" s="90" t="s">
        <v>111</v>
      </c>
      <c r="B12" s="188">
        <f t="shared" si="10"/>
        <v>154.11214519557188</v>
      </c>
      <c r="C12" s="188">
        <f t="shared" si="10"/>
        <v>148.15717385227549</v>
      </c>
      <c r="D12" s="188">
        <f t="shared" si="10"/>
        <v>124.1637405731941</v>
      </c>
      <c r="E12" s="188">
        <f t="shared" si="10"/>
        <v>103.00106387667563</v>
      </c>
      <c r="F12" s="188">
        <f t="shared" si="10"/>
        <v>79.667767346824377</v>
      </c>
      <c r="G12" s="187"/>
      <c r="H12" s="188">
        <f t="shared" si="11"/>
        <v>56.003261702459064</v>
      </c>
      <c r="I12" s="188">
        <f t="shared" si="11"/>
        <v>53.61808406304786</v>
      </c>
      <c r="J12" s="188">
        <f t="shared" si="11"/>
        <v>44.946036484441635</v>
      </c>
      <c r="K12" s="188">
        <f t="shared" si="11"/>
        <v>37.289691972205802</v>
      </c>
      <c r="L12" s="188">
        <f t="shared" si="11"/>
        <v>28.798762169451095</v>
      </c>
      <c r="M12" s="187"/>
      <c r="N12" s="188">
        <f t="shared" si="12"/>
        <v>98.108883493112813</v>
      </c>
      <c r="O12" s="188">
        <f t="shared" si="12"/>
        <v>94.539089789227646</v>
      </c>
      <c r="P12" s="188">
        <f t="shared" si="12"/>
        <v>79.21770408875247</v>
      </c>
      <c r="Q12" s="188">
        <f t="shared" si="12"/>
        <v>65.711371904469829</v>
      </c>
      <c r="R12" s="188">
        <f t="shared" si="12"/>
        <v>50.869005177373282</v>
      </c>
      <c r="S12" s="187"/>
      <c r="T12" s="188">
        <f t="shared" si="13"/>
        <v>0</v>
      </c>
      <c r="U12" s="188">
        <f t="shared" si="13"/>
        <v>0</v>
      </c>
      <c r="V12" s="188">
        <f t="shared" si="13"/>
        <v>0</v>
      </c>
      <c r="W12" s="188">
        <f t="shared" si="13"/>
        <v>0</v>
      </c>
      <c r="X12" s="188">
        <f t="shared" si="13"/>
        <v>0</v>
      </c>
      <c r="Y12" s="90" t="str">
        <f t="shared" si="14"/>
        <v>35-39</v>
      </c>
      <c r="Z12" s="188">
        <f t="shared" si="15"/>
        <v>322.88579844316473</v>
      </c>
      <c r="AA12" s="188">
        <f t="shared" si="15"/>
        <v>287.4998240668773</v>
      </c>
      <c r="AB12" s="188">
        <f t="shared" si="15"/>
        <v>280.92839455401918</v>
      </c>
      <c r="AC12" s="188">
        <f t="shared" si="15"/>
        <v>299.54044624192568</v>
      </c>
      <c r="AD12" s="188">
        <f t="shared" si="15"/>
        <v>317.07239175090058</v>
      </c>
      <c r="AE12" s="187"/>
      <c r="AF12" s="188">
        <f t="shared" si="16"/>
        <v>303.37132132153579</v>
      </c>
      <c r="AG12" s="188">
        <f t="shared" si="16"/>
        <v>270.10893635844064</v>
      </c>
      <c r="AH12" s="188">
        <f t="shared" si="16"/>
        <v>263.99085237827694</v>
      </c>
      <c r="AI12" s="188">
        <f t="shared" si="16"/>
        <v>281.50570542953108</v>
      </c>
      <c r="AJ12" s="188">
        <f t="shared" si="16"/>
        <v>298.00980149252553</v>
      </c>
      <c r="AK12" s="187"/>
      <c r="AL12" s="188">
        <f t="shared" si="17"/>
        <v>19.514477121629021</v>
      </c>
      <c r="AM12" s="188">
        <f t="shared" si="17"/>
        <v>17.390887708436701</v>
      </c>
      <c r="AN12" s="188">
        <f t="shared" si="17"/>
        <v>16.937542175742227</v>
      </c>
      <c r="AO12" s="188">
        <f t="shared" si="17"/>
        <v>18.034740812394613</v>
      </c>
      <c r="AP12" s="188">
        <f t="shared" si="17"/>
        <v>19.062590258375032</v>
      </c>
      <c r="AQ12" s="90" t="str">
        <f t="shared" si="18"/>
        <v>35-39</v>
      </c>
      <c r="AR12" s="188">
        <f t="shared" si="19"/>
        <v>284.91205636126335</v>
      </c>
      <c r="AS12" s="188">
        <f t="shared" si="19"/>
        <v>312.0690020808471</v>
      </c>
      <c r="AT12" s="188">
        <f t="shared" si="19"/>
        <v>329.21186487278669</v>
      </c>
      <c r="AU12" s="188">
        <f t="shared" si="19"/>
        <v>370.51748988139866</v>
      </c>
      <c r="AV12" s="188">
        <f t="shared" si="19"/>
        <v>410.36684090227504</v>
      </c>
      <c r="AW12" s="187"/>
      <c r="AX12" s="188">
        <f t="shared" si="20"/>
        <v>279.90489605154085</v>
      </c>
      <c r="AY12" s="188">
        <f t="shared" si="20"/>
        <v>306.58743388534367</v>
      </c>
      <c r="AZ12" s="188">
        <f t="shared" si="20"/>
        <v>323.49821814056338</v>
      </c>
      <c r="BA12" s="188">
        <f t="shared" si="20"/>
        <v>364.11650308755236</v>
      </c>
      <c r="BB12" s="188">
        <f t="shared" si="20"/>
        <v>403.29145582426617</v>
      </c>
      <c r="BC12" s="187"/>
      <c r="BD12" s="188">
        <f t="shared" si="21"/>
        <v>5.0071603097225514</v>
      </c>
      <c r="BE12" s="188">
        <f t="shared" si="21"/>
        <v>5.4815681955034474</v>
      </c>
      <c r="BF12" s="188">
        <f t="shared" si="21"/>
        <v>5.7136467322232507</v>
      </c>
      <c r="BG12" s="188">
        <f t="shared" si="21"/>
        <v>6.4009867938463287</v>
      </c>
      <c r="BH12" s="188">
        <f t="shared" si="21"/>
        <v>7.0753850780088525</v>
      </c>
    </row>
    <row r="13" spans="1:60" x14ac:dyDescent="0.2">
      <c r="A13" s="90" t="s">
        <v>112</v>
      </c>
      <c r="B13" s="188">
        <f t="shared" si="10"/>
        <v>204.95472906429887</v>
      </c>
      <c r="C13" s="188">
        <f t="shared" si="10"/>
        <v>183.2736739920656</v>
      </c>
      <c r="D13" s="188">
        <f t="shared" si="10"/>
        <v>145.6109353666948</v>
      </c>
      <c r="E13" s="188">
        <f t="shared" si="10"/>
        <v>103.89159180775462</v>
      </c>
      <c r="F13" s="188">
        <f t="shared" si="10"/>
        <v>77.263056657170154</v>
      </c>
      <c r="G13" s="187"/>
      <c r="H13" s="188">
        <f t="shared" si="11"/>
        <v>75.043968155480954</v>
      </c>
      <c r="I13" s="188">
        <f t="shared" si="11"/>
        <v>66.962528106248641</v>
      </c>
      <c r="J13" s="188">
        <f t="shared" si="11"/>
        <v>53.205635957380473</v>
      </c>
      <c r="K13" s="188">
        <f t="shared" si="11"/>
        <v>37.898539746132187</v>
      </c>
      <c r="L13" s="188">
        <f t="shared" si="11"/>
        <v>28.104284599359445</v>
      </c>
      <c r="M13" s="187"/>
      <c r="N13" s="188">
        <f t="shared" si="12"/>
        <v>129.91076090881791</v>
      </c>
      <c r="O13" s="188">
        <f t="shared" si="12"/>
        <v>116.31114588581696</v>
      </c>
      <c r="P13" s="188">
        <f t="shared" si="12"/>
        <v>92.405299409314324</v>
      </c>
      <c r="Q13" s="188">
        <f t="shared" si="12"/>
        <v>65.993052061622421</v>
      </c>
      <c r="R13" s="188">
        <f t="shared" si="12"/>
        <v>49.158772057810708</v>
      </c>
      <c r="S13" s="187"/>
      <c r="T13" s="188">
        <f t="shared" si="13"/>
        <v>0</v>
      </c>
      <c r="U13" s="188">
        <f t="shared" si="13"/>
        <v>0</v>
      </c>
      <c r="V13" s="188">
        <f t="shared" si="13"/>
        <v>0</v>
      </c>
      <c r="W13" s="188">
        <f t="shared" si="13"/>
        <v>0</v>
      </c>
      <c r="X13" s="188">
        <f t="shared" si="13"/>
        <v>0</v>
      </c>
      <c r="Y13" s="90" t="str">
        <f t="shared" si="14"/>
        <v>40-44</v>
      </c>
      <c r="Z13" s="188">
        <f t="shared" si="15"/>
        <v>335.88123323100854</v>
      </c>
      <c r="AA13" s="188">
        <f t="shared" si="15"/>
        <v>312.92776503427081</v>
      </c>
      <c r="AB13" s="188">
        <f t="shared" si="15"/>
        <v>302.35363356602068</v>
      </c>
      <c r="AC13" s="188">
        <f t="shared" si="15"/>
        <v>306.64075194256282</v>
      </c>
      <c r="AD13" s="188">
        <f t="shared" si="15"/>
        <v>332.62704072525781</v>
      </c>
      <c r="AE13" s="187"/>
      <c r="AF13" s="188">
        <f t="shared" si="16"/>
        <v>318.57769939988361</v>
      </c>
      <c r="AG13" s="188">
        <f t="shared" si="16"/>
        <v>296.81769048378715</v>
      </c>
      <c r="AH13" s="188">
        <f t="shared" si="16"/>
        <v>286.81359197562756</v>
      </c>
      <c r="AI13" s="188">
        <f t="shared" si="16"/>
        <v>290.88951267461152</v>
      </c>
      <c r="AJ13" s="188">
        <f t="shared" si="16"/>
        <v>315.54744066806541</v>
      </c>
      <c r="AK13" s="187"/>
      <c r="AL13" s="188">
        <f t="shared" si="17"/>
        <v>17.303533831124952</v>
      </c>
      <c r="AM13" s="188">
        <f t="shared" si="17"/>
        <v>16.110074550483667</v>
      </c>
      <c r="AN13" s="188">
        <f t="shared" si="17"/>
        <v>15.540041590393106</v>
      </c>
      <c r="AO13" s="188">
        <f t="shared" si="17"/>
        <v>15.751239267951231</v>
      </c>
      <c r="AP13" s="188">
        <f t="shared" si="17"/>
        <v>17.079600057192419</v>
      </c>
      <c r="AQ13" s="90" t="str">
        <f t="shared" si="18"/>
        <v>40-44</v>
      </c>
      <c r="AR13" s="188">
        <f t="shared" si="19"/>
        <v>270.9300377046925</v>
      </c>
      <c r="AS13" s="188">
        <f t="shared" si="19"/>
        <v>293.55256097366362</v>
      </c>
      <c r="AT13" s="188">
        <f t="shared" si="19"/>
        <v>322.20043106728446</v>
      </c>
      <c r="AU13" s="188">
        <f t="shared" si="19"/>
        <v>339.66265624968264</v>
      </c>
      <c r="AV13" s="188">
        <f t="shared" si="19"/>
        <v>380.66890261757209</v>
      </c>
      <c r="AW13" s="187"/>
      <c r="AX13" s="188">
        <f t="shared" si="20"/>
        <v>266.38705152405146</v>
      </c>
      <c r="AY13" s="188">
        <f t="shared" si="20"/>
        <v>288.66110365884219</v>
      </c>
      <c r="AZ13" s="188">
        <f t="shared" si="20"/>
        <v>316.84860387450232</v>
      </c>
      <c r="BA13" s="188">
        <f t="shared" si="20"/>
        <v>334.03930780465259</v>
      </c>
      <c r="BB13" s="188">
        <f t="shared" si="20"/>
        <v>374.38350092432177</v>
      </c>
      <c r="BC13" s="187"/>
      <c r="BD13" s="188">
        <f t="shared" si="21"/>
        <v>4.5429861806410692</v>
      </c>
      <c r="BE13" s="188">
        <f t="shared" si="21"/>
        <v>4.8914573148213645</v>
      </c>
      <c r="BF13" s="188">
        <f t="shared" si="21"/>
        <v>5.3518271927821548</v>
      </c>
      <c r="BG13" s="188">
        <f t="shared" si="21"/>
        <v>5.6233484450300253</v>
      </c>
      <c r="BH13" s="188">
        <f t="shared" si="21"/>
        <v>6.2854016932503862</v>
      </c>
    </row>
    <row r="14" spans="1:60" x14ac:dyDescent="0.2">
      <c r="A14" s="90" t="s">
        <v>113</v>
      </c>
      <c r="B14" s="188">
        <f t="shared" si="10"/>
        <v>254.65884951398874</v>
      </c>
      <c r="C14" s="188">
        <f t="shared" si="10"/>
        <v>249.88437754828158</v>
      </c>
      <c r="D14" s="188">
        <f t="shared" si="10"/>
        <v>178.47858254526204</v>
      </c>
      <c r="E14" s="188">
        <f t="shared" si="10"/>
        <v>132.26113301280915</v>
      </c>
      <c r="F14" s="188">
        <f t="shared" si="10"/>
        <v>96.751846747388981</v>
      </c>
      <c r="G14" s="187"/>
      <c r="H14" s="188">
        <f t="shared" si="11"/>
        <v>97.081589333520498</v>
      </c>
      <c r="I14" s="188">
        <f t="shared" si="11"/>
        <v>95.255541277602333</v>
      </c>
      <c r="J14" s="188">
        <f t="shared" si="11"/>
        <v>67.471423380418784</v>
      </c>
      <c r="K14" s="188">
        <f t="shared" si="11"/>
        <v>49.673795228067675</v>
      </c>
      <c r="L14" s="188">
        <f t="shared" si="11"/>
        <v>36.08222161527133</v>
      </c>
      <c r="M14" s="187"/>
      <c r="N14" s="188">
        <f t="shared" si="12"/>
        <v>157.57726018046827</v>
      </c>
      <c r="O14" s="188">
        <f t="shared" si="12"/>
        <v>154.62883627067924</v>
      </c>
      <c r="P14" s="188">
        <f t="shared" si="12"/>
        <v>111.00715916484326</v>
      </c>
      <c r="Q14" s="188">
        <f t="shared" si="12"/>
        <v>82.587337784741479</v>
      </c>
      <c r="R14" s="188">
        <f t="shared" si="12"/>
        <v>60.669625132117659</v>
      </c>
      <c r="S14" s="187"/>
      <c r="T14" s="188">
        <f t="shared" si="13"/>
        <v>0</v>
      </c>
      <c r="U14" s="188">
        <f t="shared" si="13"/>
        <v>0</v>
      </c>
      <c r="V14" s="188">
        <f t="shared" si="13"/>
        <v>0</v>
      </c>
      <c r="W14" s="188">
        <f t="shared" si="13"/>
        <v>0</v>
      </c>
      <c r="X14" s="188">
        <f t="shared" si="13"/>
        <v>0</v>
      </c>
      <c r="Y14" s="90" t="str">
        <f t="shared" si="14"/>
        <v>45-49</v>
      </c>
      <c r="Z14" s="188">
        <f t="shared" si="15"/>
        <v>296.89078106183149</v>
      </c>
      <c r="AA14" s="188">
        <f t="shared" si="15"/>
        <v>297.81089783713531</v>
      </c>
      <c r="AB14" s="188">
        <f t="shared" si="15"/>
        <v>323.00238790557432</v>
      </c>
      <c r="AC14" s="188">
        <f t="shared" si="15"/>
        <v>331.21130960813161</v>
      </c>
      <c r="AD14" s="188">
        <f t="shared" si="15"/>
        <v>336.85601788588576</v>
      </c>
      <c r="AE14" s="187"/>
      <c r="AF14" s="188">
        <f t="shared" si="16"/>
        <v>283.27902750867406</v>
      </c>
      <c r="AG14" s="188">
        <f t="shared" si="16"/>
        <v>284.17878044572376</v>
      </c>
      <c r="AH14" s="188">
        <f t="shared" si="16"/>
        <v>308.23712222424672</v>
      </c>
      <c r="AI14" s="188">
        <f t="shared" si="16"/>
        <v>316.06982132262846</v>
      </c>
      <c r="AJ14" s="188">
        <f t="shared" si="16"/>
        <v>321.4595503021684</v>
      </c>
      <c r="AK14" s="187"/>
      <c r="AL14" s="188">
        <f t="shared" si="17"/>
        <v>13.611753553157442</v>
      </c>
      <c r="AM14" s="188">
        <f t="shared" si="17"/>
        <v>13.632117391411541</v>
      </c>
      <c r="AN14" s="188">
        <f t="shared" si="17"/>
        <v>14.765265681327598</v>
      </c>
      <c r="AO14" s="188">
        <f t="shared" si="17"/>
        <v>15.141488285503199</v>
      </c>
      <c r="AP14" s="188">
        <f t="shared" si="17"/>
        <v>15.39646758371746</v>
      </c>
      <c r="AQ14" s="90" t="str">
        <f t="shared" si="18"/>
        <v>45-49</v>
      </c>
      <c r="AR14" s="188">
        <f t="shared" si="19"/>
        <v>250.46536942417981</v>
      </c>
      <c r="AS14" s="188">
        <f t="shared" si="19"/>
        <v>272.37172461458317</v>
      </c>
      <c r="AT14" s="188">
        <f t="shared" si="19"/>
        <v>298.56302954916367</v>
      </c>
      <c r="AU14" s="188">
        <f t="shared" si="19"/>
        <v>312.99255737905924</v>
      </c>
      <c r="AV14" s="188">
        <f t="shared" si="19"/>
        <v>324.57513536672525</v>
      </c>
      <c r="AW14" s="187"/>
      <c r="AX14" s="188">
        <f t="shared" si="20"/>
        <v>245.6503099953992</v>
      </c>
      <c r="AY14" s="188">
        <f t="shared" si="20"/>
        <v>267.15960275583393</v>
      </c>
      <c r="AZ14" s="188">
        <f t="shared" si="20"/>
        <v>292.91536308672585</v>
      </c>
      <c r="BA14" s="188">
        <f t="shared" si="20"/>
        <v>307.10108024986414</v>
      </c>
      <c r="BB14" s="188">
        <f t="shared" si="20"/>
        <v>318.48324328013177</v>
      </c>
      <c r="BC14" s="187"/>
      <c r="BD14" s="188">
        <f t="shared" si="21"/>
        <v>4.815059428780601</v>
      </c>
      <c r="BE14" s="188">
        <f t="shared" si="21"/>
        <v>5.2121218587492244</v>
      </c>
      <c r="BF14" s="188">
        <f t="shared" si="21"/>
        <v>5.6476664624378259</v>
      </c>
      <c r="BG14" s="188">
        <f t="shared" si="21"/>
        <v>5.8914771291951418</v>
      </c>
      <c r="BH14" s="188">
        <f t="shared" si="21"/>
        <v>6.0918920865934654</v>
      </c>
    </row>
    <row r="15" spans="1:60" x14ac:dyDescent="0.2">
      <c r="A15" s="90" t="s">
        <v>114</v>
      </c>
      <c r="B15" s="188">
        <f t="shared" si="10"/>
        <v>294.38575187935118</v>
      </c>
      <c r="C15" s="188">
        <f t="shared" si="10"/>
        <v>286.9982182545242</v>
      </c>
      <c r="D15" s="188">
        <f t="shared" si="10"/>
        <v>249.82582092451261</v>
      </c>
      <c r="E15" s="188">
        <f t="shared" si="10"/>
        <v>196.7617947968931</v>
      </c>
      <c r="F15" s="188">
        <f t="shared" si="10"/>
        <v>151.97754802573786</v>
      </c>
      <c r="G15" s="187"/>
      <c r="H15" s="188">
        <f t="shared" si="11"/>
        <v>131.00937650791479</v>
      </c>
      <c r="I15" s="188">
        <f t="shared" si="11"/>
        <v>127.36456196076394</v>
      </c>
      <c r="J15" s="188">
        <f t="shared" si="11"/>
        <v>110.61745625735594</v>
      </c>
      <c r="K15" s="188">
        <f t="shared" si="11"/>
        <v>86.72311902225573</v>
      </c>
      <c r="L15" s="188">
        <f t="shared" si="11"/>
        <v>66.672294242780168</v>
      </c>
      <c r="M15" s="187"/>
      <c r="N15" s="188">
        <f t="shared" si="12"/>
        <v>163.37637537143638</v>
      </c>
      <c r="O15" s="188">
        <f t="shared" si="12"/>
        <v>159.63365629376028</v>
      </c>
      <c r="P15" s="188">
        <f t="shared" si="12"/>
        <v>139.20836466715667</v>
      </c>
      <c r="Q15" s="188">
        <f t="shared" si="12"/>
        <v>110.03867577463737</v>
      </c>
      <c r="R15" s="188">
        <f t="shared" si="12"/>
        <v>85.305253782957692</v>
      </c>
      <c r="S15" s="187"/>
      <c r="T15" s="188">
        <f t="shared" si="13"/>
        <v>0</v>
      </c>
      <c r="U15" s="188">
        <f t="shared" si="13"/>
        <v>0</v>
      </c>
      <c r="V15" s="188">
        <f t="shared" si="13"/>
        <v>0</v>
      </c>
      <c r="W15" s="188">
        <f t="shared" si="13"/>
        <v>0</v>
      </c>
      <c r="X15" s="188">
        <f t="shared" si="13"/>
        <v>0</v>
      </c>
      <c r="Y15" s="90" t="str">
        <f t="shared" si="14"/>
        <v>50-54</v>
      </c>
      <c r="Z15" s="188">
        <f t="shared" si="15"/>
        <v>252.37047905418916</v>
      </c>
      <c r="AA15" s="188">
        <f t="shared" si="15"/>
        <v>261.89041594407234</v>
      </c>
      <c r="AB15" s="188">
        <f t="shared" si="15"/>
        <v>299.71030873183417</v>
      </c>
      <c r="AC15" s="188">
        <f t="shared" si="15"/>
        <v>315.46818569365763</v>
      </c>
      <c r="AD15" s="188">
        <f t="shared" si="15"/>
        <v>326.48805608055682</v>
      </c>
      <c r="AE15" s="187"/>
      <c r="AF15" s="188">
        <f t="shared" si="16"/>
        <v>240.43095817773155</v>
      </c>
      <c r="AG15" s="188">
        <f t="shared" si="16"/>
        <v>249.49009896266847</v>
      </c>
      <c r="AH15" s="188">
        <f t="shared" si="16"/>
        <v>285.51870262738919</v>
      </c>
      <c r="AI15" s="188">
        <f t="shared" si="16"/>
        <v>300.52266588791969</v>
      </c>
      <c r="AJ15" s="188">
        <f t="shared" si="16"/>
        <v>311.01138512295665</v>
      </c>
      <c r="AK15" s="187"/>
      <c r="AL15" s="188">
        <f t="shared" si="17"/>
        <v>11.939520876457582</v>
      </c>
      <c r="AM15" s="188">
        <f t="shared" si="17"/>
        <v>12.400316981403893</v>
      </c>
      <c r="AN15" s="188">
        <f t="shared" si="17"/>
        <v>14.191606104444997</v>
      </c>
      <c r="AO15" s="188">
        <f t="shared" si="17"/>
        <v>14.945519805737941</v>
      </c>
      <c r="AP15" s="188">
        <f t="shared" si="17"/>
        <v>15.476670957600156</v>
      </c>
      <c r="AQ15" s="90" t="str">
        <f t="shared" si="18"/>
        <v>50-54</v>
      </c>
      <c r="AR15" s="188">
        <f t="shared" si="19"/>
        <v>192.52176906645971</v>
      </c>
      <c r="AS15" s="188">
        <f t="shared" si="19"/>
        <v>218.63836580140344</v>
      </c>
      <c r="AT15" s="188">
        <f t="shared" si="19"/>
        <v>269.43387034365321</v>
      </c>
      <c r="AU15" s="188">
        <f t="shared" si="19"/>
        <v>285.28301950944933</v>
      </c>
      <c r="AV15" s="188">
        <f t="shared" si="19"/>
        <v>297.31139589370531</v>
      </c>
      <c r="AW15" s="187"/>
      <c r="AX15" s="188">
        <f t="shared" si="20"/>
        <v>188.73862621744155</v>
      </c>
      <c r="AY15" s="188">
        <f t="shared" si="20"/>
        <v>214.45420550224321</v>
      </c>
      <c r="AZ15" s="188">
        <f t="shared" si="20"/>
        <v>264.30480604656157</v>
      </c>
      <c r="BA15" s="188">
        <f t="shared" si="20"/>
        <v>279.90450448189154</v>
      </c>
      <c r="BB15" s="188">
        <f t="shared" si="20"/>
        <v>291.76093520892465</v>
      </c>
      <c r="BC15" s="187"/>
      <c r="BD15" s="188">
        <f t="shared" si="21"/>
        <v>3.7831428490181196</v>
      </c>
      <c r="BE15" s="188">
        <f t="shared" si="21"/>
        <v>4.1841602991602418</v>
      </c>
      <c r="BF15" s="188">
        <f t="shared" si="21"/>
        <v>5.1290642970916389</v>
      </c>
      <c r="BG15" s="188">
        <f t="shared" si="21"/>
        <v>5.3785150275577474</v>
      </c>
      <c r="BH15" s="188">
        <f t="shared" si="21"/>
        <v>5.5504606847806457</v>
      </c>
    </row>
    <row r="16" spans="1:60" x14ac:dyDescent="0.2">
      <c r="A16" s="90" t="s">
        <v>115</v>
      </c>
      <c r="B16" s="188">
        <f t="shared" si="10"/>
        <v>306.08926780144049</v>
      </c>
      <c r="C16" s="188">
        <f t="shared" si="10"/>
        <v>294.14842701950209</v>
      </c>
      <c r="D16" s="188">
        <f t="shared" si="10"/>
        <v>278.7696849113002</v>
      </c>
      <c r="E16" s="188">
        <f t="shared" si="10"/>
        <v>248.77345263961809</v>
      </c>
      <c r="F16" s="188">
        <f t="shared" si="10"/>
        <v>193.72538705183911</v>
      </c>
      <c r="G16" s="187"/>
      <c r="H16" s="188">
        <f t="shared" si="11"/>
        <v>148.94385811824938</v>
      </c>
      <c r="I16" s="188">
        <f t="shared" si="11"/>
        <v>142.80048229460601</v>
      </c>
      <c r="J16" s="188">
        <f t="shared" si="11"/>
        <v>135.1816907077864</v>
      </c>
      <c r="K16" s="188">
        <f t="shared" si="11"/>
        <v>120.20919098393057</v>
      </c>
      <c r="L16" s="188">
        <f t="shared" si="11"/>
        <v>93.347075058771225</v>
      </c>
      <c r="M16" s="187"/>
      <c r="N16" s="188">
        <f t="shared" si="12"/>
        <v>157.14540968319108</v>
      </c>
      <c r="O16" s="188">
        <f t="shared" si="12"/>
        <v>151.34794472489608</v>
      </c>
      <c r="P16" s="188">
        <f t="shared" si="12"/>
        <v>143.5879942035138</v>
      </c>
      <c r="Q16" s="188">
        <f t="shared" si="12"/>
        <v>128.56426165568749</v>
      </c>
      <c r="R16" s="188">
        <f t="shared" si="12"/>
        <v>100.37831199306788</v>
      </c>
      <c r="S16" s="187"/>
      <c r="T16" s="188">
        <f t="shared" si="13"/>
        <v>0</v>
      </c>
      <c r="U16" s="188">
        <f t="shared" si="13"/>
        <v>0</v>
      </c>
      <c r="V16" s="188">
        <f t="shared" si="13"/>
        <v>0</v>
      </c>
      <c r="W16" s="188">
        <f t="shared" si="13"/>
        <v>0</v>
      </c>
      <c r="X16" s="188">
        <f t="shared" si="13"/>
        <v>0</v>
      </c>
      <c r="Y16" s="90" t="str">
        <f t="shared" si="14"/>
        <v>55-59</v>
      </c>
      <c r="Z16" s="188">
        <f t="shared" si="15"/>
        <v>212.90735173400915</v>
      </c>
      <c r="AA16" s="188">
        <f t="shared" si="15"/>
        <v>208.34374328055009</v>
      </c>
      <c r="AB16" s="188">
        <f t="shared" si="15"/>
        <v>259.24373379880308</v>
      </c>
      <c r="AC16" s="188">
        <f t="shared" si="15"/>
        <v>305.1432760109069</v>
      </c>
      <c r="AD16" s="188">
        <f t="shared" si="15"/>
        <v>322.49455355236876</v>
      </c>
      <c r="AE16" s="187"/>
      <c r="AF16" s="188">
        <f t="shared" si="16"/>
        <v>201.39475054266842</v>
      </c>
      <c r="AG16" s="188">
        <f t="shared" si="16"/>
        <v>197.03624221177998</v>
      </c>
      <c r="AH16" s="188">
        <f t="shared" si="16"/>
        <v>245.14463767909808</v>
      </c>
      <c r="AI16" s="188">
        <f t="shared" si="16"/>
        <v>288.53398269710931</v>
      </c>
      <c r="AJ16" s="188">
        <f t="shared" si="16"/>
        <v>304.93914690919075</v>
      </c>
      <c r="AK16" s="187"/>
      <c r="AL16" s="188">
        <f t="shared" si="17"/>
        <v>11.512601191340718</v>
      </c>
      <c r="AM16" s="188">
        <f t="shared" si="17"/>
        <v>11.30750106877008</v>
      </c>
      <c r="AN16" s="188">
        <f t="shared" si="17"/>
        <v>14.099096119705006</v>
      </c>
      <c r="AO16" s="188">
        <f t="shared" si="17"/>
        <v>16.609293313797622</v>
      </c>
      <c r="AP16" s="188">
        <f t="shared" si="17"/>
        <v>17.555406643178003</v>
      </c>
      <c r="AQ16" s="90" t="str">
        <f t="shared" si="18"/>
        <v>55-59</v>
      </c>
      <c r="AR16" s="188">
        <f t="shared" si="19"/>
        <v>157.97838046455036</v>
      </c>
      <c r="AS16" s="188">
        <f t="shared" si="19"/>
        <v>186.95882969994784</v>
      </c>
      <c r="AT16" s="188">
        <f t="shared" si="19"/>
        <v>217.65058128989665</v>
      </c>
      <c r="AU16" s="188">
        <f t="shared" si="19"/>
        <v>252.64427134947505</v>
      </c>
      <c r="AV16" s="188">
        <f t="shared" si="19"/>
        <v>271.26605939579213</v>
      </c>
      <c r="AW16" s="187"/>
      <c r="AX16" s="188">
        <f t="shared" si="20"/>
        <v>154.50769225162065</v>
      </c>
      <c r="AY16" s="188">
        <f t="shared" si="20"/>
        <v>182.97075166245719</v>
      </c>
      <c r="AZ16" s="188">
        <f t="shared" si="20"/>
        <v>213.04788309462984</v>
      </c>
      <c r="BA16" s="188">
        <f t="shared" si="20"/>
        <v>247.41376136943245</v>
      </c>
      <c r="BB16" s="188">
        <f t="shared" si="20"/>
        <v>265.66983752581206</v>
      </c>
      <c r="BC16" s="187"/>
      <c r="BD16" s="188">
        <f t="shared" si="21"/>
        <v>3.470688212929685</v>
      </c>
      <c r="BE16" s="188">
        <f t="shared" si="21"/>
        <v>3.9880780374906122</v>
      </c>
      <c r="BF16" s="188">
        <f t="shared" si="21"/>
        <v>4.6026981952668296</v>
      </c>
      <c r="BG16" s="188">
        <f t="shared" si="21"/>
        <v>5.2305099800425978</v>
      </c>
      <c r="BH16" s="188">
        <f t="shared" si="21"/>
        <v>5.5962218699800657</v>
      </c>
    </row>
    <row r="17" spans="1:60" x14ac:dyDescent="0.2">
      <c r="A17" s="90" t="s">
        <v>116</v>
      </c>
      <c r="B17" s="188">
        <f t="shared" si="10"/>
        <v>300.27408615273544</v>
      </c>
      <c r="C17" s="188">
        <f t="shared" si="10"/>
        <v>307.02902619700649</v>
      </c>
      <c r="D17" s="188">
        <f t="shared" si="10"/>
        <v>275.57160817400484</v>
      </c>
      <c r="E17" s="188">
        <f t="shared" si="10"/>
        <v>242.50355927772591</v>
      </c>
      <c r="F17" s="188">
        <f t="shared" si="10"/>
        <v>196.62341104090149</v>
      </c>
      <c r="G17" s="187"/>
      <c r="H17" s="188">
        <f t="shared" si="11"/>
        <v>163.84239820508242</v>
      </c>
      <c r="I17" s="188">
        <f t="shared" si="11"/>
        <v>167.48634018543549</v>
      </c>
      <c r="J17" s="188">
        <f t="shared" si="11"/>
        <v>150.0793901711946</v>
      </c>
      <c r="K17" s="188">
        <f t="shared" si="11"/>
        <v>131.95757743155312</v>
      </c>
      <c r="L17" s="188">
        <f t="shared" si="11"/>
        <v>106.85061904727925</v>
      </c>
      <c r="M17" s="187"/>
      <c r="N17" s="188">
        <f t="shared" si="12"/>
        <v>136.43168794765302</v>
      </c>
      <c r="O17" s="188">
        <f t="shared" si="12"/>
        <v>139.54268601157099</v>
      </c>
      <c r="P17" s="188">
        <f t="shared" si="12"/>
        <v>125.49221800281023</v>
      </c>
      <c r="Q17" s="188">
        <f t="shared" si="12"/>
        <v>110.54598184617279</v>
      </c>
      <c r="R17" s="188">
        <f t="shared" si="12"/>
        <v>89.772791993622235</v>
      </c>
      <c r="S17" s="187"/>
      <c r="T17" s="188">
        <f t="shared" si="13"/>
        <v>0</v>
      </c>
      <c r="U17" s="188">
        <f t="shared" si="13"/>
        <v>0</v>
      </c>
      <c r="V17" s="188">
        <f t="shared" si="13"/>
        <v>0</v>
      </c>
      <c r="W17" s="188">
        <f t="shared" si="13"/>
        <v>0</v>
      </c>
      <c r="X17" s="188">
        <f t="shared" si="13"/>
        <v>0</v>
      </c>
      <c r="Y17" s="90" t="str">
        <f t="shared" si="14"/>
        <v>60-64</v>
      </c>
      <c r="Z17" s="188">
        <f t="shared" si="15"/>
        <v>164.67698820651987</v>
      </c>
      <c r="AA17" s="188">
        <f t="shared" si="15"/>
        <v>173.02754429415353</v>
      </c>
      <c r="AB17" s="188">
        <f t="shared" si="15"/>
        <v>211.64420247686218</v>
      </c>
      <c r="AC17" s="188">
        <f t="shared" si="15"/>
        <v>262.32745519640429</v>
      </c>
      <c r="AD17" s="188">
        <f t="shared" si="15"/>
        <v>307.19809774569194</v>
      </c>
      <c r="AE17" s="187"/>
      <c r="AF17" s="188">
        <f t="shared" si="16"/>
        <v>156.364761045058</v>
      </c>
      <c r="AG17" s="188">
        <f t="shared" si="16"/>
        <v>164.2583318854096</v>
      </c>
      <c r="AH17" s="188">
        <f t="shared" si="16"/>
        <v>200.85031018974644</v>
      </c>
      <c r="AI17" s="188">
        <f t="shared" si="16"/>
        <v>248.92153917613587</v>
      </c>
      <c r="AJ17" s="188">
        <f t="shared" si="16"/>
        <v>291.50729249745882</v>
      </c>
      <c r="AK17" s="187"/>
      <c r="AL17" s="188">
        <f t="shared" si="17"/>
        <v>8.3122271614618572</v>
      </c>
      <c r="AM17" s="188">
        <f t="shared" si="17"/>
        <v>8.7692124087439236</v>
      </c>
      <c r="AN17" s="188">
        <f t="shared" si="17"/>
        <v>10.793892287115703</v>
      </c>
      <c r="AO17" s="188">
        <f t="shared" si="17"/>
        <v>13.405916020268418</v>
      </c>
      <c r="AP17" s="188">
        <f t="shared" si="17"/>
        <v>15.690805248233143</v>
      </c>
      <c r="AQ17" s="90" t="str">
        <f t="shared" si="18"/>
        <v>60-64</v>
      </c>
      <c r="AR17" s="188">
        <f t="shared" si="19"/>
        <v>124.1659256407448</v>
      </c>
      <c r="AS17" s="188">
        <f t="shared" si="19"/>
        <v>151.81542950884</v>
      </c>
      <c r="AT17" s="188">
        <f t="shared" si="19"/>
        <v>179.49318934913299</v>
      </c>
      <c r="AU17" s="188">
        <f t="shared" si="19"/>
        <v>229.32198552586985</v>
      </c>
      <c r="AV17" s="188">
        <f t="shared" si="19"/>
        <v>282.2344912134065</v>
      </c>
      <c r="AW17" s="187"/>
      <c r="AX17" s="188">
        <f t="shared" si="20"/>
        <v>120.47353378485059</v>
      </c>
      <c r="AY17" s="188">
        <f t="shared" si="20"/>
        <v>147.28380768694541</v>
      </c>
      <c r="AZ17" s="188">
        <f t="shared" si="20"/>
        <v>174.20095676665699</v>
      </c>
      <c r="BA17" s="188">
        <f t="shared" si="20"/>
        <v>222.61021872219823</v>
      </c>
      <c r="BB17" s="188">
        <f t="shared" si="20"/>
        <v>274.01688935790713</v>
      </c>
      <c r="BC17" s="187"/>
      <c r="BD17" s="188">
        <f t="shared" si="21"/>
        <v>3.6923918558942086</v>
      </c>
      <c r="BE17" s="188">
        <f t="shared" si="21"/>
        <v>4.5316218218945803</v>
      </c>
      <c r="BF17" s="188">
        <f t="shared" si="21"/>
        <v>5.2922325824760046</v>
      </c>
      <c r="BG17" s="188">
        <f t="shared" si="21"/>
        <v>6.7117668036716331</v>
      </c>
      <c r="BH17" s="188">
        <f t="shared" si="21"/>
        <v>8.2176018554993142</v>
      </c>
    </row>
    <row r="18" spans="1:60" x14ac:dyDescent="0.2">
      <c r="A18" s="90" t="s">
        <v>103</v>
      </c>
      <c r="B18" s="188">
        <f t="shared" si="10"/>
        <v>1097.4936778000333</v>
      </c>
      <c r="C18" s="188">
        <f t="shared" si="10"/>
        <v>1072.9440531401806</v>
      </c>
      <c r="D18" s="188">
        <f t="shared" si="10"/>
        <v>980.11410948496587</v>
      </c>
      <c r="E18" s="188">
        <f t="shared" si="10"/>
        <v>860.70692539466086</v>
      </c>
      <c r="F18" s="188">
        <f t="shared" si="10"/>
        <v>731.94096038103203</v>
      </c>
      <c r="G18" s="187"/>
      <c r="H18" s="188">
        <f t="shared" si="11"/>
        <v>770.71351120273471</v>
      </c>
      <c r="I18" s="188">
        <f t="shared" si="11"/>
        <v>753.1395408366011</v>
      </c>
      <c r="J18" s="188">
        <f t="shared" si="11"/>
        <v>687.79876078330381</v>
      </c>
      <c r="K18" s="188">
        <f t="shared" si="11"/>
        <v>603.69792908410795</v>
      </c>
      <c r="L18" s="188">
        <f t="shared" si="11"/>
        <v>513.13110481139574</v>
      </c>
      <c r="M18" s="187"/>
      <c r="N18" s="188">
        <f t="shared" si="12"/>
        <v>326.78016659729855</v>
      </c>
      <c r="O18" s="188">
        <f t="shared" si="12"/>
        <v>319.80451230357949</v>
      </c>
      <c r="P18" s="188">
        <f t="shared" si="12"/>
        <v>292.31534870166195</v>
      </c>
      <c r="Q18" s="188">
        <f t="shared" si="12"/>
        <v>257.0089963105529</v>
      </c>
      <c r="R18" s="188">
        <f t="shared" si="12"/>
        <v>218.80985556963645</v>
      </c>
      <c r="S18" s="187"/>
      <c r="T18" s="188">
        <f t="shared" si="13"/>
        <v>0</v>
      </c>
      <c r="U18" s="188">
        <f t="shared" si="13"/>
        <v>0</v>
      </c>
      <c r="V18" s="188">
        <f t="shared" si="13"/>
        <v>0</v>
      </c>
      <c r="W18" s="188">
        <f t="shared" si="13"/>
        <v>0</v>
      </c>
      <c r="X18" s="188">
        <f t="shared" si="13"/>
        <v>0</v>
      </c>
      <c r="Y18" s="90" t="str">
        <f t="shared" si="14"/>
        <v>65+</v>
      </c>
      <c r="Z18" s="188">
        <f t="shared" si="15"/>
        <v>412.59519957455325</v>
      </c>
      <c r="AA18" s="188">
        <f t="shared" si="15"/>
        <v>441.80478171374187</v>
      </c>
      <c r="AB18" s="188">
        <f t="shared" si="15"/>
        <v>588.92141161742438</v>
      </c>
      <c r="AC18" s="188">
        <f t="shared" si="15"/>
        <v>717.19301187685096</v>
      </c>
      <c r="AD18" s="188">
        <f t="shared" si="15"/>
        <v>861.73238046119513</v>
      </c>
      <c r="AE18" s="187"/>
      <c r="AF18" s="188">
        <f t="shared" si="16"/>
        <v>391.95319027138726</v>
      </c>
      <c r="AG18" s="188">
        <f t="shared" si="16"/>
        <v>419.72502641576881</v>
      </c>
      <c r="AH18" s="188">
        <f t="shared" si="16"/>
        <v>559.48677128208897</v>
      </c>
      <c r="AI18" s="188">
        <f t="shared" si="16"/>
        <v>681.36315392476172</v>
      </c>
      <c r="AJ18" s="188">
        <f t="shared" si="16"/>
        <v>818.69055459842366</v>
      </c>
      <c r="AK18" s="187"/>
      <c r="AL18" s="188">
        <f t="shared" si="17"/>
        <v>20.642009303165985</v>
      </c>
      <c r="AM18" s="188">
        <f t="shared" si="17"/>
        <v>22.079755297973087</v>
      </c>
      <c r="AN18" s="188">
        <f t="shared" si="17"/>
        <v>29.434640335335327</v>
      </c>
      <c r="AO18" s="188">
        <f t="shared" si="17"/>
        <v>35.82985795208927</v>
      </c>
      <c r="AP18" s="188">
        <f t="shared" si="17"/>
        <v>43.041825862771589</v>
      </c>
      <c r="AQ18" s="90" t="str">
        <f t="shared" si="18"/>
        <v>65+</v>
      </c>
      <c r="AR18" s="188">
        <f t="shared" si="19"/>
        <v>309.63712262541355</v>
      </c>
      <c r="AS18" s="188">
        <f t="shared" si="19"/>
        <v>345.41016514607776</v>
      </c>
      <c r="AT18" s="188">
        <f t="shared" si="19"/>
        <v>465.83547889760985</v>
      </c>
      <c r="AU18" s="188">
        <f t="shared" si="19"/>
        <v>642.09606272848828</v>
      </c>
      <c r="AV18" s="188">
        <f t="shared" si="19"/>
        <v>863.68565915777276</v>
      </c>
      <c r="AW18" s="187"/>
      <c r="AX18" s="188">
        <f t="shared" si="20"/>
        <v>301.40115633884841</v>
      </c>
      <c r="AY18" s="188">
        <f t="shared" si="20"/>
        <v>336.56314669404765</v>
      </c>
      <c r="AZ18" s="188">
        <f t="shared" si="20"/>
        <v>453.89786151814837</v>
      </c>
      <c r="BA18" s="188">
        <f t="shared" si="20"/>
        <v>625.97097807950172</v>
      </c>
      <c r="BB18" s="188">
        <f t="shared" si="20"/>
        <v>842.26455696727317</v>
      </c>
      <c r="BC18" s="187"/>
      <c r="BD18" s="188">
        <f t="shared" si="21"/>
        <v>8.2359662865651462</v>
      </c>
      <c r="BE18" s="188">
        <f t="shared" si="21"/>
        <v>8.847018452030122</v>
      </c>
      <c r="BF18" s="188">
        <f t="shared" si="21"/>
        <v>11.937617379461411</v>
      </c>
      <c r="BG18" s="188">
        <f t="shared" si="21"/>
        <v>16.125084648986547</v>
      </c>
      <c r="BH18" s="188">
        <f t="shared" si="21"/>
        <v>21.421102190499685</v>
      </c>
    </row>
    <row r="19" spans="1:60" x14ac:dyDescent="0.2">
      <c r="B19" s="188"/>
      <c r="C19" s="188"/>
      <c r="D19" s="187"/>
      <c r="E19" s="187"/>
      <c r="F19" s="187"/>
      <c r="G19" s="187"/>
      <c r="H19" s="187"/>
      <c r="I19" s="187"/>
      <c r="J19" s="187"/>
      <c r="K19" s="187"/>
      <c r="L19" s="187"/>
      <c r="M19" s="187"/>
      <c r="N19" s="187"/>
      <c r="O19" s="187"/>
      <c r="P19" s="187"/>
      <c r="Q19" s="187"/>
      <c r="R19" s="187"/>
      <c r="S19" s="187"/>
      <c r="T19" s="93"/>
      <c r="U19" s="93"/>
      <c r="V19" s="93"/>
      <c r="W19" s="93"/>
      <c r="X19" s="93"/>
      <c r="Z19" s="188"/>
      <c r="AA19" s="188"/>
      <c r="AB19" s="187"/>
      <c r="AC19" s="187"/>
      <c r="AD19" s="187"/>
      <c r="AE19" s="187"/>
      <c r="AF19" s="187"/>
      <c r="AG19" s="187"/>
      <c r="AH19" s="187"/>
      <c r="AI19" s="187"/>
      <c r="AJ19" s="187"/>
      <c r="AK19" s="187"/>
      <c r="AL19" s="187"/>
      <c r="AM19" s="187"/>
      <c r="AN19" s="187"/>
      <c r="AO19" s="187"/>
      <c r="AP19" s="187"/>
      <c r="AR19" s="188"/>
      <c r="AS19" s="188"/>
      <c r="AT19" s="187"/>
      <c r="AU19" s="187"/>
      <c r="AV19" s="187"/>
      <c r="AW19" s="187"/>
      <c r="AX19" s="187"/>
      <c r="AY19" s="187"/>
      <c r="AZ19" s="187"/>
      <c r="BA19" s="187"/>
      <c r="BB19" s="187"/>
      <c r="BC19" s="187"/>
      <c r="BD19" s="187"/>
      <c r="BE19" s="187"/>
      <c r="BF19" s="187"/>
      <c r="BG19" s="187"/>
      <c r="BH19" s="187"/>
    </row>
    <row r="20" spans="1:60" x14ac:dyDescent="0.2">
      <c r="A20" s="113" t="s">
        <v>98</v>
      </c>
      <c r="B20" s="93"/>
      <c r="C20" s="93"/>
      <c r="D20" s="93"/>
      <c r="E20" s="93"/>
      <c r="F20" s="188"/>
      <c r="G20" s="188"/>
      <c r="H20" s="188"/>
      <c r="I20" s="188"/>
      <c r="J20" s="188"/>
      <c r="K20" s="188"/>
      <c r="L20" s="188"/>
      <c r="M20" s="188"/>
      <c r="N20" s="188"/>
      <c r="O20" s="188"/>
      <c r="P20" s="188"/>
      <c r="Q20" s="188"/>
      <c r="R20" s="188"/>
      <c r="S20" s="188"/>
      <c r="T20" s="93"/>
      <c r="U20" s="93"/>
      <c r="V20" s="93"/>
      <c r="W20" s="93"/>
      <c r="X20" s="93"/>
      <c r="Y20" s="113" t="str">
        <f t="shared" si="14"/>
        <v>Males</v>
      </c>
      <c r="Z20" s="93"/>
      <c r="AA20" s="93"/>
      <c r="AB20" s="93"/>
      <c r="AC20" s="93"/>
      <c r="AD20" s="188"/>
      <c r="AE20" s="188"/>
      <c r="AF20" s="188"/>
      <c r="AG20" s="188"/>
      <c r="AH20" s="188"/>
      <c r="AI20" s="188"/>
      <c r="AJ20" s="188"/>
      <c r="AK20" s="188"/>
      <c r="AL20" s="188"/>
      <c r="AM20" s="188"/>
      <c r="AN20" s="188"/>
      <c r="AO20" s="188"/>
      <c r="AP20" s="188"/>
      <c r="AQ20" s="113" t="str">
        <f>A20</f>
        <v>Males</v>
      </c>
      <c r="AR20" s="93"/>
      <c r="AS20" s="93"/>
      <c r="AT20" s="93"/>
      <c r="AU20" s="93"/>
      <c r="AV20" s="188"/>
      <c r="AW20" s="188"/>
      <c r="AX20" s="188"/>
      <c r="AY20" s="188"/>
      <c r="AZ20" s="188"/>
      <c r="BA20" s="188"/>
      <c r="BB20" s="188"/>
      <c r="BC20" s="188"/>
      <c r="BD20" s="188"/>
      <c r="BE20" s="188"/>
      <c r="BF20" s="188"/>
      <c r="BG20" s="188"/>
      <c r="BH20" s="188"/>
    </row>
    <row r="21" spans="1:60" x14ac:dyDescent="0.2">
      <c r="A21" s="90" t="str">
        <f>$A$7</f>
        <v>15+</v>
      </c>
      <c r="B21" s="188">
        <f>SUM(B22:B32)</f>
        <v>1620.2473852146525</v>
      </c>
      <c r="C21" s="188">
        <f t="shared" ref="C21:F21" si="22">SUM(C22:C32)</f>
        <v>1614.229579565203</v>
      </c>
      <c r="D21" s="188">
        <f t="shared" si="22"/>
        <v>1473.336267790763</v>
      </c>
      <c r="E21" s="188">
        <f t="shared" si="22"/>
        <v>1328.0088879474006</v>
      </c>
      <c r="F21" s="188">
        <f t="shared" si="22"/>
        <v>1173.6897154992268</v>
      </c>
      <c r="G21" s="188"/>
      <c r="H21" s="188">
        <f>SUM(H22:H32)</f>
        <v>716.1464894810149</v>
      </c>
      <c r="I21" s="188">
        <f t="shared" ref="I21:L21" si="23">SUM(I22:I32)</f>
        <v>715.64405967986499</v>
      </c>
      <c r="J21" s="188">
        <f t="shared" si="23"/>
        <v>655.33170359679184</v>
      </c>
      <c r="K21" s="188">
        <f t="shared" si="23"/>
        <v>588.71852138985469</v>
      </c>
      <c r="L21" s="188">
        <f t="shared" si="23"/>
        <v>511.80228655523888</v>
      </c>
      <c r="M21" s="188"/>
      <c r="N21" s="188">
        <f>SUM(N22:N32)</f>
        <v>904.1008957336378</v>
      </c>
      <c r="O21" s="188">
        <f t="shared" ref="O21:R21" si="24">SUM(O22:O32)</f>
        <v>898.5855198853385</v>
      </c>
      <c r="P21" s="188">
        <f t="shared" si="24"/>
        <v>818.00456419397131</v>
      </c>
      <c r="Q21" s="188">
        <f t="shared" si="24"/>
        <v>739.29036655754555</v>
      </c>
      <c r="R21" s="188">
        <f t="shared" si="24"/>
        <v>661.88742894398808</v>
      </c>
      <c r="S21" s="188"/>
      <c r="T21" s="188">
        <f>SUM(T22:T32)</f>
        <v>0</v>
      </c>
      <c r="U21" s="188">
        <f t="shared" ref="U21:X21" si="25">SUM(U22:U32)</f>
        <v>0</v>
      </c>
      <c r="V21" s="188">
        <f t="shared" si="25"/>
        <v>0</v>
      </c>
      <c r="W21" s="188">
        <f t="shared" si="25"/>
        <v>0</v>
      </c>
      <c r="X21" s="188">
        <f t="shared" si="25"/>
        <v>0</v>
      </c>
      <c r="Y21" s="90" t="str">
        <f>$A$7</f>
        <v>15+</v>
      </c>
      <c r="Z21" s="188">
        <f>SUM(Z22:Z32)</f>
        <v>1577.3024491368396</v>
      </c>
      <c r="AA21" s="188">
        <f t="shared" ref="AA21:AD21" si="26">SUM(AA22:AA32)</f>
        <v>1562.2040994555152</v>
      </c>
      <c r="AB21" s="188">
        <f t="shared" si="26"/>
        <v>1749.398715210659</v>
      </c>
      <c r="AC21" s="188">
        <f t="shared" si="26"/>
        <v>1909.488504579884</v>
      </c>
      <c r="AD21" s="188">
        <f t="shared" si="26"/>
        <v>2081.0684990931632</v>
      </c>
      <c r="AE21" s="188"/>
      <c r="AF21" s="188">
        <f>SUM(AF22:AF32)</f>
        <v>1499.7774540648427</v>
      </c>
      <c r="AG21" s="188">
        <f t="shared" ref="AG21:AJ21" si="27">SUM(AG22:AG32)</f>
        <v>1486.1007164675289</v>
      </c>
      <c r="AH21" s="188">
        <f t="shared" si="27"/>
        <v>1664.4597911861424</v>
      </c>
      <c r="AI21" s="188">
        <f t="shared" si="27"/>
        <v>1816.8390130222895</v>
      </c>
      <c r="AJ21" s="188">
        <f t="shared" si="27"/>
        <v>1980.4678395589967</v>
      </c>
      <c r="AK21" s="188"/>
      <c r="AL21" s="188">
        <f>SUM(AL22:AL32)</f>
        <v>77.524995071996941</v>
      </c>
      <c r="AM21" s="188">
        <f t="shared" ref="AM21:AP21" si="28">SUM(AM22:AM32)</f>
        <v>76.103382987986208</v>
      </c>
      <c r="AN21" s="188">
        <f t="shared" si="28"/>
        <v>84.938924024516524</v>
      </c>
      <c r="AO21" s="188">
        <f t="shared" si="28"/>
        <v>92.649491557594388</v>
      </c>
      <c r="AP21" s="188">
        <f t="shared" si="28"/>
        <v>100.60065953416633</v>
      </c>
      <c r="AQ21" s="90" t="str">
        <f>A21</f>
        <v>15+</v>
      </c>
      <c r="AR21" s="188">
        <f>SUM(AR22:AR32)</f>
        <v>1106.6731656485081</v>
      </c>
      <c r="AS21" s="188">
        <f t="shared" ref="AS21:AV21" si="29">SUM(AS22:AS32)</f>
        <v>1199.3363209792817</v>
      </c>
      <c r="AT21" s="188">
        <f t="shared" si="29"/>
        <v>1365.5690169985778</v>
      </c>
      <c r="AU21" s="188">
        <f t="shared" si="29"/>
        <v>1541.874607472716</v>
      </c>
      <c r="AV21" s="188">
        <f t="shared" si="29"/>
        <v>1748.1917854076103</v>
      </c>
      <c r="AW21" s="188"/>
      <c r="AX21" s="188">
        <f>SUM(AX22:AX32)</f>
        <v>1077.4599726477079</v>
      </c>
      <c r="AY21" s="188">
        <f t="shared" ref="AY21:BB21" si="30">SUM(AY22:AY32)</f>
        <v>1167.5793096493508</v>
      </c>
      <c r="AZ21" s="188">
        <f t="shared" si="30"/>
        <v>1328.8583394486275</v>
      </c>
      <c r="BA21" s="188">
        <f t="shared" si="30"/>
        <v>1499.4805167904162</v>
      </c>
      <c r="BB21" s="188">
        <f t="shared" si="30"/>
        <v>1698.9799024688193</v>
      </c>
      <c r="BC21" s="188"/>
      <c r="BD21" s="188">
        <f>SUM(BD22:BD32)</f>
        <v>29.213193000800217</v>
      </c>
      <c r="BE21" s="188">
        <f t="shared" ref="BE21:BH21" si="31">SUM(BE22:BE32)</f>
        <v>31.757011329930545</v>
      </c>
      <c r="BF21" s="188">
        <f t="shared" si="31"/>
        <v>36.710677549950461</v>
      </c>
      <c r="BG21" s="188">
        <f t="shared" si="31"/>
        <v>42.394090682299776</v>
      </c>
      <c r="BH21" s="188">
        <f t="shared" si="31"/>
        <v>49.211882938790794</v>
      </c>
    </row>
    <row r="22" spans="1:60" x14ac:dyDescent="0.2">
      <c r="A22" s="90" t="str">
        <f>$A$8</f>
        <v>15-19</v>
      </c>
      <c r="B22" s="188">
        <v>265.87910321369338</v>
      </c>
      <c r="C22" s="188">
        <v>258.0443726840308</v>
      </c>
      <c r="D22" s="188">
        <v>243.141770298518</v>
      </c>
      <c r="E22" s="188">
        <v>242.0329033496289</v>
      </c>
      <c r="F22" s="187">
        <v>259.48953414978911</v>
      </c>
      <c r="G22" s="188"/>
      <c r="H22" s="188">
        <v>65.502301380201217</v>
      </c>
      <c r="I22" s="188">
        <v>63.57213501074979</v>
      </c>
      <c r="J22" s="188">
        <v>59.900673398189532</v>
      </c>
      <c r="K22" s="188">
        <v>59.627470660231161</v>
      </c>
      <c r="L22" s="187">
        <v>63.928125917066254</v>
      </c>
      <c r="M22" s="188"/>
      <c r="N22" s="188">
        <v>200.37680183349218</v>
      </c>
      <c r="O22" s="188">
        <v>194.47223767328106</v>
      </c>
      <c r="P22" s="188">
        <v>183.2410969003285</v>
      </c>
      <c r="Q22" s="188">
        <v>182.40543268939777</v>
      </c>
      <c r="R22" s="187">
        <v>195.56140823272287</v>
      </c>
      <c r="S22" s="188"/>
      <c r="T22" s="188">
        <v>0</v>
      </c>
      <c r="U22" s="188">
        <v>0</v>
      </c>
      <c r="V22" s="188">
        <v>0</v>
      </c>
      <c r="W22" s="188">
        <v>0</v>
      </c>
      <c r="X22" s="187">
        <v>0</v>
      </c>
      <c r="Y22" s="90" t="str">
        <f>$A$8</f>
        <v>15-19</v>
      </c>
      <c r="Z22" s="188">
        <v>66.511132470586716</v>
      </c>
      <c r="AA22" s="188">
        <v>73.411299772273082</v>
      </c>
      <c r="AB22" s="188">
        <v>80.502722532222251</v>
      </c>
      <c r="AC22" s="188">
        <v>87.416701640226961</v>
      </c>
      <c r="AD22" s="187">
        <v>102.22230692001014</v>
      </c>
      <c r="AE22" s="188"/>
      <c r="AF22" s="188">
        <v>65.408785510809949</v>
      </c>
      <c r="AG22" s="188">
        <v>72.194629595921498</v>
      </c>
      <c r="AH22" s="188">
        <v>79.16853183013346</v>
      </c>
      <c r="AI22" s="188">
        <v>85.967955058277127</v>
      </c>
      <c r="AJ22" s="187">
        <v>100.52812602924274</v>
      </c>
      <c r="AK22" s="188"/>
      <c r="AL22" s="188">
        <v>1.1023469597767663</v>
      </c>
      <c r="AM22" s="188">
        <v>1.2166701763515873</v>
      </c>
      <c r="AN22" s="188">
        <v>1.3341907020887731</v>
      </c>
      <c r="AO22" s="188">
        <v>1.4487465819498317</v>
      </c>
      <c r="AP22" s="187">
        <v>1.6941808907673945</v>
      </c>
      <c r="AQ22" s="90" t="str">
        <f t="shared" ref="AQ22:AQ32" si="32">A22</f>
        <v>15-19</v>
      </c>
      <c r="AR22" s="188">
        <v>0.47976431571996198</v>
      </c>
      <c r="AS22" s="188">
        <v>0.72732754369609554</v>
      </c>
      <c r="AT22" s="188">
        <v>0.48550716925975612</v>
      </c>
      <c r="AU22" s="188">
        <v>0.49439501014410386</v>
      </c>
      <c r="AV22" s="187">
        <v>0.54315893020071748</v>
      </c>
      <c r="AW22" s="188"/>
      <c r="AX22" s="188">
        <v>0.424231447426622</v>
      </c>
      <c r="AY22" s="188">
        <v>0.64301397638445978</v>
      </c>
      <c r="AZ22" s="188">
        <v>0.4293477578901575</v>
      </c>
      <c r="BA22" s="188">
        <v>0.43712398467357205</v>
      </c>
      <c r="BB22" s="187">
        <v>0.4802635949877026</v>
      </c>
      <c r="BC22" s="188"/>
      <c r="BD22" s="188">
        <v>5.5532868293339949E-2</v>
      </c>
      <c r="BE22" s="188">
        <v>8.4313567311635793E-2</v>
      </c>
      <c r="BF22" s="188">
        <v>5.6159411369598657E-2</v>
      </c>
      <c r="BG22" s="188">
        <v>5.7271025470531763E-2</v>
      </c>
      <c r="BH22" s="187">
        <v>6.2895335213014894E-2</v>
      </c>
    </row>
    <row r="23" spans="1:60" x14ac:dyDescent="0.2">
      <c r="A23" s="90" t="str">
        <f>$A$9</f>
        <v>20-24</v>
      </c>
      <c r="B23" s="188">
        <v>62.563891293376557</v>
      </c>
      <c r="C23" s="188">
        <v>65.325512781581011</v>
      </c>
      <c r="D23" s="188">
        <v>67.029010553797633</v>
      </c>
      <c r="E23" s="188">
        <v>59.464637575430878</v>
      </c>
      <c r="F23" s="187">
        <v>54.38972351131563</v>
      </c>
      <c r="G23" s="188"/>
      <c r="H23" s="188">
        <v>17.754171051225015</v>
      </c>
      <c r="I23" s="188">
        <v>18.537831805843624</v>
      </c>
      <c r="J23" s="188">
        <v>19.021243659623707</v>
      </c>
      <c r="K23" s="188">
        <v>16.874679665555647</v>
      </c>
      <c r="L23" s="187">
        <v>15.434495406960504</v>
      </c>
      <c r="M23" s="188"/>
      <c r="N23" s="188">
        <v>44.809720242151542</v>
      </c>
      <c r="O23" s="188">
        <v>46.787680975737388</v>
      </c>
      <c r="P23" s="188">
        <v>48.00776689417394</v>
      </c>
      <c r="Q23" s="188">
        <v>42.589957909875231</v>
      </c>
      <c r="R23" s="187">
        <v>38.955228104355122</v>
      </c>
      <c r="S23" s="188"/>
      <c r="T23" s="188">
        <v>0</v>
      </c>
      <c r="U23" s="188">
        <v>0</v>
      </c>
      <c r="V23" s="188">
        <v>0</v>
      </c>
      <c r="W23" s="188">
        <v>0</v>
      </c>
      <c r="X23" s="187">
        <v>0</v>
      </c>
      <c r="Y23" s="90" t="str">
        <f>$A$9</f>
        <v>20-24</v>
      </c>
      <c r="Z23" s="188">
        <v>203.50469894139783</v>
      </c>
      <c r="AA23" s="188">
        <v>206.78831948241526</v>
      </c>
      <c r="AB23" s="188">
        <v>217.16688614689699</v>
      </c>
      <c r="AC23" s="188">
        <v>213.03529301815917</v>
      </c>
      <c r="AD23" s="187">
        <v>215.87448968593148</v>
      </c>
      <c r="AE23" s="188"/>
      <c r="AF23" s="188">
        <v>194.19340573185747</v>
      </c>
      <c r="AG23" s="188">
        <v>197.32683079971491</v>
      </c>
      <c r="AH23" s="188">
        <v>207.23048265883725</v>
      </c>
      <c r="AI23" s="188">
        <v>203.2879208070558</v>
      </c>
      <c r="AJ23" s="187">
        <v>205.99720170925298</v>
      </c>
      <c r="AK23" s="188"/>
      <c r="AL23" s="188">
        <v>9.3112932095403682</v>
      </c>
      <c r="AM23" s="188">
        <v>9.4614886827003613</v>
      </c>
      <c r="AN23" s="188">
        <v>9.936403488059721</v>
      </c>
      <c r="AO23" s="188">
        <v>9.7473722111033432</v>
      </c>
      <c r="AP23" s="187">
        <v>9.8772879766784918</v>
      </c>
      <c r="AQ23" s="90" t="str">
        <f t="shared" si="32"/>
        <v>20-24</v>
      </c>
      <c r="AR23" s="188">
        <v>55.35540976522563</v>
      </c>
      <c r="AS23" s="188">
        <v>59.428167736003701</v>
      </c>
      <c r="AT23" s="188">
        <v>76.351103299305365</v>
      </c>
      <c r="AU23" s="188">
        <v>82.69706940640998</v>
      </c>
      <c r="AV23" s="187">
        <v>92.251786802752903</v>
      </c>
      <c r="AW23" s="188"/>
      <c r="AX23" s="188">
        <v>55.171502233744391</v>
      </c>
      <c r="AY23" s="188">
        <v>59.230692610728923</v>
      </c>
      <c r="AZ23" s="188">
        <v>76.097464300047577</v>
      </c>
      <c r="BA23" s="188">
        <v>82.422307619001344</v>
      </c>
      <c r="BB23" s="187">
        <v>91.945269557157303</v>
      </c>
      <c r="BC23" s="188"/>
      <c r="BD23" s="188">
        <v>0.18390753148124411</v>
      </c>
      <c r="BE23" s="188">
        <v>0.19747512527477654</v>
      </c>
      <c r="BF23" s="188">
        <v>0.2536389992577906</v>
      </c>
      <c r="BG23" s="188">
        <v>0.27476178740863866</v>
      </c>
      <c r="BH23" s="187">
        <v>0.30651724559561289</v>
      </c>
    </row>
    <row r="24" spans="1:60" x14ac:dyDescent="0.2">
      <c r="A24" s="90" t="str">
        <f>$A$10</f>
        <v>25-29</v>
      </c>
      <c r="B24" s="188">
        <v>66.398736675349255</v>
      </c>
      <c r="C24" s="188">
        <v>69.045212178063281</v>
      </c>
      <c r="D24" s="188">
        <v>66.627042081793974</v>
      </c>
      <c r="E24" s="188">
        <v>68.686692459413791</v>
      </c>
      <c r="F24" s="187">
        <v>61.118016987628771</v>
      </c>
      <c r="G24" s="188"/>
      <c r="H24" s="188">
        <v>22.566174767142297</v>
      </c>
      <c r="I24" s="188">
        <v>23.465649013403809</v>
      </c>
      <c r="J24" s="188">
        <v>22.643783635613381</v>
      </c>
      <c r="K24" s="188">
        <v>23.343782133688464</v>
      </c>
      <c r="L24" s="187">
        <v>20.771486527956</v>
      </c>
      <c r="M24" s="188"/>
      <c r="N24" s="188">
        <v>43.832561908206955</v>
      </c>
      <c r="O24" s="188">
        <v>45.579563164659476</v>
      </c>
      <c r="P24" s="188">
        <v>43.983258446180592</v>
      </c>
      <c r="Q24" s="188">
        <v>45.342910325725327</v>
      </c>
      <c r="R24" s="187">
        <v>40.346530459672763</v>
      </c>
      <c r="S24" s="188"/>
      <c r="T24" s="188">
        <v>0</v>
      </c>
      <c r="U24" s="188">
        <v>0</v>
      </c>
      <c r="V24" s="188">
        <v>0</v>
      </c>
      <c r="W24" s="188">
        <v>0</v>
      </c>
      <c r="X24" s="187">
        <v>0</v>
      </c>
      <c r="Y24" s="90" t="str">
        <f>$A$10</f>
        <v>25-29</v>
      </c>
      <c r="Z24" s="188">
        <v>157.53682636123301</v>
      </c>
      <c r="AA24" s="188">
        <v>146.82469164415315</v>
      </c>
      <c r="AB24" s="188">
        <v>162.09459077138558</v>
      </c>
      <c r="AC24" s="188">
        <v>176.76412293200428</v>
      </c>
      <c r="AD24" s="187">
        <v>178.0449747242445</v>
      </c>
      <c r="AE24" s="188"/>
      <c r="AF24" s="188">
        <v>147.64849438417414</v>
      </c>
      <c r="AG24" s="188">
        <v>137.60882551682283</v>
      </c>
      <c r="AH24" s="188">
        <v>151.92024178805138</v>
      </c>
      <c r="AI24" s="188">
        <v>165.66900835507411</v>
      </c>
      <c r="AJ24" s="187">
        <v>166.86940114891388</v>
      </c>
      <c r="AK24" s="188"/>
      <c r="AL24" s="188">
        <v>9.8883319770588862</v>
      </c>
      <c r="AM24" s="188">
        <v>9.21586612733031</v>
      </c>
      <c r="AN24" s="188">
        <v>10.174348983334211</v>
      </c>
      <c r="AO24" s="188">
        <v>11.095114576930154</v>
      </c>
      <c r="AP24" s="187">
        <v>11.175573575330596</v>
      </c>
      <c r="AQ24" s="90" t="str">
        <f t="shared" si="32"/>
        <v>25-29</v>
      </c>
      <c r="AR24" s="188">
        <v>119.99943696341774</v>
      </c>
      <c r="AS24" s="188">
        <v>129.39109617778351</v>
      </c>
      <c r="AT24" s="188">
        <v>137.02936714682045</v>
      </c>
      <c r="AU24" s="188">
        <v>151.42218460858194</v>
      </c>
      <c r="AV24" s="187">
        <v>154.61300828812676</v>
      </c>
      <c r="AW24" s="188"/>
      <c r="AX24" s="188">
        <v>118.70993980899782</v>
      </c>
      <c r="AY24" s="188">
        <v>128.00063464065943</v>
      </c>
      <c r="AZ24" s="188">
        <v>135.5567932955843</v>
      </c>
      <c r="BA24" s="188">
        <v>149.7950052068511</v>
      </c>
      <c r="BB24" s="187">
        <v>152.9514745672883</v>
      </c>
      <c r="BC24" s="188"/>
      <c r="BD24" s="188">
        <v>1.2894971544199207</v>
      </c>
      <c r="BE24" s="188">
        <v>1.3904615371240769</v>
      </c>
      <c r="BF24" s="188">
        <v>1.4725738512361566</v>
      </c>
      <c r="BG24" s="188">
        <v>1.6271794017308401</v>
      </c>
      <c r="BH24" s="187">
        <v>1.6615337208384582</v>
      </c>
    </row>
    <row r="25" spans="1:60" x14ac:dyDescent="0.2">
      <c r="A25" s="90" t="str">
        <f>$A$11</f>
        <v>30-34</v>
      </c>
      <c r="B25" s="188">
        <v>68.283196879250426</v>
      </c>
      <c r="C25" s="188">
        <v>66.945802724107253</v>
      </c>
      <c r="D25" s="188">
        <v>66.03723253213704</v>
      </c>
      <c r="E25" s="188">
        <v>61.74876482433028</v>
      </c>
      <c r="F25" s="187">
        <v>53.450029841365982</v>
      </c>
      <c r="G25" s="188"/>
      <c r="H25" s="188">
        <v>24.544039774496266</v>
      </c>
      <c r="I25" s="188">
        <v>24.063322041545216</v>
      </c>
      <c r="J25" s="188">
        <v>23.736795331659089</v>
      </c>
      <c r="K25" s="188">
        <v>22.195343632842444</v>
      </c>
      <c r="L25" s="187">
        <v>19.212368288465317</v>
      </c>
      <c r="M25" s="188"/>
      <c r="N25" s="188">
        <v>43.739157104754149</v>
      </c>
      <c r="O25" s="188">
        <v>42.88248068256204</v>
      </c>
      <c r="P25" s="188">
        <v>42.300437200477958</v>
      </c>
      <c r="Q25" s="188">
        <v>39.553421191487843</v>
      </c>
      <c r="R25" s="187">
        <v>34.237661552900661</v>
      </c>
      <c r="S25" s="188"/>
      <c r="T25" s="188">
        <v>0</v>
      </c>
      <c r="U25" s="188">
        <v>0</v>
      </c>
      <c r="V25" s="188">
        <v>0</v>
      </c>
      <c r="W25" s="188">
        <v>0</v>
      </c>
      <c r="X25" s="187">
        <v>0</v>
      </c>
      <c r="Y25" s="90" t="str">
        <f>$A$11</f>
        <v>30-34</v>
      </c>
      <c r="Z25" s="188">
        <v>148.60780472425301</v>
      </c>
      <c r="AA25" s="188">
        <v>147.31893427815288</v>
      </c>
      <c r="AB25" s="188">
        <v>161.47366094590328</v>
      </c>
      <c r="AC25" s="188">
        <v>172.47340823028688</v>
      </c>
      <c r="AD25" s="187">
        <v>191.95713844294832</v>
      </c>
      <c r="AE25" s="188"/>
      <c r="AF25" s="188">
        <v>138.80683308840062</v>
      </c>
      <c r="AG25" s="188">
        <v>137.60298665378525</v>
      </c>
      <c r="AH25" s="188">
        <v>150.82413863510811</v>
      </c>
      <c r="AI25" s="188">
        <v>161.09845641798645</v>
      </c>
      <c r="AJ25" s="187">
        <v>179.29720884021523</v>
      </c>
      <c r="AK25" s="188"/>
      <c r="AL25" s="188">
        <v>9.8009716358523953</v>
      </c>
      <c r="AM25" s="188">
        <v>9.7159476243676277</v>
      </c>
      <c r="AN25" s="188">
        <v>10.649522310795193</v>
      </c>
      <c r="AO25" s="188">
        <v>11.374951812300438</v>
      </c>
      <c r="AP25" s="187">
        <v>12.659929602733092</v>
      </c>
      <c r="AQ25" s="90" t="str">
        <f t="shared" si="32"/>
        <v>30-34</v>
      </c>
      <c r="AR25" s="188">
        <v>129.43499839649661</v>
      </c>
      <c r="AS25" s="188">
        <v>136.9352629977399</v>
      </c>
      <c r="AT25" s="188">
        <v>146.86710652195967</v>
      </c>
      <c r="AU25" s="188">
        <v>156.94682694538284</v>
      </c>
      <c r="AV25" s="187">
        <v>178.67283171568567</v>
      </c>
      <c r="AW25" s="188"/>
      <c r="AX25" s="188">
        <v>126.08382142150504</v>
      </c>
      <c r="AY25" s="188">
        <v>133.38988826824271</v>
      </c>
      <c r="AZ25" s="188">
        <v>143.06466319041809</v>
      </c>
      <c r="BA25" s="188">
        <v>152.88342672901697</v>
      </c>
      <c r="BB25" s="187">
        <v>174.04687249714561</v>
      </c>
      <c r="BC25" s="188"/>
      <c r="BD25" s="188">
        <v>3.3511769749915721</v>
      </c>
      <c r="BE25" s="188">
        <v>3.5453747294971758</v>
      </c>
      <c r="BF25" s="188">
        <v>3.8024433315415691</v>
      </c>
      <c r="BG25" s="188">
        <v>4.0634002163658671</v>
      </c>
      <c r="BH25" s="187">
        <v>4.625959218540066</v>
      </c>
    </row>
    <row r="26" spans="1:60" x14ac:dyDescent="0.2">
      <c r="A26" s="90" t="str">
        <f>$A$12</f>
        <v>35-39</v>
      </c>
      <c r="B26" s="188">
        <v>81.570107580789099</v>
      </c>
      <c r="C26" s="188">
        <v>83.089506586868126</v>
      </c>
      <c r="D26" s="188">
        <v>69.396955766521813</v>
      </c>
      <c r="E26" s="188">
        <v>57.477476782623199</v>
      </c>
      <c r="F26" s="187">
        <v>45.376437261099497</v>
      </c>
      <c r="G26" s="188"/>
      <c r="H26" s="188">
        <v>27.823839481647656</v>
      </c>
      <c r="I26" s="188">
        <v>28.342149363665129</v>
      </c>
      <c r="J26" s="188">
        <v>23.671532314933994</v>
      </c>
      <c r="K26" s="188">
        <v>19.605797942974593</v>
      </c>
      <c r="L26" s="187">
        <v>15.478099602590135</v>
      </c>
      <c r="M26" s="188"/>
      <c r="N26" s="188">
        <v>53.746268099141446</v>
      </c>
      <c r="O26" s="188">
        <v>54.747357223203004</v>
      </c>
      <c r="P26" s="188">
        <v>45.725423451587815</v>
      </c>
      <c r="Q26" s="188">
        <v>37.871678839648609</v>
      </c>
      <c r="R26" s="187">
        <v>29.898337658509362</v>
      </c>
      <c r="S26" s="188"/>
      <c r="T26" s="188">
        <v>0</v>
      </c>
      <c r="U26" s="188">
        <v>0</v>
      </c>
      <c r="V26" s="188">
        <v>0</v>
      </c>
      <c r="W26" s="188">
        <v>0</v>
      </c>
      <c r="X26" s="187">
        <v>0</v>
      </c>
      <c r="Y26" s="90" t="str">
        <f>$A$12</f>
        <v>35-39</v>
      </c>
      <c r="Z26" s="188">
        <v>172.87314170144836</v>
      </c>
      <c r="AA26" s="188">
        <v>151.81746175182639</v>
      </c>
      <c r="AB26" s="188">
        <v>156.19921187888309</v>
      </c>
      <c r="AC26" s="188">
        <v>170.06847351368867</v>
      </c>
      <c r="AD26" s="187">
        <v>183.91916269923121</v>
      </c>
      <c r="AE26" s="188"/>
      <c r="AF26" s="188">
        <v>162.99555148006215</v>
      </c>
      <c r="AG26" s="188">
        <v>143.14291162441359</v>
      </c>
      <c r="AH26" s="188">
        <v>147.27436031165053</v>
      </c>
      <c r="AI26" s="188">
        <v>160.35109660117249</v>
      </c>
      <c r="AJ26" s="187">
        <v>173.41038032330772</v>
      </c>
      <c r="AK26" s="188"/>
      <c r="AL26" s="188">
        <v>9.8775902213862175</v>
      </c>
      <c r="AM26" s="188">
        <v>8.6745501274128145</v>
      </c>
      <c r="AN26" s="188">
        <v>8.9248515672325688</v>
      </c>
      <c r="AO26" s="188">
        <v>9.7173769125161513</v>
      </c>
      <c r="AP26" s="187">
        <v>10.508782375923495</v>
      </c>
      <c r="AQ26" s="90" t="str">
        <f t="shared" si="32"/>
        <v>35-39</v>
      </c>
      <c r="AR26" s="188">
        <v>130.84375071776253</v>
      </c>
      <c r="AS26" s="188">
        <v>143.10303166130547</v>
      </c>
      <c r="AT26" s="188">
        <v>145.7508323545951</v>
      </c>
      <c r="AU26" s="188">
        <v>161.80904970368815</v>
      </c>
      <c r="AV26" s="187">
        <v>178.15540003966933</v>
      </c>
      <c r="AW26" s="188"/>
      <c r="AX26" s="188">
        <v>127.60652595957404</v>
      </c>
      <c r="AY26" s="188">
        <v>139.56251449676819</v>
      </c>
      <c r="AZ26" s="188">
        <v>142.14475173688641</v>
      </c>
      <c r="BA26" s="188">
        <v>157.80566912987618</v>
      </c>
      <c r="BB26" s="187">
        <v>173.74761952873018</v>
      </c>
      <c r="BC26" s="188"/>
      <c r="BD26" s="188">
        <v>3.237224758188491</v>
      </c>
      <c r="BE26" s="188">
        <v>3.5405171645372788</v>
      </c>
      <c r="BF26" s="188">
        <v>3.6060806177086793</v>
      </c>
      <c r="BG26" s="188">
        <v>4.003380573811949</v>
      </c>
      <c r="BH26" s="187">
        <v>4.4077805109391317</v>
      </c>
    </row>
    <row r="27" spans="1:60" x14ac:dyDescent="0.2">
      <c r="A27" s="90" t="str">
        <f>$A$13</f>
        <v>40-44</v>
      </c>
      <c r="B27" s="188">
        <v>109.36258023994721</v>
      </c>
      <c r="C27" s="188">
        <v>100.65735353635027</v>
      </c>
      <c r="D27" s="188">
        <v>79.894996074335893</v>
      </c>
      <c r="E27" s="188">
        <v>58.266248681924139</v>
      </c>
      <c r="F27" s="187">
        <v>44.943691641188508</v>
      </c>
      <c r="G27" s="188"/>
      <c r="H27" s="188">
        <v>37.497201603751407</v>
      </c>
      <c r="I27" s="188">
        <v>34.512468517177361</v>
      </c>
      <c r="J27" s="188">
        <v>27.393678246007219</v>
      </c>
      <c r="K27" s="188">
        <v>19.977808097422283</v>
      </c>
      <c r="L27" s="187">
        <v>15.409876741628949</v>
      </c>
      <c r="M27" s="188"/>
      <c r="N27" s="188">
        <v>71.8653786361958</v>
      </c>
      <c r="O27" s="188">
        <v>66.144885019172918</v>
      </c>
      <c r="P27" s="188">
        <v>52.501317828328666</v>
      </c>
      <c r="Q27" s="188">
        <v>38.288440584501856</v>
      </c>
      <c r="R27" s="187">
        <v>29.533814899559559</v>
      </c>
      <c r="S27" s="188"/>
      <c r="T27" s="188">
        <v>0</v>
      </c>
      <c r="U27" s="188">
        <v>0</v>
      </c>
      <c r="V27" s="188">
        <v>0</v>
      </c>
      <c r="W27" s="188">
        <v>0</v>
      </c>
      <c r="X27" s="187">
        <v>0</v>
      </c>
      <c r="Y27" s="90" t="str">
        <f>$A$13</f>
        <v>40-44</v>
      </c>
      <c r="Z27" s="188">
        <v>173.78731454334542</v>
      </c>
      <c r="AA27" s="188">
        <v>163.77527356450886</v>
      </c>
      <c r="AB27" s="188">
        <v>162.60647900072252</v>
      </c>
      <c r="AC27" s="188">
        <v>166.47427183086532</v>
      </c>
      <c r="AD27" s="187">
        <v>181.69643068872716</v>
      </c>
      <c r="AE27" s="188"/>
      <c r="AF27" s="188">
        <v>165.32689297611799</v>
      </c>
      <c r="AG27" s="188">
        <v>155.80222756557217</v>
      </c>
      <c r="AH27" s="188">
        <v>154.69035923872957</v>
      </c>
      <c r="AI27" s="188">
        <v>158.36986274844344</v>
      </c>
      <c r="AJ27" s="187">
        <v>172.85093659793318</v>
      </c>
      <c r="AK27" s="188"/>
      <c r="AL27" s="188">
        <v>8.4604215672274528</v>
      </c>
      <c r="AM27" s="188">
        <v>7.9730459989366764</v>
      </c>
      <c r="AN27" s="188">
        <v>7.9161197619929249</v>
      </c>
      <c r="AO27" s="188">
        <v>8.1044090824218635</v>
      </c>
      <c r="AP27" s="187">
        <v>8.8454940907939719</v>
      </c>
      <c r="AQ27" s="90" t="str">
        <f t="shared" si="32"/>
        <v>40-44</v>
      </c>
      <c r="AR27" s="188">
        <v>128.62610521670734</v>
      </c>
      <c r="AS27" s="188">
        <v>136.39037289914091</v>
      </c>
      <c r="AT27" s="188">
        <v>148.07052492494154</v>
      </c>
      <c r="AU27" s="188">
        <v>154.31647948721056</v>
      </c>
      <c r="AV27" s="187">
        <v>171.30987767008435</v>
      </c>
      <c r="AW27" s="188"/>
      <c r="AX27" s="188">
        <v>125.76772964125814</v>
      </c>
      <c r="AY27" s="188">
        <v>133.35947800784845</v>
      </c>
      <c r="AZ27" s="188">
        <v>144.78005921667193</v>
      </c>
      <c r="BA27" s="188">
        <v>150.88727091047099</v>
      </c>
      <c r="BB27" s="187">
        <v>167.50296624498654</v>
      </c>
      <c r="BC27" s="188"/>
      <c r="BD27" s="188">
        <v>2.8583755754492008</v>
      </c>
      <c r="BE27" s="188">
        <v>3.030894891292423</v>
      </c>
      <c r="BF27" s="188">
        <v>3.2904657082695943</v>
      </c>
      <c r="BG27" s="188">
        <v>3.4292085767395757</v>
      </c>
      <c r="BH27" s="187">
        <v>3.8069114250978413</v>
      </c>
    </row>
    <row r="28" spans="1:60" x14ac:dyDescent="0.2">
      <c r="A28" s="90" t="str">
        <f>$A$14</f>
        <v>45-49</v>
      </c>
      <c r="B28" s="188">
        <v>133.05883203982552</v>
      </c>
      <c r="C28" s="188">
        <v>130.62922404585686</v>
      </c>
      <c r="D28" s="188">
        <v>99.593963362259984</v>
      </c>
      <c r="E28" s="188">
        <v>77.436632042573009</v>
      </c>
      <c r="F28" s="187">
        <v>59.492715137111858</v>
      </c>
      <c r="G28" s="188"/>
      <c r="H28" s="188">
        <v>45.027200591392536</v>
      </c>
      <c r="I28" s="188">
        <v>44.204981813015024</v>
      </c>
      <c r="J28" s="188">
        <v>33.702642640591492</v>
      </c>
      <c r="K28" s="188">
        <v>26.204594261379921</v>
      </c>
      <c r="L28" s="187">
        <v>20.132393786098973</v>
      </c>
      <c r="M28" s="188"/>
      <c r="N28" s="188">
        <v>88.031631448432989</v>
      </c>
      <c r="O28" s="188">
        <v>86.424242232841848</v>
      </c>
      <c r="P28" s="188">
        <v>65.891320721668478</v>
      </c>
      <c r="Q28" s="188">
        <v>51.232037781193085</v>
      </c>
      <c r="R28" s="187">
        <v>39.360321351012892</v>
      </c>
      <c r="S28" s="188"/>
      <c r="T28" s="188">
        <v>0</v>
      </c>
      <c r="U28" s="188">
        <v>0</v>
      </c>
      <c r="V28" s="188">
        <v>0</v>
      </c>
      <c r="W28" s="188">
        <v>0</v>
      </c>
      <c r="X28" s="187">
        <v>0</v>
      </c>
      <c r="Y28" s="90" t="str">
        <f>$A$14</f>
        <v>45-49</v>
      </c>
      <c r="Z28" s="188">
        <v>147.70040930140374</v>
      </c>
      <c r="AA28" s="188">
        <v>150.78309476094216</v>
      </c>
      <c r="AB28" s="188">
        <v>165.92406107867228</v>
      </c>
      <c r="AC28" s="188">
        <v>170.02775905499576</v>
      </c>
      <c r="AD28" s="187">
        <v>173.29143493241449</v>
      </c>
      <c r="AE28" s="188"/>
      <c r="AF28" s="188">
        <v>141.54694322175274</v>
      </c>
      <c r="AG28" s="188">
        <v>144.50116492117996</v>
      </c>
      <c r="AH28" s="188">
        <v>159.01136074679223</v>
      </c>
      <c r="AI28" s="188">
        <v>162.94414401206637</v>
      </c>
      <c r="AJ28" s="187">
        <v>166.07180166684751</v>
      </c>
      <c r="AK28" s="188"/>
      <c r="AL28" s="188">
        <v>6.1534660796509844</v>
      </c>
      <c r="AM28" s="188">
        <v>6.2819298397621735</v>
      </c>
      <c r="AN28" s="188">
        <v>6.9127003318800542</v>
      </c>
      <c r="AO28" s="188">
        <v>7.0836150429293721</v>
      </c>
      <c r="AP28" s="187">
        <v>7.2196332655670084</v>
      </c>
      <c r="AQ28" s="90" t="str">
        <f t="shared" si="32"/>
        <v>45-49</v>
      </c>
      <c r="AR28" s="188">
        <v>123.31275865877076</v>
      </c>
      <c r="AS28" s="188">
        <v>132.41368119320103</v>
      </c>
      <c r="AT28" s="188">
        <v>140.53797555906777</v>
      </c>
      <c r="AU28" s="188">
        <v>145.28260890243126</v>
      </c>
      <c r="AV28" s="187">
        <v>149.41884993047367</v>
      </c>
      <c r="AW28" s="188"/>
      <c r="AX28" s="188">
        <v>120.05066515719325</v>
      </c>
      <c r="AY28" s="188">
        <v>128.91090449693274</v>
      </c>
      <c r="AZ28" s="188">
        <v>136.82028565996129</v>
      </c>
      <c r="BA28" s="188">
        <v>141.4394248982336</v>
      </c>
      <c r="BB28" s="187">
        <v>145.46618310656098</v>
      </c>
      <c r="BC28" s="188"/>
      <c r="BD28" s="188">
        <v>3.2620935015775157</v>
      </c>
      <c r="BE28" s="188">
        <v>3.5027766962682798</v>
      </c>
      <c r="BF28" s="188">
        <v>3.7176898991064919</v>
      </c>
      <c r="BG28" s="188">
        <v>3.8431840041976795</v>
      </c>
      <c r="BH28" s="187">
        <v>3.952666823912681</v>
      </c>
    </row>
    <row r="29" spans="1:60" x14ac:dyDescent="0.2">
      <c r="A29" s="90" t="str">
        <f>$A$15</f>
        <v>50-54</v>
      </c>
      <c r="B29" s="188">
        <v>142.62528866518252</v>
      </c>
      <c r="C29" s="188">
        <v>144.67879652164194</v>
      </c>
      <c r="D29" s="188">
        <v>129.89288976403338</v>
      </c>
      <c r="E29" s="188">
        <v>108.5906384249285</v>
      </c>
      <c r="F29" s="187">
        <v>88.797023806023716</v>
      </c>
      <c r="G29" s="188"/>
      <c r="H29" s="188">
        <v>58.809677206890292</v>
      </c>
      <c r="I29" s="188">
        <v>59.656444402939428</v>
      </c>
      <c r="J29" s="188">
        <v>53.559622114055813</v>
      </c>
      <c r="K29" s="188">
        <v>44.77589197427843</v>
      </c>
      <c r="L29" s="187">
        <v>36.614290916009523</v>
      </c>
      <c r="M29" s="188"/>
      <c r="N29" s="188">
        <v>83.815611458292224</v>
      </c>
      <c r="O29" s="188">
        <v>85.022352118702528</v>
      </c>
      <c r="P29" s="188">
        <v>76.333267649977572</v>
      </c>
      <c r="Q29" s="188">
        <v>63.814746450650077</v>
      </c>
      <c r="R29" s="187">
        <v>52.182732890014194</v>
      </c>
      <c r="S29" s="188"/>
      <c r="T29" s="188">
        <v>0</v>
      </c>
      <c r="U29" s="188">
        <v>0</v>
      </c>
      <c r="V29" s="188">
        <v>0</v>
      </c>
      <c r="W29" s="188">
        <v>0</v>
      </c>
      <c r="X29" s="187">
        <v>0</v>
      </c>
      <c r="Y29" s="90" t="str">
        <f>$A$15</f>
        <v>50-54</v>
      </c>
      <c r="Z29" s="188">
        <v>128.12433076039389</v>
      </c>
      <c r="AA29" s="188">
        <v>131.63132793945925</v>
      </c>
      <c r="AB29" s="188">
        <v>150.56527705284162</v>
      </c>
      <c r="AC29" s="188">
        <v>157.47681805010433</v>
      </c>
      <c r="AD29" s="187">
        <v>161.81424705237774</v>
      </c>
      <c r="AE29" s="188"/>
      <c r="AF29" s="188">
        <v>122.55278649675924</v>
      </c>
      <c r="AG29" s="188">
        <v>125.90722170135525</v>
      </c>
      <c r="AH29" s="188">
        <v>144.01786562915689</v>
      </c>
      <c r="AI29" s="188">
        <v>150.62881683229153</v>
      </c>
      <c r="AJ29" s="187">
        <v>154.77764225506792</v>
      </c>
      <c r="AK29" s="188"/>
      <c r="AL29" s="188">
        <v>5.5715442636346637</v>
      </c>
      <c r="AM29" s="188">
        <v>5.7241062381040022</v>
      </c>
      <c r="AN29" s="188">
        <v>6.5474114236847223</v>
      </c>
      <c r="AO29" s="188">
        <v>6.848001217812798</v>
      </c>
      <c r="AP29" s="187">
        <v>7.0366047973098143</v>
      </c>
      <c r="AQ29" s="90" t="str">
        <f t="shared" si="32"/>
        <v>50-54</v>
      </c>
      <c r="AR29" s="188">
        <v>99.533380574423589</v>
      </c>
      <c r="AS29" s="188">
        <v>107.85887553889877</v>
      </c>
      <c r="AT29" s="188">
        <v>131.66083318312499</v>
      </c>
      <c r="AU29" s="188">
        <v>136.99154352496717</v>
      </c>
      <c r="AV29" s="187">
        <v>140.23672914159854</v>
      </c>
      <c r="AW29" s="188"/>
      <c r="AX29" s="188">
        <v>96.536032850777929</v>
      </c>
      <c r="AY29" s="188">
        <v>104.61089167560138</v>
      </c>
      <c r="AZ29" s="188">
        <v>127.6960784524572</v>
      </c>
      <c r="BA29" s="188">
        <v>132.86627000855998</v>
      </c>
      <c r="BB29" s="187">
        <v>136.01369492085831</v>
      </c>
      <c r="BC29" s="188"/>
      <c r="BD29" s="188">
        <v>2.9973477236456505</v>
      </c>
      <c r="BE29" s="188">
        <v>3.2479838632974087</v>
      </c>
      <c r="BF29" s="188">
        <v>3.9647547306677895</v>
      </c>
      <c r="BG29" s="188">
        <v>4.1252735164071801</v>
      </c>
      <c r="BH29" s="187">
        <v>4.2230342207402218</v>
      </c>
    </row>
    <row r="30" spans="1:60" x14ac:dyDescent="0.2">
      <c r="A30" s="90" t="str">
        <f>$A$16</f>
        <v>55-59</v>
      </c>
      <c r="B30" s="188">
        <v>142.02345355885194</v>
      </c>
      <c r="C30" s="188">
        <v>143.44952230302076</v>
      </c>
      <c r="D30" s="188">
        <v>139.14959212331905</v>
      </c>
      <c r="E30" s="188">
        <v>133.10606492478584</v>
      </c>
      <c r="F30" s="187">
        <v>109.14650779855604</v>
      </c>
      <c r="G30" s="188"/>
      <c r="H30" s="188">
        <v>65.471577847382605</v>
      </c>
      <c r="I30" s="188">
        <v>66.128938994656224</v>
      </c>
      <c r="J30" s="188">
        <v>64.146760401718026</v>
      </c>
      <c r="K30" s="188">
        <v>61.360743377948751</v>
      </c>
      <c r="L30" s="187">
        <v>50.315564885494574</v>
      </c>
      <c r="M30" s="188"/>
      <c r="N30" s="188">
        <v>76.551875711469307</v>
      </c>
      <c r="O30" s="188">
        <v>77.320583308364533</v>
      </c>
      <c r="P30" s="188">
        <v>75.002831721601012</v>
      </c>
      <c r="Q30" s="188">
        <v>71.74532154683709</v>
      </c>
      <c r="R30" s="187">
        <v>58.830942913061456</v>
      </c>
      <c r="S30" s="188"/>
      <c r="T30" s="188">
        <v>0</v>
      </c>
      <c r="U30" s="188">
        <v>0</v>
      </c>
      <c r="V30" s="188">
        <v>0</v>
      </c>
      <c r="W30" s="188">
        <v>0</v>
      </c>
      <c r="X30" s="187">
        <v>0</v>
      </c>
      <c r="Y30" s="90" t="str">
        <f>$A$16</f>
        <v>55-59</v>
      </c>
      <c r="Z30" s="188">
        <v>109.05588764571488</v>
      </c>
      <c r="AA30" s="188">
        <v>103.02668159053177</v>
      </c>
      <c r="AB30" s="188">
        <v>125.61808852626254</v>
      </c>
      <c r="AC30" s="188">
        <v>146.63086089061352</v>
      </c>
      <c r="AD30" s="187">
        <v>154.81770782548793</v>
      </c>
      <c r="AE30" s="188"/>
      <c r="AF30" s="188">
        <v>103.75944425598405</v>
      </c>
      <c r="AG30" s="188">
        <v>98.023014500202649</v>
      </c>
      <c r="AH30" s="188">
        <v>119.51727296970975</v>
      </c>
      <c r="AI30" s="188">
        <v>139.509472215926</v>
      </c>
      <c r="AJ30" s="187">
        <v>147.29874653579841</v>
      </c>
      <c r="AK30" s="188"/>
      <c r="AL30" s="188">
        <v>5.296443389730813</v>
      </c>
      <c r="AM30" s="188">
        <v>5.0036670903291043</v>
      </c>
      <c r="AN30" s="188">
        <v>6.1008155565527895</v>
      </c>
      <c r="AO30" s="188">
        <v>7.1213886746875295</v>
      </c>
      <c r="AP30" s="187">
        <v>7.5189612896894937</v>
      </c>
      <c r="AQ30" s="90" t="str">
        <f t="shared" si="32"/>
        <v>55-59</v>
      </c>
      <c r="AR30" s="188">
        <v>86.859658795433134</v>
      </c>
      <c r="AS30" s="188">
        <v>96.998796106447443</v>
      </c>
      <c r="AT30" s="188">
        <v>110.9803193504184</v>
      </c>
      <c r="AU30" s="188">
        <v>123.37107418460066</v>
      </c>
      <c r="AV30" s="187">
        <v>131.50178437595608</v>
      </c>
      <c r="AW30" s="188"/>
      <c r="AX30" s="188">
        <v>84.146035314499002</v>
      </c>
      <c r="AY30" s="188">
        <v>93.968368312463639</v>
      </c>
      <c r="AZ30" s="188">
        <v>107.5131451192468</v>
      </c>
      <c r="BA30" s="188">
        <v>119.51673817354288</v>
      </c>
      <c r="BB30" s="187">
        <v>127.3934508351265</v>
      </c>
      <c r="BC30" s="188"/>
      <c r="BD30" s="188">
        <v>2.7136234809341366</v>
      </c>
      <c r="BE30" s="188">
        <v>3.030427793983804</v>
      </c>
      <c r="BF30" s="188">
        <v>3.4671742311715938</v>
      </c>
      <c r="BG30" s="188">
        <v>3.8543360110577858</v>
      </c>
      <c r="BH30" s="187">
        <v>4.1083335408295882</v>
      </c>
    </row>
    <row r="31" spans="1:60" x14ac:dyDescent="0.2">
      <c r="A31" s="90" t="str">
        <f>$A$17</f>
        <v>60-64</v>
      </c>
      <c r="B31" s="188">
        <v>135.20871159850742</v>
      </c>
      <c r="C31" s="188">
        <v>139.14227803640441</v>
      </c>
      <c r="D31" s="188">
        <v>130.14619876262617</v>
      </c>
      <c r="E31" s="188">
        <v>116.92965912610188</v>
      </c>
      <c r="F31" s="187">
        <v>97.821165625616288</v>
      </c>
      <c r="G31" s="188"/>
      <c r="H31" s="188">
        <v>70.289274754240722</v>
      </c>
      <c r="I31" s="188">
        <v>72.334142210216811</v>
      </c>
      <c r="J31" s="188">
        <v>67.657493952962056</v>
      </c>
      <c r="K31" s="188">
        <v>60.786778379352796</v>
      </c>
      <c r="L31" s="187">
        <v>50.853075153050249</v>
      </c>
      <c r="M31" s="188"/>
      <c r="N31" s="188">
        <v>64.919436844266713</v>
      </c>
      <c r="O31" s="188">
        <v>66.808135826187581</v>
      </c>
      <c r="P31" s="188">
        <v>62.488704809664121</v>
      </c>
      <c r="Q31" s="188">
        <v>56.142880746749078</v>
      </c>
      <c r="R31" s="187">
        <v>46.968090472566033</v>
      </c>
      <c r="S31" s="188"/>
      <c r="T31" s="188">
        <v>0</v>
      </c>
      <c r="U31" s="188">
        <v>0</v>
      </c>
      <c r="V31" s="188">
        <v>0</v>
      </c>
      <c r="W31" s="188">
        <v>0</v>
      </c>
      <c r="X31" s="187">
        <v>0</v>
      </c>
      <c r="Y31" s="90" t="str">
        <f>$A$17</f>
        <v>60-64</v>
      </c>
      <c r="Z31" s="188">
        <v>86.312916170074814</v>
      </c>
      <c r="AA31" s="188">
        <v>87.978682675397692</v>
      </c>
      <c r="AB31" s="188">
        <v>102.45961005200583</v>
      </c>
      <c r="AC31" s="188">
        <v>124.91232684164649</v>
      </c>
      <c r="AD31" s="187">
        <v>146.90533839921289</v>
      </c>
      <c r="AE31" s="188"/>
      <c r="AF31" s="188">
        <v>82.494145323393639</v>
      </c>
      <c r="AG31" s="188">
        <v>84.086253978523061</v>
      </c>
      <c r="AH31" s="188">
        <v>97.926456664959204</v>
      </c>
      <c r="AI31" s="188">
        <v>119.38584315305835</v>
      </c>
      <c r="AJ31" s="187">
        <v>140.40583035374158</v>
      </c>
      <c r="AK31" s="188"/>
      <c r="AL31" s="188">
        <v>3.8187708466811769</v>
      </c>
      <c r="AM31" s="188">
        <v>3.8924286968746324</v>
      </c>
      <c r="AN31" s="188">
        <v>4.533153387046621</v>
      </c>
      <c r="AO31" s="188">
        <v>5.5264836885881472</v>
      </c>
      <c r="AP31" s="187">
        <v>6.4995080454712904</v>
      </c>
      <c r="AQ31" s="90" t="str">
        <f t="shared" si="32"/>
        <v>60-64</v>
      </c>
      <c r="AR31" s="188">
        <v>67.855372231417789</v>
      </c>
      <c r="AS31" s="188">
        <v>83.945039288197918</v>
      </c>
      <c r="AT31" s="188">
        <v>95.468191185367971</v>
      </c>
      <c r="AU31" s="188">
        <v>119.10401403225165</v>
      </c>
      <c r="AV31" s="187">
        <v>144.11749597517081</v>
      </c>
      <c r="AW31" s="188"/>
      <c r="AX31" s="188">
        <v>65.304426563134072</v>
      </c>
      <c r="AY31" s="188">
        <v>80.789147061586561</v>
      </c>
      <c r="AZ31" s="188">
        <v>91.879108865414764</v>
      </c>
      <c r="BA31" s="188">
        <v>114.62635921396409</v>
      </c>
      <c r="BB31" s="187">
        <v>138.69950783520864</v>
      </c>
      <c r="BC31" s="188"/>
      <c r="BD31" s="188">
        <v>2.5509456682837173</v>
      </c>
      <c r="BE31" s="188">
        <v>3.1558922266113782</v>
      </c>
      <c r="BF31" s="188">
        <v>3.5890823199532207</v>
      </c>
      <c r="BG31" s="188">
        <v>4.4776548182875615</v>
      </c>
      <c r="BH31" s="187">
        <v>5.4179881399621461</v>
      </c>
    </row>
    <row r="32" spans="1:60" x14ac:dyDescent="0.2">
      <c r="A32" s="90" t="str">
        <f>$A$18</f>
        <v>65+</v>
      </c>
      <c r="B32" s="188">
        <v>413.27348346987924</v>
      </c>
      <c r="C32" s="188">
        <v>413.22199816727857</v>
      </c>
      <c r="D32" s="188">
        <v>382.42661647142006</v>
      </c>
      <c r="E32" s="188">
        <v>344.26916975565996</v>
      </c>
      <c r="F32" s="187">
        <v>299.66486973953153</v>
      </c>
      <c r="G32" s="188"/>
      <c r="H32" s="188">
        <v>280.86103102264485</v>
      </c>
      <c r="I32" s="188">
        <v>280.82599650665259</v>
      </c>
      <c r="J32" s="188">
        <v>259.89747790143747</v>
      </c>
      <c r="K32" s="188">
        <v>233.96563126418033</v>
      </c>
      <c r="L32" s="187">
        <v>203.65250932991842</v>
      </c>
      <c r="M32" s="188"/>
      <c r="N32" s="188">
        <v>132.41245244723444</v>
      </c>
      <c r="O32" s="188">
        <v>132.39600166062604</v>
      </c>
      <c r="P32" s="188">
        <v>122.52913856998256</v>
      </c>
      <c r="Q32" s="188">
        <v>110.30353849147959</v>
      </c>
      <c r="R32" s="187">
        <v>96.012360409613152</v>
      </c>
      <c r="S32" s="188"/>
      <c r="T32" s="188">
        <v>0</v>
      </c>
      <c r="U32" s="188">
        <v>0</v>
      </c>
      <c r="V32" s="188">
        <v>0</v>
      </c>
      <c r="W32" s="188">
        <v>0</v>
      </c>
      <c r="X32" s="187">
        <v>0</v>
      </c>
      <c r="Y32" s="90" t="str">
        <f>$A$18</f>
        <v>65+</v>
      </c>
      <c r="Z32" s="188">
        <v>183.28798651698779</v>
      </c>
      <c r="AA32" s="188">
        <v>198.84833199585475</v>
      </c>
      <c r="AB32" s="188">
        <v>264.78812722486305</v>
      </c>
      <c r="AC32" s="188">
        <v>324.20846857729254</v>
      </c>
      <c r="AD32" s="187">
        <v>390.52526772257721</v>
      </c>
      <c r="AE32" s="188"/>
      <c r="AF32" s="188">
        <v>175.04417159553057</v>
      </c>
      <c r="AG32" s="188">
        <v>189.90464961003784</v>
      </c>
      <c r="AH32" s="188">
        <v>252.8787207130141</v>
      </c>
      <c r="AI32" s="188">
        <v>309.62643682093773</v>
      </c>
      <c r="AJ32" s="187">
        <v>372.96056409867555</v>
      </c>
      <c r="AK32" s="188"/>
      <c r="AL32" s="188">
        <v>8.243814921457215</v>
      </c>
      <c r="AM32" s="188">
        <v>8.9436823858169294</v>
      </c>
      <c r="AN32" s="188">
        <v>11.909406511848935</v>
      </c>
      <c r="AO32" s="188">
        <v>14.582031756354773</v>
      </c>
      <c r="AP32" s="187">
        <v>17.564703623901661</v>
      </c>
      <c r="AQ32" s="90" t="str">
        <f t="shared" si="32"/>
        <v>65+</v>
      </c>
      <c r="AR32" s="188">
        <v>164.37253001313297</v>
      </c>
      <c r="AS32" s="188">
        <v>172.14466983686671</v>
      </c>
      <c r="AT32" s="188">
        <v>232.36725630371686</v>
      </c>
      <c r="AU32" s="188">
        <v>309.43936166704759</v>
      </c>
      <c r="AV32" s="187">
        <v>407.37086253789136</v>
      </c>
      <c r="AW32" s="188"/>
      <c r="AX32" s="188">
        <v>157.65906224959758</v>
      </c>
      <c r="AY32" s="188">
        <v>165.11377610213441</v>
      </c>
      <c r="AZ32" s="188">
        <v>222.87664185404887</v>
      </c>
      <c r="BA32" s="188">
        <v>296.80092091622549</v>
      </c>
      <c r="BB32" s="187">
        <v>390.73259978076936</v>
      </c>
      <c r="BC32" s="188"/>
      <c r="BD32" s="188">
        <v>6.7134677635354318</v>
      </c>
      <c r="BE32" s="188">
        <v>7.0308937347323051</v>
      </c>
      <c r="BF32" s="188">
        <v>9.4906144496679747</v>
      </c>
      <c r="BG32" s="188">
        <v>12.63844075082217</v>
      </c>
      <c r="BH32" s="187">
        <v>16.638262757122035</v>
      </c>
    </row>
    <row r="33" spans="1:60" x14ac:dyDescent="0.2">
      <c r="B33" s="188"/>
      <c r="C33" s="188"/>
      <c r="D33" s="188"/>
      <c r="E33" s="188"/>
      <c r="F33" s="187"/>
      <c r="G33" s="187"/>
      <c r="H33" s="187"/>
      <c r="I33" s="187"/>
      <c r="J33" s="187"/>
      <c r="K33" s="187"/>
      <c r="L33" s="187"/>
      <c r="M33" s="187"/>
      <c r="N33" s="187"/>
      <c r="O33" s="187"/>
      <c r="P33" s="187"/>
      <c r="Q33" s="187"/>
      <c r="R33" s="187"/>
      <c r="S33" s="187"/>
      <c r="T33" s="93"/>
      <c r="U33" s="93"/>
      <c r="V33" s="93"/>
      <c r="W33" s="93"/>
      <c r="X33" s="93"/>
      <c r="Z33" s="188"/>
      <c r="AA33" s="188"/>
      <c r="AB33" s="188"/>
      <c r="AC33" s="188"/>
      <c r="AD33" s="187"/>
      <c r="AE33" s="187"/>
      <c r="AF33" s="187"/>
      <c r="AG33" s="187"/>
      <c r="AH33" s="187"/>
      <c r="AI33" s="187"/>
      <c r="AJ33" s="187"/>
      <c r="AK33" s="187"/>
      <c r="AL33" s="187"/>
      <c r="AM33" s="187"/>
      <c r="AN33" s="187"/>
      <c r="AO33" s="187"/>
      <c r="AP33" s="187"/>
      <c r="AR33" s="188"/>
      <c r="AS33" s="188"/>
      <c r="AT33" s="188"/>
      <c r="AU33" s="188"/>
      <c r="AV33" s="187"/>
      <c r="AW33" s="187"/>
      <c r="AX33" s="187"/>
      <c r="AY33" s="187"/>
      <c r="AZ33" s="187"/>
      <c r="BA33" s="187"/>
      <c r="BB33" s="187"/>
      <c r="BC33" s="187"/>
      <c r="BD33" s="187"/>
      <c r="BE33" s="187"/>
      <c r="BF33" s="187"/>
      <c r="BG33" s="187"/>
      <c r="BH33" s="187"/>
    </row>
    <row r="34" spans="1:60" x14ac:dyDescent="0.2">
      <c r="A34" s="113" t="s">
        <v>99</v>
      </c>
      <c r="B34" s="188"/>
      <c r="C34" s="188"/>
      <c r="D34" s="188"/>
      <c r="E34" s="188"/>
      <c r="F34" s="187"/>
      <c r="G34" s="187"/>
      <c r="H34" s="187"/>
      <c r="I34" s="187"/>
      <c r="J34" s="187"/>
      <c r="K34" s="187"/>
      <c r="L34" s="187"/>
      <c r="M34" s="187"/>
      <c r="N34" s="187"/>
      <c r="O34" s="187"/>
      <c r="P34" s="187"/>
      <c r="Q34" s="187"/>
      <c r="R34" s="187"/>
      <c r="S34" s="187"/>
      <c r="T34" s="93"/>
      <c r="U34" s="93"/>
      <c r="V34" s="93"/>
      <c r="W34" s="93"/>
      <c r="X34" s="93"/>
      <c r="Y34" s="113" t="str">
        <f>A34</f>
        <v>Females</v>
      </c>
      <c r="Z34" s="93"/>
      <c r="AA34" s="93"/>
      <c r="AB34" s="93"/>
      <c r="AC34" s="93"/>
      <c r="AD34" s="187"/>
      <c r="AE34" s="187"/>
      <c r="AF34" s="187"/>
      <c r="AG34" s="187"/>
      <c r="AH34" s="187"/>
      <c r="AI34" s="187"/>
      <c r="AJ34" s="187"/>
      <c r="AK34" s="187"/>
      <c r="AL34" s="187"/>
      <c r="AM34" s="187"/>
      <c r="AN34" s="187"/>
      <c r="AO34" s="187"/>
      <c r="AP34" s="187"/>
      <c r="AQ34" s="113" t="str">
        <f>A34</f>
        <v>Females</v>
      </c>
      <c r="AR34" s="93"/>
      <c r="AS34" s="93"/>
      <c r="AT34" s="93"/>
      <c r="AU34" s="93"/>
      <c r="AV34" s="187"/>
      <c r="AW34" s="187"/>
      <c r="AX34" s="187"/>
      <c r="AY34" s="187"/>
      <c r="AZ34" s="187"/>
      <c r="BA34" s="187"/>
      <c r="BB34" s="187"/>
      <c r="BC34" s="187"/>
      <c r="BD34" s="187"/>
      <c r="BE34" s="187"/>
      <c r="BF34" s="187"/>
      <c r="BG34" s="187"/>
      <c r="BH34" s="187"/>
    </row>
    <row r="35" spans="1:60" x14ac:dyDescent="0.2">
      <c r="A35" s="90" t="str">
        <f>$A$7</f>
        <v>15+</v>
      </c>
      <c r="B35" s="188">
        <f>SUM(B36:B46)</f>
        <v>1839.2166575000715</v>
      </c>
      <c r="C35" s="188">
        <f t="shared" ref="C35:F35" si="33">SUM(C36:C46)</f>
        <v>1786.0603742980511</v>
      </c>
      <c r="D35" s="188">
        <f t="shared" si="33"/>
        <v>1572.103997262989</v>
      </c>
      <c r="E35" s="188">
        <f t="shared" si="33"/>
        <v>1350.9626109662327</v>
      </c>
      <c r="F35" s="188">
        <f t="shared" si="33"/>
        <v>1143.3207917146487</v>
      </c>
      <c r="G35" s="187"/>
      <c r="H35" s="188">
        <f>SUM(H36:H46)</f>
        <v>963.2794859618532</v>
      </c>
      <c r="I35" s="188">
        <f t="shared" ref="I35:L35" si="34">SUM(I36:I46)</f>
        <v>932.67382880597597</v>
      </c>
      <c r="J35" s="188">
        <f t="shared" si="34"/>
        <v>822.41738994957336</v>
      </c>
      <c r="K35" s="188">
        <f t="shared" si="34"/>
        <v>699.51116772963974</v>
      </c>
      <c r="L35" s="188">
        <f t="shared" si="34"/>
        <v>576.46624793891874</v>
      </c>
      <c r="M35" s="187"/>
      <c r="N35" s="188">
        <f>SUM(N36:N46)</f>
        <v>875.93717153821831</v>
      </c>
      <c r="O35" s="188">
        <f t="shared" ref="O35:R35" si="35">SUM(O36:O46)</f>
        <v>853.38654549207513</v>
      </c>
      <c r="P35" s="188">
        <f t="shared" si="35"/>
        <v>749.68660731341538</v>
      </c>
      <c r="Q35" s="188">
        <f t="shared" si="35"/>
        <v>651.45144323659315</v>
      </c>
      <c r="R35" s="188">
        <f t="shared" si="35"/>
        <v>566.85454377573012</v>
      </c>
      <c r="S35" s="187"/>
      <c r="T35" s="188">
        <f>SUM(T36:T46)</f>
        <v>0</v>
      </c>
      <c r="U35" s="188">
        <f t="shared" ref="U35:X35" si="36">SUM(U36:U46)</f>
        <v>0</v>
      </c>
      <c r="V35" s="188">
        <f t="shared" si="36"/>
        <v>0</v>
      </c>
      <c r="W35" s="188">
        <f t="shared" si="36"/>
        <v>0</v>
      </c>
      <c r="X35" s="188">
        <f t="shared" si="36"/>
        <v>0</v>
      </c>
      <c r="Y35" s="90" t="str">
        <f>$A$7</f>
        <v>15+</v>
      </c>
      <c r="Z35" s="188">
        <f>SUM(Z36:Z46)</f>
        <v>1514.4894356563314</v>
      </c>
      <c r="AA35" s="188">
        <f t="shared" ref="AA35:AD35" si="37">SUM(AA36:AA46)</f>
        <v>1503.6765075089238</v>
      </c>
      <c r="AB35" s="188">
        <f t="shared" si="37"/>
        <v>1659.9026427502681</v>
      </c>
      <c r="AC35" s="188">
        <f t="shared" si="37"/>
        <v>1797.4464428451124</v>
      </c>
      <c r="AD35" s="188">
        <f t="shared" si="37"/>
        <v>1939.4301277122679</v>
      </c>
      <c r="AE35" s="188"/>
      <c r="AF35" s="188">
        <f>SUM(AF36:AF46)</f>
        <v>1427.6490102140683</v>
      </c>
      <c r="AG35" s="188">
        <f t="shared" ref="AG35:AJ35" si="38">SUM(AG36:AG46)</f>
        <v>1417.9494245743583</v>
      </c>
      <c r="AH35" s="188">
        <f t="shared" si="38"/>
        <v>1565.6898030959378</v>
      </c>
      <c r="AI35" s="188">
        <f t="shared" si="38"/>
        <v>1695.8037388732168</v>
      </c>
      <c r="AJ35" s="188">
        <f t="shared" si="38"/>
        <v>1830.7085872896366</v>
      </c>
      <c r="AK35" s="188"/>
      <c r="AL35" s="188">
        <f>SUM(AL36:AL46)</f>
        <v>86.840425442262955</v>
      </c>
      <c r="AM35" s="188">
        <f t="shared" ref="AM35:AP35" si="39">SUM(AM36:AM46)</f>
        <v>85.727082934565459</v>
      </c>
      <c r="AN35" s="188">
        <f t="shared" si="39"/>
        <v>94.212839654330281</v>
      </c>
      <c r="AO35" s="188">
        <f t="shared" si="39"/>
        <v>101.64270397189549</v>
      </c>
      <c r="AP35" s="188">
        <f t="shared" si="39"/>
        <v>108.72154042263139</v>
      </c>
      <c r="AQ35" s="90" t="str">
        <f>$A$7</f>
        <v>15+</v>
      </c>
      <c r="AR35" s="188">
        <f>SUM(AR36:AR46)</f>
        <v>1208.4819068435977</v>
      </c>
      <c r="AS35" s="188">
        <f t="shared" ref="AS35:AV35" si="40">SUM(AS36:AS46)</f>
        <v>1342.1641181930254</v>
      </c>
      <c r="AT35" s="188">
        <f t="shared" si="40"/>
        <v>1576.2403599867432</v>
      </c>
      <c r="AU35" s="188">
        <f t="shared" si="40"/>
        <v>1829.5899461886547</v>
      </c>
      <c r="AV35" s="188">
        <f t="shared" si="40"/>
        <v>2104.1100805730839</v>
      </c>
      <c r="AW35" s="188"/>
      <c r="AX35" s="188">
        <f>SUM(AX36:AX46)</f>
        <v>1195.8231128172695</v>
      </c>
      <c r="AY35" s="188">
        <f t="shared" ref="AY35:BB35" si="41">SUM(AY36:AY46)</f>
        <v>1327.9996346900398</v>
      </c>
      <c r="AZ35" s="188">
        <f t="shared" si="41"/>
        <v>1559.651180973065</v>
      </c>
      <c r="BA35" s="188">
        <f t="shared" si="41"/>
        <v>1810.1453176220125</v>
      </c>
      <c r="BB35" s="188">
        <f t="shared" si="41"/>
        <v>2081.5851755357075</v>
      </c>
      <c r="BC35" s="188"/>
      <c r="BD35" s="188">
        <f>SUM(BD36:BD46)</f>
        <v>12.658794026328057</v>
      </c>
      <c r="BE35" s="188">
        <f t="shared" ref="BE35:BH35" si="42">SUM(BE36:BE46)</f>
        <v>14.164483502985499</v>
      </c>
      <c r="BF35" s="188">
        <f t="shared" si="42"/>
        <v>16.589179013678287</v>
      </c>
      <c r="BG35" s="188">
        <f t="shared" si="42"/>
        <v>19.444628566642407</v>
      </c>
      <c r="BH35" s="188">
        <f t="shared" si="42"/>
        <v>22.524905037375824</v>
      </c>
    </row>
    <row r="36" spans="1:60" x14ac:dyDescent="0.2">
      <c r="A36" s="90" t="str">
        <f>$A$8</f>
        <v>15-19</v>
      </c>
      <c r="B36" s="188">
        <v>235.75197725192589</v>
      </c>
      <c r="C36" s="188">
        <v>235.32459036047223</v>
      </c>
      <c r="D36" s="188">
        <v>224.52607187954138</v>
      </c>
      <c r="E36" s="188">
        <v>225.53877970723389</v>
      </c>
      <c r="F36" s="187">
        <v>243.72400964127928</v>
      </c>
      <c r="G36" s="187"/>
      <c r="H36" s="188">
        <v>48.983534945390808</v>
      </c>
      <c r="I36" s="188">
        <v>48.894690177294805</v>
      </c>
      <c r="J36" s="188">
        <v>46.651003976088816</v>
      </c>
      <c r="K36" s="188">
        <v>46.861405382749254</v>
      </c>
      <c r="L36" s="187">
        <v>50.639873799695991</v>
      </c>
      <c r="M36" s="187"/>
      <c r="N36" s="188">
        <v>186.76844230653509</v>
      </c>
      <c r="O36" s="188">
        <v>186.42990018317741</v>
      </c>
      <c r="P36" s="188">
        <v>177.87506790345256</v>
      </c>
      <c r="Q36" s="188">
        <v>178.67737432448465</v>
      </c>
      <c r="R36" s="187">
        <v>193.08413584158328</v>
      </c>
      <c r="S36" s="187"/>
      <c r="T36" s="188">
        <v>0</v>
      </c>
      <c r="U36" s="188">
        <v>0</v>
      </c>
      <c r="V36" s="188">
        <v>0</v>
      </c>
      <c r="W36" s="188">
        <v>0</v>
      </c>
      <c r="X36" s="187">
        <v>0</v>
      </c>
      <c r="Y36" s="90" t="str">
        <f>$A$8</f>
        <v>15-19</v>
      </c>
      <c r="Z36" s="188">
        <v>83.569879527684336</v>
      </c>
      <c r="AA36" s="188">
        <v>82.526656420969161</v>
      </c>
      <c r="AB36" s="188">
        <v>84.494484512367791</v>
      </c>
      <c r="AC36" s="188">
        <v>90.946079800349651</v>
      </c>
      <c r="AD36" s="187">
        <v>105.28765306859901</v>
      </c>
      <c r="AE36" s="187"/>
      <c r="AF36" s="188">
        <v>82.46118212650282</v>
      </c>
      <c r="AG36" s="188">
        <v>81.431768542600082</v>
      </c>
      <c r="AH36" s="188">
        <v>83.373443742554031</v>
      </c>
      <c r="AI36" s="188">
        <v>89.739476773593154</v>
      </c>
      <c r="AJ36" s="187">
        <v>103.89079794445267</v>
      </c>
      <c r="AK36" s="187"/>
      <c r="AL36" s="188">
        <v>1.1086974011815047</v>
      </c>
      <c r="AM36" s="188">
        <v>1.0948878783690683</v>
      </c>
      <c r="AN36" s="188">
        <v>1.1210407698137705</v>
      </c>
      <c r="AO36" s="188">
        <v>1.2066030267565</v>
      </c>
      <c r="AP36" s="187">
        <v>1.3968551241463449</v>
      </c>
      <c r="AQ36" s="90" t="str">
        <f>$A$8</f>
        <v>15-19</v>
      </c>
      <c r="AR36" s="188">
        <v>0.12314322038975159</v>
      </c>
      <c r="AS36" s="188">
        <v>0.59775321855860108</v>
      </c>
      <c r="AT36" s="188">
        <v>1.4364436080908414</v>
      </c>
      <c r="AU36" s="188">
        <v>1.4711404924164426</v>
      </c>
      <c r="AV36" s="187">
        <v>1.6223372901217372</v>
      </c>
      <c r="AW36" s="187"/>
      <c r="AX36" s="188">
        <v>0.12314322038975159</v>
      </c>
      <c r="AY36" s="188">
        <v>0.59775321855860108</v>
      </c>
      <c r="AZ36" s="188">
        <v>1.4364436080908414</v>
      </c>
      <c r="BA36" s="188">
        <v>1.4711404924164426</v>
      </c>
      <c r="BB36" s="187">
        <v>1.6223372901217372</v>
      </c>
      <c r="BC36" s="187"/>
      <c r="BD36" s="188">
        <v>0</v>
      </c>
      <c r="BE36" s="188">
        <v>0</v>
      </c>
      <c r="BF36" s="188">
        <v>0</v>
      </c>
      <c r="BG36" s="188">
        <v>0</v>
      </c>
      <c r="BH36" s="187">
        <v>0</v>
      </c>
    </row>
    <row r="37" spans="1:60" x14ac:dyDescent="0.2">
      <c r="A37" s="90" t="str">
        <f>$A$9</f>
        <v>20-24</v>
      </c>
      <c r="B37" s="188">
        <v>51.28667688291447</v>
      </c>
      <c r="C37" s="188">
        <v>50.325615142463022</v>
      </c>
      <c r="D37" s="188">
        <v>41.617556806647421</v>
      </c>
      <c r="E37" s="188">
        <v>36.381749805465141</v>
      </c>
      <c r="F37" s="187">
        <v>33.131944227953063</v>
      </c>
      <c r="G37" s="187"/>
      <c r="H37" s="188">
        <v>18.958252611047016</v>
      </c>
      <c r="I37" s="188">
        <v>18.60303815545123</v>
      </c>
      <c r="J37" s="188">
        <v>15.38403685205089</v>
      </c>
      <c r="K37" s="188">
        <v>13.448615257113641</v>
      </c>
      <c r="L37" s="187">
        <v>12.247310379881396</v>
      </c>
      <c r="M37" s="187"/>
      <c r="N37" s="188">
        <v>32.328424271867455</v>
      </c>
      <c r="O37" s="188">
        <v>31.722576987011788</v>
      </c>
      <c r="P37" s="188">
        <v>26.233519954596538</v>
      </c>
      <c r="Q37" s="188">
        <v>22.9331345483515</v>
      </c>
      <c r="R37" s="187">
        <v>20.884633848071665</v>
      </c>
      <c r="S37" s="187"/>
      <c r="T37" s="188">
        <v>0</v>
      </c>
      <c r="U37" s="188">
        <v>0</v>
      </c>
      <c r="V37" s="188">
        <v>0</v>
      </c>
      <c r="W37" s="188">
        <v>0</v>
      </c>
      <c r="X37" s="187">
        <v>0</v>
      </c>
      <c r="Y37" s="90" t="str">
        <f>$A$9</f>
        <v>20-24</v>
      </c>
      <c r="Z37" s="188">
        <v>179.47599670013653</v>
      </c>
      <c r="AA37" s="188">
        <v>187.56758244877105</v>
      </c>
      <c r="AB37" s="188">
        <v>195.70388276755187</v>
      </c>
      <c r="AC37" s="188">
        <v>186.34405047249078</v>
      </c>
      <c r="AD37" s="187">
        <v>185.01228504909878</v>
      </c>
      <c r="AE37" s="187"/>
      <c r="AF37" s="188">
        <v>169.79137146665974</v>
      </c>
      <c r="AG37" s="188">
        <v>177.44629400726811</v>
      </c>
      <c r="AH37" s="188">
        <v>185.14356605643363</v>
      </c>
      <c r="AI37" s="188">
        <v>176.28878253096943</v>
      </c>
      <c r="AJ37" s="187">
        <v>175.02885632439069</v>
      </c>
      <c r="AK37" s="187"/>
      <c r="AL37" s="188">
        <v>9.6846252334768117</v>
      </c>
      <c r="AM37" s="188">
        <v>10.121288441502955</v>
      </c>
      <c r="AN37" s="188">
        <v>10.560316711118229</v>
      </c>
      <c r="AO37" s="188">
        <v>10.055267941521366</v>
      </c>
      <c r="AP37" s="187">
        <v>9.9834287247081175</v>
      </c>
      <c r="AQ37" s="90" t="str">
        <f>$A$9</f>
        <v>20-24</v>
      </c>
      <c r="AR37" s="188">
        <v>88.329326416949002</v>
      </c>
      <c r="AS37" s="188">
        <v>91.282802408765903</v>
      </c>
      <c r="AT37" s="188">
        <v>110.63256042580073</v>
      </c>
      <c r="AU37" s="188">
        <v>118.86519972204405</v>
      </c>
      <c r="AV37" s="187">
        <v>132.58977072294817</v>
      </c>
      <c r="AW37" s="187"/>
      <c r="AX37" s="188">
        <v>88.165028914454396</v>
      </c>
      <c r="AY37" s="188">
        <v>91.112930485790656</v>
      </c>
      <c r="AZ37" s="188">
        <v>110.42669182995489</v>
      </c>
      <c r="BA37" s="188">
        <v>118.644032109338</v>
      </c>
      <c r="BB37" s="187">
        <v>132.3431042203359</v>
      </c>
      <c r="BC37" s="187"/>
      <c r="BD37" s="188">
        <v>0.16429750249460409</v>
      </c>
      <c r="BE37" s="188">
        <v>0.16987192297524076</v>
      </c>
      <c r="BF37" s="188">
        <v>0.2058685958458471</v>
      </c>
      <c r="BG37" s="188">
        <v>0.2211676127060439</v>
      </c>
      <c r="BH37" s="187">
        <v>0.2466665026122716</v>
      </c>
    </row>
    <row r="38" spans="1:60" x14ac:dyDescent="0.2">
      <c r="A38" s="90" t="str">
        <f>$A$10</f>
        <v>25-29</v>
      </c>
      <c r="B38" s="188">
        <v>48.980336910061595</v>
      </c>
      <c r="C38" s="188">
        <v>58.029393144137778</v>
      </c>
      <c r="D38" s="188">
        <v>51.776100367683391</v>
      </c>
      <c r="E38" s="188">
        <v>49.053973946460331</v>
      </c>
      <c r="F38" s="187">
        <v>43.531243964596278</v>
      </c>
      <c r="G38" s="187"/>
      <c r="H38" s="188">
        <v>18.23204899869749</v>
      </c>
      <c r="I38" s="188">
        <v>21.600341017225613</v>
      </c>
      <c r="J38" s="188">
        <v>19.272660294510747</v>
      </c>
      <c r="K38" s="188">
        <v>18.259465614997644</v>
      </c>
      <c r="L38" s="187">
        <v>16.203686177787539</v>
      </c>
      <c r="M38" s="187"/>
      <c r="N38" s="188">
        <v>30.748287911364105</v>
      </c>
      <c r="O38" s="188">
        <v>36.429052126912168</v>
      </c>
      <c r="P38" s="188">
        <v>32.503440073172648</v>
      </c>
      <c r="Q38" s="188">
        <v>30.794508331462694</v>
      </c>
      <c r="R38" s="187">
        <v>27.32755778680874</v>
      </c>
      <c r="S38" s="187"/>
      <c r="T38" s="188">
        <v>0</v>
      </c>
      <c r="U38" s="188">
        <v>0</v>
      </c>
      <c r="V38" s="188">
        <v>0</v>
      </c>
      <c r="W38" s="188">
        <v>0</v>
      </c>
      <c r="X38" s="187">
        <v>0</v>
      </c>
      <c r="Y38" s="90" t="str">
        <f>$A$10</f>
        <v>25-29</v>
      </c>
      <c r="Z38" s="188">
        <v>127.78718872779281</v>
      </c>
      <c r="AA38" s="188">
        <v>119.37410820126239</v>
      </c>
      <c r="AB38" s="188">
        <v>118.02109899531821</v>
      </c>
      <c r="AC38" s="188">
        <v>118.58410734575391</v>
      </c>
      <c r="AD38" s="187">
        <v>111.69989644356696</v>
      </c>
      <c r="AE38" s="187"/>
      <c r="AF38" s="188">
        <v>117.06434284916277</v>
      </c>
      <c r="AG38" s="188">
        <v>109.35717668619014</v>
      </c>
      <c r="AH38" s="188">
        <v>108.11773722560081</v>
      </c>
      <c r="AI38" s="188">
        <v>108.63342670868553</v>
      </c>
      <c r="AJ38" s="187">
        <v>102.3269079217695</v>
      </c>
      <c r="AK38" s="187"/>
      <c r="AL38" s="188">
        <v>10.722845878630038</v>
      </c>
      <c r="AM38" s="188">
        <v>10.01693151507223</v>
      </c>
      <c r="AN38" s="188">
        <v>9.9033617697174048</v>
      </c>
      <c r="AO38" s="188">
        <v>9.9506806370683663</v>
      </c>
      <c r="AP38" s="187">
        <v>9.3729885217974456</v>
      </c>
      <c r="AQ38" s="90" t="str">
        <f>$A$10</f>
        <v>25-29</v>
      </c>
      <c r="AR38" s="188">
        <v>165.48947436214561</v>
      </c>
      <c r="AS38" s="188">
        <v>169.04449865459986</v>
      </c>
      <c r="AT38" s="188">
        <v>192.77780063699839</v>
      </c>
      <c r="AU38" s="188">
        <v>214.16091870778578</v>
      </c>
      <c r="AV38" s="187">
        <v>222.34985959183678</v>
      </c>
      <c r="AW38" s="187"/>
      <c r="AX38" s="188">
        <v>163.99516578961072</v>
      </c>
      <c r="AY38" s="188">
        <v>167.51816718569009</v>
      </c>
      <c r="AZ38" s="188">
        <v>191.03715957991898</v>
      </c>
      <c r="BA38" s="188">
        <v>212.22723208261212</v>
      </c>
      <c r="BB38" s="187">
        <v>220.34220948065195</v>
      </c>
      <c r="BC38" s="187"/>
      <c r="BD38" s="188">
        <v>1.4943085725348841</v>
      </c>
      <c r="BE38" s="188">
        <v>1.526331468909754</v>
      </c>
      <c r="BF38" s="188">
        <v>1.740641057079428</v>
      </c>
      <c r="BG38" s="188">
        <v>1.9336866251736855</v>
      </c>
      <c r="BH38" s="187">
        <v>2.0076501111848128</v>
      </c>
    </row>
    <row r="39" spans="1:60" x14ac:dyDescent="0.2">
      <c r="A39" s="90" t="str">
        <f>$A$11</f>
        <v>30-34</v>
      </c>
      <c r="B39" s="188">
        <v>48.351616200732686</v>
      </c>
      <c r="C39" s="188">
        <v>54.81450484456311</v>
      </c>
      <c r="D39" s="188">
        <v>52.150998553698685</v>
      </c>
      <c r="E39" s="188">
        <v>48.164476439532713</v>
      </c>
      <c r="F39" s="187">
        <v>40.226027639053598</v>
      </c>
      <c r="G39" s="187"/>
      <c r="H39" s="188">
        <v>20.247488689226163</v>
      </c>
      <c r="I39" s="188">
        <v>22.95380254002168</v>
      </c>
      <c r="J39" s="188">
        <v>21.838502656747391</v>
      </c>
      <c r="K39" s="188">
        <v>20.169083304063328</v>
      </c>
      <c r="L39" s="187">
        <v>16.844826452036404</v>
      </c>
      <c r="M39" s="187"/>
      <c r="N39" s="188">
        <v>28.104127511506523</v>
      </c>
      <c r="O39" s="188">
        <v>31.86070230454143</v>
      </c>
      <c r="P39" s="188">
        <v>30.312495896951297</v>
      </c>
      <c r="Q39" s="188">
        <v>27.995393135469385</v>
      </c>
      <c r="R39" s="187">
        <v>23.381201187017187</v>
      </c>
      <c r="S39" s="187"/>
      <c r="T39" s="188">
        <v>0</v>
      </c>
      <c r="U39" s="188">
        <v>0</v>
      </c>
      <c r="V39" s="188">
        <v>0</v>
      </c>
      <c r="W39" s="188">
        <v>0</v>
      </c>
      <c r="X39" s="187">
        <v>0</v>
      </c>
      <c r="Y39" s="90" t="str">
        <f>$A$11</f>
        <v>30-34</v>
      </c>
      <c r="Z39" s="188">
        <v>126.59052603481021</v>
      </c>
      <c r="AA39" s="188">
        <v>118.76404254564063</v>
      </c>
      <c r="AB39" s="188">
        <v>124.03995863874285</v>
      </c>
      <c r="AC39" s="188">
        <v>123.84674741528471</v>
      </c>
      <c r="AD39" s="187">
        <v>125.93134426917472</v>
      </c>
      <c r="AE39" s="187"/>
      <c r="AF39" s="188">
        <v>116.68034085440465</v>
      </c>
      <c r="AG39" s="188">
        <v>109.46652247600598</v>
      </c>
      <c r="AH39" s="188">
        <v>114.32946398888731</v>
      </c>
      <c r="AI39" s="188">
        <v>114.15134413116714</v>
      </c>
      <c r="AJ39" s="187">
        <v>116.0727553396063</v>
      </c>
      <c r="AK39" s="187"/>
      <c r="AL39" s="188">
        <v>9.9101851804055663</v>
      </c>
      <c r="AM39" s="188">
        <v>9.2975200696346505</v>
      </c>
      <c r="AN39" s="188">
        <v>9.7104946498555318</v>
      </c>
      <c r="AO39" s="188">
        <v>9.6954032841175852</v>
      </c>
      <c r="AP39" s="187">
        <v>9.8585889295684215</v>
      </c>
      <c r="AQ39" s="90" t="str">
        <f>$A$11</f>
        <v>30-34</v>
      </c>
      <c r="AR39" s="188">
        <v>165.33285776445709</v>
      </c>
      <c r="AS39" s="188">
        <v>173.27745260979628</v>
      </c>
      <c r="AT39" s="188">
        <v>193.84104280755847</v>
      </c>
      <c r="AU39" s="188">
        <v>212.88877614518256</v>
      </c>
      <c r="AV39" s="187">
        <v>239.55062809177167</v>
      </c>
      <c r="AW39" s="187"/>
      <c r="AX39" s="188">
        <v>163.54698646509576</v>
      </c>
      <c r="AY39" s="188">
        <v>171.40581210762247</v>
      </c>
      <c r="AZ39" s="188">
        <v>191.74726433199922</v>
      </c>
      <c r="BA39" s="188">
        <v>210.58921239342598</v>
      </c>
      <c r="BB39" s="187">
        <v>236.96312770820174</v>
      </c>
      <c r="BC39" s="187"/>
      <c r="BD39" s="188">
        <v>1.785871299361329</v>
      </c>
      <c r="BE39" s="188">
        <v>1.8716405021737883</v>
      </c>
      <c r="BF39" s="188">
        <v>2.0937784755592417</v>
      </c>
      <c r="BG39" s="188">
        <v>2.2995637517565553</v>
      </c>
      <c r="BH39" s="187">
        <v>2.587500383569969</v>
      </c>
    </row>
    <row r="40" spans="1:60" x14ac:dyDescent="0.2">
      <c r="A40" s="90" t="str">
        <f>$A$12</f>
        <v>35-39</v>
      </c>
      <c r="B40" s="188">
        <v>72.542037614782771</v>
      </c>
      <c r="C40" s="188">
        <v>65.06766726540738</v>
      </c>
      <c r="D40" s="188">
        <v>54.766784806672291</v>
      </c>
      <c r="E40" s="188">
        <v>45.523587094052431</v>
      </c>
      <c r="F40" s="187">
        <v>34.291330085724873</v>
      </c>
      <c r="G40" s="187"/>
      <c r="H40" s="188">
        <v>28.179422220811407</v>
      </c>
      <c r="I40" s="188">
        <v>25.275934699382731</v>
      </c>
      <c r="J40" s="188">
        <v>21.27450416950764</v>
      </c>
      <c r="K40" s="188">
        <v>17.683894029231208</v>
      </c>
      <c r="L40" s="187">
        <v>13.320662566860962</v>
      </c>
      <c r="M40" s="187"/>
      <c r="N40" s="188">
        <v>44.362615393971375</v>
      </c>
      <c r="O40" s="188">
        <v>39.791732566024642</v>
      </c>
      <c r="P40" s="188">
        <v>33.492280637164654</v>
      </c>
      <c r="Q40" s="188">
        <v>27.839693064821223</v>
      </c>
      <c r="R40" s="187">
        <v>20.97066751886392</v>
      </c>
      <c r="S40" s="187"/>
      <c r="T40" s="188">
        <v>0</v>
      </c>
      <c r="U40" s="188">
        <v>0</v>
      </c>
      <c r="V40" s="188">
        <v>0</v>
      </c>
      <c r="W40" s="188">
        <v>0</v>
      </c>
      <c r="X40" s="187">
        <v>0</v>
      </c>
      <c r="Y40" s="90" t="str">
        <f>$A$12</f>
        <v>35-39</v>
      </c>
      <c r="Z40" s="188">
        <v>150.0126567417164</v>
      </c>
      <c r="AA40" s="188">
        <v>135.68236231505094</v>
      </c>
      <c r="AB40" s="188">
        <v>124.7291826751361</v>
      </c>
      <c r="AC40" s="188">
        <v>129.47197272823703</v>
      </c>
      <c r="AD40" s="187">
        <v>133.15322905166937</v>
      </c>
      <c r="AE40" s="187"/>
      <c r="AF40" s="188">
        <v>140.37576984147361</v>
      </c>
      <c r="AG40" s="188">
        <v>126.96602473402704</v>
      </c>
      <c r="AH40" s="188">
        <v>116.71649206662644</v>
      </c>
      <c r="AI40" s="188">
        <v>121.15460882835858</v>
      </c>
      <c r="AJ40" s="187">
        <v>124.59942116921782</v>
      </c>
      <c r="AK40" s="187"/>
      <c r="AL40" s="188">
        <v>9.6368869002428053</v>
      </c>
      <c r="AM40" s="188">
        <v>8.7163375810238843</v>
      </c>
      <c r="AN40" s="188">
        <v>8.0126906085096579</v>
      </c>
      <c r="AO40" s="188">
        <v>8.3173638998784618</v>
      </c>
      <c r="AP40" s="187">
        <v>8.5538078824515384</v>
      </c>
      <c r="AQ40" s="90" t="str">
        <f>$A$12</f>
        <v>35-39</v>
      </c>
      <c r="AR40" s="188">
        <v>154.06830564350082</v>
      </c>
      <c r="AS40" s="188">
        <v>168.96597041954166</v>
      </c>
      <c r="AT40" s="188">
        <v>183.46103251819156</v>
      </c>
      <c r="AU40" s="188">
        <v>208.70844017771051</v>
      </c>
      <c r="AV40" s="187">
        <v>232.21144086260571</v>
      </c>
      <c r="AW40" s="187"/>
      <c r="AX40" s="188">
        <v>152.29837009196677</v>
      </c>
      <c r="AY40" s="188">
        <v>167.02491938857551</v>
      </c>
      <c r="AZ40" s="188">
        <v>181.35346640367695</v>
      </c>
      <c r="BA40" s="188">
        <v>206.31083395767615</v>
      </c>
      <c r="BB40" s="187">
        <v>229.54383629553598</v>
      </c>
      <c r="BC40" s="187"/>
      <c r="BD40" s="188">
        <v>1.7699355515340602</v>
      </c>
      <c r="BE40" s="188">
        <v>1.9410510309661682</v>
      </c>
      <c r="BF40" s="188">
        <v>2.1075661145145714</v>
      </c>
      <c r="BG40" s="188">
        <v>2.3976062200343793</v>
      </c>
      <c r="BH40" s="187">
        <v>2.6676045670697208</v>
      </c>
    </row>
    <row r="41" spans="1:60" x14ac:dyDescent="0.2">
      <c r="A41" s="90" t="str">
        <f>$A$13</f>
        <v>40-44</v>
      </c>
      <c r="B41" s="188">
        <v>95.592148824351668</v>
      </c>
      <c r="C41" s="188">
        <v>82.616320455715311</v>
      </c>
      <c r="D41" s="188">
        <v>65.715939292358911</v>
      </c>
      <c r="E41" s="188">
        <v>45.625343125830476</v>
      </c>
      <c r="F41" s="187">
        <v>32.319365015981639</v>
      </c>
      <c r="G41" s="187"/>
      <c r="H41" s="188">
        <v>37.546766551729547</v>
      </c>
      <c r="I41" s="188">
        <v>32.450059589071273</v>
      </c>
      <c r="J41" s="188">
        <v>25.811957711373253</v>
      </c>
      <c r="K41" s="188">
        <v>17.920731648709907</v>
      </c>
      <c r="L41" s="187">
        <v>12.694407857730498</v>
      </c>
      <c r="M41" s="187"/>
      <c r="N41" s="188">
        <v>58.045382272622113</v>
      </c>
      <c r="O41" s="188">
        <v>50.166260866644031</v>
      </c>
      <c r="P41" s="188">
        <v>39.903981580985658</v>
      </c>
      <c r="Q41" s="188">
        <v>27.704611477120565</v>
      </c>
      <c r="R41" s="187">
        <v>19.624957158251146</v>
      </c>
      <c r="S41" s="187"/>
      <c r="T41" s="188">
        <v>0</v>
      </c>
      <c r="U41" s="188">
        <v>0</v>
      </c>
      <c r="V41" s="188">
        <v>0</v>
      </c>
      <c r="W41" s="188">
        <v>0</v>
      </c>
      <c r="X41" s="187">
        <v>0</v>
      </c>
      <c r="Y41" s="90" t="str">
        <f>$A$13</f>
        <v>40-44</v>
      </c>
      <c r="Z41" s="188">
        <v>162.09391868766315</v>
      </c>
      <c r="AA41" s="188">
        <v>149.15249146976197</v>
      </c>
      <c r="AB41" s="188">
        <v>139.74715456529819</v>
      </c>
      <c r="AC41" s="188">
        <v>140.1664801116975</v>
      </c>
      <c r="AD41" s="187">
        <v>150.93061003653065</v>
      </c>
      <c r="AE41" s="187"/>
      <c r="AF41" s="188">
        <v>153.25080642376565</v>
      </c>
      <c r="AG41" s="188">
        <v>141.01546291821501</v>
      </c>
      <c r="AH41" s="188">
        <v>132.12323273689802</v>
      </c>
      <c r="AI41" s="188">
        <v>132.51964992616811</v>
      </c>
      <c r="AJ41" s="187">
        <v>142.69650407013222</v>
      </c>
      <c r="AK41" s="187"/>
      <c r="AL41" s="188">
        <v>8.8431122638974973</v>
      </c>
      <c r="AM41" s="188">
        <v>8.1370285515469902</v>
      </c>
      <c r="AN41" s="188">
        <v>7.6239218284001815</v>
      </c>
      <c r="AO41" s="188">
        <v>7.6468301855293674</v>
      </c>
      <c r="AP41" s="187">
        <v>8.2341059663984471</v>
      </c>
      <c r="AQ41" s="90" t="str">
        <f>$A$13</f>
        <v>40-44</v>
      </c>
      <c r="AR41" s="188">
        <v>142.30393248798518</v>
      </c>
      <c r="AS41" s="188">
        <v>157.16218807452273</v>
      </c>
      <c r="AT41" s="188">
        <v>174.12990614234292</v>
      </c>
      <c r="AU41" s="188">
        <v>185.34617676247206</v>
      </c>
      <c r="AV41" s="187">
        <v>209.35902494748774</v>
      </c>
      <c r="AW41" s="187"/>
      <c r="AX41" s="188">
        <v>140.61932188279332</v>
      </c>
      <c r="AY41" s="188">
        <v>155.30162565099377</v>
      </c>
      <c r="AZ41" s="188">
        <v>172.06854465783039</v>
      </c>
      <c r="BA41" s="188">
        <v>183.15203689418161</v>
      </c>
      <c r="BB41" s="187">
        <v>206.8805346793352</v>
      </c>
      <c r="BC41" s="187"/>
      <c r="BD41" s="188">
        <v>1.6846106051918688</v>
      </c>
      <c r="BE41" s="188">
        <v>1.8605624235289417</v>
      </c>
      <c r="BF41" s="188">
        <v>2.061361484512561</v>
      </c>
      <c r="BG41" s="188">
        <v>2.1941398682904496</v>
      </c>
      <c r="BH41" s="187">
        <v>2.4784902681525449</v>
      </c>
    </row>
    <row r="42" spans="1:60" x14ac:dyDescent="0.2">
      <c r="A42" s="90" t="str">
        <f>$A$14</f>
        <v>45-49</v>
      </c>
      <c r="B42" s="188">
        <v>121.60001747416324</v>
      </c>
      <c r="C42" s="188">
        <v>119.25515350242472</v>
      </c>
      <c r="D42" s="188">
        <v>78.884619183002073</v>
      </c>
      <c r="E42" s="188">
        <v>54.824500970236151</v>
      </c>
      <c r="F42" s="187">
        <v>37.259131610277123</v>
      </c>
      <c r="G42" s="187"/>
      <c r="H42" s="188">
        <v>52.054388742127969</v>
      </c>
      <c r="I42" s="188">
        <v>51.050559464587302</v>
      </c>
      <c r="J42" s="188">
        <v>33.768780739827292</v>
      </c>
      <c r="K42" s="188">
        <v>23.469200966687755</v>
      </c>
      <c r="L42" s="187">
        <v>15.949827829172355</v>
      </c>
      <c r="M42" s="187"/>
      <c r="N42" s="188">
        <v>69.545628732035269</v>
      </c>
      <c r="O42" s="188">
        <v>68.20459403783741</v>
      </c>
      <c r="P42" s="188">
        <v>45.115838443174781</v>
      </c>
      <c r="Q42" s="188">
        <v>31.355300003548397</v>
      </c>
      <c r="R42" s="187">
        <v>21.309303781104767</v>
      </c>
      <c r="S42" s="187"/>
      <c r="T42" s="188">
        <v>0</v>
      </c>
      <c r="U42" s="188">
        <v>0</v>
      </c>
      <c r="V42" s="188">
        <v>0</v>
      </c>
      <c r="W42" s="188">
        <v>0</v>
      </c>
      <c r="X42" s="187">
        <v>0</v>
      </c>
      <c r="Y42" s="90" t="str">
        <f>$A$14</f>
        <v>45-49</v>
      </c>
      <c r="Z42" s="188">
        <v>149.19037176042775</v>
      </c>
      <c r="AA42" s="188">
        <v>147.02780307619315</v>
      </c>
      <c r="AB42" s="188">
        <v>157.07832682690201</v>
      </c>
      <c r="AC42" s="188">
        <v>161.18355055313589</v>
      </c>
      <c r="AD42" s="187">
        <v>163.5645829534713</v>
      </c>
      <c r="AE42" s="187"/>
      <c r="AF42" s="188">
        <v>141.73208428692129</v>
      </c>
      <c r="AG42" s="188">
        <v>139.67761552454377</v>
      </c>
      <c r="AH42" s="188">
        <v>149.22576147745451</v>
      </c>
      <c r="AI42" s="188">
        <v>153.12567731056208</v>
      </c>
      <c r="AJ42" s="187">
        <v>155.38774863532086</v>
      </c>
      <c r="AK42" s="187"/>
      <c r="AL42" s="188">
        <v>7.4582874735064566</v>
      </c>
      <c r="AM42" s="188">
        <v>7.350187551649368</v>
      </c>
      <c r="AN42" s="188">
        <v>7.852565349447544</v>
      </c>
      <c r="AO42" s="188">
        <v>8.0578732425738266</v>
      </c>
      <c r="AP42" s="187">
        <v>8.1768343181504513</v>
      </c>
      <c r="AQ42" s="90" t="str">
        <f>$A$14</f>
        <v>45-49</v>
      </c>
      <c r="AR42" s="188">
        <v>127.15261076540904</v>
      </c>
      <c r="AS42" s="188">
        <v>139.95804342138214</v>
      </c>
      <c r="AT42" s="188">
        <v>158.0250539900959</v>
      </c>
      <c r="AU42" s="188">
        <v>167.70994847662797</v>
      </c>
      <c r="AV42" s="187">
        <v>175.15628543625161</v>
      </c>
      <c r="AW42" s="187"/>
      <c r="AX42" s="188">
        <v>125.59964483820595</v>
      </c>
      <c r="AY42" s="188">
        <v>138.24869825890119</v>
      </c>
      <c r="AZ42" s="188">
        <v>156.09507742676459</v>
      </c>
      <c r="BA42" s="188">
        <v>165.66165535163051</v>
      </c>
      <c r="BB42" s="187">
        <v>173.01706017357083</v>
      </c>
      <c r="BC42" s="187"/>
      <c r="BD42" s="188">
        <v>1.5529659272030856</v>
      </c>
      <c r="BE42" s="188">
        <v>1.7093451624809444</v>
      </c>
      <c r="BF42" s="188">
        <v>1.9299765633313342</v>
      </c>
      <c r="BG42" s="188">
        <v>2.0482931249974619</v>
      </c>
      <c r="BH42" s="187">
        <v>2.1392252626807844</v>
      </c>
    </row>
    <row r="43" spans="1:60" x14ac:dyDescent="0.2">
      <c r="A43" s="90" t="str">
        <f>$A$15</f>
        <v>50-54</v>
      </c>
      <c r="B43" s="188">
        <v>151.76046321416865</v>
      </c>
      <c r="C43" s="188">
        <v>142.31942173288223</v>
      </c>
      <c r="D43" s="188">
        <v>119.93293116047923</v>
      </c>
      <c r="E43" s="188">
        <v>88.171156371964599</v>
      </c>
      <c r="F43" s="187">
        <v>63.180524219714144</v>
      </c>
      <c r="G43" s="187"/>
      <c r="H43" s="188">
        <v>72.199699301024509</v>
      </c>
      <c r="I43" s="188">
        <v>67.708117557824508</v>
      </c>
      <c r="J43" s="188">
        <v>57.057834143300127</v>
      </c>
      <c r="K43" s="188">
        <v>41.9472270479773</v>
      </c>
      <c r="L43" s="187">
        <v>30.058003326770649</v>
      </c>
      <c r="M43" s="187"/>
      <c r="N43" s="188">
        <v>79.560763913144157</v>
      </c>
      <c r="O43" s="188">
        <v>74.611304175057768</v>
      </c>
      <c r="P43" s="188">
        <v>62.875097017179108</v>
      </c>
      <c r="Q43" s="188">
        <v>46.223929323987292</v>
      </c>
      <c r="R43" s="187">
        <v>33.122520892943498</v>
      </c>
      <c r="S43" s="187"/>
      <c r="T43" s="188">
        <v>0</v>
      </c>
      <c r="U43" s="188">
        <v>0</v>
      </c>
      <c r="V43" s="188">
        <v>0</v>
      </c>
      <c r="W43" s="188">
        <v>0</v>
      </c>
      <c r="X43" s="187">
        <v>0</v>
      </c>
      <c r="Y43" s="90" t="str">
        <f>$A$15</f>
        <v>50-54</v>
      </c>
      <c r="Z43" s="188">
        <v>124.24614829379526</v>
      </c>
      <c r="AA43" s="188">
        <v>130.25908800461309</v>
      </c>
      <c r="AB43" s="188">
        <v>149.14503167899258</v>
      </c>
      <c r="AC43" s="188">
        <v>157.9913676435533</v>
      </c>
      <c r="AD43" s="187">
        <v>164.67380902817911</v>
      </c>
      <c r="AE43" s="187"/>
      <c r="AF43" s="188">
        <v>117.87817168097233</v>
      </c>
      <c r="AG43" s="188">
        <v>123.5828772613132</v>
      </c>
      <c r="AH43" s="188">
        <v>141.50083699823233</v>
      </c>
      <c r="AI43" s="188">
        <v>149.89384905562815</v>
      </c>
      <c r="AJ43" s="187">
        <v>156.23374286788874</v>
      </c>
      <c r="AK43" s="187"/>
      <c r="AL43" s="188">
        <v>6.3679766128229192</v>
      </c>
      <c r="AM43" s="188">
        <v>6.6762107432998921</v>
      </c>
      <c r="AN43" s="188">
        <v>7.6441946807602736</v>
      </c>
      <c r="AO43" s="188">
        <v>8.0975185879251441</v>
      </c>
      <c r="AP43" s="187">
        <v>8.4400661602903408</v>
      </c>
      <c r="AQ43" s="90" t="str">
        <f>$A$15</f>
        <v>50-54</v>
      </c>
      <c r="AR43" s="188">
        <v>92.988388492036123</v>
      </c>
      <c r="AS43" s="188">
        <v>110.77949026250468</v>
      </c>
      <c r="AT43" s="188">
        <v>137.77303716052822</v>
      </c>
      <c r="AU43" s="188">
        <v>148.29147598448213</v>
      </c>
      <c r="AV43" s="187">
        <v>157.07466675210676</v>
      </c>
      <c r="AW43" s="187"/>
      <c r="AX43" s="188">
        <v>92.202593366663635</v>
      </c>
      <c r="AY43" s="188">
        <v>109.84331382664183</v>
      </c>
      <c r="AZ43" s="188">
        <v>136.60872759410435</v>
      </c>
      <c r="BA43" s="188">
        <v>147.03823447333156</v>
      </c>
      <c r="BB43" s="187">
        <v>155.74724028806634</v>
      </c>
      <c r="BC43" s="187"/>
      <c r="BD43" s="188">
        <v>0.78579512537246932</v>
      </c>
      <c r="BE43" s="188">
        <v>0.93617643586283261</v>
      </c>
      <c r="BF43" s="188">
        <v>1.1643095664238496</v>
      </c>
      <c r="BG43" s="188">
        <v>1.2532415111505675</v>
      </c>
      <c r="BH43" s="187">
        <v>1.3274264640404241</v>
      </c>
    </row>
    <row r="44" spans="1:60" x14ac:dyDescent="0.2">
      <c r="A44" s="90" t="str">
        <f>$A$16</f>
        <v>55-59</v>
      </c>
      <c r="B44" s="188">
        <v>164.06581424258854</v>
      </c>
      <c r="C44" s="188">
        <v>150.69890471648134</v>
      </c>
      <c r="D44" s="188">
        <v>139.62009278798115</v>
      </c>
      <c r="E44" s="188">
        <v>115.66738771483223</v>
      </c>
      <c r="F44" s="187">
        <v>84.578879253283077</v>
      </c>
      <c r="G44" s="187"/>
      <c r="H44" s="188">
        <v>83.472280270866776</v>
      </c>
      <c r="I44" s="188">
        <v>76.671543299949803</v>
      </c>
      <c r="J44" s="188">
        <v>71.034930306068375</v>
      </c>
      <c r="K44" s="188">
        <v>58.848447605981825</v>
      </c>
      <c r="L44" s="187">
        <v>43.031510173276651</v>
      </c>
      <c r="M44" s="187"/>
      <c r="N44" s="188">
        <v>80.593533971721769</v>
      </c>
      <c r="O44" s="188">
        <v>74.027361416531534</v>
      </c>
      <c r="P44" s="188">
        <v>68.585162481912789</v>
      </c>
      <c r="Q44" s="188">
        <v>56.818940108850398</v>
      </c>
      <c r="R44" s="187">
        <v>41.547369080006419</v>
      </c>
      <c r="S44" s="187"/>
      <c r="T44" s="188">
        <v>0</v>
      </c>
      <c r="U44" s="188">
        <v>0</v>
      </c>
      <c r="V44" s="188">
        <v>0</v>
      </c>
      <c r="W44" s="188">
        <v>0</v>
      </c>
      <c r="X44" s="187">
        <v>0</v>
      </c>
      <c r="Y44" s="90" t="str">
        <f>$A$16</f>
        <v>55-59</v>
      </c>
      <c r="Z44" s="188">
        <v>103.85146408829428</v>
      </c>
      <c r="AA44" s="188">
        <v>105.31706169001831</v>
      </c>
      <c r="AB44" s="188">
        <v>133.62564527254057</v>
      </c>
      <c r="AC44" s="188">
        <v>158.51241512029338</v>
      </c>
      <c r="AD44" s="187">
        <v>167.67684572688086</v>
      </c>
      <c r="AE44" s="187"/>
      <c r="AF44" s="188">
        <v>97.635306286684369</v>
      </c>
      <c r="AG44" s="188">
        <v>99.013227711577329</v>
      </c>
      <c r="AH44" s="188">
        <v>125.62736470938835</v>
      </c>
      <c r="AI44" s="188">
        <v>149.02451048118331</v>
      </c>
      <c r="AJ44" s="187">
        <v>157.64040037339234</v>
      </c>
      <c r="AK44" s="187"/>
      <c r="AL44" s="188">
        <v>6.2161578016099055</v>
      </c>
      <c r="AM44" s="188">
        <v>6.3038339784409745</v>
      </c>
      <c r="AN44" s="188">
        <v>7.9982805631522167</v>
      </c>
      <c r="AO44" s="188">
        <v>9.4879046391100914</v>
      </c>
      <c r="AP44" s="187">
        <v>10.036445353488508</v>
      </c>
      <c r="AQ44" s="90" t="str">
        <f>$A$16</f>
        <v>55-59</v>
      </c>
      <c r="AR44" s="188">
        <v>71.118721669117207</v>
      </c>
      <c r="AS44" s="188">
        <v>89.960033593500384</v>
      </c>
      <c r="AT44" s="188">
        <v>106.67026193947827</v>
      </c>
      <c r="AU44" s="188">
        <v>129.27319716487438</v>
      </c>
      <c r="AV44" s="187">
        <v>139.76427501983605</v>
      </c>
      <c r="AW44" s="187"/>
      <c r="AX44" s="188">
        <v>70.361656937121666</v>
      </c>
      <c r="AY44" s="188">
        <v>89.002383349993565</v>
      </c>
      <c r="AZ44" s="188">
        <v>105.53473797538304</v>
      </c>
      <c r="BA44" s="188">
        <v>127.89702319588957</v>
      </c>
      <c r="BB44" s="187">
        <v>138.27638669068557</v>
      </c>
      <c r="BC44" s="187"/>
      <c r="BD44" s="188">
        <v>0.75706473199554847</v>
      </c>
      <c r="BE44" s="188">
        <v>0.95765024350680805</v>
      </c>
      <c r="BF44" s="188">
        <v>1.1355239640952357</v>
      </c>
      <c r="BG44" s="188">
        <v>1.3761739689848116</v>
      </c>
      <c r="BH44" s="187">
        <v>1.4878883291504774</v>
      </c>
    </row>
    <row r="45" spans="1:60" x14ac:dyDescent="0.2">
      <c r="A45" s="90" t="str">
        <f>$A$17</f>
        <v>60-64</v>
      </c>
      <c r="B45" s="188">
        <v>165.06537455422799</v>
      </c>
      <c r="C45" s="188">
        <v>167.88674816060211</v>
      </c>
      <c r="D45" s="188">
        <v>145.42540941137864</v>
      </c>
      <c r="E45" s="188">
        <v>125.57390015162404</v>
      </c>
      <c r="F45" s="187">
        <v>98.802245415285199</v>
      </c>
      <c r="G45" s="187"/>
      <c r="H45" s="188">
        <v>93.553123450841682</v>
      </c>
      <c r="I45" s="188">
        <v>95.15219797521867</v>
      </c>
      <c r="J45" s="188">
        <v>82.421896218232547</v>
      </c>
      <c r="K45" s="188">
        <v>71.170799052200323</v>
      </c>
      <c r="L45" s="187">
        <v>55.997543894228997</v>
      </c>
      <c r="M45" s="187"/>
      <c r="N45" s="188">
        <v>71.512251103386319</v>
      </c>
      <c r="O45" s="188">
        <v>72.734550185383426</v>
      </c>
      <c r="P45" s="188">
        <v>63.003513193146112</v>
      </c>
      <c r="Q45" s="188">
        <v>54.403101099423715</v>
      </c>
      <c r="R45" s="187">
        <v>42.804701521056209</v>
      </c>
      <c r="S45" s="187"/>
      <c r="T45" s="188">
        <v>0</v>
      </c>
      <c r="U45" s="188">
        <v>0</v>
      </c>
      <c r="V45" s="188">
        <v>0</v>
      </c>
      <c r="W45" s="188">
        <v>0</v>
      </c>
      <c r="X45" s="187">
        <v>0</v>
      </c>
      <c r="Y45" s="90" t="str">
        <f>$A$17</f>
        <v>60-64</v>
      </c>
      <c r="Z45" s="188">
        <v>78.364072036445037</v>
      </c>
      <c r="AA45" s="188">
        <v>85.048861618755822</v>
      </c>
      <c r="AB45" s="188">
        <v>109.18459242485633</v>
      </c>
      <c r="AC45" s="188">
        <v>137.4151283547578</v>
      </c>
      <c r="AD45" s="187">
        <v>160.29275934647907</v>
      </c>
      <c r="AE45" s="187"/>
      <c r="AF45" s="188">
        <v>73.870615721664365</v>
      </c>
      <c r="AG45" s="188">
        <v>80.172077906886543</v>
      </c>
      <c r="AH45" s="188">
        <v>102.92385352478725</v>
      </c>
      <c r="AI45" s="188">
        <v>129.53569602307752</v>
      </c>
      <c r="AJ45" s="187">
        <v>151.10146214371721</v>
      </c>
      <c r="AK45" s="187"/>
      <c r="AL45" s="188">
        <v>4.4934563147806799</v>
      </c>
      <c r="AM45" s="188">
        <v>4.8767837118692912</v>
      </c>
      <c r="AN45" s="188">
        <v>6.2607389000690823</v>
      </c>
      <c r="AO45" s="188">
        <v>7.8794323316802695</v>
      </c>
      <c r="AP45" s="187">
        <v>9.191297202761854</v>
      </c>
      <c r="AQ45" s="90" t="str">
        <f>$A$17</f>
        <v>60-64</v>
      </c>
      <c r="AR45" s="188">
        <v>56.310553409327007</v>
      </c>
      <c r="AS45" s="188">
        <v>67.870390220642065</v>
      </c>
      <c r="AT45" s="188">
        <v>84.024998163765019</v>
      </c>
      <c r="AU45" s="188">
        <v>110.21797149361819</v>
      </c>
      <c r="AV45" s="187">
        <v>138.11699523823569</v>
      </c>
      <c r="AW45" s="187"/>
      <c r="AX45" s="188">
        <v>55.169107221716523</v>
      </c>
      <c r="AY45" s="188">
        <v>66.494660625358861</v>
      </c>
      <c r="AZ45" s="188">
        <v>82.321847901242236</v>
      </c>
      <c r="BA45" s="188">
        <v>107.98385950823412</v>
      </c>
      <c r="BB45" s="187">
        <v>135.3173815226985</v>
      </c>
      <c r="BC45" s="187"/>
      <c r="BD45" s="188">
        <v>1.1414461876104915</v>
      </c>
      <c r="BE45" s="188">
        <v>1.375729595283202</v>
      </c>
      <c r="BF45" s="188">
        <v>1.7031502625227839</v>
      </c>
      <c r="BG45" s="188">
        <v>2.2341119853840721</v>
      </c>
      <c r="BH45" s="187">
        <v>2.7996137155371672</v>
      </c>
    </row>
    <row r="46" spans="1:60" x14ac:dyDescent="0.2">
      <c r="A46" s="90" t="str">
        <f>$A$18</f>
        <v>65+</v>
      </c>
      <c r="B46" s="188">
        <v>684.22019433015396</v>
      </c>
      <c r="C46" s="188">
        <v>659.7220549729019</v>
      </c>
      <c r="D46" s="188">
        <v>597.6874930135458</v>
      </c>
      <c r="E46" s="188">
        <v>516.4377556390009</v>
      </c>
      <c r="F46" s="187">
        <v>432.27609064150056</v>
      </c>
      <c r="G46" s="189"/>
      <c r="H46" s="188">
        <v>489.85248018008991</v>
      </c>
      <c r="I46" s="188">
        <v>472.31354432994846</v>
      </c>
      <c r="J46" s="188">
        <v>427.90128288186639</v>
      </c>
      <c r="K46" s="188">
        <v>369.73229781992757</v>
      </c>
      <c r="L46" s="187">
        <v>309.47859548147727</v>
      </c>
      <c r="M46" s="189"/>
      <c r="N46" s="188">
        <v>194.3677141500641</v>
      </c>
      <c r="O46" s="188">
        <v>187.40851064295344</v>
      </c>
      <c r="P46" s="188">
        <v>169.78621013167941</v>
      </c>
      <c r="Q46" s="188">
        <v>146.70545781907333</v>
      </c>
      <c r="R46" s="187">
        <v>122.79749516002329</v>
      </c>
      <c r="S46" s="189"/>
      <c r="T46" s="189">
        <v>0</v>
      </c>
      <c r="U46" s="189">
        <v>0</v>
      </c>
      <c r="V46" s="189">
        <v>0</v>
      </c>
      <c r="W46" s="189">
        <v>0</v>
      </c>
      <c r="X46" s="189">
        <v>0</v>
      </c>
      <c r="Y46" s="90" t="str">
        <f>$A$18</f>
        <v>65+</v>
      </c>
      <c r="Z46" s="188">
        <v>229.30721305756543</v>
      </c>
      <c r="AA46" s="188">
        <v>242.95644971788712</v>
      </c>
      <c r="AB46" s="188">
        <v>324.13328439256134</v>
      </c>
      <c r="AC46" s="188">
        <v>392.98454329955848</v>
      </c>
      <c r="AD46" s="187">
        <v>471.20711273861792</v>
      </c>
      <c r="AE46" s="189"/>
      <c r="AF46" s="188">
        <v>216.90901867585666</v>
      </c>
      <c r="AG46" s="188">
        <v>229.82037680573097</v>
      </c>
      <c r="AH46" s="188">
        <v>306.60805056907492</v>
      </c>
      <c r="AI46" s="188">
        <v>371.73671710382393</v>
      </c>
      <c r="AJ46" s="187">
        <v>445.72999049974806</v>
      </c>
      <c r="AK46" s="189"/>
      <c r="AL46" s="188">
        <v>12.398194381708771</v>
      </c>
      <c r="AM46" s="188">
        <v>13.136072912156155</v>
      </c>
      <c r="AN46" s="188">
        <v>17.525233823486392</v>
      </c>
      <c r="AO46" s="188">
        <v>21.247826195734497</v>
      </c>
      <c r="AP46" s="187">
        <v>25.477122238869928</v>
      </c>
      <c r="AQ46" s="90" t="str">
        <f>$A$18</f>
        <v>65+</v>
      </c>
      <c r="AR46" s="188">
        <v>145.26459261228058</v>
      </c>
      <c r="AS46" s="188">
        <v>173.26549530921105</v>
      </c>
      <c r="AT46" s="188">
        <v>233.46822259389299</v>
      </c>
      <c r="AU46" s="188">
        <v>332.65670106144069</v>
      </c>
      <c r="AV46" s="187">
        <v>456.31479661988146</v>
      </c>
      <c r="AW46" s="189"/>
      <c r="AX46" s="188">
        <v>143.74209408925086</v>
      </c>
      <c r="AY46" s="188">
        <v>171.44937059191324</v>
      </c>
      <c r="AZ46" s="188">
        <v>231.02121966409953</v>
      </c>
      <c r="BA46" s="188">
        <v>329.17005716327628</v>
      </c>
      <c r="BB46" s="187">
        <v>451.53195718650386</v>
      </c>
      <c r="BC46" s="189"/>
      <c r="BD46" s="188">
        <v>1.5224985230297139</v>
      </c>
      <c r="BE46" s="188">
        <v>1.8161247172978172</v>
      </c>
      <c r="BF46" s="188">
        <v>2.4470029297934355</v>
      </c>
      <c r="BG46" s="188">
        <v>3.4866438981643779</v>
      </c>
      <c r="BH46" s="187">
        <v>4.7828394333776503</v>
      </c>
    </row>
    <row r="47" spans="1:60" x14ac:dyDescent="0.2">
      <c r="A47" s="95"/>
      <c r="B47" s="190"/>
      <c r="C47" s="190"/>
      <c r="D47" s="190"/>
      <c r="E47" s="190"/>
      <c r="F47" s="190"/>
      <c r="G47" s="190"/>
      <c r="H47" s="190"/>
      <c r="I47" s="190"/>
      <c r="J47" s="190"/>
      <c r="K47" s="190"/>
      <c r="L47" s="190"/>
      <c r="M47" s="190"/>
      <c r="N47" s="190"/>
      <c r="O47" s="190"/>
      <c r="P47" s="190"/>
      <c r="Q47" s="190"/>
      <c r="R47" s="190"/>
      <c r="S47" s="190"/>
      <c r="Y47" s="95"/>
      <c r="Z47" s="190"/>
      <c r="AA47" s="190"/>
      <c r="AB47" s="190"/>
      <c r="AC47" s="190"/>
      <c r="AD47" s="190"/>
      <c r="AE47" s="190"/>
      <c r="AF47" s="190"/>
      <c r="AG47" s="190"/>
      <c r="AH47" s="190"/>
      <c r="AI47" s="190"/>
      <c r="AJ47" s="190"/>
      <c r="AK47" s="190"/>
      <c r="AL47" s="190"/>
      <c r="AM47" s="190"/>
      <c r="AN47" s="190"/>
      <c r="AO47" s="190"/>
      <c r="AP47" s="190"/>
      <c r="AQ47" s="95"/>
      <c r="AR47" s="190"/>
      <c r="AS47" s="190"/>
      <c r="AT47" s="190"/>
      <c r="AU47" s="190"/>
      <c r="AV47" s="190"/>
      <c r="AW47" s="190"/>
      <c r="AX47" s="190"/>
      <c r="AY47" s="190"/>
      <c r="AZ47" s="190"/>
      <c r="BA47" s="190"/>
      <c r="BB47" s="190"/>
      <c r="BC47" s="190"/>
      <c r="BD47" s="190"/>
      <c r="BE47" s="190"/>
      <c r="BF47" s="190"/>
      <c r="BG47" s="190"/>
      <c r="BH47" s="190"/>
    </row>
    <row r="48" spans="1:60" x14ac:dyDescent="0.2">
      <c r="B48" s="93"/>
      <c r="C48" s="93"/>
      <c r="D48" s="93"/>
      <c r="E48" s="93"/>
      <c r="Z48" s="93"/>
      <c r="AA48" s="93"/>
      <c r="AB48" s="93"/>
      <c r="AC48" s="93"/>
      <c r="AR48" s="93"/>
      <c r="AS48" s="93"/>
      <c r="AT48" s="93"/>
      <c r="AU48" s="93"/>
    </row>
    <row r="49" spans="1:60" ht="15.75" x14ac:dyDescent="0.25">
      <c r="A49" s="18" t="str">
        <f>CONCATENATE("Basic Table 2b  Labour Force by Gender, Age Group and ISCED Qualification, ",Info!B8,", ",$B$5,"-",$F$5)</f>
        <v>Basic Table 2b  Labour Force by Gender, Age Group and ISCED Qualification, , 2008-2025</v>
      </c>
      <c r="Y49" s="18" t="str">
        <f>CONCATENATE("Basic Table 2b  Labour Force by Gender, Age Group and ISCED Qualification, ",Info!B8,", ",$B$5,"-",$F$5," (continued)")</f>
        <v>Basic Table 2b  Labour Force by Gender, Age Group and ISCED Qualification, , 2008-2025 (continued)</v>
      </c>
      <c r="AQ49" s="18" t="str">
        <f>CONCATENATE("Basic Table 2b  Labour Force by Gender, Age Group and ISCED Qualification, ",Info!B8,", ",$B$5,"-",$F$5," (continued)")</f>
        <v>Basic Table 2b  Labour Force by Gender, Age Group and ISCED Qualification, , 2008-2025 (continued)</v>
      </c>
    </row>
    <row r="50" spans="1:60" ht="12.75" customHeight="1" x14ac:dyDescent="0.2">
      <c r="W50" s="381" t="s">
        <v>13</v>
      </c>
      <c r="X50" s="381"/>
      <c r="AP50" s="182" t="str">
        <f>AP2</f>
        <v>Levels (000s)</v>
      </c>
      <c r="BH50" s="182" t="str">
        <f>BH2</f>
        <v>Levels (000s)</v>
      </c>
    </row>
    <row r="51" spans="1:60" x14ac:dyDescent="0.2">
      <c r="A51" s="117" t="s">
        <v>102</v>
      </c>
      <c r="B51" s="183" t="str">
        <f>B3</f>
        <v>All Low qualifications</v>
      </c>
      <c r="C51" s="183"/>
      <c r="D51" s="184"/>
      <c r="E51" s="183"/>
      <c r="F51" s="183"/>
      <c r="G51" s="117"/>
      <c r="H51" s="183" t="str">
        <f>H3</f>
        <v>Pre-primary education</v>
      </c>
      <c r="I51" s="183"/>
      <c r="J51" s="183"/>
      <c r="K51" s="183"/>
      <c r="L51" s="183"/>
      <c r="M51" s="117"/>
      <c r="N51" s="183" t="str">
        <f>N3</f>
        <v>Primary education (1st stage basic)</v>
      </c>
      <c r="O51" s="183"/>
      <c r="P51" s="183"/>
      <c r="Q51" s="183"/>
      <c r="R51" s="183"/>
      <c r="S51" s="117"/>
      <c r="T51" s="387" t="str">
        <f>T3</f>
        <v>Lower secondary education (2nd stage basic)</v>
      </c>
      <c r="U51" s="387"/>
      <c r="V51" s="387"/>
      <c r="W51" s="387"/>
      <c r="X51" s="387"/>
      <c r="Y51" s="117" t="s">
        <v>102</v>
      </c>
      <c r="Z51" s="183" t="str">
        <f>Z3</f>
        <v>All Medium qualifications</v>
      </c>
      <c r="AA51" s="183"/>
      <c r="AB51" s="184"/>
      <c r="AC51" s="183"/>
      <c r="AD51" s="183"/>
      <c r="AE51" s="117"/>
      <c r="AF51" s="183" t="str">
        <f>AF3</f>
        <v>Upper secondary education</v>
      </c>
      <c r="AG51" s="183"/>
      <c r="AH51" s="183"/>
      <c r="AI51" s="183"/>
      <c r="AJ51" s="183"/>
      <c r="AK51" s="117"/>
      <c r="AL51" s="183" t="str">
        <f>AL3</f>
        <v>Post-secondary non-tertiary education</v>
      </c>
      <c r="AM51" s="183"/>
      <c r="AN51" s="183"/>
      <c r="AO51" s="183"/>
      <c r="AP51" s="183"/>
      <c r="AQ51" s="117" t="s">
        <v>102</v>
      </c>
      <c r="AR51" s="183" t="str">
        <f>AR3</f>
        <v>All High qualifications</v>
      </c>
      <c r="AS51" s="183"/>
      <c r="AT51" s="184"/>
      <c r="AU51" s="183"/>
      <c r="AV51" s="183"/>
      <c r="AW51" s="117"/>
      <c r="AX51" s="183" t="str">
        <f>AX3</f>
        <v>First stage of tertiary education</v>
      </c>
      <c r="AY51" s="183"/>
      <c r="AZ51" s="183"/>
      <c r="BA51" s="183"/>
      <c r="BB51" s="183"/>
      <c r="BC51" s="117"/>
      <c r="BD51" s="183" t="str">
        <f>BD3</f>
        <v>Second stage of tertiary education</v>
      </c>
      <c r="BE51" s="183"/>
      <c r="BF51" s="183"/>
      <c r="BG51" s="183"/>
      <c r="BH51" s="183"/>
    </row>
    <row r="52" spans="1:60" x14ac:dyDescent="0.2">
      <c r="A52" s="179" t="s">
        <v>104</v>
      </c>
      <c r="B52" s="185"/>
      <c r="C52" s="185"/>
      <c r="D52" s="185"/>
      <c r="E52" s="185"/>
      <c r="F52" s="185"/>
      <c r="G52" s="91"/>
      <c r="H52" s="185"/>
      <c r="I52" s="185"/>
      <c r="J52" s="185"/>
      <c r="K52" s="185"/>
      <c r="L52" s="185"/>
      <c r="M52" s="91"/>
      <c r="N52" s="185"/>
      <c r="O52" s="185"/>
      <c r="P52" s="185"/>
      <c r="Q52" s="185"/>
      <c r="R52" s="185"/>
      <c r="S52" s="91"/>
      <c r="T52" s="185"/>
      <c r="U52" s="185"/>
      <c r="V52" s="185"/>
      <c r="W52" s="185"/>
      <c r="X52" s="185"/>
      <c r="Y52" s="179" t="s">
        <v>104</v>
      </c>
      <c r="Z52" s="185"/>
      <c r="AA52" s="185"/>
      <c r="AB52" s="185"/>
      <c r="AC52" s="185"/>
      <c r="AD52" s="185"/>
      <c r="AE52" s="91"/>
      <c r="AF52" s="185"/>
      <c r="AG52" s="185"/>
      <c r="AH52" s="185"/>
      <c r="AI52" s="185"/>
      <c r="AJ52" s="185"/>
      <c r="AK52" s="91"/>
      <c r="AL52" s="185"/>
      <c r="AM52" s="185"/>
      <c r="AN52" s="185"/>
      <c r="AO52" s="185"/>
      <c r="AP52" s="185"/>
      <c r="AQ52" s="179" t="s">
        <v>104</v>
      </c>
      <c r="AR52" s="185"/>
      <c r="AS52" s="185"/>
      <c r="AT52" s="185"/>
      <c r="AU52" s="185"/>
      <c r="AV52" s="185"/>
      <c r="AW52" s="91"/>
      <c r="AX52" s="185"/>
      <c r="AY52" s="185"/>
      <c r="AZ52" s="185"/>
      <c r="BA52" s="185"/>
      <c r="BB52" s="185"/>
      <c r="BC52" s="91"/>
      <c r="BD52" s="185"/>
      <c r="BE52" s="185"/>
      <c r="BF52" s="185"/>
      <c r="BG52" s="185"/>
      <c r="BH52" s="185"/>
    </row>
    <row r="53" spans="1:60" x14ac:dyDescent="0.2">
      <c r="A53" s="178"/>
      <c r="B53" s="186">
        <v>2008</v>
      </c>
      <c r="C53" s="186">
        <v>2010</v>
      </c>
      <c r="D53" s="186">
        <v>2012</v>
      </c>
      <c r="E53" s="186">
        <v>2015</v>
      </c>
      <c r="F53" s="179">
        <v>2020</v>
      </c>
      <c r="G53" s="119"/>
      <c r="H53" s="119">
        <f>B53</f>
        <v>2008</v>
      </c>
      <c r="I53" s="119">
        <f>C53</f>
        <v>2010</v>
      </c>
      <c r="J53" s="119">
        <f>D53</f>
        <v>2012</v>
      </c>
      <c r="K53" s="119">
        <f>E53</f>
        <v>2015</v>
      </c>
      <c r="L53" s="119">
        <f>F53</f>
        <v>2020</v>
      </c>
      <c r="M53" s="119"/>
      <c r="N53" s="119">
        <f>B53</f>
        <v>2008</v>
      </c>
      <c r="O53" s="119">
        <f>C53</f>
        <v>2010</v>
      </c>
      <c r="P53" s="119">
        <f>D53</f>
        <v>2012</v>
      </c>
      <c r="Q53" s="119">
        <f>E53</f>
        <v>2015</v>
      </c>
      <c r="R53" s="119">
        <f>F53</f>
        <v>2020</v>
      </c>
      <c r="S53" s="119"/>
      <c r="T53" s="119">
        <f>B53</f>
        <v>2008</v>
      </c>
      <c r="U53" s="119">
        <f>C53</f>
        <v>2010</v>
      </c>
      <c r="V53" s="119">
        <f>D53</f>
        <v>2012</v>
      </c>
      <c r="W53" s="119">
        <f>E53</f>
        <v>2015</v>
      </c>
      <c r="X53" s="119">
        <f>F53</f>
        <v>2020</v>
      </c>
      <c r="Y53" s="178"/>
      <c r="Z53" s="186">
        <v>2008</v>
      </c>
      <c r="AA53" s="186">
        <v>2010</v>
      </c>
      <c r="AB53" s="186">
        <v>2012</v>
      </c>
      <c r="AC53" s="186">
        <v>2015</v>
      </c>
      <c r="AD53" s="179">
        <v>2020</v>
      </c>
      <c r="AE53" s="119"/>
      <c r="AF53" s="119">
        <f>Z53</f>
        <v>2008</v>
      </c>
      <c r="AG53" s="119">
        <f>AA53</f>
        <v>2010</v>
      </c>
      <c r="AH53" s="119">
        <f>AB53</f>
        <v>2012</v>
      </c>
      <c r="AI53" s="119">
        <f>AC53</f>
        <v>2015</v>
      </c>
      <c r="AJ53" s="119">
        <f>AD53</f>
        <v>2020</v>
      </c>
      <c r="AK53" s="119"/>
      <c r="AL53" s="119">
        <f>Z53</f>
        <v>2008</v>
      </c>
      <c r="AM53" s="119">
        <f>AA53</f>
        <v>2010</v>
      </c>
      <c r="AN53" s="119">
        <f>AB53</f>
        <v>2012</v>
      </c>
      <c r="AO53" s="119">
        <f>AC53</f>
        <v>2015</v>
      </c>
      <c r="AP53" s="119">
        <f>AD53</f>
        <v>2020</v>
      </c>
      <c r="AQ53" s="178"/>
      <c r="AR53" s="186">
        <v>2008</v>
      </c>
      <c r="AS53" s="186">
        <v>2010</v>
      </c>
      <c r="AT53" s="186">
        <v>2012</v>
      </c>
      <c r="AU53" s="186">
        <v>2015</v>
      </c>
      <c r="AV53" s="179">
        <v>2020</v>
      </c>
      <c r="AW53" s="119"/>
      <c r="AX53" s="119">
        <f>AR53</f>
        <v>2008</v>
      </c>
      <c r="AY53" s="119">
        <f>AS53</f>
        <v>2010</v>
      </c>
      <c r="AZ53" s="119">
        <f>AT53</f>
        <v>2012</v>
      </c>
      <c r="BA53" s="119">
        <f>AU53</f>
        <v>2015</v>
      </c>
      <c r="BB53" s="119">
        <f>AV53</f>
        <v>2020</v>
      </c>
      <c r="BC53" s="119"/>
      <c r="BD53" s="119">
        <f>AR53</f>
        <v>2008</v>
      </c>
      <c r="BE53" s="119">
        <f>AS53</f>
        <v>2010</v>
      </c>
      <c r="BF53" s="119">
        <f>AT53</f>
        <v>2012</v>
      </c>
      <c r="BG53" s="119">
        <f>AU53</f>
        <v>2015</v>
      </c>
      <c r="BH53" s="119">
        <f>AV53</f>
        <v>2020</v>
      </c>
    </row>
    <row r="54" spans="1:60" x14ac:dyDescent="0.2">
      <c r="A54" s="113" t="str">
        <f>A6</f>
        <v>Males and females</v>
      </c>
      <c r="F54" s="187"/>
      <c r="G54" s="187"/>
      <c r="H54" s="187"/>
      <c r="I54" s="187"/>
      <c r="J54" s="187"/>
      <c r="K54" s="187"/>
      <c r="L54" s="187"/>
      <c r="M54" s="187"/>
      <c r="N54" s="187"/>
      <c r="O54" s="187"/>
      <c r="P54" s="187"/>
      <c r="Q54" s="187"/>
      <c r="R54" s="187"/>
      <c r="S54" s="187"/>
      <c r="Y54" s="113" t="str">
        <f>Y6</f>
        <v>Males and females</v>
      </c>
      <c r="AD54" s="187"/>
      <c r="AE54" s="187"/>
      <c r="AF54" s="187"/>
      <c r="AG54" s="187"/>
      <c r="AH54" s="187"/>
      <c r="AI54" s="187"/>
      <c r="AJ54" s="187"/>
      <c r="AK54" s="187"/>
      <c r="AL54" s="187"/>
      <c r="AM54" s="187"/>
      <c r="AN54" s="187"/>
      <c r="AO54" s="187"/>
      <c r="AP54" s="187"/>
      <c r="AQ54" s="113" t="str">
        <f>AQ6</f>
        <v>Males and females</v>
      </c>
      <c r="AV54" s="187"/>
      <c r="AW54" s="187"/>
      <c r="AX54" s="187"/>
      <c r="AY54" s="187"/>
      <c r="AZ54" s="187"/>
      <c r="BA54" s="187"/>
      <c r="BB54" s="187"/>
      <c r="BC54" s="187"/>
      <c r="BD54" s="187"/>
      <c r="BE54" s="187"/>
      <c r="BF54" s="187"/>
      <c r="BG54" s="187"/>
      <c r="BH54" s="187"/>
    </row>
    <row r="55" spans="1:60" x14ac:dyDescent="0.2">
      <c r="A55" s="90" t="str">
        <f>A7</f>
        <v>15+</v>
      </c>
      <c r="B55" s="188">
        <f>SUM(B69,B83)</f>
        <v>1091.4118992738524</v>
      </c>
      <c r="C55" s="188">
        <f t="shared" ref="C55:F55" si="43">SUM(C69,C83)</f>
        <v>1100.0037861102892</v>
      </c>
      <c r="D55" s="188">
        <f t="shared" si="43"/>
        <v>916.42301941602898</v>
      </c>
      <c r="E55" s="188">
        <f t="shared" si="43"/>
        <v>787.47393586094222</v>
      </c>
      <c r="F55" s="188">
        <f t="shared" si="43"/>
        <v>647.93759918436888</v>
      </c>
      <c r="G55" s="187"/>
      <c r="H55" s="188">
        <f>SUM(H69,H83)</f>
        <v>362.47383711398129</v>
      </c>
      <c r="I55" s="188">
        <f t="shared" ref="I55:L55" si="44">SUM(I69,I83)</f>
        <v>367.09230695546</v>
      </c>
      <c r="J55" s="188">
        <f t="shared" si="44"/>
        <v>309.04252665358638</v>
      </c>
      <c r="K55" s="188">
        <f t="shared" si="44"/>
        <v>265.71661758383789</v>
      </c>
      <c r="L55" s="188">
        <f t="shared" si="44"/>
        <v>217.36047114432725</v>
      </c>
      <c r="M55" s="187"/>
      <c r="N55" s="188">
        <f>SUM(N69,N83)</f>
        <v>728.93806215987115</v>
      </c>
      <c r="O55" s="188">
        <f t="shared" ref="O55:R55" si="45">SUM(O69,O83)</f>
        <v>732.91147915482918</v>
      </c>
      <c r="P55" s="188">
        <f t="shared" si="45"/>
        <v>607.3804927624426</v>
      </c>
      <c r="Q55" s="188">
        <f t="shared" si="45"/>
        <v>521.75731827710433</v>
      </c>
      <c r="R55" s="188">
        <f t="shared" si="45"/>
        <v>430.57712804004166</v>
      </c>
      <c r="S55" s="187"/>
      <c r="T55" s="188">
        <f>SUM(T69,T83)</f>
        <v>0</v>
      </c>
      <c r="U55" s="188">
        <f t="shared" ref="U55:X55" si="46">SUM(U69,U83)</f>
        <v>0</v>
      </c>
      <c r="V55" s="188">
        <f t="shared" si="46"/>
        <v>0</v>
      </c>
      <c r="W55" s="188">
        <f t="shared" si="46"/>
        <v>0</v>
      </c>
      <c r="X55" s="188">
        <f t="shared" si="46"/>
        <v>0</v>
      </c>
      <c r="Y55" s="90" t="str">
        <f>Y7</f>
        <v>15+</v>
      </c>
      <c r="Z55" s="188">
        <f>SUM(Z69,Z83)</f>
        <v>1946.6117047650587</v>
      </c>
      <c r="AA55" s="188">
        <f t="shared" ref="AA55:AD55" si="47">SUM(AA69,AA83)</f>
        <v>1898.9657890695435</v>
      </c>
      <c r="AB55" s="188">
        <f t="shared" si="47"/>
        <v>1962.8308563745852</v>
      </c>
      <c r="AC55" s="188">
        <f t="shared" si="47"/>
        <v>2069.7042275623553</v>
      </c>
      <c r="AD55" s="188">
        <f t="shared" si="47"/>
        <v>2170.6375884387007</v>
      </c>
      <c r="AE55" s="187"/>
      <c r="AF55" s="188">
        <f>SUM(AF69,AF83)</f>
        <v>1824.1912882451829</v>
      </c>
      <c r="AG55" s="188">
        <f t="shared" ref="AG55:AJ55" si="48">SUM(AG69,AG83)</f>
        <v>1779.7966268394514</v>
      </c>
      <c r="AH55" s="188">
        <f t="shared" si="48"/>
        <v>1839.9843516955048</v>
      </c>
      <c r="AI55" s="188">
        <f t="shared" si="48"/>
        <v>1940.4817534613794</v>
      </c>
      <c r="AJ55" s="188">
        <f t="shared" si="48"/>
        <v>2035.5057599780253</v>
      </c>
      <c r="AK55" s="187"/>
      <c r="AL55" s="188">
        <f>SUM(AL69,AL83)</f>
        <v>122.42041651987563</v>
      </c>
      <c r="AM55" s="188">
        <f t="shared" ref="AM55:AP55" si="49">SUM(AM69,AM83)</f>
        <v>119.16916223009233</v>
      </c>
      <c r="AN55" s="188">
        <f t="shared" si="49"/>
        <v>122.84650467908108</v>
      </c>
      <c r="AO55" s="188">
        <f t="shared" si="49"/>
        <v>129.22247410097572</v>
      </c>
      <c r="AP55" s="188">
        <f t="shared" si="49"/>
        <v>135.13182846067508</v>
      </c>
      <c r="AQ55" s="90" t="str">
        <f>AQ7</f>
        <v>15+</v>
      </c>
      <c r="AR55" s="188">
        <f>SUM(AR69,AR83)</f>
        <v>1748.2863959610891</v>
      </c>
      <c r="AS55" s="188">
        <f t="shared" ref="AS55:AV55" si="50">SUM(AS69,AS83)</f>
        <v>1906.3674248201669</v>
      </c>
      <c r="AT55" s="188">
        <f t="shared" si="50"/>
        <v>2115.1681242093855</v>
      </c>
      <c r="AU55" s="188">
        <f t="shared" si="50"/>
        <v>2318.0908365767018</v>
      </c>
      <c r="AV55" s="188">
        <f t="shared" si="50"/>
        <v>2521.4978123769306</v>
      </c>
      <c r="AW55" s="187"/>
      <c r="AX55" s="188">
        <f>SUM(AX69,AX83)</f>
        <v>1717.00572023467</v>
      </c>
      <c r="AY55" s="188">
        <f t="shared" ref="AY55:BB55" si="51">SUM(AY69,AY83)</f>
        <v>1871.5654118320501</v>
      </c>
      <c r="AZ55" s="188">
        <f t="shared" si="51"/>
        <v>2075.3669628743173</v>
      </c>
      <c r="BA55" s="188">
        <f t="shared" si="51"/>
        <v>2274.1381911334825</v>
      </c>
      <c r="BB55" s="188">
        <f t="shared" si="51"/>
        <v>2472.9509757013893</v>
      </c>
      <c r="BC55" s="187"/>
      <c r="BD55" s="188">
        <f>SUM(BD69,BD83)</f>
        <v>31.280675726418963</v>
      </c>
      <c r="BE55" s="188">
        <f t="shared" ref="BE55:BH55" si="52">SUM(BE69,BE83)</f>
        <v>34.676945501519299</v>
      </c>
      <c r="BF55" s="188">
        <f t="shared" si="52"/>
        <v>39.483123423895734</v>
      </c>
      <c r="BG55" s="188">
        <f t="shared" si="52"/>
        <v>43.95264544321995</v>
      </c>
      <c r="BH55" s="188">
        <f t="shared" si="52"/>
        <v>48.546836675541741</v>
      </c>
    </row>
    <row r="56" spans="1:60" x14ac:dyDescent="0.2">
      <c r="A56" s="90" t="str">
        <f t="shared" ref="A56:A66" si="53">A8</f>
        <v>15-19</v>
      </c>
      <c r="B56" s="188">
        <f t="shared" ref="B56:F66" si="54">SUM(B70,B84)</f>
        <v>33.922484918096792</v>
      </c>
      <c r="C56" s="188">
        <f t="shared" si="54"/>
        <v>33.428963380218356</v>
      </c>
      <c r="D56" s="188">
        <f t="shared" si="54"/>
        <v>25.618579168305843</v>
      </c>
      <c r="E56" s="188">
        <f t="shared" si="54"/>
        <v>27.576564899958772</v>
      </c>
      <c r="F56" s="188">
        <f t="shared" si="54"/>
        <v>31.444379921686618</v>
      </c>
      <c r="G56" s="187"/>
      <c r="H56" s="188">
        <f t="shared" ref="H56:L66" si="55">SUM(H70,H84)</f>
        <v>7.8573198535721822</v>
      </c>
      <c r="I56" s="188">
        <f t="shared" si="55"/>
        <v>7.5672034937247652</v>
      </c>
      <c r="J56" s="188">
        <f t="shared" si="55"/>
        <v>5.7747610908860949</v>
      </c>
      <c r="K56" s="188">
        <f t="shared" si="55"/>
        <v>6.3040880162625772</v>
      </c>
      <c r="L56" s="188">
        <f t="shared" si="55"/>
        <v>7.2506410354839996</v>
      </c>
      <c r="M56" s="187"/>
      <c r="N56" s="188">
        <f t="shared" ref="N56:R66" si="56">SUM(N70,N84)</f>
        <v>26.065165064524606</v>
      </c>
      <c r="O56" s="188">
        <f t="shared" si="56"/>
        <v>25.861759886493594</v>
      </c>
      <c r="P56" s="188">
        <f t="shared" si="56"/>
        <v>19.843818077419751</v>
      </c>
      <c r="Q56" s="188">
        <f t="shared" si="56"/>
        <v>21.272476883696193</v>
      </c>
      <c r="R56" s="188">
        <f t="shared" si="56"/>
        <v>24.193738886202624</v>
      </c>
      <c r="S56" s="187"/>
      <c r="T56" s="188">
        <f t="shared" ref="T56:X66" si="57">SUM(T70,T84)</f>
        <v>0</v>
      </c>
      <c r="U56" s="188">
        <f t="shared" si="57"/>
        <v>0</v>
      </c>
      <c r="V56" s="188">
        <f t="shared" si="57"/>
        <v>0</v>
      </c>
      <c r="W56" s="188">
        <f t="shared" si="57"/>
        <v>0</v>
      </c>
      <c r="X56" s="188">
        <f t="shared" si="57"/>
        <v>0</v>
      </c>
      <c r="Y56" s="90" t="str">
        <f t="shared" ref="Y56:Y66" si="58">Y8</f>
        <v>15-19</v>
      </c>
      <c r="Z56" s="188">
        <f t="shared" ref="Z56:AD66" si="59">SUM(Z70,Z84)</f>
        <v>28.669275921467221</v>
      </c>
      <c r="AA56" s="188">
        <f t="shared" si="59"/>
        <v>24.94017830051537</v>
      </c>
      <c r="AB56" s="188">
        <f t="shared" si="59"/>
        <v>22.096171672766943</v>
      </c>
      <c r="AC56" s="188">
        <f t="shared" si="59"/>
        <v>24.369923731987864</v>
      </c>
      <c r="AD56" s="188">
        <f t="shared" si="59"/>
        <v>28.847750118738247</v>
      </c>
      <c r="AE56" s="187"/>
      <c r="AF56" s="188">
        <f t="shared" ref="AF56:AJ66" si="60">SUM(AF70,AF84)</f>
        <v>27.131107622890386</v>
      </c>
      <c r="AG56" s="188">
        <f t="shared" si="60"/>
        <v>23.604856528669352</v>
      </c>
      <c r="AH56" s="188">
        <f t="shared" si="60"/>
        <v>20.910693259755835</v>
      </c>
      <c r="AI56" s="188">
        <f t="shared" si="60"/>
        <v>23.061501302502187</v>
      </c>
      <c r="AJ56" s="188">
        <f t="shared" si="60"/>
        <v>27.298051224460476</v>
      </c>
      <c r="AK56" s="187"/>
      <c r="AL56" s="188">
        <f t="shared" ref="AL56:AP66" si="61">SUM(AL70,AL84)</f>
        <v>1.538168298576831</v>
      </c>
      <c r="AM56" s="188">
        <f t="shared" si="61"/>
        <v>1.3353217718460186</v>
      </c>
      <c r="AN56" s="188">
        <f t="shared" si="61"/>
        <v>1.185478413011108</v>
      </c>
      <c r="AO56" s="188">
        <f t="shared" si="61"/>
        <v>1.3084224294856792</v>
      </c>
      <c r="AP56" s="188">
        <f t="shared" si="61"/>
        <v>1.5496988942777667</v>
      </c>
      <c r="AQ56" s="90" t="str">
        <f t="shared" ref="AQ56:AQ66" si="62">AQ8</f>
        <v>15-19</v>
      </c>
      <c r="AR56" s="188">
        <f t="shared" ref="AR56:AV66" si="63">SUM(AR70,AR84)</f>
        <v>0.22323916043599393</v>
      </c>
      <c r="AS56" s="188">
        <f t="shared" si="63"/>
        <v>0.23185831926626108</v>
      </c>
      <c r="AT56" s="188">
        <f t="shared" si="63"/>
        <v>0.31924915892721956</v>
      </c>
      <c r="AU56" s="188">
        <f t="shared" si="63"/>
        <v>0.32851136805335357</v>
      </c>
      <c r="AV56" s="188">
        <f t="shared" si="63"/>
        <v>0.36386995957513524</v>
      </c>
      <c r="AW56" s="187"/>
      <c r="AX56" s="188">
        <f t="shared" ref="AX56:BB66" si="64">SUM(AX70,AX84)</f>
        <v>0.18942213461700935</v>
      </c>
      <c r="AY56" s="188">
        <f t="shared" si="64"/>
        <v>7.0679138418197798E-2</v>
      </c>
      <c r="AZ56" s="188">
        <f t="shared" si="64"/>
        <v>8.014133599071727E-4</v>
      </c>
      <c r="BA56" s="188">
        <f t="shared" si="64"/>
        <v>0.32647088949339453</v>
      </c>
      <c r="BB56" s="188">
        <f t="shared" si="64"/>
        <v>0.3602016521563422</v>
      </c>
      <c r="BC56" s="187"/>
      <c r="BD56" s="188">
        <f t="shared" ref="BD56:BH66" si="65">SUM(BD70,BD84)</f>
        <v>3.3817025818984561E-2</v>
      </c>
      <c r="BE56" s="188">
        <f t="shared" si="65"/>
        <v>3.6111694250642229E-2</v>
      </c>
      <c r="BF56" s="188">
        <f t="shared" si="65"/>
        <v>4.0983439475890718E-4</v>
      </c>
      <c r="BG56" s="188">
        <f t="shared" si="65"/>
        <v>2.0404785599590159E-3</v>
      </c>
      <c r="BH56" s="188">
        <f t="shared" si="65"/>
        <v>3.6683074187930289E-3</v>
      </c>
    </row>
    <row r="57" spans="1:60" x14ac:dyDescent="0.2">
      <c r="A57" s="90" t="str">
        <f t="shared" si="53"/>
        <v>20-24</v>
      </c>
      <c r="B57" s="188">
        <f t="shared" si="54"/>
        <v>69.997446885450401</v>
      </c>
      <c r="C57" s="188">
        <f t="shared" si="54"/>
        <v>73.885251785075525</v>
      </c>
      <c r="D57" s="188">
        <f t="shared" si="54"/>
        <v>60.82748778551305</v>
      </c>
      <c r="E57" s="188">
        <f t="shared" si="54"/>
        <v>52.336025748722321</v>
      </c>
      <c r="F57" s="188">
        <f t="shared" si="54"/>
        <v>47.838308330484821</v>
      </c>
      <c r="G57" s="187"/>
      <c r="H57" s="188">
        <f t="shared" si="55"/>
        <v>17.50666245872462</v>
      </c>
      <c r="I57" s="188">
        <f t="shared" si="55"/>
        <v>18.316843567871658</v>
      </c>
      <c r="J57" s="188">
        <f t="shared" si="55"/>
        <v>14.976024192054551</v>
      </c>
      <c r="K57" s="188">
        <f t="shared" si="55"/>
        <v>12.905149968073884</v>
      </c>
      <c r="L57" s="188">
        <f t="shared" si="55"/>
        <v>11.781306690276619</v>
      </c>
      <c r="M57" s="187"/>
      <c r="N57" s="188">
        <f t="shared" si="56"/>
        <v>52.490784426725781</v>
      </c>
      <c r="O57" s="188">
        <f t="shared" si="56"/>
        <v>55.568408217203867</v>
      </c>
      <c r="P57" s="188">
        <f t="shared" si="56"/>
        <v>45.851463593458497</v>
      </c>
      <c r="Q57" s="188">
        <f t="shared" si="56"/>
        <v>39.430875780648435</v>
      </c>
      <c r="R57" s="188">
        <f t="shared" si="56"/>
        <v>36.057001640208199</v>
      </c>
      <c r="S57" s="187"/>
      <c r="T57" s="188">
        <f t="shared" si="57"/>
        <v>0</v>
      </c>
      <c r="U57" s="188">
        <f t="shared" si="57"/>
        <v>0</v>
      </c>
      <c r="V57" s="188">
        <f t="shared" si="57"/>
        <v>0</v>
      </c>
      <c r="W57" s="188">
        <f t="shared" si="57"/>
        <v>0</v>
      </c>
      <c r="X57" s="188">
        <f t="shared" si="57"/>
        <v>0</v>
      </c>
      <c r="Y57" s="90" t="str">
        <f t="shared" si="58"/>
        <v>20-24</v>
      </c>
      <c r="Z57" s="188">
        <f t="shared" si="59"/>
        <v>200.63056393547677</v>
      </c>
      <c r="AA57" s="188">
        <f t="shared" si="59"/>
        <v>200.10878986052779</v>
      </c>
      <c r="AB57" s="188">
        <f t="shared" si="59"/>
        <v>192.82988811096317</v>
      </c>
      <c r="AC57" s="188">
        <f t="shared" si="59"/>
        <v>182.24243827723632</v>
      </c>
      <c r="AD57" s="188">
        <f t="shared" si="59"/>
        <v>183.10832552939812</v>
      </c>
      <c r="AE57" s="187"/>
      <c r="AF57" s="188">
        <f t="shared" si="60"/>
        <v>184.4013377657671</v>
      </c>
      <c r="AG57" s="188">
        <f t="shared" si="60"/>
        <v>183.88709709012173</v>
      </c>
      <c r="AH57" s="188">
        <f t="shared" si="60"/>
        <v>177.34938200988924</v>
      </c>
      <c r="AI57" s="188">
        <f t="shared" si="60"/>
        <v>167.58221623961009</v>
      </c>
      <c r="AJ57" s="188">
        <f t="shared" si="60"/>
        <v>168.42784713146324</v>
      </c>
      <c r="AK57" s="187"/>
      <c r="AL57" s="188">
        <f t="shared" si="61"/>
        <v>16.229226169709651</v>
      </c>
      <c r="AM57" s="188">
        <f t="shared" si="61"/>
        <v>16.221692770406051</v>
      </c>
      <c r="AN57" s="188">
        <f t="shared" si="61"/>
        <v>15.480506101073939</v>
      </c>
      <c r="AO57" s="188">
        <f t="shared" si="61"/>
        <v>14.660222037626259</v>
      </c>
      <c r="AP57" s="188">
        <f t="shared" si="61"/>
        <v>14.680478397934866</v>
      </c>
      <c r="AQ57" s="90" t="str">
        <f t="shared" si="62"/>
        <v>20-24</v>
      </c>
      <c r="AR57" s="188">
        <f t="shared" si="63"/>
        <v>100.04998917907284</v>
      </c>
      <c r="AS57" s="188">
        <f t="shared" si="63"/>
        <v>94.987958354396682</v>
      </c>
      <c r="AT57" s="188">
        <f t="shared" si="63"/>
        <v>103.98462410352381</v>
      </c>
      <c r="AU57" s="188">
        <f t="shared" si="63"/>
        <v>110.10453597404138</v>
      </c>
      <c r="AV57" s="188">
        <f t="shared" si="63"/>
        <v>122.21236614011708</v>
      </c>
      <c r="AW57" s="187"/>
      <c r="AX57" s="188">
        <f t="shared" si="64"/>
        <v>99.830703255982527</v>
      </c>
      <c r="AY57" s="188">
        <f t="shared" si="64"/>
        <v>94.78083623451991</v>
      </c>
      <c r="AZ57" s="188">
        <f t="shared" si="64"/>
        <v>103.75807484517797</v>
      </c>
      <c r="BA57" s="188">
        <f t="shared" si="64"/>
        <v>109.86373714713562</v>
      </c>
      <c r="BB57" s="188">
        <f t="shared" si="64"/>
        <v>121.94555113721529</v>
      </c>
      <c r="BC57" s="187"/>
      <c r="BD57" s="188">
        <f t="shared" si="65"/>
        <v>0.21928592309030701</v>
      </c>
      <c r="BE57" s="188">
        <f t="shared" si="65"/>
        <v>0.20712211987677406</v>
      </c>
      <c r="BF57" s="188">
        <f t="shared" si="65"/>
        <v>0.2265492583458453</v>
      </c>
      <c r="BG57" s="188">
        <f t="shared" si="65"/>
        <v>0.24079882690576235</v>
      </c>
      <c r="BH57" s="188">
        <f t="shared" si="65"/>
        <v>0.26681500290179178</v>
      </c>
    </row>
    <row r="58" spans="1:60" x14ac:dyDescent="0.2">
      <c r="A58" s="90" t="str">
        <f t="shared" si="53"/>
        <v>25-29</v>
      </c>
      <c r="B58" s="188">
        <f t="shared" si="54"/>
        <v>83.10566032859262</v>
      </c>
      <c r="C58" s="188">
        <f t="shared" si="54"/>
        <v>92.922114197332945</v>
      </c>
      <c r="D58" s="188">
        <f t="shared" si="54"/>
        <v>81.756122550300972</v>
      </c>
      <c r="E58" s="188">
        <f t="shared" si="54"/>
        <v>81.088950586198422</v>
      </c>
      <c r="F58" s="188">
        <f t="shared" si="54"/>
        <v>71.085865926883031</v>
      </c>
      <c r="G58" s="187"/>
      <c r="H58" s="188">
        <f t="shared" si="55"/>
        <v>23.608107087454297</v>
      </c>
      <c r="I58" s="188">
        <f t="shared" si="55"/>
        <v>26.378552793035944</v>
      </c>
      <c r="J58" s="188">
        <f t="shared" si="55"/>
        <v>23.222779194804581</v>
      </c>
      <c r="K58" s="188">
        <f t="shared" si="55"/>
        <v>23.044303745971408</v>
      </c>
      <c r="L58" s="188">
        <f t="shared" si="55"/>
        <v>20.194793417876976</v>
      </c>
      <c r="M58" s="187"/>
      <c r="N58" s="188">
        <f t="shared" si="56"/>
        <v>59.49755324113832</v>
      </c>
      <c r="O58" s="188">
        <f t="shared" si="56"/>
        <v>66.543561404296995</v>
      </c>
      <c r="P58" s="188">
        <f t="shared" si="56"/>
        <v>58.533343355496399</v>
      </c>
      <c r="Q58" s="188">
        <f t="shared" si="56"/>
        <v>58.04464684022701</v>
      </c>
      <c r="R58" s="188">
        <f t="shared" si="56"/>
        <v>50.891072509006051</v>
      </c>
      <c r="S58" s="187"/>
      <c r="T58" s="188">
        <f t="shared" si="57"/>
        <v>0</v>
      </c>
      <c r="U58" s="188">
        <f t="shared" si="57"/>
        <v>0</v>
      </c>
      <c r="V58" s="188">
        <f t="shared" si="57"/>
        <v>0</v>
      </c>
      <c r="W58" s="188">
        <f t="shared" si="57"/>
        <v>0</v>
      </c>
      <c r="X58" s="188">
        <f t="shared" si="57"/>
        <v>0</v>
      </c>
      <c r="Y58" s="90" t="str">
        <f t="shared" si="58"/>
        <v>25-29</v>
      </c>
      <c r="Z58" s="188">
        <f t="shared" si="59"/>
        <v>253.52682972521137</v>
      </c>
      <c r="AA58" s="188">
        <f t="shared" si="59"/>
        <v>234.83645593614608</v>
      </c>
      <c r="AB58" s="188">
        <f t="shared" si="59"/>
        <v>239.38100582652388</v>
      </c>
      <c r="AC58" s="188">
        <f t="shared" si="59"/>
        <v>250.47379611646011</v>
      </c>
      <c r="AD58" s="188">
        <f t="shared" si="59"/>
        <v>242.75774055369266</v>
      </c>
      <c r="AE58" s="187"/>
      <c r="AF58" s="188">
        <f t="shared" si="60"/>
        <v>233.96361796129568</v>
      </c>
      <c r="AG58" s="188">
        <f t="shared" si="60"/>
        <v>216.69951214512702</v>
      </c>
      <c r="AH58" s="188">
        <f t="shared" si="60"/>
        <v>220.99938766367791</v>
      </c>
      <c r="AI58" s="188">
        <f t="shared" si="60"/>
        <v>231.32962388195671</v>
      </c>
      <c r="AJ58" s="188">
        <f t="shared" si="60"/>
        <v>224.27741219211396</v>
      </c>
      <c r="AK58" s="187"/>
      <c r="AL58" s="188">
        <f t="shared" si="61"/>
        <v>19.563211763915717</v>
      </c>
      <c r="AM58" s="188">
        <f t="shared" si="61"/>
        <v>18.13694379101905</v>
      </c>
      <c r="AN58" s="188">
        <f t="shared" si="61"/>
        <v>18.381618162845992</v>
      </c>
      <c r="AO58" s="188">
        <f t="shared" si="61"/>
        <v>19.144172234503415</v>
      </c>
      <c r="AP58" s="188">
        <f t="shared" si="61"/>
        <v>18.480328361578685</v>
      </c>
      <c r="AQ58" s="90" t="str">
        <f t="shared" si="62"/>
        <v>25-29</v>
      </c>
      <c r="AR58" s="188">
        <f t="shared" si="63"/>
        <v>268.657509946196</v>
      </c>
      <c r="AS58" s="188">
        <f t="shared" si="63"/>
        <v>278.23442986652105</v>
      </c>
      <c r="AT58" s="188">
        <f t="shared" si="63"/>
        <v>292.29787162317513</v>
      </c>
      <c r="AU58" s="188">
        <f t="shared" si="63"/>
        <v>322.87025329734149</v>
      </c>
      <c r="AV58" s="188">
        <f t="shared" si="63"/>
        <v>330.34739351942437</v>
      </c>
      <c r="AW58" s="187"/>
      <c r="AX58" s="188">
        <f t="shared" si="64"/>
        <v>266.3288913677211</v>
      </c>
      <c r="AY58" s="188">
        <f t="shared" si="64"/>
        <v>275.82018573820613</v>
      </c>
      <c r="AZ58" s="188">
        <f t="shared" si="64"/>
        <v>289.76922026464791</v>
      </c>
      <c r="BA58" s="188">
        <f t="shared" si="64"/>
        <v>320.08257546262871</v>
      </c>
      <c r="BB58" s="188">
        <f t="shared" si="64"/>
        <v>327.50130630655138</v>
      </c>
      <c r="BC58" s="187"/>
      <c r="BD58" s="188">
        <f t="shared" si="65"/>
        <v>2.3286185784749271</v>
      </c>
      <c r="BE58" s="188">
        <f t="shared" si="65"/>
        <v>2.414244128314877</v>
      </c>
      <c r="BF58" s="188">
        <f t="shared" si="65"/>
        <v>2.5286513585272092</v>
      </c>
      <c r="BG58" s="188">
        <f t="shared" si="65"/>
        <v>2.7876778347128019</v>
      </c>
      <c r="BH58" s="188">
        <f t="shared" si="65"/>
        <v>2.8460872128729875</v>
      </c>
    </row>
    <row r="59" spans="1:60" x14ac:dyDescent="0.2">
      <c r="A59" s="90" t="str">
        <f t="shared" si="53"/>
        <v>30-34</v>
      </c>
      <c r="B59" s="188">
        <f t="shared" si="54"/>
        <v>88.294623576316411</v>
      </c>
      <c r="C59" s="188">
        <f t="shared" si="54"/>
        <v>89.184182813705448</v>
      </c>
      <c r="D59" s="188">
        <f t="shared" si="54"/>
        <v>78.82086492460455</v>
      </c>
      <c r="E59" s="188">
        <f t="shared" si="54"/>
        <v>73.409248466261431</v>
      </c>
      <c r="F59" s="188">
        <f t="shared" si="54"/>
        <v>62.433211012240555</v>
      </c>
      <c r="G59" s="187"/>
      <c r="H59" s="188">
        <f t="shared" si="55"/>
        <v>28.30985950772898</v>
      </c>
      <c r="I59" s="188">
        <f t="shared" si="55"/>
        <v>28.523912034677551</v>
      </c>
      <c r="J59" s="188">
        <f t="shared" si="55"/>
        <v>25.261997348079788</v>
      </c>
      <c r="K59" s="188">
        <f t="shared" si="55"/>
        <v>23.527246978251746</v>
      </c>
      <c r="L59" s="188">
        <f t="shared" si="55"/>
        <v>20.017532858379102</v>
      </c>
      <c r="M59" s="187"/>
      <c r="N59" s="188">
        <f t="shared" si="56"/>
        <v>59.984764068587438</v>
      </c>
      <c r="O59" s="188">
        <f t="shared" si="56"/>
        <v>60.660270779027904</v>
      </c>
      <c r="P59" s="188">
        <f t="shared" si="56"/>
        <v>53.558867576524761</v>
      </c>
      <c r="Q59" s="188">
        <f t="shared" si="56"/>
        <v>49.882001488009664</v>
      </c>
      <c r="R59" s="188">
        <f t="shared" si="56"/>
        <v>42.41567815386145</v>
      </c>
      <c r="S59" s="187"/>
      <c r="T59" s="188">
        <f t="shared" si="57"/>
        <v>0</v>
      </c>
      <c r="U59" s="188">
        <f t="shared" si="57"/>
        <v>0</v>
      </c>
      <c r="V59" s="188">
        <f t="shared" si="57"/>
        <v>0</v>
      </c>
      <c r="W59" s="188">
        <f t="shared" si="57"/>
        <v>0</v>
      </c>
      <c r="X59" s="188">
        <f t="shared" si="57"/>
        <v>0</v>
      </c>
      <c r="Y59" s="90" t="str">
        <f t="shared" si="58"/>
        <v>30-34</v>
      </c>
      <c r="Z59" s="188">
        <f t="shared" si="59"/>
        <v>252.02853262692997</v>
      </c>
      <c r="AA59" s="188">
        <f t="shared" si="59"/>
        <v>241.95757229192009</v>
      </c>
      <c r="AB59" s="188">
        <f t="shared" si="59"/>
        <v>250.36416862690376</v>
      </c>
      <c r="AC59" s="188">
        <f t="shared" si="59"/>
        <v>260.01917178438288</v>
      </c>
      <c r="AD59" s="188">
        <f t="shared" si="59"/>
        <v>277.87154542964436</v>
      </c>
      <c r="AE59" s="187"/>
      <c r="AF59" s="188">
        <f t="shared" si="60"/>
        <v>233.37617479742303</v>
      </c>
      <c r="AG59" s="188">
        <f t="shared" si="60"/>
        <v>224.1436906659363</v>
      </c>
      <c r="AH59" s="188">
        <f t="shared" si="60"/>
        <v>231.98013090632361</v>
      </c>
      <c r="AI59" s="188">
        <f t="shared" si="60"/>
        <v>240.99879756210669</v>
      </c>
      <c r="AJ59" s="188">
        <f t="shared" si="60"/>
        <v>257.66322853004982</v>
      </c>
      <c r="AK59" s="187"/>
      <c r="AL59" s="188">
        <f t="shared" si="61"/>
        <v>18.65235782950694</v>
      </c>
      <c r="AM59" s="188">
        <f t="shared" si="61"/>
        <v>17.813881625983782</v>
      </c>
      <c r="AN59" s="188">
        <f t="shared" si="61"/>
        <v>18.384037720580174</v>
      </c>
      <c r="AO59" s="188">
        <f t="shared" si="61"/>
        <v>19.02037422227616</v>
      </c>
      <c r="AP59" s="188">
        <f t="shared" si="61"/>
        <v>20.208316899594564</v>
      </c>
      <c r="AQ59" s="90" t="str">
        <f t="shared" si="62"/>
        <v>30-34</v>
      </c>
      <c r="AR59" s="188">
        <f t="shared" si="63"/>
        <v>280.69384379675364</v>
      </c>
      <c r="AS59" s="188">
        <f t="shared" si="63"/>
        <v>298.74624489437451</v>
      </c>
      <c r="AT59" s="188">
        <f t="shared" si="63"/>
        <v>315.83096644849167</v>
      </c>
      <c r="AU59" s="188">
        <f t="shared" si="63"/>
        <v>342.31857974935576</v>
      </c>
      <c r="AV59" s="188">
        <f t="shared" si="63"/>
        <v>384.08524355811511</v>
      </c>
      <c r="AW59" s="187"/>
      <c r="AX59" s="188">
        <f t="shared" si="64"/>
        <v>275.62991148902091</v>
      </c>
      <c r="AY59" s="188">
        <f t="shared" si="64"/>
        <v>293.35345054546065</v>
      </c>
      <c r="AZ59" s="188">
        <f t="shared" si="64"/>
        <v>310.17909296528001</v>
      </c>
      <c r="BA59" s="188">
        <f t="shared" si="64"/>
        <v>336.2348278556392</v>
      </c>
      <c r="BB59" s="188">
        <f t="shared" si="64"/>
        <v>377.23616137901718</v>
      </c>
      <c r="BC59" s="187"/>
      <c r="BD59" s="188">
        <f t="shared" si="65"/>
        <v>5.063932307732685</v>
      </c>
      <c r="BE59" s="188">
        <f t="shared" si="65"/>
        <v>5.3927943489138421</v>
      </c>
      <c r="BF59" s="188">
        <f t="shared" si="65"/>
        <v>5.6518734832116824</v>
      </c>
      <c r="BG59" s="188">
        <f t="shared" si="65"/>
        <v>6.0837518937165616</v>
      </c>
      <c r="BH59" s="188">
        <f t="shared" si="65"/>
        <v>6.8490821790979144</v>
      </c>
    </row>
    <row r="60" spans="1:60" x14ac:dyDescent="0.2">
      <c r="A60" s="90" t="str">
        <f t="shared" si="53"/>
        <v>35-39</v>
      </c>
      <c r="B60" s="188">
        <f t="shared" si="54"/>
        <v>116.40573165092457</v>
      </c>
      <c r="C60" s="188">
        <f t="shared" si="54"/>
        <v>111.62087650319086</v>
      </c>
      <c r="D60" s="188">
        <f t="shared" si="54"/>
        <v>87.010674497835979</v>
      </c>
      <c r="E60" s="188">
        <f t="shared" si="54"/>
        <v>72.169455639072808</v>
      </c>
      <c r="F60" s="188">
        <f t="shared" si="54"/>
        <v>56.078787071994824</v>
      </c>
      <c r="G60" s="187"/>
      <c r="H60" s="188">
        <f t="shared" si="55"/>
        <v>35.263117567908004</v>
      </c>
      <c r="I60" s="188">
        <f t="shared" si="55"/>
        <v>33.826936328651151</v>
      </c>
      <c r="J60" s="188">
        <f t="shared" si="55"/>
        <v>26.372888660399127</v>
      </c>
      <c r="K60" s="188">
        <f t="shared" si="55"/>
        <v>21.873558995262968</v>
      </c>
      <c r="L60" s="188">
        <f t="shared" si="55"/>
        <v>16.999346797068803</v>
      </c>
      <c r="M60" s="187"/>
      <c r="N60" s="188">
        <f t="shared" si="56"/>
        <v>81.142614083016582</v>
      </c>
      <c r="O60" s="188">
        <f t="shared" si="56"/>
        <v>77.793940174539699</v>
      </c>
      <c r="P60" s="188">
        <f t="shared" si="56"/>
        <v>60.637785837436844</v>
      </c>
      <c r="Q60" s="188">
        <f t="shared" si="56"/>
        <v>50.29589664380984</v>
      </c>
      <c r="R60" s="188">
        <f t="shared" si="56"/>
        <v>39.079440274926021</v>
      </c>
      <c r="S60" s="187"/>
      <c r="T60" s="188">
        <f t="shared" si="57"/>
        <v>0</v>
      </c>
      <c r="U60" s="188">
        <f t="shared" si="57"/>
        <v>0</v>
      </c>
      <c r="V60" s="188">
        <f t="shared" si="57"/>
        <v>0</v>
      </c>
      <c r="W60" s="188">
        <f t="shared" si="57"/>
        <v>0</v>
      </c>
      <c r="X60" s="188">
        <f t="shared" si="57"/>
        <v>0</v>
      </c>
      <c r="Y60" s="90" t="str">
        <f t="shared" si="58"/>
        <v>35-39</v>
      </c>
      <c r="Z60" s="188">
        <f t="shared" si="59"/>
        <v>292.69516984616689</v>
      </c>
      <c r="AA60" s="188">
        <f t="shared" si="59"/>
        <v>264.43124011815416</v>
      </c>
      <c r="AB60" s="188">
        <f t="shared" si="59"/>
        <v>249.36383456629306</v>
      </c>
      <c r="AC60" s="188">
        <f t="shared" si="59"/>
        <v>265.62693121403328</v>
      </c>
      <c r="AD60" s="188">
        <f t="shared" si="59"/>
        <v>281.01300955525153</v>
      </c>
      <c r="AE60" s="187"/>
      <c r="AF60" s="188">
        <f t="shared" si="60"/>
        <v>274.90708265744615</v>
      </c>
      <c r="AG60" s="188">
        <f t="shared" si="60"/>
        <v>248.33674178769135</v>
      </c>
      <c r="AH60" s="188">
        <f t="shared" si="60"/>
        <v>234.22524163699583</v>
      </c>
      <c r="AI60" s="188">
        <f t="shared" si="60"/>
        <v>249.52613818829445</v>
      </c>
      <c r="AJ60" s="188">
        <f t="shared" si="60"/>
        <v>264.00561865600736</v>
      </c>
      <c r="AK60" s="187"/>
      <c r="AL60" s="188">
        <f t="shared" si="61"/>
        <v>17.788087188720716</v>
      </c>
      <c r="AM60" s="188">
        <f t="shared" si="61"/>
        <v>16.094498330462777</v>
      </c>
      <c r="AN60" s="188">
        <f t="shared" si="61"/>
        <v>15.138592929297266</v>
      </c>
      <c r="AO60" s="188">
        <f t="shared" si="61"/>
        <v>16.100793025738767</v>
      </c>
      <c r="AP60" s="188">
        <f t="shared" si="61"/>
        <v>17.007390899244211</v>
      </c>
      <c r="AQ60" s="90" t="str">
        <f t="shared" si="62"/>
        <v>35-39</v>
      </c>
      <c r="AR60" s="188">
        <f t="shared" si="63"/>
        <v>271.17009850290862</v>
      </c>
      <c r="AS60" s="188">
        <f t="shared" si="63"/>
        <v>299.350883378655</v>
      </c>
      <c r="AT60" s="188">
        <f t="shared" si="63"/>
        <v>309.54249093587089</v>
      </c>
      <c r="AU60" s="188">
        <f t="shared" si="63"/>
        <v>347.30661314689394</v>
      </c>
      <c r="AV60" s="188">
        <f t="shared" si="63"/>
        <v>383.85620337275361</v>
      </c>
      <c r="AW60" s="187"/>
      <c r="AX60" s="188">
        <f t="shared" si="64"/>
        <v>266.39031937491359</v>
      </c>
      <c r="AY60" s="188">
        <f t="shared" si="64"/>
        <v>294.09970734798696</v>
      </c>
      <c r="AZ60" s="188">
        <f t="shared" si="64"/>
        <v>304.18685308252333</v>
      </c>
      <c r="BA60" s="188">
        <f t="shared" si="64"/>
        <v>341.32613291295013</v>
      </c>
      <c r="BB60" s="188">
        <f t="shared" si="64"/>
        <v>377.26357305597628</v>
      </c>
      <c r="BC60" s="187"/>
      <c r="BD60" s="188">
        <f t="shared" si="65"/>
        <v>4.7797791279950284</v>
      </c>
      <c r="BE60" s="188">
        <f t="shared" si="65"/>
        <v>5.2511760306679776</v>
      </c>
      <c r="BF60" s="188">
        <f t="shared" si="65"/>
        <v>5.3556378533475719</v>
      </c>
      <c r="BG60" s="188">
        <f t="shared" si="65"/>
        <v>5.9804802339438368</v>
      </c>
      <c r="BH60" s="188">
        <f t="shared" si="65"/>
        <v>6.5926303167773872</v>
      </c>
    </row>
    <row r="61" spans="1:60" x14ac:dyDescent="0.2">
      <c r="A61" s="90" t="str">
        <f t="shared" si="53"/>
        <v>40-44</v>
      </c>
      <c r="B61" s="188">
        <f t="shared" si="54"/>
        <v>156.26741886428681</v>
      </c>
      <c r="C61" s="188">
        <f t="shared" si="54"/>
        <v>138.06633532257501</v>
      </c>
      <c r="D61" s="188">
        <f t="shared" si="54"/>
        <v>102.04230405027101</v>
      </c>
      <c r="E61" s="188">
        <f t="shared" si="54"/>
        <v>72.607670352464169</v>
      </c>
      <c r="F61" s="188">
        <f t="shared" si="54"/>
        <v>53.870397558877769</v>
      </c>
      <c r="G61" s="187"/>
      <c r="H61" s="188">
        <f t="shared" si="55"/>
        <v>49.7957894254127</v>
      </c>
      <c r="I61" s="188">
        <f t="shared" si="55"/>
        <v>43.898270250594351</v>
      </c>
      <c r="J61" s="188">
        <f t="shared" si="55"/>
        <v>32.409044993954737</v>
      </c>
      <c r="K61" s="188">
        <f t="shared" si="55"/>
        <v>23.036152368803652</v>
      </c>
      <c r="L61" s="188">
        <f t="shared" si="55"/>
        <v>17.053911147098564</v>
      </c>
      <c r="M61" s="187"/>
      <c r="N61" s="188">
        <f t="shared" si="56"/>
        <v>106.47162943887409</v>
      </c>
      <c r="O61" s="188">
        <f t="shared" si="56"/>
        <v>94.168065071980649</v>
      </c>
      <c r="P61" s="188">
        <f t="shared" si="56"/>
        <v>69.633259056316291</v>
      </c>
      <c r="Q61" s="188">
        <f t="shared" si="56"/>
        <v>49.571517983660513</v>
      </c>
      <c r="R61" s="188">
        <f t="shared" si="56"/>
        <v>36.816486411779202</v>
      </c>
      <c r="S61" s="187"/>
      <c r="T61" s="188">
        <f t="shared" si="57"/>
        <v>0</v>
      </c>
      <c r="U61" s="188">
        <f t="shared" si="57"/>
        <v>0</v>
      </c>
      <c r="V61" s="188">
        <f t="shared" si="57"/>
        <v>0</v>
      </c>
      <c r="W61" s="188">
        <f t="shared" si="57"/>
        <v>0</v>
      </c>
      <c r="X61" s="188">
        <f t="shared" si="57"/>
        <v>0</v>
      </c>
      <c r="Y61" s="90" t="str">
        <f t="shared" si="58"/>
        <v>40-44</v>
      </c>
      <c r="Z61" s="188">
        <f t="shared" si="59"/>
        <v>297.53049844792429</v>
      </c>
      <c r="AA61" s="188">
        <f t="shared" si="59"/>
        <v>279.21152782576593</v>
      </c>
      <c r="AB61" s="188">
        <f t="shared" si="59"/>
        <v>264.15997152705989</v>
      </c>
      <c r="AC61" s="188">
        <f t="shared" si="59"/>
        <v>265.769688987834</v>
      </c>
      <c r="AD61" s="188">
        <f t="shared" si="59"/>
        <v>285.38300501207038</v>
      </c>
      <c r="AE61" s="187"/>
      <c r="AF61" s="188">
        <f t="shared" si="60"/>
        <v>281.6051488677208</v>
      </c>
      <c r="AG61" s="188">
        <f t="shared" si="60"/>
        <v>264.27565335337636</v>
      </c>
      <c r="AH61" s="188">
        <f t="shared" si="60"/>
        <v>250.06064702096575</v>
      </c>
      <c r="AI61" s="188">
        <f t="shared" si="60"/>
        <v>251.59948400746447</v>
      </c>
      <c r="AJ61" s="188">
        <f t="shared" si="60"/>
        <v>270.1868670204085</v>
      </c>
      <c r="AK61" s="187"/>
      <c r="AL61" s="188">
        <f t="shared" si="61"/>
        <v>15.925349580203488</v>
      </c>
      <c r="AM61" s="188">
        <f t="shared" si="61"/>
        <v>14.935874472389486</v>
      </c>
      <c r="AN61" s="188">
        <f t="shared" si="61"/>
        <v>14.099324506094138</v>
      </c>
      <c r="AO61" s="188">
        <f t="shared" si="61"/>
        <v>14.170204980369528</v>
      </c>
      <c r="AP61" s="188">
        <f t="shared" si="61"/>
        <v>15.196137991661878</v>
      </c>
      <c r="AQ61" s="90" t="str">
        <f t="shared" si="62"/>
        <v>40-44</v>
      </c>
      <c r="AR61" s="188">
        <f t="shared" si="63"/>
        <v>254.53008268778893</v>
      </c>
      <c r="AS61" s="188">
        <f t="shared" si="63"/>
        <v>277.04113685165908</v>
      </c>
      <c r="AT61" s="188">
        <f t="shared" si="63"/>
        <v>302.03972442266905</v>
      </c>
      <c r="AU61" s="188">
        <f t="shared" si="63"/>
        <v>315.32964065970185</v>
      </c>
      <c r="AV61" s="188">
        <f t="shared" si="63"/>
        <v>349.0545974290518</v>
      </c>
      <c r="AW61" s="187"/>
      <c r="AX61" s="188">
        <f t="shared" si="64"/>
        <v>250.24828407721705</v>
      </c>
      <c r="AY61" s="188">
        <f t="shared" si="64"/>
        <v>272.4224484468516</v>
      </c>
      <c r="AZ61" s="188">
        <f t="shared" si="64"/>
        <v>297.01618494130969</v>
      </c>
      <c r="BA61" s="188">
        <f t="shared" si="64"/>
        <v>310.0976851562209</v>
      </c>
      <c r="BB61" s="188">
        <f t="shared" si="64"/>
        <v>343.26501484324086</v>
      </c>
      <c r="BC61" s="187"/>
      <c r="BD61" s="188">
        <f t="shared" si="65"/>
        <v>4.2817986105719035</v>
      </c>
      <c r="BE61" s="188">
        <f t="shared" si="65"/>
        <v>4.6186884048075676</v>
      </c>
      <c r="BF61" s="188">
        <f t="shared" si="65"/>
        <v>5.0235394813593235</v>
      </c>
      <c r="BG61" s="188">
        <f t="shared" si="65"/>
        <v>5.2319555034809255</v>
      </c>
      <c r="BH61" s="188">
        <f t="shared" si="65"/>
        <v>5.7895825858109662</v>
      </c>
    </row>
    <row r="62" spans="1:60" x14ac:dyDescent="0.2">
      <c r="A62" s="90" t="str">
        <f t="shared" si="53"/>
        <v>45-49</v>
      </c>
      <c r="B62" s="188">
        <f t="shared" si="54"/>
        <v>192.10532237663983</v>
      </c>
      <c r="C62" s="188">
        <f t="shared" si="54"/>
        <v>181.7014990686323</v>
      </c>
      <c r="D62" s="188">
        <f t="shared" si="54"/>
        <v>125.84366969436242</v>
      </c>
      <c r="E62" s="188">
        <f t="shared" si="54"/>
        <v>94.413771810554039</v>
      </c>
      <c r="F62" s="188">
        <f t="shared" si="54"/>
        <v>69.482068956144474</v>
      </c>
      <c r="G62" s="187"/>
      <c r="H62" s="188">
        <f t="shared" si="55"/>
        <v>63.114524104301118</v>
      </c>
      <c r="I62" s="188">
        <f t="shared" si="55"/>
        <v>59.680357878773279</v>
      </c>
      <c r="J62" s="188">
        <f t="shared" si="55"/>
        <v>41.135830568231285</v>
      </c>
      <c r="K62" s="188">
        <f t="shared" si="55"/>
        <v>30.734675124538327</v>
      </c>
      <c r="L62" s="188">
        <f t="shared" si="55"/>
        <v>22.525760365918362</v>
      </c>
      <c r="M62" s="187"/>
      <c r="N62" s="188">
        <f t="shared" si="56"/>
        <v>128.99079827233871</v>
      </c>
      <c r="O62" s="188">
        <f t="shared" si="56"/>
        <v>122.02114118985901</v>
      </c>
      <c r="P62" s="188">
        <f t="shared" si="56"/>
        <v>84.707839126131134</v>
      </c>
      <c r="Q62" s="188">
        <f t="shared" si="56"/>
        <v>63.679096686015725</v>
      </c>
      <c r="R62" s="188">
        <f t="shared" si="56"/>
        <v>46.956308590226101</v>
      </c>
      <c r="S62" s="187"/>
      <c r="T62" s="188">
        <f t="shared" si="57"/>
        <v>0</v>
      </c>
      <c r="U62" s="188">
        <f t="shared" si="57"/>
        <v>0</v>
      </c>
      <c r="V62" s="188">
        <f t="shared" si="57"/>
        <v>0</v>
      </c>
      <c r="W62" s="188">
        <f t="shared" si="57"/>
        <v>0</v>
      </c>
      <c r="X62" s="188">
        <f t="shared" si="57"/>
        <v>0</v>
      </c>
      <c r="Y62" s="90" t="str">
        <f t="shared" si="58"/>
        <v>45-49</v>
      </c>
      <c r="Z62" s="188">
        <f t="shared" si="59"/>
        <v>259.3931665564873</v>
      </c>
      <c r="AA62" s="188">
        <f t="shared" si="59"/>
        <v>259.85569110569543</v>
      </c>
      <c r="AB62" s="188">
        <f t="shared" si="59"/>
        <v>276.06033600610709</v>
      </c>
      <c r="AC62" s="188">
        <f t="shared" si="59"/>
        <v>283.54672387522641</v>
      </c>
      <c r="AD62" s="188">
        <f t="shared" si="59"/>
        <v>287.849736988811</v>
      </c>
      <c r="AE62" s="187"/>
      <c r="AF62" s="188">
        <f t="shared" si="60"/>
        <v>247.30603323034916</v>
      </c>
      <c r="AG62" s="188">
        <f t="shared" si="60"/>
        <v>247.7788871489098</v>
      </c>
      <c r="AH62" s="188">
        <f t="shared" si="60"/>
        <v>263.21646229283618</v>
      </c>
      <c r="AI62" s="188">
        <f t="shared" si="60"/>
        <v>270.34872282364341</v>
      </c>
      <c r="AJ62" s="188">
        <f t="shared" si="60"/>
        <v>274.44279780539426</v>
      </c>
      <c r="AK62" s="187"/>
      <c r="AL62" s="188">
        <f t="shared" si="61"/>
        <v>12.087133326138117</v>
      </c>
      <c r="AM62" s="188">
        <f t="shared" si="61"/>
        <v>12.076803956785602</v>
      </c>
      <c r="AN62" s="188">
        <f t="shared" si="61"/>
        <v>12.84387371327092</v>
      </c>
      <c r="AO62" s="188">
        <f t="shared" si="61"/>
        <v>13.198001051582985</v>
      </c>
      <c r="AP62" s="188">
        <f t="shared" si="61"/>
        <v>13.40693918341676</v>
      </c>
      <c r="AQ62" s="90" t="str">
        <f t="shared" si="62"/>
        <v>45-49</v>
      </c>
      <c r="AR62" s="188">
        <f t="shared" si="63"/>
        <v>233.19851106687287</v>
      </c>
      <c r="AS62" s="188">
        <f t="shared" si="63"/>
        <v>255.42780982567223</v>
      </c>
      <c r="AT62" s="188">
        <f t="shared" si="63"/>
        <v>278.84899429953055</v>
      </c>
      <c r="AU62" s="188">
        <f t="shared" si="63"/>
        <v>292.33350431421957</v>
      </c>
      <c r="AV62" s="188">
        <f t="shared" si="63"/>
        <v>302.44819405504461</v>
      </c>
      <c r="AW62" s="187"/>
      <c r="AX62" s="188">
        <f t="shared" si="64"/>
        <v>228.81453920689103</v>
      </c>
      <c r="AY62" s="188">
        <f t="shared" si="64"/>
        <v>250.65558136759938</v>
      </c>
      <c r="AZ62" s="188">
        <f t="shared" si="64"/>
        <v>273.711876568962</v>
      </c>
      <c r="BA62" s="188">
        <f t="shared" si="64"/>
        <v>286.97795838324782</v>
      </c>
      <c r="BB62" s="188">
        <f t="shared" si="64"/>
        <v>296.93591992657696</v>
      </c>
      <c r="BC62" s="187"/>
      <c r="BD62" s="188">
        <f t="shared" si="65"/>
        <v>4.3839718599818829</v>
      </c>
      <c r="BE62" s="188">
        <f t="shared" si="65"/>
        <v>4.7722284580728216</v>
      </c>
      <c r="BF62" s="188">
        <f t="shared" si="65"/>
        <v>5.1371177305685114</v>
      </c>
      <c r="BG62" s="188">
        <f t="shared" si="65"/>
        <v>5.3555459309717897</v>
      </c>
      <c r="BH62" s="188">
        <f t="shared" si="65"/>
        <v>5.5122741284676167</v>
      </c>
    </row>
    <row r="63" spans="1:60" x14ac:dyDescent="0.2">
      <c r="A63" s="90" t="str">
        <f t="shared" si="53"/>
        <v>50-54</v>
      </c>
      <c r="B63" s="188">
        <f t="shared" si="54"/>
        <v>185.40604857322711</v>
      </c>
      <c r="C63" s="188">
        <f t="shared" si="54"/>
        <v>192.72292557560411</v>
      </c>
      <c r="D63" s="188">
        <f t="shared" si="54"/>
        <v>162.16719193834749</v>
      </c>
      <c r="E63" s="188">
        <f t="shared" si="54"/>
        <v>133.41410305220273</v>
      </c>
      <c r="F63" s="188">
        <f t="shared" si="54"/>
        <v>106.3528116102037</v>
      </c>
      <c r="G63" s="187"/>
      <c r="H63" s="188">
        <f t="shared" si="55"/>
        <v>66.691082872087563</v>
      </c>
      <c r="I63" s="188">
        <f t="shared" si="55"/>
        <v>69.308339401755902</v>
      </c>
      <c r="J63" s="188">
        <f t="shared" si="55"/>
        <v>58.294203339386414</v>
      </c>
      <c r="K63" s="188">
        <f t="shared" si="55"/>
        <v>47.904759864066669</v>
      </c>
      <c r="L63" s="188">
        <f t="shared" si="55"/>
        <v>38.151642732729172</v>
      </c>
      <c r="M63" s="187"/>
      <c r="N63" s="188">
        <f t="shared" si="56"/>
        <v>118.71496570113956</v>
      </c>
      <c r="O63" s="188">
        <f t="shared" si="56"/>
        <v>123.41458617384822</v>
      </c>
      <c r="P63" s="188">
        <f t="shared" si="56"/>
        <v>103.87298859896106</v>
      </c>
      <c r="Q63" s="188">
        <f t="shared" si="56"/>
        <v>85.509343188136071</v>
      </c>
      <c r="R63" s="188">
        <f t="shared" si="56"/>
        <v>68.201168877474544</v>
      </c>
      <c r="S63" s="187"/>
      <c r="T63" s="188">
        <f t="shared" si="57"/>
        <v>0</v>
      </c>
      <c r="U63" s="188">
        <f t="shared" si="57"/>
        <v>0</v>
      </c>
      <c r="V63" s="188">
        <f t="shared" si="57"/>
        <v>0</v>
      </c>
      <c r="W63" s="188">
        <f t="shared" si="57"/>
        <v>0</v>
      </c>
      <c r="X63" s="188">
        <f t="shared" si="57"/>
        <v>0</v>
      </c>
      <c r="Y63" s="90" t="str">
        <f t="shared" si="58"/>
        <v>50-54</v>
      </c>
      <c r="Z63" s="188">
        <f t="shared" si="59"/>
        <v>200.15705088001573</v>
      </c>
      <c r="AA63" s="188">
        <f t="shared" si="59"/>
        <v>218.54573674510601</v>
      </c>
      <c r="AB63" s="188">
        <f t="shared" si="59"/>
        <v>239.21960647496348</v>
      </c>
      <c r="AC63" s="188">
        <f t="shared" si="59"/>
        <v>257.81605841504751</v>
      </c>
      <c r="AD63" s="188">
        <f t="shared" si="59"/>
        <v>271.65581059286012</v>
      </c>
      <c r="AE63" s="187"/>
      <c r="AF63" s="188">
        <f t="shared" si="60"/>
        <v>190.04078964826027</v>
      </c>
      <c r="AG63" s="188">
        <f t="shared" si="60"/>
        <v>207.46488432579588</v>
      </c>
      <c r="AH63" s="188">
        <f t="shared" si="60"/>
        <v>227.09664617165495</v>
      </c>
      <c r="AI63" s="188">
        <f t="shared" si="60"/>
        <v>244.71475666454</v>
      </c>
      <c r="AJ63" s="188">
        <f t="shared" si="60"/>
        <v>257.79476785525156</v>
      </c>
      <c r="AK63" s="187"/>
      <c r="AL63" s="188">
        <f t="shared" si="61"/>
        <v>10.116261231755457</v>
      </c>
      <c r="AM63" s="188">
        <f t="shared" si="61"/>
        <v>11.080852419310158</v>
      </c>
      <c r="AN63" s="188">
        <f t="shared" si="61"/>
        <v>12.122960303308531</v>
      </c>
      <c r="AO63" s="188">
        <f t="shared" si="61"/>
        <v>13.101301750507519</v>
      </c>
      <c r="AP63" s="188">
        <f t="shared" si="61"/>
        <v>13.861042737608585</v>
      </c>
      <c r="AQ63" s="90" t="str">
        <f t="shared" si="62"/>
        <v>50-54</v>
      </c>
      <c r="AR63" s="188">
        <f t="shared" si="63"/>
        <v>172.51190054675715</v>
      </c>
      <c r="AS63" s="188">
        <f t="shared" si="63"/>
        <v>201.44733767928977</v>
      </c>
      <c r="AT63" s="188">
        <f t="shared" si="63"/>
        <v>243.89220158668905</v>
      </c>
      <c r="AU63" s="188">
        <f t="shared" si="63"/>
        <v>263.09583853274978</v>
      </c>
      <c r="AV63" s="188">
        <f t="shared" si="63"/>
        <v>278.2843777969361</v>
      </c>
      <c r="AW63" s="187"/>
      <c r="AX63" s="188">
        <f t="shared" si="64"/>
        <v>168.88787751101148</v>
      </c>
      <c r="AY63" s="188">
        <f t="shared" si="64"/>
        <v>197.35794837642953</v>
      </c>
      <c r="AZ63" s="188">
        <f t="shared" si="64"/>
        <v>238.9340888070729</v>
      </c>
      <c r="BA63" s="188">
        <f t="shared" si="64"/>
        <v>257.81671276903228</v>
      </c>
      <c r="BB63" s="188">
        <f t="shared" si="64"/>
        <v>272.79729732120262</v>
      </c>
      <c r="BC63" s="187"/>
      <c r="BD63" s="188">
        <f t="shared" si="65"/>
        <v>3.6240230357456578</v>
      </c>
      <c r="BE63" s="188">
        <f t="shared" si="65"/>
        <v>4.0893893028602495</v>
      </c>
      <c r="BF63" s="188">
        <f t="shared" si="65"/>
        <v>4.958112779616183</v>
      </c>
      <c r="BG63" s="188">
        <f t="shared" si="65"/>
        <v>5.2791257637175608</v>
      </c>
      <c r="BH63" s="188">
        <f t="shared" si="65"/>
        <v>5.4870804757334763</v>
      </c>
    </row>
    <row r="64" spans="1:60" x14ac:dyDescent="0.2">
      <c r="A64" s="90" t="str">
        <f t="shared" si="53"/>
        <v>55-59</v>
      </c>
      <c r="B64" s="188">
        <f t="shared" si="54"/>
        <v>118.1352024705036</v>
      </c>
      <c r="C64" s="188">
        <f t="shared" si="54"/>
        <v>125.51688761373863</v>
      </c>
      <c r="D64" s="188">
        <f t="shared" si="54"/>
        <v>135.69347634171973</v>
      </c>
      <c r="E64" s="188">
        <f t="shared" si="54"/>
        <v>127.61999627132217</v>
      </c>
      <c r="F64" s="188">
        <f t="shared" si="54"/>
        <v>103.83680807778796</v>
      </c>
      <c r="G64" s="187"/>
      <c r="H64" s="188">
        <f t="shared" si="55"/>
        <v>47.020085047969616</v>
      </c>
      <c r="I64" s="188">
        <f t="shared" si="55"/>
        <v>49.942017947737568</v>
      </c>
      <c r="J64" s="188">
        <f t="shared" si="55"/>
        <v>53.996980542501134</v>
      </c>
      <c r="K64" s="188">
        <f t="shared" si="55"/>
        <v>50.765369807184982</v>
      </c>
      <c r="L64" s="188">
        <f t="shared" si="55"/>
        <v>41.29898124275995</v>
      </c>
      <c r="M64" s="187"/>
      <c r="N64" s="188">
        <f t="shared" si="56"/>
        <v>71.115117422534013</v>
      </c>
      <c r="O64" s="188">
        <f t="shared" si="56"/>
        <v>75.574869666001078</v>
      </c>
      <c r="P64" s="188">
        <f t="shared" si="56"/>
        <v>81.696495799218582</v>
      </c>
      <c r="Q64" s="188">
        <f t="shared" si="56"/>
        <v>76.854626464137169</v>
      </c>
      <c r="R64" s="188">
        <f t="shared" si="56"/>
        <v>62.537826835028014</v>
      </c>
      <c r="S64" s="187"/>
      <c r="T64" s="188">
        <f t="shared" si="57"/>
        <v>0</v>
      </c>
      <c r="U64" s="188">
        <f t="shared" si="57"/>
        <v>0</v>
      </c>
      <c r="V64" s="188">
        <f t="shared" si="57"/>
        <v>0</v>
      </c>
      <c r="W64" s="188">
        <f t="shared" si="57"/>
        <v>0</v>
      </c>
      <c r="X64" s="188">
        <f t="shared" si="57"/>
        <v>0</v>
      </c>
      <c r="Y64" s="90" t="str">
        <f t="shared" si="58"/>
        <v>55-59</v>
      </c>
      <c r="Z64" s="188">
        <f t="shared" si="59"/>
        <v>122.81319674265731</v>
      </c>
      <c r="AA64" s="188">
        <f t="shared" si="59"/>
        <v>127.76576484388534</v>
      </c>
      <c r="AB64" s="188">
        <f t="shared" si="59"/>
        <v>167.56934646025536</v>
      </c>
      <c r="AC64" s="188">
        <f t="shared" si="59"/>
        <v>201.55893986495374</v>
      </c>
      <c r="AD64" s="188">
        <f t="shared" si="59"/>
        <v>218.03560485524812</v>
      </c>
      <c r="AE64" s="187"/>
      <c r="AF64" s="188">
        <f t="shared" si="60"/>
        <v>115.33146461461402</v>
      </c>
      <c r="AG64" s="188">
        <f t="shared" si="60"/>
        <v>119.93869463814224</v>
      </c>
      <c r="AH64" s="188">
        <f t="shared" si="60"/>
        <v>157.20305952301629</v>
      </c>
      <c r="AI64" s="188">
        <f t="shared" si="60"/>
        <v>189.09467188304029</v>
      </c>
      <c r="AJ64" s="188">
        <f t="shared" si="60"/>
        <v>204.52603798057652</v>
      </c>
      <c r="AK64" s="187"/>
      <c r="AL64" s="188">
        <f t="shared" si="61"/>
        <v>7.4817321280432685</v>
      </c>
      <c r="AM64" s="188">
        <f t="shared" si="61"/>
        <v>7.8270702057431016</v>
      </c>
      <c r="AN64" s="188">
        <f t="shared" si="61"/>
        <v>10.366286937239055</v>
      </c>
      <c r="AO64" s="188">
        <f t="shared" si="61"/>
        <v>12.464267981913423</v>
      </c>
      <c r="AP64" s="188">
        <f t="shared" si="61"/>
        <v>13.509566874671609</v>
      </c>
      <c r="AQ64" s="90" t="str">
        <f t="shared" si="62"/>
        <v>55-59</v>
      </c>
      <c r="AR64" s="188">
        <f t="shared" si="63"/>
        <v>115.94160078683907</v>
      </c>
      <c r="AS64" s="188">
        <f t="shared" si="63"/>
        <v>135.51634754237602</v>
      </c>
      <c r="AT64" s="188">
        <f t="shared" si="63"/>
        <v>177.65217719802493</v>
      </c>
      <c r="AU64" s="188">
        <f t="shared" si="63"/>
        <v>208.31606386372408</v>
      </c>
      <c r="AV64" s="188">
        <f t="shared" si="63"/>
        <v>226.8625870669639</v>
      </c>
      <c r="AW64" s="187"/>
      <c r="AX64" s="188">
        <f t="shared" si="64"/>
        <v>112.73432150536409</v>
      </c>
      <c r="AY64" s="188">
        <f t="shared" si="64"/>
        <v>131.84828185573497</v>
      </c>
      <c r="AZ64" s="188">
        <f t="shared" si="64"/>
        <v>173.0031356627903</v>
      </c>
      <c r="BA64" s="188">
        <f t="shared" si="64"/>
        <v>202.93168009516813</v>
      </c>
      <c r="BB64" s="188">
        <f t="shared" si="64"/>
        <v>221.04132666504691</v>
      </c>
      <c r="BC64" s="187"/>
      <c r="BD64" s="188">
        <f t="shared" si="65"/>
        <v>3.2072792814749906</v>
      </c>
      <c r="BE64" s="188">
        <f t="shared" si="65"/>
        <v>3.6680656866410524</v>
      </c>
      <c r="BF64" s="188">
        <f t="shared" si="65"/>
        <v>4.6490415352346357</v>
      </c>
      <c r="BG64" s="188">
        <f t="shared" si="65"/>
        <v>5.3843837685559581</v>
      </c>
      <c r="BH64" s="188">
        <f t="shared" si="65"/>
        <v>5.8212604019169705</v>
      </c>
    </row>
    <row r="65" spans="1:60" x14ac:dyDescent="0.2">
      <c r="A65" s="90" t="str">
        <f t="shared" si="53"/>
        <v>60-64</v>
      </c>
      <c r="B65" s="188">
        <f t="shared" si="54"/>
        <v>35.823218463615042</v>
      </c>
      <c r="C65" s="188">
        <f t="shared" si="54"/>
        <v>44.494263253571226</v>
      </c>
      <c r="D65" s="188">
        <f t="shared" si="54"/>
        <v>41.613632960941956</v>
      </c>
      <c r="E65" s="188">
        <f t="shared" si="54"/>
        <v>40.934965671055551</v>
      </c>
      <c r="F65" s="188">
        <f t="shared" si="54"/>
        <v>35.667541570413341</v>
      </c>
      <c r="G65" s="187"/>
      <c r="H65" s="188">
        <f t="shared" si="55"/>
        <v>16.931856207862616</v>
      </c>
      <c r="I65" s="188">
        <f t="shared" si="55"/>
        <v>21.062717164219428</v>
      </c>
      <c r="J65" s="188">
        <f t="shared" si="55"/>
        <v>19.717624343517112</v>
      </c>
      <c r="K65" s="188">
        <f t="shared" si="55"/>
        <v>19.381394399502241</v>
      </c>
      <c r="L65" s="188">
        <f t="shared" si="55"/>
        <v>16.879614538550584</v>
      </c>
      <c r="M65" s="187"/>
      <c r="N65" s="188">
        <f t="shared" si="56"/>
        <v>18.891362255752426</v>
      </c>
      <c r="O65" s="188">
        <f t="shared" si="56"/>
        <v>23.431546089351805</v>
      </c>
      <c r="P65" s="188">
        <f t="shared" si="56"/>
        <v>21.89600861742484</v>
      </c>
      <c r="Q65" s="188">
        <f t="shared" si="56"/>
        <v>21.553571271553317</v>
      </c>
      <c r="R65" s="188">
        <f t="shared" si="56"/>
        <v>18.787927031862754</v>
      </c>
      <c r="S65" s="187"/>
      <c r="T65" s="188">
        <f t="shared" si="57"/>
        <v>0</v>
      </c>
      <c r="U65" s="188">
        <f t="shared" si="57"/>
        <v>0</v>
      </c>
      <c r="V65" s="188">
        <f t="shared" si="57"/>
        <v>0</v>
      </c>
      <c r="W65" s="188">
        <f t="shared" si="57"/>
        <v>0</v>
      </c>
      <c r="X65" s="188">
        <f t="shared" si="57"/>
        <v>0</v>
      </c>
      <c r="Y65" s="90" t="str">
        <f t="shared" si="58"/>
        <v>60-64</v>
      </c>
      <c r="Z65" s="188">
        <f t="shared" si="59"/>
        <v>31.343339667083313</v>
      </c>
      <c r="AA65" s="188">
        <f t="shared" si="59"/>
        <v>37.400907742954743</v>
      </c>
      <c r="AB65" s="188">
        <f t="shared" si="59"/>
        <v>50.777770478130293</v>
      </c>
      <c r="AC65" s="188">
        <f t="shared" si="59"/>
        <v>66.266094080470012</v>
      </c>
      <c r="AD65" s="188">
        <f t="shared" si="59"/>
        <v>80.260766484007178</v>
      </c>
      <c r="AE65" s="187"/>
      <c r="AF65" s="188">
        <f t="shared" si="60"/>
        <v>29.203027553951088</v>
      </c>
      <c r="AG65" s="188">
        <f t="shared" si="60"/>
        <v>34.871395449563813</v>
      </c>
      <c r="AH65" s="188">
        <f t="shared" si="60"/>
        <v>47.209555911882788</v>
      </c>
      <c r="AI65" s="188">
        <f t="shared" si="60"/>
        <v>61.600974211672487</v>
      </c>
      <c r="AJ65" s="188">
        <f t="shared" si="60"/>
        <v>74.607227360463867</v>
      </c>
      <c r="AK65" s="187"/>
      <c r="AL65" s="188">
        <f t="shared" si="61"/>
        <v>2.1403121131322234</v>
      </c>
      <c r="AM65" s="188">
        <f t="shared" si="61"/>
        <v>2.5295122933909324</v>
      </c>
      <c r="AN65" s="188">
        <f t="shared" si="61"/>
        <v>3.5682145662475118</v>
      </c>
      <c r="AO65" s="188">
        <f t="shared" si="61"/>
        <v>4.6651198687975111</v>
      </c>
      <c r="AP65" s="188">
        <f t="shared" si="61"/>
        <v>5.6535391235433075</v>
      </c>
      <c r="AQ65" s="90" t="str">
        <f t="shared" si="62"/>
        <v>60-64</v>
      </c>
      <c r="AR65" s="188">
        <f t="shared" si="63"/>
        <v>38.517441869301649</v>
      </c>
      <c r="AS65" s="188">
        <f t="shared" si="63"/>
        <v>53.191829003474027</v>
      </c>
      <c r="AT65" s="188">
        <f t="shared" si="63"/>
        <v>71.393596560927747</v>
      </c>
      <c r="AU65" s="188">
        <f t="shared" si="63"/>
        <v>92.303940248474447</v>
      </c>
      <c r="AV65" s="188">
        <f t="shared" si="63"/>
        <v>113.97169194557949</v>
      </c>
      <c r="AW65" s="187"/>
      <c r="AX65" s="188">
        <f t="shared" si="64"/>
        <v>35.940957081944205</v>
      </c>
      <c r="AY65" s="188">
        <f t="shared" si="64"/>
        <v>49.626732053099445</v>
      </c>
      <c r="AZ65" s="188">
        <f t="shared" si="64"/>
        <v>66.596362264723197</v>
      </c>
      <c r="BA65" s="188">
        <f t="shared" si="64"/>
        <v>86.098448390329622</v>
      </c>
      <c r="BB65" s="188">
        <f t="shared" si="64"/>
        <v>106.3052407990122</v>
      </c>
      <c r="BC65" s="187"/>
      <c r="BD65" s="188">
        <f t="shared" si="65"/>
        <v>2.5764847873574377</v>
      </c>
      <c r="BE65" s="188">
        <f t="shared" si="65"/>
        <v>3.5650969503745911</v>
      </c>
      <c r="BF65" s="188">
        <f t="shared" si="65"/>
        <v>4.7972342962045555</v>
      </c>
      <c r="BG65" s="188">
        <f t="shared" si="65"/>
        <v>6.2054918581448213</v>
      </c>
      <c r="BH65" s="188">
        <f t="shared" si="65"/>
        <v>7.6664511465673009</v>
      </c>
    </row>
    <row r="66" spans="1:60" x14ac:dyDescent="0.2">
      <c r="A66" s="90" t="str">
        <f t="shared" si="53"/>
        <v>65+</v>
      </c>
      <c r="B66" s="188">
        <f t="shared" si="54"/>
        <v>11.948741166199174</v>
      </c>
      <c r="C66" s="188">
        <f t="shared" si="54"/>
        <v>16.460486596644937</v>
      </c>
      <c r="D66" s="188">
        <f t="shared" si="54"/>
        <v>15.029015503825972</v>
      </c>
      <c r="E66" s="188">
        <f t="shared" si="54"/>
        <v>11.903183363129848</v>
      </c>
      <c r="F66" s="188">
        <f t="shared" si="54"/>
        <v>9.8474191476518342</v>
      </c>
      <c r="G66" s="187"/>
      <c r="H66" s="188">
        <f t="shared" si="55"/>
        <v>6.3754329809595625</v>
      </c>
      <c r="I66" s="188">
        <f t="shared" si="55"/>
        <v>8.5871560944185141</v>
      </c>
      <c r="J66" s="188">
        <f t="shared" si="55"/>
        <v>7.8803923797716067</v>
      </c>
      <c r="K66" s="188">
        <f t="shared" si="55"/>
        <v>6.2399183159193861</v>
      </c>
      <c r="L66" s="188">
        <f t="shared" si="55"/>
        <v>5.2069403181851044</v>
      </c>
      <c r="M66" s="187"/>
      <c r="N66" s="188">
        <f t="shared" si="56"/>
        <v>5.5733081852396102</v>
      </c>
      <c r="O66" s="188">
        <f t="shared" si="56"/>
        <v>7.8733305022264224</v>
      </c>
      <c r="P66" s="188">
        <f t="shared" si="56"/>
        <v>7.1486231240543656</v>
      </c>
      <c r="Q66" s="188">
        <f t="shared" si="56"/>
        <v>5.6632650472104613</v>
      </c>
      <c r="R66" s="188">
        <f t="shared" si="56"/>
        <v>4.6404788294667298</v>
      </c>
      <c r="S66" s="187"/>
      <c r="T66" s="188">
        <f t="shared" si="57"/>
        <v>0</v>
      </c>
      <c r="U66" s="188">
        <f t="shared" si="57"/>
        <v>0</v>
      </c>
      <c r="V66" s="188">
        <f t="shared" si="57"/>
        <v>0</v>
      </c>
      <c r="W66" s="188">
        <f t="shared" si="57"/>
        <v>0</v>
      </c>
      <c r="X66" s="188">
        <f t="shared" si="57"/>
        <v>0</v>
      </c>
      <c r="Y66" s="90" t="str">
        <f t="shared" si="58"/>
        <v>65+</v>
      </c>
      <c r="Z66" s="188">
        <f t="shared" si="59"/>
        <v>7.8240804156386137</v>
      </c>
      <c r="AA66" s="188">
        <f t="shared" si="59"/>
        <v>9.9119242988728669</v>
      </c>
      <c r="AB66" s="188">
        <f t="shared" si="59"/>
        <v>11.008756624618567</v>
      </c>
      <c r="AC66" s="188">
        <f t="shared" si="59"/>
        <v>12.01446121472337</v>
      </c>
      <c r="AD66" s="188">
        <f t="shared" si="59"/>
        <v>13.854293318978709</v>
      </c>
      <c r="AE66" s="187"/>
      <c r="AF66" s="188">
        <f t="shared" si="60"/>
        <v>6.9255035254653912</v>
      </c>
      <c r="AG66" s="188">
        <f t="shared" si="60"/>
        <v>8.7952137061175186</v>
      </c>
      <c r="AH66" s="188">
        <f t="shared" si="60"/>
        <v>9.7331452985061144</v>
      </c>
      <c r="AI66" s="188">
        <f t="shared" si="60"/>
        <v>10.624866696548906</v>
      </c>
      <c r="AJ66" s="188">
        <f t="shared" si="60"/>
        <v>12.275904221835862</v>
      </c>
      <c r="AK66" s="187"/>
      <c r="AL66" s="188">
        <f t="shared" si="61"/>
        <v>0.89857689017322329</v>
      </c>
      <c r="AM66" s="188">
        <f t="shared" si="61"/>
        <v>1.1167105927553487</v>
      </c>
      <c r="AN66" s="188">
        <f t="shared" si="61"/>
        <v>1.2756113261124509</v>
      </c>
      <c r="AO66" s="188">
        <f t="shared" si="61"/>
        <v>1.389594518174466</v>
      </c>
      <c r="AP66" s="188">
        <f t="shared" si="61"/>
        <v>1.5783890971428471</v>
      </c>
      <c r="AQ66" s="90" t="str">
        <f t="shared" si="62"/>
        <v>65+</v>
      </c>
      <c r="AR66" s="188">
        <f t="shared" si="63"/>
        <v>12.792178418162218</v>
      </c>
      <c r="AS66" s="188">
        <f t="shared" si="63"/>
        <v>12.19158910448219</v>
      </c>
      <c r="AT66" s="188">
        <f t="shared" si="63"/>
        <v>19.366227871555463</v>
      </c>
      <c r="AU66" s="188">
        <f t="shared" si="63"/>
        <v>23.78335542214678</v>
      </c>
      <c r="AV66" s="188">
        <f t="shared" si="63"/>
        <v>30.011287533369462</v>
      </c>
      <c r="AW66" s="187"/>
      <c r="AX66" s="188">
        <f t="shared" si="64"/>
        <v>12.010493229987055</v>
      </c>
      <c r="AY66" s="188">
        <f t="shared" si="64"/>
        <v>11.529560727743291</v>
      </c>
      <c r="AZ66" s="188">
        <f t="shared" si="64"/>
        <v>18.211272058470012</v>
      </c>
      <c r="BA66" s="188">
        <f t="shared" si="64"/>
        <v>22.381962071636803</v>
      </c>
      <c r="BB66" s="188">
        <f t="shared" si="64"/>
        <v>28.299382615392936</v>
      </c>
      <c r="BC66" s="187"/>
      <c r="BD66" s="188">
        <f t="shared" si="65"/>
        <v>0.78168518817516097</v>
      </c>
      <c r="BE66" s="188">
        <f t="shared" si="65"/>
        <v>0.66202837673890058</v>
      </c>
      <c r="BF66" s="188">
        <f t="shared" si="65"/>
        <v>1.1549558130854503</v>
      </c>
      <c r="BG66" s="188">
        <f t="shared" si="65"/>
        <v>1.4013933505099772</v>
      </c>
      <c r="BH66" s="188">
        <f t="shared" si="65"/>
        <v>1.7119049179765302</v>
      </c>
    </row>
    <row r="67" spans="1:60" x14ac:dyDescent="0.2">
      <c r="B67" s="188"/>
      <c r="C67" s="188"/>
      <c r="D67" s="187"/>
      <c r="E67" s="187"/>
      <c r="F67" s="187"/>
      <c r="G67" s="187"/>
      <c r="H67" s="187"/>
      <c r="I67" s="187"/>
      <c r="J67" s="187"/>
      <c r="K67" s="187"/>
      <c r="L67" s="187"/>
      <c r="M67" s="187"/>
      <c r="N67" s="187"/>
      <c r="O67" s="187"/>
      <c r="P67" s="187"/>
      <c r="Q67" s="187"/>
      <c r="R67" s="187"/>
      <c r="S67" s="187"/>
      <c r="T67" s="93"/>
      <c r="U67" s="93"/>
      <c r="V67" s="93"/>
      <c r="W67" s="93"/>
      <c r="X67" s="93"/>
      <c r="Z67" s="188"/>
      <c r="AA67" s="188"/>
      <c r="AB67" s="187"/>
      <c r="AC67" s="187"/>
      <c r="AD67" s="187"/>
      <c r="AE67" s="187"/>
      <c r="AF67" s="187"/>
      <c r="AG67" s="187"/>
      <c r="AH67" s="187"/>
      <c r="AI67" s="187"/>
      <c r="AJ67" s="187"/>
      <c r="AK67" s="187"/>
      <c r="AL67" s="187"/>
      <c r="AM67" s="187"/>
      <c r="AN67" s="187"/>
      <c r="AO67" s="187"/>
      <c r="AP67" s="187"/>
      <c r="AR67" s="188"/>
      <c r="AS67" s="188"/>
      <c r="AT67" s="187"/>
      <c r="AU67" s="187"/>
      <c r="AV67" s="187"/>
      <c r="AW67" s="187"/>
      <c r="AX67" s="187"/>
      <c r="AY67" s="187"/>
      <c r="AZ67" s="187"/>
      <c r="BA67" s="187"/>
      <c r="BB67" s="187"/>
      <c r="BC67" s="187"/>
      <c r="BD67" s="187"/>
      <c r="BE67" s="187"/>
      <c r="BF67" s="187"/>
      <c r="BG67" s="187"/>
      <c r="BH67" s="187"/>
    </row>
    <row r="68" spans="1:60" x14ac:dyDescent="0.2">
      <c r="A68" s="113" t="str">
        <f>A20</f>
        <v>Males</v>
      </c>
      <c r="B68" s="93"/>
      <c r="C68" s="93"/>
      <c r="D68" s="93"/>
      <c r="E68" s="93"/>
      <c r="F68" s="188"/>
      <c r="G68" s="188"/>
      <c r="H68" s="188"/>
      <c r="I68" s="188"/>
      <c r="J68" s="188"/>
      <c r="K68" s="188"/>
      <c r="L68" s="188"/>
      <c r="M68" s="188"/>
      <c r="N68" s="188"/>
      <c r="O68" s="188"/>
      <c r="P68" s="188"/>
      <c r="Q68" s="188"/>
      <c r="R68" s="188"/>
      <c r="S68" s="188"/>
      <c r="T68" s="93"/>
      <c r="U68" s="93"/>
      <c r="V68" s="93"/>
      <c r="W68" s="93"/>
      <c r="X68" s="93"/>
      <c r="Y68" s="113" t="str">
        <f>Y20</f>
        <v>Males</v>
      </c>
      <c r="Z68" s="93"/>
      <c r="AA68" s="93"/>
      <c r="AB68" s="93"/>
      <c r="AC68" s="93"/>
      <c r="AD68" s="188"/>
      <c r="AE68" s="188"/>
      <c r="AF68" s="188"/>
      <c r="AG68" s="188"/>
      <c r="AH68" s="188"/>
      <c r="AI68" s="188"/>
      <c r="AJ68" s="188"/>
      <c r="AK68" s="188"/>
      <c r="AL68" s="188"/>
      <c r="AM68" s="188"/>
      <c r="AN68" s="188"/>
      <c r="AO68" s="188"/>
      <c r="AP68" s="188"/>
      <c r="AQ68" s="113" t="str">
        <f>AQ20</f>
        <v>Males</v>
      </c>
      <c r="AR68" s="93"/>
      <c r="AS68" s="93"/>
      <c r="AT68" s="93"/>
      <c r="AU68" s="93"/>
      <c r="AV68" s="188"/>
      <c r="AW68" s="188"/>
      <c r="AX68" s="188"/>
      <c r="AY68" s="188"/>
      <c r="AZ68" s="188"/>
      <c r="BA68" s="188"/>
      <c r="BB68" s="188"/>
      <c r="BC68" s="188"/>
      <c r="BD68" s="188"/>
      <c r="BE68" s="188"/>
      <c r="BF68" s="188"/>
      <c r="BG68" s="188"/>
      <c r="BH68" s="188"/>
    </row>
    <row r="69" spans="1:60" x14ac:dyDescent="0.2">
      <c r="A69" s="90" t="str">
        <f>A21</f>
        <v>15+</v>
      </c>
      <c r="B69" s="188">
        <f>SUM(B70:B80)</f>
        <v>668.34829787442732</v>
      </c>
      <c r="C69" s="188">
        <f t="shared" ref="C69:F69" si="66">SUM(C70:C80)</f>
        <v>679.97434318708918</v>
      </c>
      <c r="D69" s="188">
        <f t="shared" si="66"/>
        <v>576.0987188576471</v>
      </c>
      <c r="E69" s="188">
        <f t="shared" si="66"/>
        <v>506.60924483387572</v>
      </c>
      <c r="F69" s="188">
        <f t="shared" si="66"/>
        <v>424.17079532170612</v>
      </c>
      <c r="G69" s="188"/>
      <c r="H69" s="188">
        <f>SUM(H70:H80)</f>
        <v>216.57689663424574</v>
      </c>
      <c r="I69" s="188">
        <f t="shared" ref="I69:L69" si="67">SUM(I70:I80)</f>
        <v>222.01749682244036</v>
      </c>
      <c r="J69" s="188">
        <f t="shared" si="67"/>
        <v>189.97263257060061</v>
      </c>
      <c r="K69" s="188">
        <f t="shared" si="67"/>
        <v>168.03119397716577</v>
      </c>
      <c r="L69" s="188">
        <f t="shared" si="67"/>
        <v>140.23377379308036</v>
      </c>
      <c r="M69" s="188"/>
      <c r="N69" s="188">
        <f>SUM(N70:N80)</f>
        <v>451.77140124018155</v>
      </c>
      <c r="O69" s="188">
        <f t="shared" ref="O69:R69" si="68">SUM(O70:O80)</f>
        <v>457.95684636464887</v>
      </c>
      <c r="P69" s="188">
        <f t="shared" si="68"/>
        <v>386.12608628704652</v>
      </c>
      <c r="Q69" s="188">
        <f t="shared" si="68"/>
        <v>338.57805085670992</v>
      </c>
      <c r="R69" s="188">
        <f t="shared" si="68"/>
        <v>283.93702152862579</v>
      </c>
      <c r="S69" s="188"/>
      <c r="T69" s="188">
        <f>SUM(T70:T80)</f>
        <v>0</v>
      </c>
      <c r="U69" s="188">
        <f t="shared" ref="U69:X69" si="69">SUM(U70:U80)</f>
        <v>0</v>
      </c>
      <c r="V69" s="188">
        <f t="shared" si="69"/>
        <v>0</v>
      </c>
      <c r="W69" s="188">
        <f t="shared" si="69"/>
        <v>0</v>
      </c>
      <c r="X69" s="188">
        <f t="shared" si="69"/>
        <v>0</v>
      </c>
      <c r="Y69" s="90" t="str">
        <f>Y21</f>
        <v>15+</v>
      </c>
      <c r="Z69" s="188">
        <f>SUM(Z70:Z80)</f>
        <v>1110.8221091376672</v>
      </c>
      <c r="AA69" s="188">
        <f t="shared" ref="AA69:AD69" si="70">SUM(AA70:AA80)</f>
        <v>1081.2462760791657</v>
      </c>
      <c r="AB69" s="188">
        <f t="shared" si="70"/>
        <v>1129.3696341240161</v>
      </c>
      <c r="AC69" s="188">
        <f t="shared" si="70"/>
        <v>1196.947412591609</v>
      </c>
      <c r="AD69" s="188">
        <f t="shared" si="70"/>
        <v>1263.8735341848089</v>
      </c>
      <c r="AE69" s="188"/>
      <c r="AF69" s="188">
        <f>SUM(AF70:AF80)</f>
        <v>1048.6925402059803</v>
      </c>
      <c r="AG69" s="188">
        <f t="shared" ref="AG69:AJ69" si="71">SUM(AG70:AG80)</f>
        <v>1020.9879008290815</v>
      </c>
      <c r="AH69" s="188">
        <f t="shared" si="71"/>
        <v>1066.4680897558023</v>
      </c>
      <c r="AI69" s="188">
        <f t="shared" si="71"/>
        <v>1130.4132844970143</v>
      </c>
      <c r="AJ69" s="188">
        <f t="shared" si="71"/>
        <v>1193.6123831216405</v>
      </c>
      <c r="AK69" s="188"/>
      <c r="AL69" s="188">
        <f>SUM(AL70:AL80)</f>
        <v>62.12956893168694</v>
      </c>
      <c r="AM69" s="188">
        <f t="shared" ref="AM69:AP69" si="72">SUM(AM70:AM80)</f>
        <v>60.258375250084285</v>
      </c>
      <c r="AN69" s="188">
        <f t="shared" si="72"/>
        <v>62.90154436821414</v>
      </c>
      <c r="AO69" s="188">
        <f t="shared" si="72"/>
        <v>66.534128094594536</v>
      </c>
      <c r="AP69" s="188">
        <f t="shared" si="72"/>
        <v>70.261151063168086</v>
      </c>
      <c r="AQ69" s="90" t="str">
        <f>AQ21</f>
        <v>15+</v>
      </c>
      <c r="AR69" s="188">
        <f>SUM(AR70:AR80)</f>
        <v>858.87759298790547</v>
      </c>
      <c r="AS69" s="188">
        <f t="shared" ref="AS69:AV69" si="73">SUM(AS70:AS80)</f>
        <v>924.03238073374484</v>
      </c>
      <c r="AT69" s="188">
        <f t="shared" si="73"/>
        <v>1006.6636470183364</v>
      </c>
      <c r="AU69" s="188">
        <f t="shared" si="73"/>
        <v>1087.2593425745151</v>
      </c>
      <c r="AV69" s="188">
        <f t="shared" si="73"/>
        <v>1172.5296704934854</v>
      </c>
      <c r="AW69" s="188"/>
      <c r="AX69" s="188">
        <f>SUM(AX70:AX80)</f>
        <v>837.25747303433036</v>
      </c>
      <c r="AY69" s="188">
        <f t="shared" ref="AY69:BB69" si="74">SUM(AY70:AY80)</f>
        <v>900.46119959493876</v>
      </c>
      <c r="AZ69" s="188">
        <f t="shared" si="74"/>
        <v>980.19920817165428</v>
      </c>
      <c r="BA69" s="188">
        <f t="shared" si="74"/>
        <v>1058.1193206787443</v>
      </c>
      <c r="BB69" s="188">
        <f t="shared" si="74"/>
        <v>1140.618907885826</v>
      </c>
      <c r="BC69" s="188"/>
      <c r="BD69" s="188">
        <f>SUM(BD70:BD80)</f>
        <v>21.620119953575205</v>
      </c>
      <c r="BE69" s="188">
        <f t="shared" ref="BE69:BH69" si="75">SUM(BE70:BE80)</f>
        <v>23.571181138806118</v>
      </c>
      <c r="BF69" s="188">
        <f t="shared" si="75"/>
        <v>26.464438846682153</v>
      </c>
      <c r="BG69" s="188">
        <f t="shared" si="75"/>
        <v>29.140021895771127</v>
      </c>
      <c r="BH69" s="188">
        <f t="shared" si="75"/>
        <v>31.910762607659223</v>
      </c>
    </row>
    <row r="70" spans="1:60" x14ac:dyDescent="0.2">
      <c r="A70" s="90" t="str">
        <f t="shared" ref="A70:A80" si="76">A22</f>
        <v>15-19</v>
      </c>
      <c r="B70" s="188">
        <v>21.970306906103936</v>
      </c>
      <c r="C70" s="188">
        <v>20.026076119996116</v>
      </c>
      <c r="D70" s="188">
        <v>15.121179094017016</v>
      </c>
      <c r="E70" s="188">
        <v>17.089485140563891</v>
      </c>
      <c r="F70" s="187">
        <v>20.063648634933156</v>
      </c>
      <c r="G70" s="188"/>
      <c r="H70" s="188">
        <v>5.926181505924986</v>
      </c>
      <c r="I70" s="188">
        <v>5.4017609070647374</v>
      </c>
      <c r="J70" s="188">
        <v>4.0787280675207782</v>
      </c>
      <c r="K70" s="188">
        <v>4.6096697076419106</v>
      </c>
      <c r="L70" s="187">
        <v>5.4118921208641293</v>
      </c>
      <c r="M70" s="188"/>
      <c r="N70" s="188">
        <v>16.044125400178949</v>
      </c>
      <c r="O70" s="188">
        <v>14.624315212931378</v>
      </c>
      <c r="P70" s="188">
        <v>11.04245102649624</v>
      </c>
      <c r="Q70" s="188">
        <v>12.479815432921979</v>
      </c>
      <c r="R70" s="187">
        <v>14.651756514069028</v>
      </c>
      <c r="S70" s="188"/>
      <c r="T70" s="188">
        <v>0</v>
      </c>
      <c r="U70" s="188">
        <v>0</v>
      </c>
      <c r="V70" s="188">
        <v>0</v>
      </c>
      <c r="W70" s="188">
        <v>0</v>
      </c>
      <c r="X70" s="187">
        <v>0</v>
      </c>
      <c r="Y70" s="90" t="str">
        <f t="shared" ref="Y70:Y80" si="77">Y22</f>
        <v>15-19</v>
      </c>
      <c r="Z70" s="188">
        <v>17.840683082880268</v>
      </c>
      <c r="AA70" s="188">
        <v>14.680133047335039</v>
      </c>
      <c r="AB70" s="188">
        <v>13.72560965822832</v>
      </c>
      <c r="AC70" s="188">
        <v>15.436484788467865</v>
      </c>
      <c r="AD70" s="187">
        <v>18.541508530812692</v>
      </c>
      <c r="AE70" s="188"/>
      <c r="AF70" s="188">
        <v>16.8611671563519</v>
      </c>
      <c r="AG70" s="188">
        <v>13.874168165612016</v>
      </c>
      <c r="AH70" s="188">
        <v>12.972040867641711</v>
      </c>
      <c r="AI70" s="188">
        <v>14.588974970800006</v>
      </c>
      <c r="AJ70" s="187">
        <v>17.523528875034817</v>
      </c>
      <c r="AK70" s="188"/>
      <c r="AL70" s="188">
        <v>0.9795159265283645</v>
      </c>
      <c r="AM70" s="188">
        <v>0.80596488172302239</v>
      </c>
      <c r="AN70" s="188">
        <v>0.75356879058660964</v>
      </c>
      <c r="AO70" s="188">
        <v>0.84750981766786149</v>
      </c>
      <c r="AP70" s="187">
        <v>1.0179796557778724</v>
      </c>
      <c r="AQ70" s="90" t="str">
        <f t="shared" ref="AQ70:AQ80" si="78">AQ22</f>
        <v>15-19</v>
      </c>
      <c r="AR70" s="188">
        <v>0.10001001101580378</v>
      </c>
      <c r="AS70" s="188">
        <v>0.10679083266884004</v>
      </c>
      <c r="AT70" s="188">
        <v>1.2112477546660798E-3</v>
      </c>
      <c r="AU70" s="188">
        <v>6.0300709682370914E-3</v>
      </c>
      <c r="AV70" s="187">
        <v>1.0842834254153347E-2</v>
      </c>
      <c r="AW70" s="188"/>
      <c r="AX70" s="188">
        <v>6.6192985196819223E-2</v>
      </c>
      <c r="AY70" s="188">
        <v>7.0679138418197798E-2</v>
      </c>
      <c r="AZ70" s="188">
        <v>8.014133599071727E-4</v>
      </c>
      <c r="BA70" s="188">
        <v>3.9895924082780755E-3</v>
      </c>
      <c r="BB70" s="187">
        <v>7.1745268353603188E-3</v>
      </c>
      <c r="BC70" s="188"/>
      <c r="BD70" s="188">
        <v>3.3817025818984561E-2</v>
      </c>
      <c r="BE70" s="188">
        <v>3.6111694250642229E-2</v>
      </c>
      <c r="BF70" s="188">
        <v>4.0983439475890718E-4</v>
      </c>
      <c r="BG70" s="188">
        <v>2.0404785599590159E-3</v>
      </c>
      <c r="BH70" s="187">
        <v>3.6683074187930289E-3</v>
      </c>
    </row>
    <row r="71" spans="1:60" x14ac:dyDescent="0.2">
      <c r="A71" s="90" t="str">
        <f t="shared" si="76"/>
        <v>20-24</v>
      </c>
      <c r="B71" s="188">
        <v>42.835372944962316</v>
      </c>
      <c r="C71" s="188">
        <v>48.066292311616593</v>
      </c>
      <c r="D71" s="188">
        <v>41.397068793006476</v>
      </c>
      <c r="E71" s="188">
        <v>35.270255608267561</v>
      </c>
      <c r="F71" s="187">
        <v>32.498817128536295</v>
      </c>
      <c r="G71" s="188"/>
      <c r="H71" s="188">
        <v>9.7684866793085128</v>
      </c>
      <c r="I71" s="188">
        <v>10.961327650529908</v>
      </c>
      <c r="J71" s="188">
        <v>9.4404947503411645</v>
      </c>
      <c r="K71" s="188">
        <v>8.0432844087857056</v>
      </c>
      <c r="L71" s="187">
        <v>7.4112487352797149</v>
      </c>
      <c r="M71" s="188"/>
      <c r="N71" s="188">
        <v>33.0668862656538</v>
      </c>
      <c r="O71" s="188">
        <v>37.104964661086683</v>
      </c>
      <c r="P71" s="188">
        <v>31.956574042665309</v>
      </c>
      <c r="Q71" s="188">
        <v>27.226971199481849</v>
      </c>
      <c r="R71" s="187">
        <v>25.087568393256582</v>
      </c>
      <c r="S71" s="188"/>
      <c r="T71" s="188">
        <v>0</v>
      </c>
      <c r="U71" s="188">
        <v>0</v>
      </c>
      <c r="V71" s="188">
        <v>0</v>
      </c>
      <c r="W71" s="188">
        <v>0</v>
      </c>
      <c r="X71" s="187">
        <v>0</v>
      </c>
      <c r="Y71" s="90" t="str">
        <f t="shared" si="77"/>
        <v>20-24</v>
      </c>
      <c r="Z71" s="188">
        <v>117.60066097337621</v>
      </c>
      <c r="AA71" s="188">
        <v>116.00972577437592</v>
      </c>
      <c r="AB71" s="188">
        <v>117.37387172072432</v>
      </c>
      <c r="AC71" s="188">
        <v>109.8328571099937</v>
      </c>
      <c r="AD71" s="187">
        <v>112.18324785696579</v>
      </c>
      <c r="AE71" s="188"/>
      <c r="AF71" s="188">
        <v>109.40519835653062</v>
      </c>
      <c r="AG71" s="188">
        <v>107.92518380300695</v>
      </c>
      <c r="AH71" s="188">
        <v>109.19423291573709</v>
      </c>
      <c r="AI71" s="188">
        <v>102.17877037651678</v>
      </c>
      <c r="AJ71" s="187">
        <v>104.36530258032673</v>
      </c>
      <c r="AK71" s="188"/>
      <c r="AL71" s="188">
        <v>8.1954626168455889</v>
      </c>
      <c r="AM71" s="188">
        <v>8.0845419713689743</v>
      </c>
      <c r="AN71" s="188">
        <v>8.1796388049872402</v>
      </c>
      <c r="AO71" s="188">
        <v>7.6540867334769196</v>
      </c>
      <c r="AP71" s="187">
        <v>7.8179452766390698</v>
      </c>
      <c r="AQ71" s="90" t="str">
        <f t="shared" si="78"/>
        <v>20-24</v>
      </c>
      <c r="AR71" s="188">
        <v>35.953966081661484</v>
      </c>
      <c r="AS71" s="188">
        <v>35.412981914007489</v>
      </c>
      <c r="AT71" s="188">
        <v>39.05605948626922</v>
      </c>
      <c r="AU71" s="188">
        <v>40.227887281738759</v>
      </c>
      <c r="AV71" s="187">
        <v>45.244935014497926</v>
      </c>
      <c r="AW71" s="188"/>
      <c r="AX71" s="188">
        <v>35.894388197223741</v>
      </c>
      <c r="AY71" s="188">
        <v>35.354282498596831</v>
      </c>
      <c r="AZ71" s="188">
        <v>38.991316542918099</v>
      </c>
      <c r="BA71" s="188">
        <v>40.161217830179162</v>
      </c>
      <c r="BB71" s="187">
        <v>45.169897221289091</v>
      </c>
      <c r="BC71" s="188"/>
      <c r="BD71" s="188">
        <v>5.9577884437741695E-2</v>
      </c>
      <c r="BE71" s="188">
        <v>5.8699415410650713E-2</v>
      </c>
      <c r="BF71" s="188">
        <v>6.4742943351118576E-2</v>
      </c>
      <c r="BG71" s="188">
        <v>6.6669451559595388E-2</v>
      </c>
      <c r="BH71" s="187">
        <v>7.5037793208839618E-2</v>
      </c>
    </row>
    <row r="72" spans="1:60" x14ac:dyDescent="0.2">
      <c r="A72" s="90" t="str">
        <f t="shared" si="76"/>
        <v>25-29</v>
      </c>
      <c r="B72" s="188">
        <v>54.132987761997782</v>
      </c>
      <c r="C72" s="188">
        <v>59.30277365778997</v>
      </c>
      <c r="D72" s="188">
        <v>53.119400404129237</v>
      </c>
      <c r="E72" s="188">
        <v>53.434184420591016</v>
      </c>
      <c r="F72" s="187">
        <v>46.384829749714591</v>
      </c>
      <c r="G72" s="188"/>
      <c r="H72" s="188">
        <v>15.657402965414564</v>
      </c>
      <c r="I72" s="188">
        <v>17.15271266465906</v>
      </c>
      <c r="J72" s="188">
        <v>15.364227768456015</v>
      </c>
      <c r="K72" s="188">
        <v>15.455258797856304</v>
      </c>
      <c r="L72" s="187">
        <v>13.416311066916181</v>
      </c>
      <c r="M72" s="188"/>
      <c r="N72" s="188">
        <v>38.47558479658322</v>
      </c>
      <c r="O72" s="188">
        <v>42.150060993130907</v>
      </c>
      <c r="P72" s="188">
        <v>37.755172635673226</v>
      </c>
      <c r="Q72" s="188">
        <v>37.978925622734714</v>
      </c>
      <c r="R72" s="187">
        <v>32.968518682798404</v>
      </c>
      <c r="S72" s="188"/>
      <c r="T72" s="188">
        <v>0</v>
      </c>
      <c r="U72" s="188">
        <v>0</v>
      </c>
      <c r="V72" s="188">
        <v>0</v>
      </c>
      <c r="W72" s="188">
        <v>0</v>
      </c>
      <c r="X72" s="187">
        <v>0</v>
      </c>
      <c r="Y72" s="90" t="str">
        <f t="shared" si="77"/>
        <v>25-29</v>
      </c>
      <c r="Z72" s="188">
        <v>149.16941523155822</v>
      </c>
      <c r="AA72" s="188">
        <v>137.65111832560171</v>
      </c>
      <c r="AB72" s="188">
        <v>143.78119393240843</v>
      </c>
      <c r="AC72" s="188">
        <v>153.35525074005449</v>
      </c>
      <c r="AD72" s="187">
        <v>151.04532202229836</v>
      </c>
      <c r="AE72" s="188"/>
      <c r="AF72" s="188">
        <v>139.54207798178672</v>
      </c>
      <c r="AG72" s="188">
        <v>128.76718250907044</v>
      </c>
      <c r="AH72" s="188">
        <v>134.50166828917818</v>
      </c>
      <c r="AI72" s="188">
        <v>143.4577811169944</v>
      </c>
      <c r="AJ72" s="187">
        <v>141.29698663959073</v>
      </c>
      <c r="AK72" s="188"/>
      <c r="AL72" s="188">
        <v>9.6273372497715179</v>
      </c>
      <c r="AM72" s="188">
        <v>8.8839358165312774</v>
      </c>
      <c r="AN72" s="188">
        <v>9.2795256432302509</v>
      </c>
      <c r="AO72" s="188">
        <v>9.8974696230601076</v>
      </c>
      <c r="AP72" s="187">
        <v>9.7483353827076193</v>
      </c>
      <c r="AQ72" s="90" t="str">
        <f t="shared" si="78"/>
        <v>25-29</v>
      </c>
      <c r="AR72" s="188">
        <v>114.08059700644398</v>
      </c>
      <c r="AS72" s="188">
        <v>119.54710801660832</v>
      </c>
      <c r="AT72" s="188">
        <v>121.54440566346231</v>
      </c>
      <c r="AU72" s="188">
        <v>131.36556483935448</v>
      </c>
      <c r="AV72" s="187">
        <v>131.1628482279871</v>
      </c>
      <c r="AW72" s="188"/>
      <c r="AX72" s="188">
        <v>112.96810261144897</v>
      </c>
      <c r="AY72" s="188">
        <v>118.38128469844733</v>
      </c>
      <c r="AZ72" s="188">
        <v>120.35910614116368</v>
      </c>
      <c r="BA72" s="188">
        <v>130.08456385999412</v>
      </c>
      <c r="BB72" s="187">
        <v>129.88383705598</v>
      </c>
      <c r="BC72" s="188"/>
      <c r="BD72" s="188">
        <v>1.1124943949950061</v>
      </c>
      <c r="BE72" s="188">
        <v>1.1658233181609874</v>
      </c>
      <c r="BF72" s="188">
        <v>1.1852995222986344</v>
      </c>
      <c r="BG72" s="188">
        <v>1.2810009793603585</v>
      </c>
      <c r="BH72" s="187">
        <v>1.2790111720071109</v>
      </c>
    </row>
    <row r="73" spans="1:60" x14ac:dyDescent="0.2">
      <c r="A73" s="90" t="str">
        <f t="shared" si="76"/>
        <v>30-34</v>
      </c>
      <c r="B73" s="188">
        <v>59.746194470013975</v>
      </c>
      <c r="C73" s="188">
        <v>55.826048413105191</v>
      </c>
      <c r="D73" s="188">
        <v>52.687517039427384</v>
      </c>
      <c r="E73" s="188">
        <v>49.043992638223799</v>
      </c>
      <c r="F73" s="187">
        <v>42.215560181056873</v>
      </c>
      <c r="G73" s="188"/>
      <c r="H73" s="188">
        <v>19.460449413601172</v>
      </c>
      <c r="I73" s="188">
        <v>18.183578385321248</v>
      </c>
      <c r="J73" s="188">
        <v>17.161250414897957</v>
      </c>
      <c r="K73" s="188">
        <v>15.974514770585094</v>
      </c>
      <c r="L73" s="187">
        <v>13.750439228926275</v>
      </c>
      <c r="M73" s="188"/>
      <c r="N73" s="188">
        <v>40.285745056412807</v>
      </c>
      <c r="O73" s="188">
        <v>37.642470027783951</v>
      </c>
      <c r="P73" s="188">
        <v>35.526266624529427</v>
      </c>
      <c r="Q73" s="188">
        <v>33.069477867638696</v>
      </c>
      <c r="R73" s="187">
        <v>28.465120952130594</v>
      </c>
      <c r="S73" s="188"/>
      <c r="T73" s="188">
        <v>0</v>
      </c>
      <c r="U73" s="188">
        <v>0</v>
      </c>
      <c r="V73" s="188">
        <v>0</v>
      </c>
      <c r="W73" s="188">
        <v>0</v>
      </c>
      <c r="X73" s="187">
        <v>0</v>
      </c>
      <c r="Y73" s="90" t="str">
        <f t="shared" si="77"/>
        <v>30-34</v>
      </c>
      <c r="Z73" s="188">
        <v>143.97550755975615</v>
      </c>
      <c r="AA73" s="188">
        <v>143.04692062923695</v>
      </c>
      <c r="AB73" s="188">
        <v>150.54112992034914</v>
      </c>
      <c r="AC73" s="188">
        <v>160.10889854017847</v>
      </c>
      <c r="AD73" s="187">
        <v>177.21576862141688</v>
      </c>
      <c r="AE73" s="188"/>
      <c r="AF73" s="188">
        <v>134.51151244341474</v>
      </c>
      <c r="AG73" s="188">
        <v>133.6439199496856</v>
      </c>
      <c r="AH73" s="188">
        <v>140.64555798795368</v>
      </c>
      <c r="AI73" s="188">
        <v>149.58441151968711</v>
      </c>
      <c r="AJ73" s="187">
        <v>165.5667550636862</v>
      </c>
      <c r="AK73" s="188"/>
      <c r="AL73" s="188">
        <v>9.4639951163413958</v>
      </c>
      <c r="AM73" s="188">
        <v>9.4030006795513597</v>
      </c>
      <c r="AN73" s="188">
        <v>9.8955719323954607</v>
      </c>
      <c r="AO73" s="188">
        <v>10.524487020491364</v>
      </c>
      <c r="AP73" s="187">
        <v>11.649013557730687</v>
      </c>
      <c r="AQ73" s="90" t="str">
        <f t="shared" si="78"/>
        <v>30-34</v>
      </c>
      <c r="AR73" s="188">
        <v>126.29229797022987</v>
      </c>
      <c r="AS73" s="188">
        <v>134.62703095765789</v>
      </c>
      <c r="AT73" s="188">
        <v>139.10335304022348</v>
      </c>
      <c r="AU73" s="188">
        <v>148.01810882159774</v>
      </c>
      <c r="AV73" s="187">
        <v>167.58267119752625</v>
      </c>
      <c r="AW73" s="188"/>
      <c r="AX73" s="188">
        <v>122.95073277336256</v>
      </c>
      <c r="AY73" s="188">
        <v>131.06497700319039</v>
      </c>
      <c r="AZ73" s="188">
        <v>135.42281890028266</v>
      </c>
      <c r="BA73" s="188">
        <v>144.10171770063747</v>
      </c>
      <c r="BB73" s="187">
        <v>163.14861509949301</v>
      </c>
      <c r="BC73" s="188"/>
      <c r="BD73" s="188">
        <v>3.3415651968673079</v>
      </c>
      <c r="BE73" s="188">
        <v>3.5620539544675016</v>
      </c>
      <c r="BF73" s="188">
        <v>3.6805341399408</v>
      </c>
      <c r="BG73" s="188">
        <v>3.9163911209602649</v>
      </c>
      <c r="BH73" s="187">
        <v>4.434056098033226</v>
      </c>
    </row>
    <row r="74" spans="1:60" x14ac:dyDescent="0.2">
      <c r="A74" s="90" t="str">
        <f t="shared" si="76"/>
        <v>35-39</v>
      </c>
      <c r="B74" s="188">
        <v>72.389274390689224</v>
      </c>
      <c r="C74" s="188">
        <v>71.644104598988108</v>
      </c>
      <c r="D74" s="188">
        <v>56.546565915153813</v>
      </c>
      <c r="E74" s="188">
        <v>46.727112769454443</v>
      </c>
      <c r="F74" s="187">
        <v>36.765389039064232</v>
      </c>
      <c r="G74" s="188"/>
      <c r="H74" s="188">
        <v>22.092351099930109</v>
      </c>
      <c r="I74" s="188">
        <v>21.864916566985048</v>
      </c>
      <c r="J74" s="188">
        <v>17.257326348768249</v>
      </c>
      <c r="K74" s="188">
        <v>14.26057413503738</v>
      </c>
      <c r="L74" s="187">
        <v>11.220343143702051</v>
      </c>
      <c r="M74" s="188"/>
      <c r="N74" s="188">
        <v>50.296923290759125</v>
      </c>
      <c r="O74" s="188">
        <v>49.779188032003056</v>
      </c>
      <c r="P74" s="188">
        <v>39.289239566385561</v>
      </c>
      <c r="Q74" s="188">
        <v>32.466538634417063</v>
      </c>
      <c r="R74" s="187">
        <v>25.545045895362183</v>
      </c>
      <c r="S74" s="188"/>
      <c r="T74" s="188">
        <v>0</v>
      </c>
      <c r="U74" s="188">
        <v>0</v>
      </c>
      <c r="V74" s="188">
        <v>0</v>
      </c>
      <c r="W74" s="188">
        <v>0</v>
      </c>
      <c r="X74" s="187">
        <v>0</v>
      </c>
      <c r="Y74" s="90" t="str">
        <f t="shared" si="77"/>
        <v>35-39</v>
      </c>
      <c r="Z74" s="188">
        <v>168.36341500024318</v>
      </c>
      <c r="AA74" s="188">
        <v>149.22804572146893</v>
      </c>
      <c r="AB74" s="188">
        <v>145.3653492467291</v>
      </c>
      <c r="AC74" s="188">
        <v>157.84177384899948</v>
      </c>
      <c r="AD74" s="187">
        <v>170.08164787734725</v>
      </c>
      <c r="AE74" s="188"/>
      <c r="AF74" s="188">
        <v>158.73056855159768</v>
      </c>
      <c r="AG74" s="188">
        <v>140.68998106739087</v>
      </c>
      <c r="AH74" s="188">
        <v>137.0482794654304</v>
      </c>
      <c r="AI74" s="188">
        <v>148.81088905475639</v>
      </c>
      <c r="AJ74" s="187">
        <v>160.35047022072709</v>
      </c>
      <c r="AK74" s="188"/>
      <c r="AL74" s="188">
        <v>9.632846448645493</v>
      </c>
      <c r="AM74" s="188">
        <v>8.53806465407804</v>
      </c>
      <c r="AN74" s="188">
        <v>8.3170697812987289</v>
      </c>
      <c r="AO74" s="188">
        <v>9.0308847942430752</v>
      </c>
      <c r="AP74" s="187">
        <v>9.7311776566201527</v>
      </c>
      <c r="AQ74" s="90" t="str">
        <f t="shared" si="78"/>
        <v>35-39</v>
      </c>
      <c r="AR74" s="188">
        <v>130.00931060906763</v>
      </c>
      <c r="AS74" s="188">
        <v>141.63984967954292</v>
      </c>
      <c r="AT74" s="188">
        <v>140.96708483811705</v>
      </c>
      <c r="AU74" s="188">
        <v>156.05411338154607</v>
      </c>
      <c r="AV74" s="187">
        <v>171.1889630835885</v>
      </c>
      <c r="AW74" s="188"/>
      <c r="AX74" s="188">
        <v>126.80367098267918</v>
      </c>
      <c r="AY74" s="188">
        <v>138.14739398786907</v>
      </c>
      <c r="AZ74" s="188">
        <v>137.49128574990962</v>
      </c>
      <c r="BA74" s="188">
        <v>152.20632202622306</v>
      </c>
      <c r="BB74" s="187">
        <v>166.96792004521947</v>
      </c>
      <c r="BC74" s="188"/>
      <c r="BD74" s="188">
        <v>3.2056396263884279</v>
      </c>
      <c r="BE74" s="188">
        <v>3.4924556916738441</v>
      </c>
      <c r="BF74" s="188">
        <v>3.4757990882074257</v>
      </c>
      <c r="BG74" s="188">
        <v>3.8477913553230336</v>
      </c>
      <c r="BH74" s="187">
        <v>4.2210430383690394</v>
      </c>
    </row>
    <row r="75" spans="1:60" x14ac:dyDescent="0.2">
      <c r="A75" s="90" t="str">
        <f t="shared" si="76"/>
        <v>40-44</v>
      </c>
      <c r="B75" s="188">
        <v>93.704921018490225</v>
      </c>
      <c r="C75" s="188">
        <v>86.025081460274208</v>
      </c>
      <c r="D75" s="188">
        <v>64.749495706932109</v>
      </c>
      <c r="E75" s="188">
        <v>46.877352399091471</v>
      </c>
      <c r="F75" s="187">
        <v>36.022235674570041</v>
      </c>
      <c r="G75" s="188"/>
      <c r="H75" s="188">
        <v>28.726825295106707</v>
      </c>
      <c r="I75" s="188">
        <v>26.372500122799597</v>
      </c>
      <c r="J75" s="188">
        <v>19.850090685545279</v>
      </c>
      <c r="K75" s="188">
        <v>14.37105615293013</v>
      </c>
      <c r="L75" s="187">
        <v>11.043233820019529</v>
      </c>
      <c r="M75" s="188"/>
      <c r="N75" s="188">
        <v>64.978095723383518</v>
      </c>
      <c r="O75" s="188">
        <v>59.652581337474615</v>
      </c>
      <c r="P75" s="188">
        <v>44.899405021386841</v>
      </c>
      <c r="Q75" s="188">
        <v>32.506296246161341</v>
      </c>
      <c r="R75" s="187">
        <v>24.979001854550507</v>
      </c>
      <c r="S75" s="188"/>
      <c r="T75" s="188">
        <v>0</v>
      </c>
      <c r="U75" s="188">
        <v>0</v>
      </c>
      <c r="V75" s="188">
        <v>0</v>
      </c>
      <c r="W75" s="188">
        <v>0</v>
      </c>
      <c r="X75" s="187">
        <v>0</v>
      </c>
      <c r="Y75" s="90" t="str">
        <f t="shared" si="77"/>
        <v>40-44</v>
      </c>
      <c r="Z75" s="188">
        <v>164.09838718909504</v>
      </c>
      <c r="AA75" s="188">
        <v>154.9023270474899</v>
      </c>
      <c r="AB75" s="188">
        <v>149.73668224901951</v>
      </c>
      <c r="AC75" s="188">
        <v>152.17875641282711</v>
      </c>
      <c r="AD75" s="187">
        <v>165.42214209784782</v>
      </c>
      <c r="AE75" s="188"/>
      <c r="AF75" s="188">
        <v>156.03959735584664</v>
      </c>
      <c r="AG75" s="188">
        <v>147.29512638226808</v>
      </c>
      <c r="AH75" s="188">
        <v>142.38323098553826</v>
      </c>
      <c r="AI75" s="188">
        <v>144.70535111932526</v>
      </c>
      <c r="AJ75" s="187">
        <v>157.29833296840684</v>
      </c>
      <c r="AK75" s="188"/>
      <c r="AL75" s="188">
        <v>8.0587898332483814</v>
      </c>
      <c r="AM75" s="188">
        <v>7.6072006652217956</v>
      </c>
      <c r="AN75" s="188">
        <v>7.3534512634812508</v>
      </c>
      <c r="AO75" s="188">
        <v>7.4734052935018527</v>
      </c>
      <c r="AP75" s="187">
        <v>8.1238091294409802</v>
      </c>
      <c r="AQ75" s="90" t="str">
        <f t="shared" si="78"/>
        <v>40-44</v>
      </c>
      <c r="AR75" s="188">
        <v>126.01269179241478</v>
      </c>
      <c r="AS75" s="188">
        <v>132.67959149223591</v>
      </c>
      <c r="AT75" s="188">
        <v>143.37582204404833</v>
      </c>
      <c r="AU75" s="188">
        <v>148.33089118808141</v>
      </c>
      <c r="AV75" s="187">
        <v>163.98362222758209</v>
      </c>
      <c r="AW75" s="188"/>
      <c r="AX75" s="188">
        <v>123.30009020573293</v>
      </c>
      <c r="AY75" s="188">
        <v>129.8235193902282</v>
      </c>
      <c r="AZ75" s="188">
        <v>140.28954114726304</v>
      </c>
      <c r="BA75" s="188">
        <v>145.13792831010065</v>
      </c>
      <c r="BB75" s="187">
        <v>160.4537346018306</v>
      </c>
      <c r="BC75" s="188"/>
      <c r="BD75" s="188">
        <v>2.7126015866818696</v>
      </c>
      <c r="BE75" s="188">
        <v>2.85607210200773</v>
      </c>
      <c r="BF75" s="188">
        <v>3.0862808967852815</v>
      </c>
      <c r="BG75" s="188">
        <v>3.1929628779807668</v>
      </c>
      <c r="BH75" s="187">
        <v>3.5298876257514915</v>
      </c>
    </row>
    <row r="76" spans="1:60" x14ac:dyDescent="0.2">
      <c r="A76" s="90" t="str">
        <f t="shared" si="76"/>
        <v>45-49</v>
      </c>
      <c r="B76" s="188">
        <v>115.30181592604359</v>
      </c>
      <c r="C76" s="188">
        <v>109.33182845391168</v>
      </c>
      <c r="D76" s="188">
        <v>79.086091683348073</v>
      </c>
      <c r="E76" s="188">
        <v>61.499061829076247</v>
      </c>
      <c r="F76" s="187">
        <v>46.838498328679577</v>
      </c>
      <c r="G76" s="188"/>
      <c r="H76" s="188">
        <v>35.170555457916208</v>
      </c>
      <c r="I76" s="188">
        <v>33.349530919839154</v>
      </c>
      <c r="J76" s="188">
        <v>24.123666078720824</v>
      </c>
      <c r="K76" s="188">
        <v>18.759060670682956</v>
      </c>
      <c r="L76" s="187">
        <v>14.287158175019892</v>
      </c>
      <c r="M76" s="188"/>
      <c r="N76" s="188">
        <v>80.131260468127394</v>
      </c>
      <c r="O76" s="188">
        <v>75.982297534072529</v>
      </c>
      <c r="P76" s="188">
        <v>54.962425604627256</v>
      </c>
      <c r="Q76" s="188">
        <v>42.740001158393298</v>
      </c>
      <c r="R76" s="187">
        <v>32.55134015365968</v>
      </c>
      <c r="S76" s="188"/>
      <c r="T76" s="188">
        <v>0</v>
      </c>
      <c r="U76" s="188">
        <v>0</v>
      </c>
      <c r="V76" s="188">
        <v>0</v>
      </c>
      <c r="W76" s="188">
        <v>0</v>
      </c>
      <c r="X76" s="187">
        <v>0</v>
      </c>
      <c r="Y76" s="90" t="str">
        <f t="shared" si="77"/>
        <v>45-49</v>
      </c>
      <c r="Z76" s="188">
        <v>139.47645471921948</v>
      </c>
      <c r="AA76" s="188">
        <v>142.31555594986082</v>
      </c>
      <c r="AB76" s="188">
        <v>150.05821621827403</v>
      </c>
      <c r="AC76" s="188">
        <v>153.64746661870106</v>
      </c>
      <c r="AD76" s="187">
        <v>155.27997647346041</v>
      </c>
      <c r="AE76" s="188"/>
      <c r="AF76" s="188">
        <v>133.76971424566429</v>
      </c>
      <c r="AG76" s="188">
        <v>136.49269012868396</v>
      </c>
      <c r="AH76" s="188">
        <v>143.91849594775999</v>
      </c>
      <c r="AI76" s="188">
        <v>147.36094259416896</v>
      </c>
      <c r="AJ76" s="187">
        <v>148.92665752037087</v>
      </c>
      <c r="AK76" s="188"/>
      <c r="AL76" s="188">
        <v>5.7067404735551852</v>
      </c>
      <c r="AM76" s="188">
        <v>5.8228658211768556</v>
      </c>
      <c r="AN76" s="188">
        <v>6.1397202705140401</v>
      </c>
      <c r="AO76" s="188">
        <v>6.2865240245320777</v>
      </c>
      <c r="AP76" s="187">
        <v>6.3533189530895484</v>
      </c>
      <c r="AQ76" s="90" t="str">
        <f t="shared" si="78"/>
        <v>45-49</v>
      </c>
      <c r="AR76" s="188">
        <v>120.1197293547369</v>
      </c>
      <c r="AS76" s="188">
        <v>129.44461559622746</v>
      </c>
      <c r="AT76" s="188">
        <v>136.0726920983779</v>
      </c>
      <c r="AU76" s="188">
        <v>140.49347155222273</v>
      </c>
      <c r="AV76" s="187">
        <v>143.29652519786003</v>
      </c>
      <c r="AW76" s="188"/>
      <c r="AX76" s="188">
        <v>117.05294273548799</v>
      </c>
      <c r="AY76" s="188">
        <v>126.13980543389869</v>
      </c>
      <c r="AZ76" s="188">
        <v>132.59867152271417</v>
      </c>
      <c r="BA76" s="188">
        <v>136.90652744386634</v>
      </c>
      <c r="BB76" s="187">
        <v>139.63803926200524</v>
      </c>
      <c r="BC76" s="188"/>
      <c r="BD76" s="188">
        <v>3.0667866192489188</v>
      </c>
      <c r="BE76" s="188">
        <v>3.3048101623287747</v>
      </c>
      <c r="BF76" s="188">
        <v>3.4740205756637477</v>
      </c>
      <c r="BG76" s="188">
        <v>3.5869441083564158</v>
      </c>
      <c r="BH76" s="187">
        <v>3.6584859358547694</v>
      </c>
    </row>
    <row r="77" spans="1:60" x14ac:dyDescent="0.2">
      <c r="A77" s="90" t="str">
        <f t="shared" si="76"/>
        <v>50-54</v>
      </c>
      <c r="B77" s="188">
        <v>111.27520275605481</v>
      </c>
      <c r="C77" s="188">
        <v>116.43002391638842</v>
      </c>
      <c r="D77" s="188">
        <v>99.298446084176007</v>
      </c>
      <c r="E77" s="188">
        <v>84.486604991419114</v>
      </c>
      <c r="F77" s="187">
        <v>69.243878653988489</v>
      </c>
      <c r="G77" s="188"/>
      <c r="H77" s="188">
        <v>39.173130960659876</v>
      </c>
      <c r="I77" s="188">
        <v>40.987832117041947</v>
      </c>
      <c r="J77" s="188">
        <v>34.956838880438383</v>
      </c>
      <c r="K77" s="188">
        <v>29.742505447101941</v>
      </c>
      <c r="L77" s="187">
        <v>24.376494465649984</v>
      </c>
      <c r="M77" s="188"/>
      <c r="N77" s="188">
        <v>72.102071795394934</v>
      </c>
      <c r="O77" s="188">
        <v>75.442191799346489</v>
      </c>
      <c r="P77" s="188">
        <v>64.34160720373761</v>
      </c>
      <c r="Q77" s="188">
        <v>54.74409954431718</v>
      </c>
      <c r="R77" s="187">
        <v>44.867384188338512</v>
      </c>
      <c r="S77" s="188"/>
      <c r="T77" s="188">
        <v>0</v>
      </c>
      <c r="U77" s="188">
        <v>0</v>
      </c>
      <c r="V77" s="188">
        <v>0</v>
      </c>
      <c r="W77" s="188">
        <v>0</v>
      </c>
      <c r="X77" s="187">
        <v>0</v>
      </c>
      <c r="Y77" s="90" t="str">
        <f t="shared" si="77"/>
        <v>50-54</v>
      </c>
      <c r="Z77" s="188">
        <v>113.3960574955765</v>
      </c>
      <c r="AA77" s="188">
        <v>121.59249637417638</v>
      </c>
      <c r="AB77" s="188">
        <v>133.48105449911949</v>
      </c>
      <c r="AC77" s="188">
        <v>141.58741797337134</v>
      </c>
      <c r="AD77" s="187">
        <v>145.63112009368126</v>
      </c>
      <c r="AE77" s="188"/>
      <c r="AF77" s="188">
        <v>108.44421929852143</v>
      </c>
      <c r="AG77" s="188">
        <v>116.28270261170104</v>
      </c>
      <c r="AH77" s="188">
        <v>127.65209448250005</v>
      </c>
      <c r="AI77" s="188">
        <v>135.40448983032255</v>
      </c>
      <c r="AJ77" s="187">
        <v>139.27159339268175</v>
      </c>
      <c r="AK77" s="188"/>
      <c r="AL77" s="188">
        <v>4.9518381970550793</v>
      </c>
      <c r="AM77" s="188">
        <v>5.3097937624753415</v>
      </c>
      <c r="AN77" s="188">
        <v>5.828960016619444</v>
      </c>
      <c r="AO77" s="188">
        <v>6.1829281430488319</v>
      </c>
      <c r="AP77" s="187">
        <v>6.3595267009995187</v>
      </c>
      <c r="AQ77" s="90" t="str">
        <f t="shared" si="78"/>
        <v>50-54</v>
      </c>
      <c r="AR77" s="188">
        <v>95.512739748368674</v>
      </c>
      <c r="AS77" s="188">
        <v>104.88647970943516</v>
      </c>
      <c r="AT77" s="188">
        <v>127.31949941670452</v>
      </c>
      <c r="AU77" s="188">
        <v>134.10597703520958</v>
      </c>
      <c r="AV77" s="187">
        <v>137.3260012523302</v>
      </c>
      <c r="AW77" s="188"/>
      <c r="AX77" s="188">
        <v>92.592908798161787</v>
      </c>
      <c r="AY77" s="188">
        <v>101.68009864647333</v>
      </c>
      <c r="AZ77" s="188">
        <v>123.42737975287275</v>
      </c>
      <c r="BA77" s="188">
        <v>130.00642315954263</v>
      </c>
      <c r="BB77" s="187">
        <v>133.12800670973192</v>
      </c>
      <c r="BC77" s="188"/>
      <c r="BD77" s="188">
        <v>2.9198309502068871</v>
      </c>
      <c r="BE77" s="188">
        <v>3.2063810629618299</v>
      </c>
      <c r="BF77" s="188">
        <v>3.892119663831775</v>
      </c>
      <c r="BG77" s="188">
        <v>4.0995538756669365</v>
      </c>
      <c r="BH77" s="187">
        <v>4.1979945425982796</v>
      </c>
    </row>
    <row r="78" spans="1:60" x14ac:dyDescent="0.2">
      <c r="A78" s="90" t="str">
        <f t="shared" si="76"/>
        <v>55-59</v>
      </c>
      <c r="B78" s="188">
        <v>68.012091171952278</v>
      </c>
      <c r="C78" s="188">
        <v>76.192899119068656</v>
      </c>
      <c r="D78" s="188">
        <v>80.959107437946358</v>
      </c>
      <c r="E78" s="188">
        <v>80.741803905128123</v>
      </c>
      <c r="F78" s="187">
        <v>67.11887912992232</v>
      </c>
      <c r="G78" s="188"/>
      <c r="H78" s="188">
        <v>26.951872424022827</v>
      </c>
      <c r="I78" s="188">
        <v>30.193746005149503</v>
      </c>
      <c r="J78" s="188">
        <v>32.082502271621657</v>
      </c>
      <c r="K78" s="188">
        <v>31.996398811217055</v>
      </c>
      <c r="L78" s="187">
        <v>26.597935178999514</v>
      </c>
      <c r="M78" s="188"/>
      <c r="N78" s="188">
        <v>41.060218747929468</v>
      </c>
      <c r="O78" s="188">
        <v>45.999153113919157</v>
      </c>
      <c r="P78" s="188">
        <v>48.876605166324701</v>
      </c>
      <c r="Q78" s="188">
        <v>48.74540509391106</v>
      </c>
      <c r="R78" s="187">
        <v>40.520943950922806</v>
      </c>
      <c r="S78" s="188"/>
      <c r="T78" s="188">
        <v>0</v>
      </c>
      <c r="U78" s="188">
        <v>0</v>
      </c>
      <c r="V78" s="188">
        <v>0</v>
      </c>
      <c r="W78" s="188">
        <v>0</v>
      </c>
      <c r="X78" s="187">
        <v>0</v>
      </c>
      <c r="Y78" s="90" t="str">
        <f t="shared" si="77"/>
        <v>55-59</v>
      </c>
      <c r="Z78" s="188">
        <v>72.790478327088792</v>
      </c>
      <c r="AA78" s="188">
        <v>72.824377516205331</v>
      </c>
      <c r="AB78" s="188">
        <v>88.796407596616632</v>
      </c>
      <c r="AC78" s="188">
        <v>107.12135329397736</v>
      </c>
      <c r="AD78" s="187">
        <v>114.12115272286486</v>
      </c>
      <c r="AE78" s="188"/>
      <c r="AF78" s="188">
        <v>68.801294834834081</v>
      </c>
      <c r="AG78" s="188">
        <v>68.83331603311845</v>
      </c>
      <c r="AH78" s="188">
        <v>83.930009776338608</v>
      </c>
      <c r="AI78" s="188">
        <v>101.25067814642075</v>
      </c>
      <c r="AJ78" s="187">
        <v>107.86683113473264</v>
      </c>
      <c r="AK78" s="188"/>
      <c r="AL78" s="188">
        <v>3.9891834922546994</v>
      </c>
      <c r="AM78" s="188">
        <v>3.9910614830868849</v>
      </c>
      <c r="AN78" s="188">
        <v>4.8663978202780056</v>
      </c>
      <c r="AO78" s="188">
        <v>5.8706751475565877</v>
      </c>
      <c r="AP78" s="187">
        <v>6.2543215881322256</v>
      </c>
      <c r="AQ78" s="90" t="str">
        <f t="shared" si="78"/>
        <v>55-59</v>
      </c>
      <c r="AR78" s="188">
        <v>71.997430500958913</v>
      </c>
      <c r="AS78" s="188">
        <v>80.286723364726001</v>
      </c>
      <c r="AT78" s="188">
        <v>97.623484965437029</v>
      </c>
      <c r="AU78" s="188">
        <v>111.25484280089452</v>
      </c>
      <c r="AV78" s="187">
        <v>119.13196814721282</v>
      </c>
      <c r="AW78" s="188"/>
      <c r="AX78" s="188">
        <v>69.435486947844097</v>
      </c>
      <c r="AY78" s="188">
        <v>77.429759529039274</v>
      </c>
      <c r="AZ78" s="188">
        <v>94.149691730122299</v>
      </c>
      <c r="BA78" s="188">
        <v>107.29594200979159</v>
      </c>
      <c r="BB78" s="187">
        <v>114.89276509261856</v>
      </c>
      <c r="BC78" s="188"/>
      <c r="BD78" s="188">
        <v>2.5619435531148169</v>
      </c>
      <c r="BE78" s="188">
        <v>2.8569638356867268</v>
      </c>
      <c r="BF78" s="188">
        <v>3.4737932353147438</v>
      </c>
      <c r="BG78" s="188">
        <v>3.9589007911029319</v>
      </c>
      <c r="BH78" s="187">
        <v>4.2392030545942614</v>
      </c>
    </row>
    <row r="79" spans="1:60" x14ac:dyDescent="0.2">
      <c r="A79" s="90" t="str">
        <f t="shared" si="76"/>
        <v>60-64</v>
      </c>
      <c r="B79" s="188">
        <v>22.058986538549966</v>
      </c>
      <c r="C79" s="188">
        <v>25.725899636040516</v>
      </c>
      <c r="D79" s="188">
        <v>23.105090180247199</v>
      </c>
      <c r="E79" s="188">
        <v>23.482130526076944</v>
      </c>
      <c r="F79" s="187">
        <v>20.863456754363423</v>
      </c>
      <c r="G79" s="188"/>
      <c r="H79" s="188">
        <v>10.261625462059436</v>
      </c>
      <c r="I79" s="188">
        <v>11.967431555445883</v>
      </c>
      <c r="J79" s="188">
        <v>10.748274288790256</v>
      </c>
      <c r="K79" s="188">
        <v>10.923637169620605</v>
      </c>
      <c r="L79" s="187">
        <v>9.7054628731438477</v>
      </c>
      <c r="M79" s="188"/>
      <c r="N79" s="188">
        <v>11.797361076490528</v>
      </c>
      <c r="O79" s="188">
        <v>13.758468080594636</v>
      </c>
      <c r="P79" s="188">
        <v>12.356815891456941</v>
      </c>
      <c r="Q79" s="188">
        <v>12.558493356456339</v>
      </c>
      <c r="R79" s="187">
        <v>11.157993881219575</v>
      </c>
      <c r="S79" s="188"/>
      <c r="T79" s="188">
        <v>0</v>
      </c>
      <c r="U79" s="188">
        <v>0</v>
      </c>
      <c r="V79" s="188">
        <v>0</v>
      </c>
      <c r="W79" s="188">
        <v>0</v>
      </c>
      <c r="X79" s="187">
        <v>0</v>
      </c>
      <c r="Y79" s="90" t="str">
        <f t="shared" si="77"/>
        <v>60-64</v>
      </c>
      <c r="Z79" s="188">
        <v>19.033134372987352</v>
      </c>
      <c r="AA79" s="188">
        <v>23.139563185511207</v>
      </c>
      <c r="AB79" s="188">
        <v>29.062611970564706</v>
      </c>
      <c r="AC79" s="188">
        <v>37.775985439184019</v>
      </c>
      <c r="AD79" s="187">
        <v>45.699503561805081</v>
      </c>
      <c r="AE79" s="188"/>
      <c r="AF79" s="188">
        <v>18.159098770843201</v>
      </c>
      <c r="AG79" s="188">
        <v>22.076986233291766</v>
      </c>
      <c r="AH79" s="188">
        <v>27.728037414140051</v>
      </c>
      <c r="AI79" s="188">
        <v>36.041367319946715</v>
      </c>
      <c r="AJ79" s="187">
        <v>43.600996459396789</v>
      </c>
      <c r="AK79" s="188"/>
      <c r="AL79" s="188">
        <v>0.87403560214415288</v>
      </c>
      <c r="AM79" s="188">
        <v>1.0625769522194444</v>
      </c>
      <c r="AN79" s="188">
        <v>1.3345745564246547</v>
      </c>
      <c r="AO79" s="188">
        <v>1.7346181192372983</v>
      </c>
      <c r="AP79" s="187">
        <v>2.0985071024082935</v>
      </c>
      <c r="AQ79" s="90" t="str">
        <f t="shared" si="78"/>
        <v>60-64</v>
      </c>
      <c r="AR79" s="188">
        <v>28.502879088462684</v>
      </c>
      <c r="AS79" s="188">
        <v>37.330537178448267</v>
      </c>
      <c r="AT79" s="188">
        <v>46.611297849188091</v>
      </c>
      <c r="AU79" s="188">
        <v>59.348884034739037</v>
      </c>
      <c r="AV79" s="187">
        <v>72.006039683831503</v>
      </c>
      <c r="AW79" s="188"/>
      <c r="AX79" s="188">
        <v>26.621847428232694</v>
      </c>
      <c r="AY79" s="188">
        <v>34.866929781336395</v>
      </c>
      <c r="AZ79" s="188">
        <v>43.535121181596431</v>
      </c>
      <c r="BA79" s="188">
        <v>55.432075117845166</v>
      </c>
      <c r="BB79" s="187">
        <v>67.253939495670267</v>
      </c>
      <c r="BC79" s="188"/>
      <c r="BD79" s="188">
        <v>1.881031660229987</v>
      </c>
      <c r="BE79" s="188">
        <v>2.463607397111879</v>
      </c>
      <c r="BF79" s="188">
        <v>3.0761766675916631</v>
      </c>
      <c r="BG79" s="188">
        <v>3.9168089168938671</v>
      </c>
      <c r="BH79" s="187">
        <v>4.7521001881612417</v>
      </c>
    </row>
    <row r="80" spans="1:60" x14ac:dyDescent="0.2">
      <c r="A80" s="90" t="str">
        <f t="shared" si="76"/>
        <v>65+</v>
      </c>
      <c r="B80" s="188">
        <v>6.9211439895691509</v>
      </c>
      <c r="C80" s="188">
        <v>11.403315499909841</v>
      </c>
      <c r="D80" s="188">
        <v>10.028756519263442</v>
      </c>
      <c r="E80" s="188">
        <v>7.9572606059831097</v>
      </c>
      <c r="F80" s="187">
        <v>6.1556020468771537</v>
      </c>
      <c r="G80" s="188"/>
      <c r="H80" s="188">
        <v>3.3880153703013169</v>
      </c>
      <c r="I80" s="188">
        <v>5.5821599276043257</v>
      </c>
      <c r="J80" s="188">
        <v>4.9092330155000692</v>
      </c>
      <c r="K80" s="188">
        <v>3.8952339057066752</v>
      </c>
      <c r="L80" s="187">
        <v>3.0132549845592425</v>
      </c>
      <c r="M80" s="188"/>
      <c r="N80" s="188">
        <v>3.5331286192678335</v>
      </c>
      <c r="O80" s="188">
        <v>5.8211555723055133</v>
      </c>
      <c r="P80" s="188">
        <v>5.1195235037633742</v>
      </c>
      <c r="Q80" s="188">
        <v>4.0620267002764345</v>
      </c>
      <c r="R80" s="187">
        <v>3.1423470623179108</v>
      </c>
      <c r="S80" s="188"/>
      <c r="T80" s="188">
        <v>0</v>
      </c>
      <c r="U80" s="188">
        <v>0</v>
      </c>
      <c r="V80" s="188">
        <v>0</v>
      </c>
      <c r="W80" s="188">
        <v>0</v>
      </c>
      <c r="X80" s="187">
        <v>0</v>
      </c>
      <c r="Y80" s="90" t="str">
        <f t="shared" si="77"/>
        <v>65+</v>
      </c>
      <c r="Z80" s="188">
        <v>5.0779151858860399</v>
      </c>
      <c r="AA80" s="188">
        <v>5.8560125079035359</v>
      </c>
      <c r="AB80" s="188">
        <v>7.4475071119826133</v>
      </c>
      <c r="AC80" s="188">
        <v>8.0611678258540653</v>
      </c>
      <c r="AD80" s="187">
        <v>8.6521443263082798</v>
      </c>
      <c r="AE80" s="188"/>
      <c r="AF80" s="188">
        <v>4.4280912105889678</v>
      </c>
      <c r="AG80" s="188">
        <v>5.1066439452522596</v>
      </c>
      <c r="AH80" s="188">
        <v>6.4944416235841498</v>
      </c>
      <c r="AI80" s="188">
        <v>7.0296284480755258</v>
      </c>
      <c r="AJ80" s="187">
        <v>7.5449282666861546</v>
      </c>
      <c r="AK80" s="188"/>
      <c r="AL80" s="188">
        <v>0.64982397529707225</v>
      </c>
      <c r="AM80" s="188">
        <v>0.74936856265127538</v>
      </c>
      <c r="AN80" s="188">
        <v>0.95306548839846261</v>
      </c>
      <c r="AO80" s="188">
        <v>1.03153937777854</v>
      </c>
      <c r="AP80" s="187">
        <v>1.1072160596221259</v>
      </c>
      <c r="AQ80" s="90" t="str">
        <f t="shared" si="78"/>
        <v>65+</v>
      </c>
      <c r="AR80" s="188">
        <v>10.295940824544813</v>
      </c>
      <c r="AS80" s="188">
        <v>8.0706719921866217</v>
      </c>
      <c r="AT80" s="188">
        <v>14.988736368753946</v>
      </c>
      <c r="AU80" s="188">
        <v>18.053571568162823</v>
      </c>
      <c r="AV80" s="187">
        <v>21.595253626814571</v>
      </c>
      <c r="AW80" s="188"/>
      <c r="AX80" s="188">
        <v>9.5711093689595526</v>
      </c>
      <c r="AY80" s="188">
        <v>7.5024694874410747</v>
      </c>
      <c r="AZ80" s="188">
        <v>13.933474089451744</v>
      </c>
      <c r="BA80" s="188">
        <v>16.782613628155822</v>
      </c>
      <c r="BB80" s="187">
        <v>20.07497877515241</v>
      </c>
      <c r="BC80" s="188"/>
      <c r="BD80" s="188">
        <v>0.72483145558525974</v>
      </c>
      <c r="BE80" s="188">
        <v>0.5682025047455489</v>
      </c>
      <c r="BF80" s="188">
        <v>1.0552622793022017</v>
      </c>
      <c r="BG80" s="188">
        <v>1.2709579400070001</v>
      </c>
      <c r="BH80" s="187">
        <v>1.5202748516621645</v>
      </c>
    </row>
    <row r="81" spans="1:60" x14ac:dyDescent="0.2">
      <c r="B81" s="187"/>
      <c r="C81" s="187"/>
      <c r="D81" s="187"/>
      <c r="E81" s="187"/>
      <c r="F81" s="187"/>
      <c r="G81" s="187"/>
      <c r="H81" s="187"/>
      <c r="I81" s="187"/>
      <c r="J81" s="187"/>
      <c r="K81" s="187"/>
      <c r="L81" s="187"/>
      <c r="M81" s="187"/>
      <c r="N81" s="187"/>
      <c r="O81" s="187"/>
      <c r="P81" s="187"/>
      <c r="Q81" s="187"/>
      <c r="R81" s="187"/>
      <c r="S81" s="187"/>
      <c r="T81" s="93"/>
      <c r="U81" s="93"/>
      <c r="V81" s="93"/>
      <c r="W81" s="93"/>
      <c r="X81" s="93"/>
      <c r="Z81" s="187"/>
      <c r="AA81" s="187"/>
      <c r="AB81" s="187"/>
      <c r="AC81" s="187"/>
      <c r="AD81" s="187"/>
      <c r="AE81" s="187"/>
      <c r="AF81" s="187"/>
      <c r="AG81" s="187"/>
      <c r="AH81" s="187"/>
      <c r="AI81" s="187"/>
      <c r="AJ81" s="187"/>
      <c r="AK81" s="187"/>
      <c r="AL81" s="187"/>
      <c r="AM81" s="187"/>
      <c r="AN81" s="187"/>
      <c r="AO81" s="187"/>
      <c r="AP81" s="187"/>
      <c r="AR81" s="188"/>
      <c r="AS81" s="188"/>
      <c r="AT81" s="188"/>
      <c r="AU81" s="188"/>
      <c r="AV81" s="187"/>
      <c r="AW81" s="187"/>
      <c r="AX81" s="187"/>
      <c r="AY81" s="187"/>
      <c r="AZ81" s="187"/>
      <c r="BA81" s="187"/>
      <c r="BB81" s="187"/>
      <c r="BC81" s="187"/>
      <c r="BD81" s="187"/>
      <c r="BE81" s="187"/>
      <c r="BF81" s="187"/>
      <c r="BG81" s="187"/>
      <c r="BH81" s="187"/>
    </row>
    <row r="82" spans="1:60" x14ac:dyDescent="0.2">
      <c r="A82" s="113" t="str">
        <f>A34</f>
        <v>Females</v>
      </c>
      <c r="B82" s="187"/>
      <c r="C82" s="187"/>
      <c r="D82" s="187"/>
      <c r="E82" s="187"/>
      <c r="F82" s="187"/>
      <c r="G82" s="187"/>
      <c r="H82" s="187"/>
      <c r="I82" s="187"/>
      <c r="J82" s="187"/>
      <c r="K82" s="187"/>
      <c r="L82" s="187"/>
      <c r="M82" s="187"/>
      <c r="N82" s="187"/>
      <c r="O82" s="187"/>
      <c r="P82" s="187"/>
      <c r="Q82" s="187"/>
      <c r="R82" s="187"/>
      <c r="S82" s="187"/>
      <c r="T82" s="93"/>
      <c r="U82" s="93"/>
      <c r="V82" s="93"/>
      <c r="W82" s="93"/>
      <c r="X82" s="93"/>
      <c r="Y82" s="113" t="str">
        <f>Y34</f>
        <v>Females</v>
      </c>
      <c r="Z82" s="187"/>
      <c r="AA82" s="187"/>
      <c r="AB82" s="187"/>
      <c r="AC82" s="187"/>
      <c r="AD82" s="187"/>
      <c r="AE82" s="187"/>
      <c r="AF82" s="187"/>
      <c r="AG82" s="187"/>
      <c r="AH82" s="187"/>
      <c r="AI82" s="187"/>
      <c r="AJ82" s="187"/>
      <c r="AK82" s="187"/>
      <c r="AL82" s="187"/>
      <c r="AM82" s="187"/>
      <c r="AN82" s="187"/>
      <c r="AO82" s="187"/>
      <c r="AP82" s="187"/>
      <c r="AQ82" s="113" t="str">
        <f>AQ34</f>
        <v>Females</v>
      </c>
      <c r="AR82" s="93"/>
      <c r="AS82" s="93"/>
      <c r="AT82" s="93"/>
      <c r="AU82" s="93"/>
      <c r="AV82" s="187"/>
      <c r="AW82" s="187"/>
      <c r="AX82" s="187"/>
      <c r="AY82" s="187"/>
      <c r="AZ82" s="187"/>
      <c r="BA82" s="187"/>
      <c r="BB82" s="187"/>
      <c r="BC82" s="187"/>
      <c r="BD82" s="187"/>
      <c r="BE82" s="187"/>
      <c r="BF82" s="187"/>
      <c r="BG82" s="187"/>
      <c r="BH82" s="187"/>
    </row>
    <row r="83" spans="1:60" x14ac:dyDescent="0.2">
      <c r="A83" s="90" t="str">
        <f>A35</f>
        <v>15+</v>
      </c>
      <c r="B83" s="188">
        <f>SUM(B84:B94)</f>
        <v>423.06360139942507</v>
      </c>
      <c r="C83" s="188">
        <f t="shared" ref="C83:F83" si="79">SUM(C84:C94)</f>
        <v>420.02944292320001</v>
      </c>
      <c r="D83" s="188">
        <f t="shared" si="79"/>
        <v>340.32430055838188</v>
      </c>
      <c r="E83" s="188">
        <f t="shared" si="79"/>
        <v>280.86469102706656</v>
      </c>
      <c r="F83" s="188">
        <f t="shared" si="79"/>
        <v>223.76680386266278</v>
      </c>
      <c r="G83" s="188"/>
      <c r="H83" s="188">
        <f>SUM(H84:H94)</f>
        <v>145.89694047973552</v>
      </c>
      <c r="I83" s="188">
        <f t="shared" ref="I83:L83" si="80">SUM(I84:I94)</f>
        <v>145.07481013301967</v>
      </c>
      <c r="J83" s="188">
        <f t="shared" si="80"/>
        <v>119.0698940829858</v>
      </c>
      <c r="K83" s="188">
        <f t="shared" si="80"/>
        <v>97.685423606672089</v>
      </c>
      <c r="L83" s="188">
        <f t="shared" si="80"/>
        <v>77.126697351246889</v>
      </c>
      <c r="M83" s="188"/>
      <c r="N83" s="188">
        <f>SUM(N84:N94)</f>
        <v>277.16666091968955</v>
      </c>
      <c r="O83" s="188">
        <f t="shared" ref="O83:R83" si="81">SUM(O84:O94)</f>
        <v>274.95463279018031</v>
      </c>
      <c r="P83" s="188">
        <f t="shared" si="81"/>
        <v>221.25440647539608</v>
      </c>
      <c r="Q83" s="188">
        <f t="shared" si="81"/>
        <v>183.17926742039447</v>
      </c>
      <c r="R83" s="188">
        <f t="shared" si="81"/>
        <v>146.64010651141589</v>
      </c>
      <c r="S83" s="188"/>
      <c r="T83" s="188">
        <f>SUM(T84:T94)</f>
        <v>0</v>
      </c>
      <c r="U83" s="188">
        <f t="shared" ref="U83:X83" si="82">SUM(U84:U94)</f>
        <v>0</v>
      </c>
      <c r="V83" s="188">
        <f t="shared" si="82"/>
        <v>0</v>
      </c>
      <c r="W83" s="188">
        <f t="shared" si="82"/>
        <v>0</v>
      </c>
      <c r="X83" s="188">
        <f t="shared" si="82"/>
        <v>0</v>
      </c>
      <c r="Y83" s="90" t="str">
        <f>Y35</f>
        <v>15+</v>
      </c>
      <c r="Z83" s="188">
        <f>SUM(Z84:Z94)</f>
        <v>835.78959562739158</v>
      </c>
      <c r="AA83" s="188">
        <f t="shared" ref="AA83:AD83" si="83">SUM(AA84:AA94)</f>
        <v>817.71951299037789</v>
      </c>
      <c r="AB83" s="188">
        <f t="shared" si="83"/>
        <v>833.46122225056911</v>
      </c>
      <c r="AC83" s="188">
        <f t="shared" si="83"/>
        <v>872.7568149707464</v>
      </c>
      <c r="AD83" s="188">
        <f t="shared" si="83"/>
        <v>906.76405425389191</v>
      </c>
      <c r="AE83" s="188"/>
      <c r="AF83" s="188">
        <f>SUM(AF84:AF94)</f>
        <v>775.49874803920272</v>
      </c>
      <c r="AG83" s="188">
        <f t="shared" ref="AG83:AJ83" si="84">SUM(AG84:AG94)</f>
        <v>758.80872601036992</v>
      </c>
      <c r="AH83" s="188">
        <f t="shared" si="84"/>
        <v>773.5162619397023</v>
      </c>
      <c r="AI83" s="188">
        <f t="shared" si="84"/>
        <v>810.06846896436525</v>
      </c>
      <c r="AJ83" s="188">
        <f t="shared" si="84"/>
        <v>841.89337685638475</v>
      </c>
      <c r="AK83" s="188"/>
      <c r="AL83" s="188">
        <f>SUM(AL84:AL94)</f>
        <v>60.29084758818869</v>
      </c>
      <c r="AM83" s="188">
        <f t="shared" ref="AM83:AP83" si="85">SUM(AM84:AM94)</f>
        <v>58.910786980008034</v>
      </c>
      <c r="AN83" s="188">
        <f t="shared" si="85"/>
        <v>59.944960310866939</v>
      </c>
      <c r="AO83" s="188">
        <f t="shared" si="85"/>
        <v>62.688346006381188</v>
      </c>
      <c r="AP83" s="188">
        <f t="shared" si="85"/>
        <v>64.870677397506995</v>
      </c>
      <c r="AQ83" s="90" t="str">
        <f>AQ35</f>
        <v>15+</v>
      </c>
      <c r="AR83" s="188">
        <f>SUM(AR84:AR94)</f>
        <v>889.40880297318358</v>
      </c>
      <c r="AS83" s="188">
        <f t="shared" ref="AS83:AV83" si="86">SUM(AS84:AS94)</f>
        <v>982.33504408642204</v>
      </c>
      <c r="AT83" s="188">
        <f t="shared" si="86"/>
        <v>1108.5044771910491</v>
      </c>
      <c r="AU83" s="188">
        <f t="shared" si="86"/>
        <v>1230.8314940021869</v>
      </c>
      <c r="AV83" s="188">
        <f t="shared" si="86"/>
        <v>1348.9681418834455</v>
      </c>
      <c r="AW83" s="188"/>
      <c r="AX83" s="188">
        <f>SUM(AX84:AX94)</f>
        <v>879.74824720033962</v>
      </c>
      <c r="AY83" s="188">
        <f t="shared" ref="AY83:BB83" si="87">SUM(AY84:AY94)</f>
        <v>971.10421223711137</v>
      </c>
      <c r="AZ83" s="188">
        <f t="shared" si="87"/>
        <v>1095.1677547026629</v>
      </c>
      <c r="BA83" s="188">
        <f t="shared" si="87"/>
        <v>1216.0188704547381</v>
      </c>
      <c r="BB83" s="188">
        <f t="shared" si="87"/>
        <v>1332.3320678155631</v>
      </c>
      <c r="BC83" s="188"/>
      <c r="BD83" s="188">
        <f>SUM(BD84:BD94)</f>
        <v>9.6605557728437574</v>
      </c>
      <c r="BE83" s="188">
        <f t="shared" ref="BE83:BH83" si="88">SUM(BE84:BE94)</f>
        <v>11.105764362713181</v>
      </c>
      <c r="BF83" s="188">
        <f t="shared" si="88"/>
        <v>13.018684577213577</v>
      </c>
      <c r="BG83" s="188">
        <f t="shared" si="88"/>
        <v>14.812623547448824</v>
      </c>
      <c r="BH83" s="188">
        <f t="shared" si="88"/>
        <v>16.636074067882518</v>
      </c>
    </row>
    <row r="84" spans="1:60" x14ac:dyDescent="0.2">
      <c r="A84" s="90" t="str">
        <f t="shared" ref="A84:A94" si="89">A36</f>
        <v>15-19</v>
      </c>
      <c r="B84" s="188">
        <v>11.952178011992856</v>
      </c>
      <c r="C84" s="188">
        <v>13.402887260222242</v>
      </c>
      <c r="D84" s="188">
        <v>10.497400074288828</v>
      </c>
      <c r="E84" s="188">
        <v>10.487079759394881</v>
      </c>
      <c r="F84" s="187">
        <v>11.380731286753464</v>
      </c>
      <c r="G84" s="187"/>
      <c r="H84" s="188">
        <v>1.9311383476471966</v>
      </c>
      <c r="I84" s="188">
        <v>2.1654425866600273</v>
      </c>
      <c r="J84" s="188">
        <v>1.6960330233653167</v>
      </c>
      <c r="K84" s="188">
        <v>1.6944183086206663</v>
      </c>
      <c r="L84" s="187">
        <v>1.8387489146198699</v>
      </c>
      <c r="M84" s="187"/>
      <c r="N84" s="188">
        <v>10.021039664345659</v>
      </c>
      <c r="O84" s="188">
        <v>11.237444673562216</v>
      </c>
      <c r="P84" s="188">
        <v>8.8013670509235116</v>
      </c>
      <c r="Q84" s="188">
        <v>8.7926614507742151</v>
      </c>
      <c r="R84" s="187">
        <v>9.5419823721335941</v>
      </c>
      <c r="S84" s="187"/>
      <c r="T84" s="188">
        <v>0</v>
      </c>
      <c r="U84" s="188">
        <v>0</v>
      </c>
      <c r="V84" s="188">
        <v>0</v>
      </c>
      <c r="W84" s="188">
        <v>0</v>
      </c>
      <c r="X84" s="187">
        <v>0</v>
      </c>
      <c r="Y84" s="90" t="str">
        <f t="shared" ref="Y84:Y94" si="90">Y36</f>
        <v>15-19</v>
      </c>
      <c r="Z84" s="188">
        <v>10.828592838586953</v>
      </c>
      <c r="AA84" s="188">
        <v>10.260045253180333</v>
      </c>
      <c r="AB84" s="188">
        <v>8.3705620145386224</v>
      </c>
      <c r="AC84" s="188">
        <v>8.9334389435199988</v>
      </c>
      <c r="AD84" s="187">
        <v>10.306241587925554</v>
      </c>
      <c r="AE84" s="187"/>
      <c r="AF84" s="188">
        <v>10.269940466538486</v>
      </c>
      <c r="AG84" s="188">
        <v>9.7306883630573378</v>
      </c>
      <c r="AH84" s="188">
        <v>7.9386523921141237</v>
      </c>
      <c r="AI84" s="188">
        <v>8.4725263317021824</v>
      </c>
      <c r="AJ84" s="187">
        <v>9.7745223494256592</v>
      </c>
      <c r="AK84" s="187"/>
      <c r="AL84" s="188">
        <v>0.55865237204846663</v>
      </c>
      <c r="AM84" s="188">
        <v>0.52935689012299614</v>
      </c>
      <c r="AN84" s="188">
        <v>0.43190962242449843</v>
      </c>
      <c r="AO84" s="188">
        <v>0.46091261181781773</v>
      </c>
      <c r="AP84" s="187">
        <v>0.53171923849989433</v>
      </c>
      <c r="AQ84" s="90" t="str">
        <f t="shared" ref="AQ84:AQ94" si="91">AQ36</f>
        <v>15-19</v>
      </c>
      <c r="AR84" s="188">
        <v>0.12322914942019014</v>
      </c>
      <c r="AS84" s="188">
        <v>0.12506748659742103</v>
      </c>
      <c r="AT84" s="188">
        <v>0.31803791117255348</v>
      </c>
      <c r="AU84" s="188">
        <v>0.32248129708511647</v>
      </c>
      <c r="AV84" s="187">
        <v>0.3530271253209819</v>
      </c>
      <c r="AW84" s="187"/>
      <c r="AX84" s="188">
        <v>0.12322914942019014</v>
      </c>
      <c r="AY84" s="188">
        <v>0</v>
      </c>
      <c r="AZ84" s="188">
        <v>0</v>
      </c>
      <c r="BA84" s="188">
        <v>0.32248129708511647</v>
      </c>
      <c r="BB84" s="187">
        <v>0.3530271253209819</v>
      </c>
      <c r="BC84" s="187"/>
      <c r="BD84" s="188">
        <v>0</v>
      </c>
      <c r="BE84" s="188">
        <v>0</v>
      </c>
      <c r="BF84" s="188">
        <v>0</v>
      </c>
      <c r="BG84" s="188">
        <v>0</v>
      </c>
      <c r="BH84" s="187">
        <v>0</v>
      </c>
    </row>
    <row r="85" spans="1:60" x14ac:dyDescent="0.2">
      <c r="A85" s="90" t="str">
        <f t="shared" si="89"/>
        <v>20-24</v>
      </c>
      <c r="B85" s="188">
        <v>27.162073940488085</v>
      </c>
      <c r="C85" s="188">
        <v>25.818959473458939</v>
      </c>
      <c r="D85" s="188">
        <v>19.430418992506574</v>
      </c>
      <c r="E85" s="188">
        <v>17.065770140454763</v>
      </c>
      <c r="F85" s="187">
        <v>15.339491201948526</v>
      </c>
      <c r="G85" s="187"/>
      <c r="H85" s="188">
        <v>7.738175779416105</v>
      </c>
      <c r="I85" s="188">
        <v>7.3555159173417479</v>
      </c>
      <c r="J85" s="188">
        <v>5.5355294417133862</v>
      </c>
      <c r="K85" s="188">
        <v>4.8618655592881783</v>
      </c>
      <c r="L85" s="187">
        <v>4.370057954996903</v>
      </c>
      <c r="M85" s="187"/>
      <c r="N85" s="188">
        <v>19.423898161071982</v>
      </c>
      <c r="O85" s="188">
        <v>18.463443556117188</v>
      </c>
      <c r="P85" s="188">
        <v>13.894889550793188</v>
      </c>
      <c r="Q85" s="188">
        <v>12.203904581166585</v>
      </c>
      <c r="R85" s="187">
        <v>10.96943324695162</v>
      </c>
      <c r="S85" s="187"/>
      <c r="T85" s="188">
        <v>0</v>
      </c>
      <c r="U85" s="188">
        <v>0</v>
      </c>
      <c r="V85" s="188">
        <v>0</v>
      </c>
      <c r="W85" s="188">
        <v>0</v>
      </c>
      <c r="X85" s="187">
        <v>0</v>
      </c>
      <c r="Y85" s="90" t="str">
        <f t="shared" si="90"/>
        <v>20-24</v>
      </c>
      <c r="Z85" s="188">
        <v>83.029902962100564</v>
      </c>
      <c r="AA85" s="188">
        <v>84.099064086151856</v>
      </c>
      <c r="AB85" s="188">
        <v>75.456016390238844</v>
      </c>
      <c r="AC85" s="188">
        <v>72.409581167242635</v>
      </c>
      <c r="AD85" s="187">
        <v>70.925077672432323</v>
      </c>
      <c r="AE85" s="187"/>
      <c r="AF85" s="188">
        <v>74.996139409236491</v>
      </c>
      <c r="AG85" s="188">
        <v>75.961913287114783</v>
      </c>
      <c r="AH85" s="188">
        <v>68.155149094152151</v>
      </c>
      <c r="AI85" s="188">
        <v>65.403445863093296</v>
      </c>
      <c r="AJ85" s="187">
        <v>64.062544551136526</v>
      </c>
      <c r="AK85" s="187"/>
      <c r="AL85" s="188">
        <v>8.0337635528640625</v>
      </c>
      <c r="AM85" s="188">
        <v>8.1371507990370748</v>
      </c>
      <c r="AN85" s="188">
        <v>7.3008672960866994</v>
      </c>
      <c r="AO85" s="188">
        <v>7.0061353041493399</v>
      </c>
      <c r="AP85" s="187">
        <v>6.8625331212957974</v>
      </c>
      <c r="AQ85" s="90" t="str">
        <f t="shared" si="91"/>
        <v>20-24</v>
      </c>
      <c r="AR85" s="188">
        <v>64.096023097411347</v>
      </c>
      <c r="AS85" s="188">
        <v>59.5749764403892</v>
      </c>
      <c r="AT85" s="188">
        <v>64.928564617254594</v>
      </c>
      <c r="AU85" s="188">
        <v>69.876648692302624</v>
      </c>
      <c r="AV85" s="187">
        <v>76.967431125619157</v>
      </c>
      <c r="AW85" s="187"/>
      <c r="AX85" s="188">
        <v>63.936315058758787</v>
      </c>
      <c r="AY85" s="188">
        <v>59.426553735923072</v>
      </c>
      <c r="AZ85" s="188">
        <v>64.766758302259873</v>
      </c>
      <c r="BA85" s="188">
        <v>69.702519316956455</v>
      </c>
      <c r="BB85" s="187">
        <v>76.775653915926199</v>
      </c>
      <c r="BC85" s="187"/>
      <c r="BD85" s="188">
        <v>0.1597080386525653</v>
      </c>
      <c r="BE85" s="188">
        <v>0.14842270446612335</v>
      </c>
      <c r="BF85" s="188">
        <v>0.16180631499472672</v>
      </c>
      <c r="BG85" s="188">
        <v>0.17412937534616696</v>
      </c>
      <c r="BH85" s="187">
        <v>0.19177720969295214</v>
      </c>
    </row>
    <row r="86" spans="1:60" x14ac:dyDescent="0.2">
      <c r="A86" s="90" t="str">
        <f t="shared" si="89"/>
        <v>25-29</v>
      </c>
      <c r="B86" s="188">
        <v>28.972672566594831</v>
      </c>
      <c r="C86" s="188">
        <v>33.619340539542968</v>
      </c>
      <c r="D86" s="188">
        <v>28.636722146171739</v>
      </c>
      <c r="E86" s="188">
        <v>27.654766165607402</v>
      </c>
      <c r="F86" s="187">
        <v>24.701036177168444</v>
      </c>
      <c r="G86" s="187"/>
      <c r="H86" s="188">
        <v>7.950704122039733</v>
      </c>
      <c r="I86" s="188">
        <v>9.2258401283768823</v>
      </c>
      <c r="J86" s="188">
        <v>7.8585514263485647</v>
      </c>
      <c r="K86" s="188">
        <v>7.589044948115105</v>
      </c>
      <c r="L86" s="187">
        <v>6.778482350960795</v>
      </c>
      <c r="M86" s="187"/>
      <c r="N86" s="188">
        <v>21.021968444555103</v>
      </c>
      <c r="O86" s="188">
        <v>24.393500411166084</v>
      </c>
      <c r="P86" s="188">
        <v>20.778170719823173</v>
      </c>
      <c r="Q86" s="188">
        <v>20.065721217492296</v>
      </c>
      <c r="R86" s="187">
        <v>17.922553826207647</v>
      </c>
      <c r="S86" s="187"/>
      <c r="T86" s="188">
        <v>0</v>
      </c>
      <c r="U86" s="188">
        <v>0</v>
      </c>
      <c r="V86" s="188">
        <v>0</v>
      </c>
      <c r="W86" s="188">
        <v>0</v>
      </c>
      <c r="X86" s="187">
        <v>0</v>
      </c>
      <c r="Y86" s="90" t="str">
        <f t="shared" si="90"/>
        <v>25-29</v>
      </c>
      <c r="Z86" s="188">
        <v>104.35741449365315</v>
      </c>
      <c r="AA86" s="188">
        <v>97.185337610544352</v>
      </c>
      <c r="AB86" s="188">
        <v>95.599811894115447</v>
      </c>
      <c r="AC86" s="188">
        <v>97.118545376405621</v>
      </c>
      <c r="AD86" s="187">
        <v>91.712418531394292</v>
      </c>
      <c r="AE86" s="187"/>
      <c r="AF86" s="188">
        <v>94.421539979508964</v>
      </c>
      <c r="AG86" s="188">
        <v>87.932329636056579</v>
      </c>
      <c r="AH86" s="188">
        <v>86.497719374499709</v>
      </c>
      <c r="AI86" s="188">
        <v>87.87184276496231</v>
      </c>
      <c r="AJ86" s="187">
        <v>82.980425552523215</v>
      </c>
      <c r="AK86" s="187"/>
      <c r="AL86" s="188">
        <v>9.9358745141441993</v>
      </c>
      <c r="AM86" s="188">
        <v>9.2530079744877742</v>
      </c>
      <c r="AN86" s="188">
        <v>9.1020925196157414</v>
      </c>
      <c r="AO86" s="188">
        <v>9.2467026114433057</v>
      </c>
      <c r="AP86" s="187">
        <v>8.7319929788710677</v>
      </c>
      <c r="AQ86" s="90" t="str">
        <f t="shared" si="91"/>
        <v>25-29</v>
      </c>
      <c r="AR86" s="188">
        <v>154.57691293975205</v>
      </c>
      <c r="AS86" s="188">
        <v>158.68732184991271</v>
      </c>
      <c r="AT86" s="188">
        <v>170.7534659597128</v>
      </c>
      <c r="AU86" s="188">
        <v>191.50468845798702</v>
      </c>
      <c r="AV86" s="187">
        <v>199.18454529143727</v>
      </c>
      <c r="AW86" s="187"/>
      <c r="AX86" s="188">
        <v>153.36078875627214</v>
      </c>
      <c r="AY86" s="188">
        <v>157.4389010397588</v>
      </c>
      <c r="AZ86" s="188">
        <v>169.41011412348425</v>
      </c>
      <c r="BA86" s="188">
        <v>189.99801160263456</v>
      </c>
      <c r="BB86" s="187">
        <v>197.61746925057139</v>
      </c>
      <c r="BC86" s="187"/>
      <c r="BD86" s="188">
        <v>1.216124183479921</v>
      </c>
      <c r="BE86" s="188">
        <v>1.2484208101538898</v>
      </c>
      <c r="BF86" s="188">
        <v>1.3433518362285748</v>
      </c>
      <c r="BG86" s="188">
        <v>1.5066768553524434</v>
      </c>
      <c r="BH86" s="187">
        <v>1.5670760408658764</v>
      </c>
    </row>
    <row r="87" spans="1:60" x14ac:dyDescent="0.2">
      <c r="A87" s="90" t="str">
        <f t="shared" si="89"/>
        <v>30-34</v>
      </c>
      <c r="B87" s="188">
        <v>28.548429106302432</v>
      </c>
      <c r="C87" s="188">
        <v>33.358134400600257</v>
      </c>
      <c r="D87" s="188">
        <v>26.133347885177166</v>
      </c>
      <c r="E87" s="188">
        <v>24.365255828037625</v>
      </c>
      <c r="F87" s="187">
        <v>20.217650831183683</v>
      </c>
      <c r="G87" s="187"/>
      <c r="H87" s="188">
        <v>8.8494100941278067</v>
      </c>
      <c r="I87" s="188">
        <v>10.340333649356303</v>
      </c>
      <c r="J87" s="188">
        <v>8.1007469331818331</v>
      </c>
      <c r="K87" s="188">
        <v>7.5527322076666525</v>
      </c>
      <c r="L87" s="187">
        <v>6.2670936294528277</v>
      </c>
      <c r="M87" s="187"/>
      <c r="N87" s="188">
        <v>19.699019012174627</v>
      </c>
      <c r="O87" s="188">
        <v>23.017800751243954</v>
      </c>
      <c r="P87" s="188">
        <v>18.032600951995331</v>
      </c>
      <c r="Q87" s="188">
        <v>16.812523620370971</v>
      </c>
      <c r="R87" s="187">
        <v>13.950557201730856</v>
      </c>
      <c r="S87" s="187"/>
      <c r="T87" s="188">
        <v>0</v>
      </c>
      <c r="U87" s="188">
        <v>0</v>
      </c>
      <c r="V87" s="188">
        <v>0</v>
      </c>
      <c r="W87" s="188">
        <v>0</v>
      </c>
      <c r="X87" s="187">
        <v>0</v>
      </c>
      <c r="Y87" s="90" t="str">
        <f t="shared" si="90"/>
        <v>30-34</v>
      </c>
      <c r="Z87" s="188">
        <v>108.05302506717383</v>
      </c>
      <c r="AA87" s="188">
        <v>98.910651662683122</v>
      </c>
      <c r="AB87" s="188">
        <v>99.823038706554627</v>
      </c>
      <c r="AC87" s="188">
        <v>99.91027324420439</v>
      </c>
      <c r="AD87" s="187">
        <v>100.65577680822747</v>
      </c>
      <c r="AE87" s="187"/>
      <c r="AF87" s="188">
        <v>98.864662354008289</v>
      </c>
      <c r="AG87" s="188">
        <v>90.499770716250708</v>
      </c>
      <c r="AH87" s="188">
        <v>91.334572918369915</v>
      </c>
      <c r="AI87" s="188">
        <v>91.414386042419594</v>
      </c>
      <c r="AJ87" s="187">
        <v>92.096473466363605</v>
      </c>
      <c r="AK87" s="187"/>
      <c r="AL87" s="188">
        <v>9.1883627131655423</v>
      </c>
      <c r="AM87" s="188">
        <v>8.4108809464324228</v>
      </c>
      <c r="AN87" s="188">
        <v>8.4884657881847136</v>
      </c>
      <c r="AO87" s="188">
        <v>8.4958872017847948</v>
      </c>
      <c r="AP87" s="187">
        <v>8.5593033418638793</v>
      </c>
      <c r="AQ87" s="90" t="str">
        <f t="shared" si="91"/>
        <v>30-34</v>
      </c>
      <c r="AR87" s="188">
        <v>154.40154582652374</v>
      </c>
      <c r="AS87" s="188">
        <v>164.11921393671662</v>
      </c>
      <c r="AT87" s="188">
        <v>176.72761340826818</v>
      </c>
      <c r="AU87" s="188">
        <v>194.300470927758</v>
      </c>
      <c r="AV87" s="187">
        <v>216.50257236058886</v>
      </c>
      <c r="AW87" s="187"/>
      <c r="AX87" s="188">
        <v>152.67917871565837</v>
      </c>
      <c r="AY87" s="188">
        <v>162.28847354227025</v>
      </c>
      <c r="AZ87" s="188">
        <v>174.75627406499731</v>
      </c>
      <c r="BA87" s="188">
        <v>192.1331101550017</v>
      </c>
      <c r="BB87" s="187">
        <v>214.08754627952416</v>
      </c>
      <c r="BC87" s="187"/>
      <c r="BD87" s="188">
        <v>1.7223671108653775</v>
      </c>
      <c r="BE87" s="188">
        <v>1.8307403944463407</v>
      </c>
      <c r="BF87" s="188">
        <v>1.9713393432708828</v>
      </c>
      <c r="BG87" s="188">
        <v>2.1673607727562971</v>
      </c>
      <c r="BH87" s="187">
        <v>2.415026081064688</v>
      </c>
    </row>
    <row r="88" spans="1:60" x14ac:dyDescent="0.2">
      <c r="A88" s="90" t="str">
        <f t="shared" si="89"/>
        <v>35-39</v>
      </c>
      <c r="B88" s="188">
        <v>44.016457260235349</v>
      </c>
      <c r="C88" s="188">
        <v>39.976771904202742</v>
      </c>
      <c r="D88" s="188">
        <v>30.464108582682162</v>
      </c>
      <c r="E88" s="188">
        <v>25.442342869618368</v>
      </c>
      <c r="F88" s="187">
        <v>19.313398032930589</v>
      </c>
      <c r="G88" s="187"/>
      <c r="H88" s="188">
        <v>13.170766467977897</v>
      </c>
      <c r="I88" s="188">
        <v>11.962019761666104</v>
      </c>
      <c r="J88" s="188">
        <v>9.1155623116308764</v>
      </c>
      <c r="K88" s="188">
        <v>7.6129848602255867</v>
      </c>
      <c r="L88" s="187">
        <v>5.7790036533667513</v>
      </c>
      <c r="M88" s="187"/>
      <c r="N88" s="188">
        <v>30.845690792257454</v>
      </c>
      <c r="O88" s="188">
        <v>28.014752142536643</v>
      </c>
      <c r="P88" s="188">
        <v>21.348546271051283</v>
      </c>
      <c r="Q88" s="188">
        <v>17.829358009392781</v>
      </c>
      <c r="R88" s="187">
        <v>13.534394379563837</v>
      </c>
      <c r="S88" s="187"/>
      <c r="T88" s="188">
        <v>0</v>
      </c>
      <c r="U88" s="188">
        <v>0</v>
      </c>
      <c r="V88" s="188">
        <v>0</v>
      </c>
      <c r="W88" s="188">
        <v>0</v>
      </c>
      <c r="X88" s="187">
        <v>0</v>
      </c>
      <c r="Y88" s="90" t="str">
        <f t="shared" si="90"/>
        <v>35-39</v>
      </c>
      <c r="Z88" s="188">
        <v>124.3317548459237</v>
      </c>
      <c r="AA88" s="188">
        <v>115.20319439668521</v>
      </c>
      <c r="AB88" s="188">
        <v>103.99848531956397</v>
      </c>
      <c r="AC88" s="188">
        <v>107.78515736503378</v>
      </c>
      <c r="AD88" s="187">
        <v>110.93136167790429</v>
      </c>
      <c r="AE88" s="187"/>
      <c r="AF88" s="188">
        <v>116.17651410584847</v>
      </c>
      <c r="AG88" s="188">
        <v>107.64676072030048</v>
      </c>
      <c r="AH88" s="188">
        <v>97.176962171565435</v>
      </c>
      <c r="AI88" s="188">
        <v>100.71524913353808</v>
      </c>
      <c r="AJ88" s="187">
        <v>103.65514843528025</v>
      </c>
      <c r="AK88" s="187"/>
      <c r="AL88" s="188">
        <v>8.1552407400752234</v>
      </c>
      <c r="AM88" s="188">
        <v>7.5564336763847377</v>
      </c>
      <c r="AN88" s="188">
        <v>6.821523147998537</v>
      </c>
      <c r="AO88" s="188">
        <v>7.06990823149569</v>
      </c>
      <c r="AP88" s="187">
        <v>7.2762132426240571</v>
      </c>
      <c r="AQ88" s="90" t="str">
        <f t="shared" si="91"/>
        <v>35-39</v>
      </c>
      <c r="AR88" s="188">
        <v>141.16078789384099</v>
      </c>
      <c r="AS88" s="188">
        <v>157.71103369911205</v>
      </c>
      <c r="AT88" s="188">
        <v>168.57540609775387</v>
      </c>
      <c r="AU88" s="188">
        <v>191.25249976534786</v>
      </c>
      <c r="AV88" s="187">
        <v>212.66724028916508</v>
      </c>
      <c r="AW88" s="187"/>
      <c r="AX88" s="188">
        <v>139.58664839223439</v>
      </c>
      <c r="AY88" s="188">
        <v>155.9523133601179</v>
      </c>
      <c r="AZ88" s="188">
        <v>166.69556733261371</v>
      </c>
      <c r="BA88" s="188">
        <v>189.11981088672707</v>
      </c>
      <c r="BB88" s="187">
        <v>210.29565301075678</v>
      </c>
      <c r="BC88" s="187"/>
      <c r="BD88" s="188">
        <v>1.5741395016066007</v>
      </c>
      <c r="BE88" s="188">
        <v>1.758720338994133</v>
      </c>
      <c r="BF88" s="188">
        <v>1.8798387651401465</v>
      </c>
      <c r="BG88" s="188">
        <v>2.1326888786208036</v>
      </c>
      <c r="BH88" s="187">
        <v>2.3715872784083478</v>
      </c>
    </row>
    <row r="89" spans="1:60" x14ac:dyDescent="0.2">
      <c r="A89" s="90" t="str">
        <f t="shared" si="89"/>
        <v>40-44</v>
      </c>
      <c r="B89" s="188">
        <v>62.562497845796578</v>
      </c>
      <c r="C89" s="188">
        <v>52.041253862300799</v>
      </c>
      <c r="D89" s="188">
        <v>37.292808343338905</v>
      </c>
      <c r="E89" s="188">
        <v>25.730317953372698</v>
      </c>
      <c r="F89" s="187">
        <v>17.848161884307732</v>
      </c>
      <c r="G89" s="187"/>
      <c r="H89" s="188">
        <v>21.068964130305993</v>
      </c>
      <c r="I89" s="188">
        <v>17.525770127794758</v>
      </c>
      <c r="J89" s="188">
        <v>12.558954308409454</v>
      </c>
      <c r="K89" s="188">
        <v>8.6650962158735219</v>
      </c>
      <c r="L89" s="187">
        <v>6.0106773270790361</v>
      </c>
      <c r="M89" s="187"/>
      <c r="N89" s="188">
        <v>41.493533715490578</v>
      </c>
      <c r="O89" s="188">
        <v>34.515483734506034</v>
      </c>
      <c r="P89" s="188">
        <v>24.73385403492945</v>
      </c>
      <c r="Q89" s="188">
        <v>17.065221737499176</v>
      </c>
      <c r="R89" s="187">
        <v>11.837484557228693</v>
      </c>
      <c r="S89" s="187"/>
      <c r="T89" s="188">
        <v>0</v>
      </c>
      <c r="U89" s="188">
        <v>0</v>
      </c>
      <c r="V89" s="188">
        <v>0</v>
      </c>
      <c r="W89" s="188">
        <v>0</v>
      </c>
      <c r="X89" s="187">
        <v>0</v>
      </c>
      <c r="Y89" s="90" t="str">
        <f t="shared" si="90"/>
        <v>40-44</v>
      </c>
      <c r="Z89" s="188">
        <v>133.43211125882925</v>
      </c>
      <c r="AA89" s="188">
        <v>124.30920077827601</v>
      </c>
      <c r="AB89" s="188">
        <v>114.42328927804037</v>
      </c>
      <c r="AC89" s="188">
        <v>113.59093257500689</v>
      </c>
      <c r="AD89" s="187">
        <v>119.96086291422256</v>
      </c>
      <c r="AE89" s="187"/>
      <c r="AF89" s="188">
        <v>125.56555151187415</v>
      </c>
      <c r="AG89" s="188">
        <v>116.9805269711083</v>
      </c>
      <c r="AH89" s="188">
        <v>107.6774160354275</v>
      </c>
      <c r="AI89" s="188">
        <v>106.89413288813921</v>
      </c>
      <c r="AJ89" s="187">
        <v>112.88853405200165</v>
      </c>
      <c r="AK89" s="187"/>
      <c r="AL89" s="188">
        <v>7.8665597469551063</v>
      </c>
      <c r="AM89" s="188">
        <v>7.3286738071676902</v>
      </c>
      <c r="AN89" s="188">
        <v>6.7458732426128867</v>
      </c>
      <c r="AO89" s="188">
        <v>6.6967996868676751</v>
      </c>
      <c r="AP89" s="187">
        <v>7.0723288622208971</v>
      </c>
      <c r="AQ89" s="90" t="str">
        <f t="shared" si="91"/>
        <v>40-44</v>
      </c>
      <c r="AR89" s="188">
        <v>128.51739089537415</v>
      </c>
      <c r="AS89" s="188">
        <v>144.36154535942319</v>
      </c>
      <c r="AT89" s="188">
        <v>158.66390237862072</v>
      </c>
      <c r="AU89" s="188">
        <v>166.99874947162044</v>
      </c>
      <c r="AV89" s="187">
        <v>185.07097520146974</v>
      </c>
      <c r="AW89" s="187"/>
      <c r="AX89" s="188">
        <v>126.94819387148412</v>
      </c>
      <c r="AY89" s="188">
        <v>142.59892905662338</v>
      </c>
      <c r="AZ89" s="188">
        <v>156.72664379404665</v>
      </c>
      <c r="BA89" s="188">
        <v>164.95975684612029</v>
      </c>
      <c r="BB89" s="187">
        <v>182.81128024141026</v>
      </c>
      <c r="BC89" s="187"/>
      <c r="BD89" s="188">
        <v>1.5691970238900339</v>
      </c>
      <c r="BE89" s="188">
        <v>1.7626163027998376</v>
      </c>
      <c r="BF89" s="188">
        <v>1.937258584574042</v>
      </c>
      <c r="BG89" s="188">
        <v>2.0389926255001587</v>
      </c>
      <c r="BH89" s="187">
        <v>2.2596949600594747</v>
      </c>
    </row>
    <row r="90" spans="1:60" x14ac:dyDescent="0.2">
      <c r="A90" s="90" t="str">
        <f t="shared" si="89"/>
        <v>45-49</v>
      </c>
      <c r="B90" s="188">
        <v>76.803506450596231</v>
      </c>
      <c r="C90" s="188">
        <v>72.369670614720619</v>
      </c>
      <c r="D90" s="188">
        <v>46.757578011014346</v>
      </c>
      <c r="E90" s="188">
        <v>32.914709981477799</v>
      </c>
      <c r="F90" s="187">
        <v>22.643570627464889</v>
      </c>
      <c r="G90" s="187"/>
      <c r="H90" s="188">
        <v>27.94396864638491</v>
      </c>
      <c r="I90" s="188">
        <v>26.330826958934129</v>
      </c>
      <c r="J90" s="188">
        <v>17.012164489510464</v>
      </c>
      <c r="K90" s="188">
        <v>11.975614453855373</v>
      </c>
      <c r="L90" s="187">
        <v>8.2386021908984706</v>
      </c>
      <c r="M90" s="187"/>
      <c r="N90" s="188">
        <v>48.859537804211321</v>
      </c>
      <c r="O90" s="188">
        <v>46.038843655786486</v>
      </c>
      <c r="P90" s="188">
        <v>29.745413521503881</v>
      </c>
      <c r="Q90" s="188">
        <v>20.939095527622428</v>
      </c>
      <c r="R90" s="187">
        <v>14.404968436566421</v>
      </c>
      <c r="S90" s="187"/>
      <c r="T90" s="188">
        <v>0</v>
      </c>
      <c r="U90" s="188">
        <v>0</v>
      </c>
      <c r="V90" s="188">
        <v>0</v>
      </c>
      <c r="W90" s="188">
        <v>0</v>
      </c>
      <c r="X90" s="187">
        <v>0</v>
      </c>
      <c r="Y90" s="90" t="str">
        <f t="shared" si="90"/>
        <v>45-49</v>
      </c>
      <c r="Z90" s="188">
        <v>119.91671183726781</v>
      </c>
      <c r="AA90" s="188">
        <v>117.54013515583459</v>
      </c>
      <c r="AB90" s="188">
        <v>126.00211978783305</v>
      </c>
      <c r="AC90" s="188">
        <v>129.89925725652535</v>
      </c>
      <c r="AD90" s="187">
        <v>132.56976051535059</v>
      </c>
      <c r="AE90" s="187"/>
      <c r="AF90" s="188">
        <v>113.53631898468487</v>
      </c>
      <c r="AG90" s="188">
        <v>111.28619702022586</v>
      </c>
      <c r="AH90" s="188">
        <v>119.29796634507618</v>
      </c>
      <c r="AI90" s="188">
        <v>122.98778022947444</v>
      </c>
      <c r="AJ90" s="187">
        <v>125.51614028502338</v>
      </c>
      <c r="AK90" s="187"/>
      <c r="AL90" s="188">
        <v>6.3803928525829319</v>
      </c>
      <c r="AM90" s="188">
        <v>6.2539381356087462</v>
      </c>
      <c r="AN90" s="188">
        <v>6.7041534427568807</v>
      </c>
      <c r="AO90" s="188">
        <v>6.9114770270509069</v>
      </c>
      <c r="AP90" s="187">
        <v>7.0536202303272111</v>
      </c>
      <c r="AQ90" s="90" t="str">
        <f t="shared" si="91"/>
        <v>45-49</v>
      </c>
      <c r="AR90" s="188">
        <v>113.07878171213598</v>
      </c>
      <c r="AS90" s="188">
        <v>125.98319422944476</v>
      </c>
      <c r="AT90" s="188">
        <v>142.77630220115262</v>
      </c>
      <c r="AU90" s="188">
        <v>151.84003276199684</v>
      </c>
      <c r="AV90" s="187">
        <v>159.15166885718455</v>
      </c>
      <c r="AW90" s="187"/>
      <c r="AX90" s="188">
        <v>111.76159647140302</v>
      </c>
      <c r="AY90" s="188">
        <v>124.51577593370071</v>
      </c>
      <c r="AZ90" s="188">
        <v>141.11320504624786</v>
      </c>
      <c r="BA90" s="188">
        <v>150.07143093938149</v>
      </c>
      <c r="BB90" s="187">
        <v>157.29788066457172</v>
      </c>
      <c r="BC90" s="187"/>
      <c r="BD90" s="188">
        <v>1.3171852407329641</v>
      </c>
      <c r="BE90" s="188">
        <v>1.4674182957440471</v>
      </c>
      <c r="BF90" s="188">
        <v>1.663097154904764</v>
      </c>
      <c r="BG90" s="188">
        <v>1.7686018226153735</v>
      </c>
      <c r="BH90" s="187">
        <v>1.8537881926128472</v>
      </c>
    </row>
    <row r="91" spans="1:60" x14ac:dyDescent="0.2">
      <c r="A91" s="90" t="str">
        <f t="shared" si="89"/>
        <v>50-54</v>
      </c>
      <c r="B91" s="188">
        <v>74.130845817172315</v>
      </c>
      <c r="C91" s="188">
        <v>76.292901659215687</v>
      </c>
      <c r="D91" s="188">
        <v>62.868745854171486</v>
      </c>
      <c r="E91" s="188">
        <v>48.927498060783627</v>
      </c>
      <c r="F91" s="187">
        <v>37.108932956215206</v>
      </c>
      <c r="G91" s="187"/>
      <c r="H91" s="188">
        <v>27.517951911427684</v>
      </c>
      <c r="I91" s="188">
        <v>28.320507284713951</v>
      </c>
      <c r="J91" s="188">
        <v>23.337364458948031</v>
      </c>
      <c r="K91" s="188">
        <v>18.162254416964728</v>
      </c>
      <c r="L91" s="187">
        <v>13.775148267079187</v>
      </c>
      <c r="M91" s="187"/>
      <c r="N91" s="188">
        <v>46.612893905744635</v>
      </c>
      <c r="O91" s="188">
        <v>47.972394374501732</v>
      </c>
      <c r="P91" s="188">
        <v>39.531381395223455</v>
      </c>
      <c r="Q91" s="188">
        <v>30.765243643818895</v>
      </c>
      <c r="R91" s="187">
        <v>23.333784689136024</v>
      </c>
      <c r="S91" s="187"/>
      <c r="T91" s="188">
        <v>0</v>
      </c>
      <c r="U91" s="188">
        <v>0</v>
      </c>
      <c r="V91" s="188">
        <v>0</v>
      </c>
      <c r="W91" s="188">
        <v>0</v>
      </c>
      <c r="X91" s="187">
        <v>0</v>
      </c>
      <c r="Y91" s="90" t="str">
        <f t="shared" si="90"/>
        <v>50-54</v>
      </c>
      <c r="Z91" s="188">
        <v>86.760993384439232</v>
      </c>
      <c r="AA91" s="188">
        <v>96.953240370929649</v>
      </c>
      <c r="AB91" s="188">
        <v>105.73855197584399</v>
      </c>
      <c r="AC91" s="188">
        <v>116.22864044167615</v>
      </c>
      <c r="AD91" s="187">
        <v>126.02469049917889</v>
      </c>
      <c r="AE91" s="187"/>
      <c r="AF91" s="188">
        <v>81.596570349738855</v>
      </c>
      <c r="AG91" s="188">
        <v>91.182181714094824</v>
      </c>
      <c r="AH91" s="188">
        <v>99.444551689154906</v>
      </c>
      <c r="AI91" s="188">
        <v>109.31026683421746</v>
      </c>
      <c r="AJ91" s="187">
        <v>118.52317446256983</v>
      </c>
      <c r="AK91" s="187"/>
      <c r="AL91" s="188">
        <v>5.1644230347003779</v>
      </c>
      <c r="AM91" s="188">
        <v>5.7710586568348159</v>
      </c>
      <c r="AN91" s="188">
        <v>6.2940002866890863</v>
      </c>
      <c r="AO91" s="188">
        <v>6.9183736074586868</v>
      </c>
      <c r="AP91" s="187">
        <v>7.5015160366090656</v>
      </c>
      <c r="AQ91" s="90" t="str">
        <f t="shared" si="91"/>
        <v>50-54</v>
      </c>
      <c r="AR91" s="188">
        <v>76.999160798388473</v>
      </c>
      <c r="AS91" s="188">
        <v>96.560857969854624</v>
      </c>
      <c r="AT91" s="188">
        <v>116.57270216998455</v>
      </c>
      <c r="AU91" s="188">
        <v>128.98986149754023</v>
      </c>
      <c r="AV91" s="187">
        <v>140.9583765446059</v>
      </c>
      <c r="AW91" s="187"/>
      <c r="AX91" s="188">
        <v>76.294968712849709</v>
      </c>
      <c r="AY91" s="188">
        <v>95.677849729956222</v>
      </c>
      <c r="AZ91" s="188">
        <v>115.50670905420014</v>
      </c>
      <c r="BA91" s="188">
        <v>127.81028960948962</v>
      </c>
      <c r="BB91" s="187">
        <v>139.6692906114707</v>
      </c>
      <c r="BC91" s="187"/>
      <c r="BD91" s="188">
        <v>0.70419208553877055</v>
      </c>
      <c r="BE91" s="188">
        <v>0.88300823989842003</v>
      </c>
      <c r="BF91" s="188">
        <v>1.0659931157844085</v>
      </c>
      <c r="BG91" s="188">
        <v>1.1795718880506243</v>
      </c>
      <c r="BH91" s="187">
        <v>1.2890859331351963</v>
      </c>
    </row>
    <row r="92" spans="1:60" x14ac:dyDescent="0.2">
      <c r="A92" s="90" t="str">
        <f t="shared" si="89"/>
        <v>55-59</v>
      </c>
      <c r="B92" s="188">
        <v>50.123111298551322</v>
      </c>
      <c r="C92" s="188">
        <v>49.323988494669976</v>
      </c>
      <c r="D92" s="188">
        <v>54.734368903773372</v>
      </c>
      <c r="E92" s="188">
        <v>46.878192366194043</v>
      </c>
      <c r="F92" s="187">
        <v>36.717928947865651</v>
      </c>
      <c r="G92" s="187"/>
      <c r="H92" s="188">
        <v>20.068212623946785</v>
      </c>
      <c r="I92" s="188">
        <v>19.748271942588062</v>
      </c>
      <c r="J92" s="188">
        <v>21.914478270879478</v>
      </c>
      <c r="K92" s="188">
        <v>18.76897099596793</v>
      </c>
      <c r="L92" s="187">
        <v>14.701046063760439</v>
      </c>
      <c r="M92" s="187"/>
      <c r="N92" s="188">
        <v>30.054898674604537</v>
      </c>
      <c r="O92" s="188">
        <v>29.575716552081918</v>
      </c>
      <c r="P92" s="188">
        <v>32.819890632893888</v>
      </c>
      <c r="Q92" s="188">
        <v>28.109221370226116</v>
      </c>
      <c r="R92" s="187">
        <v>22.016882884105211</v>
      </c>
      <c r="S92" s="187"/>
      <c r="T92" s="188">
        <v>0</v>
      </c>
      <c r="U92" s="188">
        <v>0</v>
      </c>
      <c r="V92" s="188">
        <v>0</v>
      </c>
      <c r="W92" s="188">
        <v>0</v>
      </c>
      <c r="X92" s="187">
        <v>0</v>
      </c>
      <c r="Y92" s="90" t="str">
        <f t="shared" si="90"/>
        <v>55-59</v>
      </c>
      <c r="Z92" s="188">
        <v>50.022718415568512</v>
      </c>
      <c r="AA92" s="188">
        <v>54.941387327680005</v>
      </c>
      <c r="AB92" s="188">
        <v>78.772938863638728</v>
      </c>
      <c r="AC92" s="188">
        <v>94.437586570976393</v>
      </c>
      <c r="AD92" s="187">
        <v>103.91445213238326</v>
      </c>
      <c r="AE92" s="187"/>
      <c r="AF92" s="188">
        <v>46.530169779779939</v>
      </c>
      <c r="AG92" s="188">
        <v>51.105378605023787</v>
      </c>
      <c r="AH92" s="188">
        <v>73.273049746677671</v>
      </c>
      <c r="AI92" s="188">
        <v>87.843993736619538</v>
      </c>
      <c r="AJ92" s="187">
        <v>96.659206845843883</v>
      </c>
      <c r="AK92" s="187"/>
      <c r="AL92" s="188">
        <v>3.4925486357885691</v>
      </c>
      <c r="AM92" s="188">
        <v>3.8360087226562167</v>
      </c>
      <c r="AN92" s="188">
        <v>5.4998891169610493</v>
      </c>
      <c r="AO92" s="188">
        <v>6.5935928343568344</v>
      </c>
      <c r="AP92" s="187">
        <v>7.2552452865393828</v>
      </c>
      <c r="AQ92" s="90" t="str">
        <f t="shared" si="91"/>
        <v>55-59</v>
      </c>
      <c r="AR92" s="188">
        <v>43.944170285880162</v>
      </c>
      <c r="AS92" s="188">
        <v>55.229624177650017</v>
      </c>
      <c r="AT92" s="188">
        <v>80.0286922325879</v>
      </c>
      <c r="AU92" s="188">
        <v>97.06122106282956</v>
      </c>
      <c r="AV92" s="187">
        <v>107.73061891975107</v>
      </c>
      <c r="AW92" s="187"/>
      <c r="AX92" s="188">
        <v>43.298834557519996</v>
      </c>
      <c r="AY92" s="188">
        <v>54.418522326695687</v>
      </c>
      <c r="AZ92" s="188">
        <v>78.853443932668</v>
      </c>
      <c r="BA92" s="188">
        <v>95.635738085376531</v>
      </c>
      <c r="BB92" s="187">
        <v>106.14856157242835</v>
      </c>
      <c r="BC92" s="187"/>
      <c r="BD92" s="188">
        <v>0.64533572836017361</v>
      </c>
      <c r="BE92" s="188">
        <v>0.81110185095432563</v>
      </c>
      <c r="BF92" s="188">
        <v>1.1752482999198919</v>
      </c>
      <c r="BG92" s="188">
        <v>1.4254829774530267</v>
      </c>
      <c r="BH92" s="187">
        <v>1.5820573473227093</v>
      </c>
    </row>
    <row r="93" spans="1:60" x14ac:dyDescent="0.2">
      <c r="A93" s="90" t="str">
        <f t="shared" si="89"/>
        <v>60-64</v>
      </c>
      <c r="B93" s="188">
        <v>13.764231925065078</v>
      </c>
      <c r="C93" s="188">
        <v>18.76836361753071</v>
      </c>
      <c r="D93" s="188">
        <v>18.508542780694757</v>
      </c>
      <c r="E93" s="188">
        <v>17.452835144978611</v>
      </c>
      <c r="F93" s="187">
        <v>14.804084816049919</v>
      </c>
      <c r="G93" s="187"/>
      <c r="H93" s="188">
        <v>6.6702307458031802</v>
      </c>
      <c r="I93" s="188">
        <v>9.0952856087735459</v>
      </c>
      <c r="J93" s="188">
        <v>8.9693500547268563</v>
      </c>
      <c r="K93" s="188">
        <v>8.4577572298816346</v>
      </c>
      <c r="L93" s="187">
        <v>7.1741516654067379</v>
      </c>
      <c r="M93" s="187"/>
      <c r="N93" s="188">
        <v>7.0940011792618973</v>
      </c>
      <c r="O93" s="188">
        <v>9.6730780087571677</v>
      </c>
      <c r="P93" s="188">
        <v>9.5391927259679008</v>
      </c>
      <c r="Q93" s="188">
        <v>8.9950779150969762</v>
      </c>
      <c r="R93" s="187">
        <v>7.62993315064318</v>
      </c>
      <c r="S93" s="187"/>
      <c r="T93" s="188">
        <v>0</v>
      </c>
      <c r="U93" s="188">
        <v>0</v>
      </c>
      <c r="V93" s="188">
        <v>0</v>
      </c>
      <c r="W93" s="188">
        <v>0</v>
      </c>
      <c r="X93" s="187">
        <v>0</v>
      </c>
      <c r="Y93" s="90" t="str">
        <f t="shared" si="90"/>
        <v>60-64</v>
      </c>
      <c r="Z93" s="188">
        <v>12.31020529409596</v>
      </c>
      <c r="AA93" s="188">
        <v>14.261344557443534</v>
      </c>
      <c r="AB93" s="188">
        <v>21.71515850756559</v>
      </c>
      <c r="AC93" s="188">
        <v>28.490108641285989</v>
      </c>
      <c r="AD93" s="187">
        <v>34.561262922202097</v>
      </c>
      <c r="AE93" s="187"/>
      <c r="AF93" s="188">
        <v>11.043928783107889</v>
      </c>
      <c r="AG93" s="188">
        <v>12.794409216272046</v>
      </c>
      <c r="AH93" s="188">
        <v>19.481518497742734</v>
      </c>
      <c r="AI93" s="188">
        <v>25.559606891725771</v>
      </c>
      <c r="AJ93" s="187">
        <v>31.006230901067084</v>
      </c>
      <c r="AK93" s="187"/>
      <c r="AL93" s="188">
        <v>1.2662765109880707</v>
      </c>
      <c r="AM93" s="188">
        <v>1.4669353411714883</v>
      </c>
      <c r="AN93" s="188">
        <v>2.233640009822857</v>
      </c>
      <c r="AO93" s="188">
        <v>2.9305017495602126</v>
      </c>
      <c r="AP93" s="187">
        <v>3.5550320211350139</v>
      </c>
      <c r="AQ93" s="90" t="str">
        <f t="shared" si="91"/>
        <v>60-64</v>
      </c>
      <c r="AR93" s="188">
        <v>10.014562780838963</v>
      </c>
      <c r="AS93" s="188">
        <v>15.861291825025759</v>
      </c>
      <c r="AT93" s="188">
        <v>24.782298711739656</v>
      </c>
      <c r="AU93" s="188">
        <v>32.955056213735411</v>
      </c>
      <c r="AV93" s="187">
        <v>41.965652261747991</v>
      </c>
      <c r="AW93" s="187"/>
      <c r="AX93" s="188">
        <v>9.3191096537115143</v>
      </c>
      <c r="AY93" s="188">
        <v>14.759802271763046</v>
      </c>
      <c r="AZ93" s="188">
        <v>23.061241083126763</v>
      </c>
      <c r="BA93" s="188">
        <v>30.666373272484456</v>
      </c>
      <c r="BB93" s="187">
        <v>39.05130130334193</v>
      </c>
      <c r="BC93" s="187"/>
      <c r="BD93" s="188">
        <v>0.69545312712745089</v>
      </c>
      <c r="BE93" s="188">
        <v>1.1014895532627123</v>
      </c>
      <c r="BF93" s="188">
        <v>1.721057628612892</v>
      </c>
      <c r="BG93" s="188">
        <v>2.2886829412509542</v>
      </c>
      <c r="BH93" s="187">
        <v>2.9143509584060596</v>
      </c>
    </row>
    <row r="94" spans="1:60" x14ac:dyDescent="0.2">
      <c r="A94" s="91" t="str">
        <f t="shared" si="89"/>
        <v>65+</v>
      </c>
      <c r="B94" s="188">
        <v>5.0275971766300218</v>
      </c>
      <c r="C94" s="188">
        <v>5.0571710967350976</v>
      </c>
      <c r="D94" s="188">
        <v>5.0002589845625298</v>
      </c>
      <c r="E94" s="188">
        <v>3.9459227571467377</v>
      </c>
      <c r="F94" s="187">
        <v>3.6918171007746805</v>
      </c>
      <c r="G94" s="189"/>
      <c r="H94" s="188">
        <v>2.987417610658246</v>
      </c>
      <c r="I94" s="188">
        <v>3.0049961668141885</v>
      </c>
      <c r="J94" s="188">
        <v>2.9711593642715379</v>
      </c>
      <c r="K94" s="188">
        <v>2.3446844102127109</v>
      </c>
      <c r="L94" s="187">
        <v>2.1936853336258615</v>
      </c>
      <c r="M94" s="189"/>
      <c r="N94" s="188">
        <v>2.0401795659717767</v>
      </c>
      <c r="O94" s="188">
        <v>2.0521749299209091</v>
      </c>
      <c r="P94" s="188">
        <v>2.0290996202909919</v>
      </c>
      <c r="Q94" s="188">
        <v>1.6012383469340266</v>
      </c>
      <c r="R94" s="187">
        <v>1.4981317671488188</v>
      </c>
      <c r="S94" s="189"/>
      <c r="T94" s="189">
        <v>0</v>
      </c>
      <c r="U94" s="189">
        <v>0</v>
      </c>
      <c r="V94" s="189">
        <v>0</v>
      </c>
      <c r="W94" s="189">
        <v>0</v>
      </c>
      <c r="X94" s="189">
        <v>0</v>
      </c>
      <c r="Y94" s="91" t="str">
        <f t="shared" si="90"/>
        <v>65+</v>
      </c>
      <c r="Z94" s="188">
        <v>2.7461652297525743</v>
      </c>
      <c r="AA94" s="188">
        <v>4.055911790969331</v>
      </c>
      <c r="AB94" s="188">
        <v>3.5612495126359529</v>
      </c>
      <c r="AC94" s="188">
        <v>3.9532933888693056</v>
      </c>
      <c r="AD94" s="187">
        <v>5.2021489926704287</v>
      </c>
      <c r="AE94" s="189"/>
      <c r="AF94" s="188">
        <v>2.4974123148764233</v>
      </c>
      <c r="AG94" s="188">
        <v>3.6885697608652581</v>
      </c>
      <c r="AH94" s="188">
        <v>3.2387036749219651</v>
      </c>
      <c r="AI94" s="188">
        <v>3.5952382484733798</v>
      </c>
      <c r="AJ94" s="187">
        <v>4.7309759551497086</v>
      </c>
      <c r="AK94" s="189"/>
      <c r="AL94" s="188">
        <v>0.24875291487615106</v>
      </c>
      <c r="AM94" s="188">
        <v>0.3673420301040734</v>
      </c>
      <c r="AN94" s="188">
        <v>0.32254583771398837</v>
      </c>
      <c r="AO94" s="188">
        <v>0.35805514039592606</v>
      </c>
      <c r="AP94" s="187">
        <v>0.47117303752072126</v>
      </c>
      <c r="AQ94" s="91" t="str">
        <f t="shared" si="91"/>
        <v>65+</v>
      </c>
      <c r="AR94" s="188">
        <v>2.4962375936174048</v>
      </c>
      <c r="AS94" s="188">
        <v>4.1209171122955697</v>
      </c>
      <c r="AT94" s="188">
        <v>4.3774915028015169</v>
      </c>
      <c r="AU94" s="188">
        <v>5.7297838539839567</v>
      </c>
      <c r="AV94" s="187">
        <v>8.4160339065548904</v>
      </c>
      <c r="AW94" s="189"/>
      <c r="AX94" s="188">
        <v>2.4393838610275034</v>
      </c>
      <c r="AY94" s="188">
        <v>4.0270912403022177</v>
      </c>
      <c r="AZ94" s="188">
        <v>4.2777979690182679</v>
      </c>
      <c r="BA94" s="188">
        <v>5.5993484434809799</v>
      </c>
      <c r="BB94" s="187">
        <v>8.2244038402405248</v>
      </c>
      <c r="BC94" s="189"/>
      <c r="BD94" s="188">
        <v>5.6853732589901257E-2</v>
      </c>
      <c r="BE94" s="188">
        <v>9.3825871993351684E-2</v>
      </c>
      <c r="BF94" s="188">
        <v>9.9693533783248439E-2</v>
      </c>
      <c r="BG94" s="188">
        <v>0.13043541050297702</v>
      </c>
      <c r="BH94" s="187">
        <v>0.19163006631436572</v>
      </c>
    </row>
    <row r="95" spans="1:60" x14ac:dyDescent="0.2">
      <c r="A95" s="95"/>
      <c r="B95" s="190"/>
      <c r="C95" s="190"/>
      <c r="D95" s="190"/>
      <c r="E95" s="190"/>
      <c r="F95" s="190"/>
      <c r="G95" s="190"/>
      <c r="H95" s="190"/>
      <c r="I95" s="190"/>
      <c r="J95" s="190"/>
      <c r="K95" s="190"/>
      <c r="L95" s="190"/>
      <c r="M95" s="190"/>
      <c r="N95" s="190"/>
      <c r="O95" s="190"/>
      <c r="P95" s="190"/>
      <c r="Q95" s="190"/>
      <c r="R95" s="190"/>
      <c r="S95" s="190"/>
      <c r="Y95" s="95"/>
      <c r="Z95" s="190"/>
      <c r="AA95" s="190"/>
      <c r="AB95" s="190"/>
      <c r="AC95" s="190"/>
      <c r="AD95" s="190"/>
      <c r="AE95" s="190"/>
      <c r="AF95" s="190"/>
      <c r="AG95" s="190"/>
      <c r="AH95" s="190"/>
      <c r="AI95" s="190"/>
      <c r="AJ95" s="190"/>
      <c r="AK95" s="190"/>
      <c r="AL95" s="190"/>
      <c r="AM95" s="190"/>
      <c r="AN95" s="190"/>
      <c r="AO95" s="190"/>
      <c r="AP95" s="190"/>
      <c r="AQ95" s="95"/>
      <c r="AR95" s="190"/>
      <c r="AS95" s="190"/>
      <c r="AT95" s="190"/>
      <c r="AU95" s="190"/>
      <c r="AV95" s="190"/>
      <c r="AW95" s="190"/>
      <c r="AX95" s="190"/>
      <c r="AY95" s="190"/>
      <c r="AZ95" s="190"/>
      <c r="BA95" s="190"/>
      <c r="BB95" s="190"/>
      <c r="BC95" s="190"/>
      <c r="BD95" s="190"/>
      <c r="BE95" s="190"/>
      <c r="BF95" s="190"/>
      <c r="BG95" s="190"/>
      <c r="BH95" s="190"/>
    </row>
    <row r="97" spans="1:1" x14ac:dyDescent="0.2">
      <c r="A97" s="90" t="s">
        <v>106</v>
      </c>
    </row>
  </sheetData>
  <mergeCells count="8">
    <mergeCell ref="BD3:BH3"/>
    <mergeCell ref="W50:X50"/>
    <mergeCell ref="T51:X51"/>
    <mergeCell ref="W2:X2"/>
    <mergeCell ref="T3:X3"/>
    <mergeCell ref="Z3:AD3"/>
    <mergeCell ref="AL3:AP3"/>
    <mergeCell ref="AR3:AV3"/>
  </mergeCells>
  <pageMargins left="0.35433070866141736" right="0.35433070866141736" top="0.74803149606299213" bottom="0.74803149606299213" header="0.31496062992125984" footer="0.31496062992125984"/>
  <pageSetup paperSize="9" scale="75" pageOrder="overThenDown" orientation="landscape" r:id="rId1"/>
  <rowBreaks count="1" manualBreakCount="1">
    <brk id="48" max="16383" man="1"/>
  </rowBreaks>
  <colBreaks count="2" manualBreakCount="2">
    <brk id="24" max="1048575" man="1"/>
    <brk id="42" max="1048575" man="1"/>
  </colBreaks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Sheet2"/>
  <dimension ref="A1:L143"/>
  <sheetViews>
    <sheetView zoomScale="85" zoomScaleNormal="85" workbookViewId="0">
      <pane ySplit="2" topLeftCell="A3" activePane="bottomLeft" state="frozen"/>
      <selection pane="bottomLeft"/>
    </sheetView>
  </sheetViews>
  <sheetFormatPr defaultRowHeight="12.75" x14ac:dyDescent="0.2"/>
  <cols>
    <col min="1" max="3" width="26.7109375" customWidth="1"/>
    <col min="4" max="4" width="46.5703125" customWidth="1"/>
    <col min="5" max="5" width="36.28515625" customWidth="1"/>
    <col min="6" max="7" width="34.7109375" customWidth="1"/>
    <col min="8" max="8" width="6.140625" customWidth="1"/>
    <col min="9" max="9" width="20.28515625" customWidth="1"/>
    <col min="10" max="10" width="4.85546875" customWidth="1"/>
    <col min="11" max="11" width="24.7109375" customWidth="1"/>
    <col min="12" max="12" width="9.140625" customWidth="1"/>
  </cols>
  <sheetData>
    <row r="1" spans="1:12" x14ac:dyDescent="0.2">
      <c r="A1" s="226" t="s">
        <v>246</v>
      </c>
      <c r="B1" s="226" t="s">
        <v>306</v>
      </c>
      <c r="C1" s="226" t="s">
        <v>4</v>
      </c>
      <c r="D1" s="226" t="s">
        <v>474</v>
      </c>
      <c r="E1" s="226" t="s">
        <v>320</v>
      </c>
      <c r="F1" s="228" t="s">
        <v>326</v>
      </c>
      <c r="G1" s="228" t="s">
        <v>345</v>
      </c>
      <c r="H1" s="228" t="s">
        <v>328</v>
      </c>
      <c r="I1" s="228"/>
      <c r="J1" s="228" t="s">
        <v>329</v>
      </c>
      <c r="K1" s="125"/>
      <c r="L1" s="1"/>
    </row>
    <row r="2" spans="1:12" s="13" customFormat="1" x14ac:dyDescent="0.2">
      <c r="A2" s="227" t="s">
        <v>347</v>
      </c>
      <c r="B2" s="227" t="s">
        <v>343</v>
      </c>
      <c r="C2" s="227" t="s">
        <v>344</v>
      </c>
      <c r="D2" s="125" t="s">
        <v>319</v>
      </c>
      <c r="E2" s="125" t="s">
        <v>321</v>
      </c>
      <c r="F2" s="227" t="s">
        <v>38</v>
      </c>
      <c r="G2" s="227" t="s">
        <v>346</v>
      </c>
      <c r="H2" s="125" t="s">
        <v>330</v>
      </c>
      <c r="I2" s="125" t="s">
        <v>100</v>
      </c>
      <c r="J2" s="125" t="s">
        <v>331</v>
      </c>
      <c r="K2" s="125" t="s">
        <v>332</v>
      </c>
      <c r="L2" s="82"/>
    </row>
    <row r="3" spans="1:12" x14ac:dyDescent="0.2">
      <c r="A3" s="10" t="s">
        <v>0</v>
      </c>
      <c r="B3" s="125" t="s">
        <v>0</v>
      </c>
      <c r="C3" s="10" t="s">
        <v>0</v>
      </c>
      <c r="D3" s="125" t="s">
        <v>10</v>
      </c>
      <c r="E3" s="125" t="s">
        <v>10</v>
      </c>
      <c r="F3" s="125" t="s">
        <v>37</v>
      </c>
      <c r="G3" s="125" t="s">
        <v>37</v>
      </c>
      <c r="H3" s="125" t="s">
        <v>333</v>
      </c>
      <c r="I3" s="125" t="s">
        <v>98</v>
      </c>
      <c r="J3" s="125" t="s">
        <v>334</v>
      </c>
      <c r="K3" s="125" t="s">
        <v>335</v>
      </c>
    </row>
    <row r="4" spans="1:12" x14ac:dyDescent="0.2">
      <c r="A4" s="10" t="s">
        <v>80</v>
      </c>
      <c r="B4" s="125" t="s">
        <v>307</v>
      </c>
      <c r="C4" s="10" t="s">
        <v>243</v>
      </c>
      <c r="D4" s="125" t="s">
        <v>475</v>
      </c>
      <c r="E4" s="125" t="s">
        <v>322</v>
      </c>
      <c r="F4" s="125" t="s">
        <v>450</v>
      </c>
      <c r="G4" s="125" t="s">
        <v>458</v>
      </c>
      <c r="H4" s="125" t="s">
        <v>336</v>
      </c>
      <c r="I4" s="125" t="s">
        <v>99</v>
      </c>
      <c r="J4" s="125" t="s">
        <v>337</v>
      </c>
      <c r="K4" s="125" t="s">
        <v>338</v>
      </c>
    </row>
    <row r="5" spans="1:12" x14ac:dyDescent="0.2">
      <c r="A5" s="10" t="s">
        <v>247</v>
      </c>
      <c r="B5" s="125" t="s">
        <v>81</v>
      </c>
      <c r="C5" s="10" t="s">
        <v>8</v>
      </c>
      <c r="D5" s="125" t="s">
        <v>476</v>
      </c>
      <c r="E5" s="125" t="s">
        <v>323</v>
      </c>
      <c r="F5" s="125" t="s">
        <v>451</v>
      </c>
      <c r="G5" s="125" t="s">
        <v>459</v>
      </c>
      <c r="H5" s="125"/>
      <c r="I5" s="125"/>
      <c r="J5" s="125" t="s">
        <v>339</v>
      </c>
      <c r="K5" s="125" t="s">
        <v>340</v>
      </c>
    </row>
    <row r="6" spans="1:12" x14ac:dyDescent="0.2">
      <c r="A6" s="10" t="s">
        <v>248</v>
      </c>
      <c r="B6" s="125" t="s">
        <v>308</v>
      </c>
      <c r="C6" s="10" t="s">
        <v>2</v>
      </c>
      <c r="D6" s="125" t="s">
        <v>477</v>
      </c>
      <c r="E6" s="125" t="s">
        <v>478</v>
      </c>
      <c r="F6" s="125" t="s">
        <v>452</v>
      </c>
      <c r="G6" s="125" t="s">
        <v>455</v>
      </c>
      <c r="H6" s="125"/>
      <c r="I6" s="125"/>
      <c r="J6" s="125" t="s">
        <v>341</v>
      </c>
      <c r="K6" s="125" t="s">
        <v>342</v>
      </c>
    </row>
    <row r="7" spans="1:12" x14ac:dyDescent="0.2">
      <c r="A7" s="10" t="s">
        <v>249</v>
      </c>
      <c r="B7" s="125" t="s">
        <v>5</v>
      </c>
      <c r="C7" s="10" t="s">
        <v>244</v>
      </c>
      <c r="D7" s="125" t="s">
        <v>479</v>
      </c>
      <c r="E7" s="125" t="s">
        <v>480</v>
      </c>
      <c r="F7" s="125" t="s">
        <v>453</v>
      </c>
      <c r="G7" s="125" t="s">
        <v>456</v>
      </c>
    </row>
    <row r="8" spans="1:12" x14ac:dyDescent="0.2">
      <c r="A8" s="10" t="s">
        <v>250</v>
      </c>
      <c r="B8" s="125" t="s">
        <v>6</v>
      </c>
      <c r="C8" s="10" t="s">
        <v>245</v>
      </c>
      <c r="D8" s="125" t="s">
        <v>481</v>
      </c>
      <c r="E8" s="125" t="s">
        <v>324</v>
      </c>
      <c r="F8" s="125" t="s">
        <v>454</v>
      </c>
      <c r="G8" s="125" t="s">
        <v>457</v>
      </c>
    </row>
    <row r="9" spans="1:12" x14ac:dyDescent="0.2">
      <c r="A9" s="10" t="s">
        <v>251</v>
      </c>
      <c r="B9" s="125" t="s">
        <v>309</v>
      </c>
      <c r="C9" s="10" t="s">
        <v>462</v>
      </c>
      <c r="D9" s="125" t="s">
        <v>482</v>
      </c>
      <c r="E9" s="125" t="s">
        <v>483</v>
      </c>
      <c r="F9" s="125" t="s">
        <v>455</v>
      </c>
      <c r="G9" s="125" t="s">
        <v>327</v>
      </c>
    </row>
    <row r="10" spans="1:12" x14ac:dyDescent="0.2">
      <c r="A10" s="10" t="s">
        <v>252</v>
      </c>
      <c r="B10" s="125" t="s">
        <v>310</v>
      </c>
      <c r="C10" t="s">
        <v>11</v>
      </c>
      <c r="D10" s="125" t="s">
        <v>484</v>
      </c>
      <c r="E10" s="125" t="s">
        <v>485</v>
      </c>
      <c r="F10" s="125" t="s">
        <v>456</v>
      </c>
      <c r="G10" s="125"/>
    </row>
    <row r="11" spans="1:12" x14ac:dyDescent="0.2">
      <c r="A11" s="10" t="s">
        <v>253</v>
      </c>
      <c r="B11" s="125" t="s">
        <v>2</v>
      </c>
      <c r="C11" t="s">
        <v>11</v>
      </c>
      <c r="D11" s="125" t="s">
        <v>486</v>
      </c>
      <c r="E11" s="125" t="s">
        <v>325</v>
      </c>
      <c r="F11" s="125" t="s">
        <v>457</v>
      </c>
      <c r="G11" s="125"/>
      <c r="I11" s="82"/>
    </row>
    <row r="12" spans="1:12" x14ac:dyDescent="0.2">
      <c r="A12" s="10" t="s">
        <v>254</v>
      </c>
      <c r="B12" s="125" t="s">
        <v>83</v>
      </c>
      <c r="C12" t="s">
        <v>11</v>
      </c>
      <c r="D12" s="125" t="s">
        <v>487</v>
      </c>
      <c r="E12" s="125" t="s">
        <v>9</v>
      </c>
      <c r="F12" s="125" t="s">
        <v>327</v>
      </c>
      <c r="G12" s="125"/>
    </row>
    <row r="13" spans="1:12" x14ac:dyDescent="0.2">
      <c r="A13" s="10" t="s">
        <v>255</v>
      </c>
      <c r="B13" s="125" t="s">
        <v>311</v>
      </c>
      <c r="C13" t="s">
        <v>11</v>
      </c>
      <c r="D13" s="125" t="s">
        <v>488</v>
      </c>
    </row>
    <row r="14" spans="1:12" x14ac:dyDescent="0.2">
      <c r="A14" s="10" t="s">
        <v>1</v>
      </c>
      <c r="B14" s="125" t="s">
        <v>312</v>
      </c>
      <c r="C14" t="s">
        <v>11</v>
      </c>
      <c r="D14" s="125" t="s">
        <v>489</v>
      </c>
      <c r="E14" t="s">
        <v>11</v>
      </c>
    </row>
    <row r="15" spans="1:12" x14ac:dyDescent="0.2">
      <c r="A15" s="10" t="s">
        <v>256</v>
      </c>
      <c r="B15" s="125" t="s">
        <v>84</v>
      </c>
      <c r="C15" t="s">
        <v>11</v>
      </c>
      <c r="D15" s="125" t="s">
        <v>490</v>
      </c>
      <c r="E15" t="s">
        <v>11</v>
      </c>
      <c r="I15" s="82"/>
    </row>
    <row r="16" spans="1:12" x14ac:dyDescent="0.2">
      <c r="A16" s="10" t="s">
        <v>257</v>
      </c>
      <c r="B16" s="125" t="s">
        <v>313</v>
      </c>
      <c r="C16" t="s">
        <v>11</v>
      </c>
      <c r="D16" s="125" t="s">
        <v>491</v>
      </c>
      <c r="E16" t="s">
        <v>11</v>
      </c>
    </row>
    <row r="17" spans="1:9" x14ac:dyDescent="0.2">
      <c r="A17" s="10" t="s">
        <v>258</v>
      </c>
      <c r="B17" s="125" t="s">
        <v>314</v>
      </c>
      <c r="C17" t="s">
        <v>11</v>
      </c>
      <c r="D17" s="125" t="s">
        <v>492</v>
      </c>
      <c r="E17" t="s">
        <v>11</v>
      </c>
      <c r="I17" s="82"/>
    </row>
    <row r="18" spans="1:9" x14ac:dyDescent="0.2">
      <c r="A18" s="10" t="s">
        <v>259</v>
      </c>
      <c r="B18" s="125" t="s">
        <v>284</v>
      </c>
      <c r="C18" t="s">
        <v>11</v>
      </c>
      <c r="D18" s="125" t="s">
        <v>493</v>
      </c>
      <c r="E18" t="s">
        <v>11</v>
      </c>
    </row>
    <row r="19" spans="1:9" x14ac:dyDescent="0.2">
      <c r="A19" s="10" t="s">
        <v>260</v>
      </c>
      <c r="B19" s="125" t="s">
        <v>315</v>
      </c>
      <c r="C19" t="s">
        <v>11</v>
      </c>
      <c r="D19" s="125" t="s">
        <v>494</v>
      </c>
      <c r="E19" t="s">
        <v>11</v>
      </c>
    </row>
    <row r="20" spans="1:9" x14ac:dyDescent="0.2">
      <c r="A20" s="10" t="s">
        <v>82</v>
      </c>
      <c r="B20" s="125" t="s">
        <v>316</v>
      </c>
      <c r="C20" t="s">
        <v>11</v>
      </c>
      <c r="D20" s="125" t="s">
        <v>495</v>
      </c>
      <c r="E20" t="s">
        <v>11</v>
      </c>
    </row>
    <row r="21" spans="1:9" x14ac:dyDescent="0.2">
      <c r="A21" s="10" t="s">
        <v>261</v>
      </c>
      <c r="B21" s="125" t="s">
        <v>317</v>
      </c>
      <c r="C21" t="s">
        <v>11</v>
      </c>
      <c r="D21" s="125" t="s">
        <v>496</v>
      </c>
    </row>
    <row r="22" spans="1:9" x14ac:dyDescent="0.2">
      <c r="A22" s="10" t="s">
        <v>262</v>
      </c>
      <c r="B22" s="125" t="s">
        <v>3</v>
      </c>
      <c r="C22" t="s">
        <v>11</v>
      </c>
      <c r="D22" s="125" t="s">
        <v>497</v>
      </c>
      <c r="E22" t="s">
        <v>11</v>
      </c>
      <c r="I22" s="82"/>
    </row>
    <row r="23" spans="1:9" x14ac:dyDescent="0.2">
      <c r="A23" s="10" t="s">
        <v>263</v>
      </c>
      <c r="B23" s="125" t="s">
        <v>7</v>
      </c>
      <c r="C23" t="s">
        <v>11</v>
      </c>
      <c r="D23" s="125" t="s">
        <v>498</v>
      </c>
      <c r="E23" t="s">
        <v>11</v>
      </c>
    </row>
    <row r="24" spans="1:9" x14ac:dyDescent="0.2">
      <c r="A24" s="10" t="s">
        <v>264</v>
      </c>
      <c r="B24" s="125" t="s">
        <v>87</v>
      </c>
      <c r="C24" t="s">
        <v>11</v>
      </c>
      <c r="D24" s="125" t="s">
        <v>499</v>
      </c>
      <c r="E24" t="s">
        <v>11</v>
      </c>
    </row>
    <row r="25" spans="1:9" x14ac:dyDescent="0.2">
      <c r="A25" s="10" t="s">
        <v>128</v>
      </c>
      <c r="B25" s="125" t="s">
        <v>318</v>
      </c>
      <c r="C25" t="s">
        <v>11</v>
      </c>
      <c r="D25" s="125" t="s">
        <v>500</v>
      </c>
      <c r="E25" t="s">
        <v>11</v>
      </c>
    </row>
    <row r="26" spans="1:9" x14ac:dyDescent="0.2">
      <c r="A26" s="10" t="s">
        <v>265</v>
      </c>
      <c r="C26" t="s">
        <v>11</v>
      </c>
      <c r="D26" s="125" t="s">
        <v>501</v>
      </c>
      <c r="E26" t="s">
        <v>11</v>
      </c>
      <c r="I26" s="82"/>
    </row>
    <row r="27" spans="1:9" x14ac:dyDescent="0.2">
      <c r="A27" s="10" t="s">
        <v>266</v>
      </c>
      <c r="C27" t="s">
        <v>11</v>
      </c>
      <c r="D27" s="125" t="s">
        <v>502</v>
      </c>
      <c r="E27" t="s">
        <v>11</v>
      </c>
    </row>
    <row r="28" spans="1:9" x14ac:dyDescent="0.2">
      <c r="A28" s="10" t="s">
        <v>267</v>
      </c>
      <c r="C28" t="s">
        <v>11</v>
      </c>
      <c r="D28" s="125" t="s">
        <v>503</v>
      </c>
      <c r="E28" t="s">
        <v>11</v>
      </c>
    </row>
    <row r="29" spans="1:9" x14ac:dyDescent="0.2">
      <c r="A29" s="10" t="s">
        <v>129</v>
      </c>
      <c r="C29" t="s">
        <v>11</v>
      </c>
      <c r="D29" t="s">
        <v>504</v>
      </c>
      <c r="E29" t="s">
        <v>11</v>
      </c>
    </row>
    <row r="30" spans="1:9" x14ac:dyDescent="0.2">
      <c r="A30" s="10" t="s">
        <v>268</v>
      </c>
      <c r="C30" t="s">
        <v>11</v>
      </c>
      <c r="E30" t="s">
        <v>11</v>
      </c>
    </row>
    <row r="31" spans="1:9" x14ac:dyDescent="0.2">
      <c r="A31" s="10" t="s">
        <v>2</v>
      </c>
      <c r="C31" t="s">
        <v>11</v>
      </c>
      <c r="D31" t="s">
        <v>11</v>
      </c>
      <c r="E31" t="s">
        <v>11</v>
      </c>
    </row>
    <row r="32" spans="1:9" x14ac:dyDescent="0.2">
      <c r="A32" s="10" t="s">
        <v>130</v>
      </c>
      <c r="C32" t="s">
        <v>11</v>
      </c>
      <c r="D32" t="s">
        <v>11</v>
      </c>
      <c r="E32" t="s">
        <v>11</v>
      </c>
      <c r="I32" s="82"/>
    </row>
    <row r="33" spans="1:9" x14ac:dyDescent="0.2">
      <c r="A33" s="10" t="s">
        <v>269</v>
      </c>
      <c r="C33" t="s">
        <v>11</v>
      </c>
      <c r="D33" t="s">
        <v>11</v>
      </c>
      <c r="E33" t="s">
        <v>11</v>
      </c>
    </row>
    <row r="34" spans="1:9" x14ac:dyDescent="0.2">
      <c r="A34" s="10" t="s">
        <v>270</v>
      </c>
      <c r="C34" t="s">
        <v>11</v>
      </c>
      <c r="D34" t="s">
        <v>11</v>
      </c>
      <c r="E34" t="s">
        <v>11</v>
      </c>
    </row>
    <row r="35" spans="1:9" x14ac:dyDescent="0.2">
      <c r="A35" s="10" t="s">
        <v>271</v>
      </c>
      <c r="C35" t="s">
        <v>11</v>
      </c>
      <c r="D35" t="s">
        <v>11</v>
      </c>
      <c r="E35" t="s">
        <v>11</v>
      </c>
    </row>
    <row r="36" spans="1:9" x14ac:dyDescent="0.2">
      <c r="A36" s="10" t="s">
        <v>272</v>
      </c>
      <c r="C36" t="s">
        <v>11</v>
      </c>
      <c r="D36" t="s">
        <v>11</v>
      </c>
      <c r="E36" t="s">
        <v>11</v>
      </c>
    </row>
    <row r="37" spans="1:9" x14ac:dyDescent="0.2">
      <c r="A37" s="10" t="s">
        <v>273</v>
      </c>
      <c r="C37" t="s">
        <v>11</v>
      </c>
      <c r="D37" t="s">
        <v>11</v>
      </c>
      <c r="E37" t="s">
        <v>11</v>
      </c>
    </row>
    <row r="38" spans="1:9" x14ac:dyDescent="0.2">
      <c r="A38" s="10" t="s">
        <v>131</v>
      </c>
      <c r="C38" t="s">
        <v>11</v>
      </c>
      <c r="D38" t="s">
        <v>11</v>
      </c>
      <c r="E38" t="s">
        <v>11</v>
      </c>
    </row>
    <row r="39" spans="1:9" x14ac:dyDescent="0.2">
      <c r="A39" s="10" t="s">
        <v>132</v>
      </c>
      <c r="C39" t="s">
        <v>11</v>
      </c>
      <c r="D39" t="s">
        <v>11</v>
      </c>
      <c r="E39" t="s">
        <v>11</v>
      </c>
      <c r="I39" s="123"/>
    </row>
    <row r="40" spans="1:9" x14ac:dyDescent="0.2">
      <c r="A40" s="10" t="s">
        <v>274</v>
      </c>
      <c r="C40" t="s">
        <v>11</v>
      </c>
      <c r="D40" t="s">
        <v>11</v>
      </c>
      <c r="E40" t="s">
        <v>11</v>
      </c>
      <c r="I40" s="82"/>
    </row>
    <row r="41" spans="1:9" x14ac:dyDescent="0.2">
      <c r="A41" s="10" t="s">
        <v>275</v>
      </c>
      <c r="C41" t="s">
        <v>11</v>
      </c>
      <c r="D41" t="s">
        <v>11</v>
      </c>
      <c r="E41" t="s">
        <v>11</v>
      </c>
    </row>
    <row r="42" spans="1:9" x14ac:dyDescent="0.2">
      <c r="A42" s="10" t="s">
        <v>133</v>
      </c>
      <c r="C42" t="s">
        <v>11</v>
      </c>
      <c r="D42" t="s">
        <v>11</v>
      </c>
      <c r="E42" t="s">
        <v>11</v>
      </c>
    </row>
    <row r="43" spans="1:9" x14ac:dyDescent="0.2">
      <c r="A43" s="10" t="s">
        <v>276</v>
      </c>
      <c r="C43" t="s">
        <v>11</v>
      </c>
      <c r="D43" t="s">
        <v>11</v>
      </c>
      <c r="E43" t="s">
        <v>11</v>
      </c>
    </row>
    <row r="44" spans="1:9" x14ac:dyDescent="0.2">
      <c r="A44" s="10" t="s">
        <v>134</v>
      </c>
      <c r="D44" t="s">
        <v>11</v>
      </c>
      <c r="E44" t="s">
        <v>11</v>
      </c>
    </row>
    <row r="45" spans="1:9" x14ac:dyDescent="0.2">
      <c r="A45" s="10" t="s">
        <v>277</v>
      </c>
    </row>
    <row r="46" spans="1:9" x14ac:dyDescent="0.2">
      <c r="A46" s="10" t="s">
        <v>278</v>
      </c>
      <c r="I46" s="82"/>
    </row>
    <row r="47" spans="1:9" x14ac:dyDescent="0.2">
      <c r="A47" s="10" t="s">
        <v>85</v>
      </c>
    </row>
    <row r="48" spans="1:9" x14ac:dyDescent="0.2">
      <c r="A48" s="10" t="s">
        <v>279</v>
      </c>
    </row>
    <row r="49" spans="1:9" x14ac:dyDescent="0.2">
      <c r="A49" s="10" t="s">
        <v>280</v>
      </c>
    </row>
    <row r="50" spans="1:9" x14ac:dyDescent="0.2">
      <c r="A50" s="10" t="s">
        <v>281</v>
      </c>
    </row>
    <row r="51" spans="1:9" x14ac:dyDescent="0.2">
      <c r="A51" s="10" t="s">
        <v>282</v>
      </c>
      <c r="I51" s="82"/>
    </row>
    <row r="52" spans="1:9" x14ac:dyDescent="0.2">
      <c r="A52" s="10" t="s">
        <v>283</v>
      </c>
    </row>
    <row r="53" spans="1:9" x14ac:dyDescent="0.2">
      <c r="A53" s="10" t="s">
        <v>284</v>
      </c>
    </row>
    <row r="54" spans="1:9" x14ac:dyDescent="0.2">
      <c r="A54" s="10" t="s">
        <v>285</v>
      </c>
    </row>
    <row r="55" spans="1:9" x14ac:dyDescent="0.2">
      <c r="A55" s="10" t="s">
        <v>286</v>
      </c>
    </row>
    <row r="56" spans="1:9" x14ac:dyDescent="0.2">
      <c r="A56" s="10" t="s">
        <v>287</v>
      </c>
      <c r="I56" s="82"/>
    </row>
    <row r="57" spans="1:9" x14ac:dyDescent="0.2">
      <c r="A57" s="10" t="s">
        <v>135</v>
      </c>
    </row>
    <row r="58" spans="1:9" x14ac:dyDescent="0.2">
      <c r="A58" s="10" t="s">
        <v>288</v>
      </c>
    </row>
    <row r="59" spans="1:9" x14ac:dyDescent="0.2">
      <c r="A59" s="10" t="s">
        <v>289</v>
      </c>
    </row>
    <row r="60" spans="1:9" x14ac:dyDescent="0.2">
      <c r="A60" s="10" t="s">
        <v>290</v>
      </c>
    </row>
    <row r="61" spans="1:9" x14ac:dyDescent="0.2">
      <c r="A61" s="10" t="s">
        <v>291</v>
      </c>
    </row>
    <row r="62" spans="1:9" x14ac:dyDescent="0.2">
      <c r="A62" s="10" t="s">
        <v>136</v>
      </c>
    </row>
    <row r="63" spans="1:9" x14ac:dyDescent="0.2">
      <c r="A63" s="10" t="s">
        <v>292</v>
      </c>
    </row>
    <row r="64" spans="1:9" x14ac:dyDescent="0.2">
      <c r="A64" s="10" t="s">
        <v>293</v>
      </c>
    </row>
    <row r="65" spans="1:9" x14ac:dyDescent="0.2">
      <c r="A65" s="10" t="s">
        <v>294</v>
      </c>
      <c r="I65" s="82"/>
    </row>
    <row r="66" spans="1:9" x14ac:dyDescent="0.2">
      <c r="A66" s="10" t="s">
        <v>295</v>
      </c>
    </row>
    <row r="67" spans="1:9" x14ac:dyDescent="0.2">
      <c r="A67" s="10" t="s">
        <v>296</v>
      </c>
    </row>
    <row r="68" spans="1:9" x14ac:dyDescent="0.2">
      <c r="A68" s="10" t="s">
        <v>297</v>
      </c>
    </row>
    <row r="69" spans="1:9" x14ac:dyDescent="0.2">
      <c r="A69" s="10" t="s">
        <v>86</v>
      </c>
    </row>
    <row r="70" spans="1:9" x14ac:dyDescent="0.2">
      <c r="A70" s="10" t="s">
        <v>298</v>
      </c>
    </row>
    <row r="71" spans="1:9" x14ac:dyDescent="0.2">
      <c r="A71" s="10" t="s">
        <v>299</v>
      </c>
      <c r="I71" s="82"/>
    </row>
    <row r="72" spans="1:9" x14ac:dyDescent="0.2">
      <c r="A72" s="10" t="s">
        <v>87</v>
      </c>
    </row>
    <row r="73" spans="1:9" x14ac:dyDescent="0.2">
      <c r="A73" s="10" t="s">
        <v>300</v>
      </c>
    </row>
    <row r="74" spans="1:9" x14ac:dyDescent="0.2">
      <c r="A74" s="10" t="s">
        <v>301</v>
      </c>
      <c r="I74" s="82"/>
    </row>
    <row r="75" spans="1:9" x14ac:dyDescent="0.2">
      <c r="A75" s="10" t="s">
        <v>302</v>
      </c>
    </row>
    <row r="76" spans="1:9" x14ac:dyDescent="0.2">
      <c r="A76" s="10" t="s">
        <v>303</v>
      </c>
    </row>
    <row r="77" spans="1:9" x14ac:dyDescent="0.2">
      <c r="A77" s="10" t="s">
        <v>304</v>
      </c>
    </row>
    <row r="78" spans="1:9" x14ac:dyDescent="0.2">
      <c r="A78" s="10" t="s">
        <v>305</v>
      </c>
    </row>
    <row r="81" spans="9:9" x14ac:dyDescent="0.2">
      <c r="I81" s="82"/>
    </row>
    <row r="85" spans="9:9" x14ac:dyDescent="0.2">
      <c r="I85" s="82"/>
    </row>
    <row r="91" spans="9:9" x14ac:dyDescent="0.2">
      <c r="I91" s="82"/>
    </row>
    <row r="96" spans="9:9" x14ac:dyDescent="0.2">
      <c r="I96" s="82"/>
    </row>
    <row r="101" spans="9:9" x14ac:dyDescent="0.2">
      <c r="I101" s="82"/>
    </row>
    <row r="106" spans="9:9" x14ac:dyDescent="0.2">
      <c r="I106" s="82"/>
    </row>
    <row r="111" spans="9:9" x14ac:dyDescent="0.2">
      <c r="I111" s="82"/>
    </row>
    <row r="119" spans="9:9" x14ac:dyDescent="0.2">
      <c r="I119" s="82"/>
    </row>
    <row r="129" spans="9:9" x14ac:dyDescent="0.2">
      <c r="I129" s="82"/>
    </row>
    <row r="134" spans="9:9" x14ac:dyDescent="0.2">
      <c r="I134" s="82"/>
    </row>
    <row r="141" spans="9:9" x14ac:dyDescent="0.2">
      <c r="I141" s="82"/>
    </row>
    <row r="143" spans="9:9" x14ac:dyDescent="0.2">
      <c r="I143" s="82"/>
    </row>
  </sheetData>
  <phoneticPr fontId="4" type="noConversion"/>
  <pageMargins left="0.55118110236220474" right="0.55118110236220474" top="0.98425196850393704" bottom="0.98425196850393704" header="0.51181102362204722" footer="0.51181102362204722"/>
  <pageSetup paperSize="9" scale="72" orientation="portrait" r:id="rId1"/>
  <headerFooter alignWithMargins="0"/>
  <colBreaks count="2" manualBreakCount="2">
    <brk id="3" max="1048575" man="1"/>
    <brk id="5" max="1048575" man="1"/>
  </colBreaks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Sheet3"/>
  <dimension ref="A1:CD59"/>
  <sheetViews>
    <sheetView zoomScale="85" zoomScaleNormal="85" workbookViewId="0"/>
  </sheetViews>
  <sheetFormatPr defaultRowHeight="12.75" x14ac:dyDescent="0.2"/>
  <cols>
    <col min="1" max="1" width="27.5703125" customWidth="1"/>
    <col min="2" max="145" width="3" customWidth="1"/>
  </cols>
  <sheetData>
    <row r="1" spans="1:82" x14ac:dyDescent="0.2">
      <c r="A1" s="1" t="str">
        <f>CONCATENATE("Aggregation 75 industries to 22 ",name!$B$2)</f>
        <v>Aggregation 75 industries to 22 Industry groups</v>
      </c>
    </row>
    <row r="2" spans="1:82" ht="164.25" customHeight="1" thickBot="1" x14ac:dyDescent="0.25">
      <c r="B2" s="124" t="str">
        <f t="array" ref="B2:BX2">TRANSPOSE(name!$A$4:$A$78)</f>
        <v>Agriculture, etc</v>
      </c>
      <c r="C2" s="124" t="str">
        <v>Coal, oil &amp; gas; Mining &amp; related</v>
      </c>
      <c r="D2" s="124" t="str">
        <v>Food products</v>
      </c>
      <c r="E2" s="124" t="str">
        <v>Beverages and tobacco</v>
      </c>
      <c r="F2" s="124" t="str">
        <v>Textiles</v>
      </c>
      <c r="G2" s="124" t="str">
        <v>Wearing apparel; Leather, etc</v>
      </c>
      <c r="H2" s="124" t="str">
        <v xml:space="preserve">Wood and cork </v>
      </c>
      <c r="I2" s="124" t="str">
        <v>Paper, etc</v>
      </c>
      <c r="J2" s="124" t="str">
        <v>Printing and recording</v>
      </c>
      <c r="K2" s="124" t="str">
        <v>Coke and petroleum; Chemicals, etc</v>
      </c>
      <c r="L2" s="124" t="str">
        <v>Pharmaceuticals</v>
      </c>
      <c r="M2" s="124" t="str">
        <v>Rubber and plastic</v>
      </c>
      <c r="N2" s="124" t="str">
        <v>Other non-metallic</v>
      </c>
      <c r="O2" s="124" t="str">
        <v>Basic metals</v>
      </c>
      <c r="P2" s="124" t="str">
        <v>Metal products</v>
      </c>
      <c r="Q2" s="124" t="str">
        <v>Computer, etc</v>
      </c>
      <c r="R2" s="124" t="str">
        <v>Electrical equipment</v>
      </c>
      <c r="S2" s="124" t="str">
        <v>Machinery n.e.c.</v>
      </c>
      <c r="T2" s="124" t="str">
        <v>Motor vehicles, etc</v>
      </c>
      <c r="U2" s="124" t="str">
        <v>Other transport equipment</v>
      </c>
      <c r="V2" s="124" t="str">
        <v>Furniture</v>
      </c>
      <c r="W2" s="124" t="str">
        <v>Other manufacturing</v>
      </c>
      <c r="X2" s="124" t="str">
        <v>Repair and installation</v>
      </c>
      <c r="Y2" s="124" t="str">
        <v>Electricity, gas, etc</v>
      </c>
      <c r="Z2" s="124" t="str">
        <v>Water</v>
      </c>
      <c r="AA2" s="124" t="str">
        <v>Sewerage</v>
      </c>
      <c r="AB2" s="124" t="str">
        <v>Waste management</v>
      </c>
      <c r="AC2" s="124" t="str">
        <v>Construction</v>
      </c>
      <c r="AD2" s="124" t="str">
        <v>Civil engineering</v>
      </c>
      <c r="AE2" s="124" t="str">
        <v>Specialised construction</v>
      </c>
      <c r="AF2" s="124" t="str">
        <v>Motor vehicle trade</v>
      </c>
      <c r="AG2" s="124" t="str">
        <v>Wholesale trade</v>
      </c>
      <c r="AH2" s="124" t="str">
        <v>Retail trade</v>
      </c>
      <c r="AI2" s="124" t="str">
        <v>Land transport, etc</v>
      </c>
      <c r="AJ2" s="124" t="str">
        <v>Water transport</v>
      </c>
      <c r="AK2" s="124" t="str">
        <v>Air transport</v>
      </c>
      <c r="AL2" s="124" t="str">
        <v>Warehousing, etc</v>
      </c>
      <c r="AM2" s="124" t="str">
        <v>Postal and courier</v>
      </c>
      <c r="AN2" s="124" t="str">
        <v>Accommodation</v>
      </c>
      <c r="AO2" s="124" t="str">
        <v>Food and beverage services</v>
      </c>
      <c r="AP2" s="124" t="str">
        <v>Publishing activities</v>
      </c>
      <c r="AQ2" s="124" t="str">
        <v>Film and music</v>
      </c>
      <c r="AR2" s="124" t="str">
        <v>Broadcasting</v>
      </c>
      <c r="AS2" s="124" t="str">
        <v>Telecommunications</v>
      </c>
      <c r="AT2" s="124" t="str">
        <v>Computing services</v>
      </c>
      <c r="AU2" s="124" t="str">
        <v>Information services</v>
      </c>
      <c r="AV2" s="124" t="str">
        <v>Financial services</v>
      </c>
      <c r="AW2" s="124" t="str">
        <v>Insurance and pensions</v>
      </c>
      <c r="AX2" s="124" t="str">
        <v>Auxiliary financial services</v>
      </c>
      <c r="AY2" s="124" t="str">
        <v>Real estate</v>
      </c>
      <c r="AZ2" s="124" t="str">
        <v>Legal and accounting</v>
      </c>
      <c r="BA2" s="124" t="str">
        <v>Head offices, etc</v>
      </c>
      <c r="BB2" s="124" t="str">
        <v>Architectural and related</v>
      </c>
      <c r="BC2" s="124" t="str">
        <v>Scientific research and development</v>
      </c>
      <c r="BD2" s="124" t="str">
        <v>Advertising, etc</v>
      </c>
      <c r="BE2" s="124" t="str">
        <v>Other professional</v>
      </c>
      <c r="BF2" s="124" t="str">
        <v>Veterinary</v>
      </c>
      <c r="BG2" s="124" t="str">
        <v>Rental and leasing</v>
      </c>
      <c r="BH2" s="124" t="str">
        <v>Employment activities</v>
      </c>
      <c r="BI2" s="124" t="str">
        <v>Travel, etc</v>
      </c>
      <c r="BJ2" s="124" t="str">
        <v>Security, etc</v>
      </c>
      <c r="BK2" s="124" t="str">
        <v>Services to buildings</v>
      </c>
      <c r="BL2" s="124" t="str">
        <v>Office administrative</v>
      </c>
      <c r="BM2" s="124" t="str">
        <v>Public administration and defence</v>
      </c>
      <c r="BN2" s="124" t="str">
        <v xml:space="preserve">Education </v>
      </c>
      <c r="BO2" s="124" t="str">
        <v>Health</v>
      </c>
      <c r="BP2" s="124" t="str">
        <v>Residential care</v>
      </c>
      <c r="BQ2" s="124" t="str">
        <v>Social work</v>
      </c>
      <c r="BR2" s="124" t="str">
        <v>Arts and entertainment</v>
      </c>
      <c r="BS2" s="124" t="str">
        <v>Libraries, etc</v>
      </c>
      <c r="BT2" s="124" t="str">
        <v>Gambling and betting</v>
      </c>
      <c r="BU2" s="124" t="str">
        <v>Sport and recreation</v>
      </c>
      <c r="BV2" s="124" t="str">
        <v>Membership organisations</v>
      </c>
      <c r="BW2" s="124" t="str">
        <v>Repair of goods</v>
      </c>
      <c r="BX2" s="124" t="str">
        <v>Other personal service</v>
      </c>
      <c r="BY2" s="124"/>
      <c r="BZ2" s="124"/>
      <c r="CA2" s="124"/>
      <c r="CB2" s="124"/>
      <c r="CC2" s="124"/>
      <c r="CD2" s="124"/>
    </row>
    <row r="3" spans="1:82" x14ac:dyDescent="0.2">
      <c r="A3" t="str">
        <f>name!B4</f>
        <v>Agriculture</v>
      </c>
      <c r="B3" s="196">
        <v>1</v>
      </c>
      <c r="C3" s="230">
        <v>0</v>
      </c>
      <c r="D3" s="230">
        <v>0</v>
      </c>
      <c r="E3" s="230">
        <v>0</v>
      </c>
      <c r="F3" s="230">
        <v>0</v>
      </c>
      <c r="G3" s="230">
        <v>0</v>
      </c>
      <c r="H3" s="3">
        <v>0</v>
      </c>
      <c r="I3" s="3">
        <v>0</v>
      </c>
      <c r="J3" s="3">
        <v>0</v>
      </c>
      <c r="K3" s="3">
        <v>0</v>
      </c>
      <c r="L3" s="3">
        <v>0</v>
      </c>
      <c r="M3" s="3">
        <v>0</v>
      </c>
      <c r="N3" s="3">
        <v>0</v>
      </c>
      <c r="O3" s="3">
        <v>0</v>
      </c>
      <c r="P3" s="3">
        <v>0</v>
      </c>
      <c r="Q3" s="3">
        <v>0</v>
      </c>
      <c r="R3" s="3">
        <v>0</v>
      </c>
      <c r="S3" s="3">
        <v>0</v>
      </c>
      <c r="T3" s="3">
        <v>0</v>
      </c>
      <c r="U3" s="3">
        <v>0</v>
      </c>
      <c r="V3" s="3">
        <v>0</v>
      </c>
      <c r="W3" s="3">
        <v>0</v>
      </c>
      <c r="X3" s="3">
        <v>0</v>
      </c>
      <c r="Y3" s="3">
        <v>0</v>
      </c>
      <c r="Z3" s="3">
        <v>0</v>
      </c>
      <c r="AA3" s="3">
        <v>0</v>
      </c>
      <c r="AB3" s="3">
        <v>0</v>
      </c>
      <c r="AC3" s="3">
        <v>0</v>
      </c>
      <c r="AD3" s="3">
        <v>0</v>
      </c>
      <c r="AE3" s="3">
        <v>0</v>
      </c>
      <c r="AF3" s="3">
        <v>0</v>
      </c>
      <c r="AG3" s="3">
        <v>0</v>
      </c>
      <c r="AH3" s="3">
        <v>0</v>
      </c>
      <c r="AI3" s="3">
        <v>0</v>
      </c>
      <c r="AJ3" s="3">
        <v>0</v>
      </c>
      <c r="AK3" s="3">
        <v>0</v>
      </c>
      <c r="AL3" s="3">
        <v>0</v>
      </c>
      <c r="AM3" s="3">
        <v>0</v>
      </c>
      <c r="AN3" s="3">
        <v>0</v>
      </c>
      <c r="AO3" s="3">
        <v>0</v>
      </c>
      <c r="AP3" s="3">
        <v>0</v>
      </c>
      <c r="AQ3" s="3">
        <v>0</v>
      </c>
      <c r="AR3" s="3">
        <v>0</v>
      </c>
      <c r="AS3" s="3">
        <v>0</v>
      </c>
      <c r="AT3" s="3">
        <v>0</v>
      </c>
      <c r="AU3" s="3">
        <v>0</v>
      </c>
      <c r="AV3" s="3">
        <v>0</v>
      </c>
      <c r="AW3" s="3">
        <v>0</v>
      </c>
      <c r="AX3" s="3">
        <v>0</v>
      </c>
      <c r="AY3" s="3">
        <v>0</v>
      </c>
      <c r="AZ3" s="3">
        <v>0</v>
      </c>
      <c r="BA3" s="3">
        <v>0</v>
      </c>
      <c r="BB3" s="3">
        <v>0</v>
      </c>
      <c r="BC3" s="3">
        <v>0</v>
      </c>
      <c r="BD3" s="3">
        <v>0</v>
      </c>
      <c r="BE3" s="3">
        <v>0</v>
      </c>
      <c r="BF3" s="3">
        <v>0</v>
      </c>
      <c r="BG3" s="3">
        <v>0</v>
      </c>
      <c r="BH3" s="3">
        <v>0</v>
      </c>
      <c r="BI3" s="3">
        <v>0</v>
      </c>
      <c r="BJ3" s="3">
        <v>0</v>
      </c>
      <c r="BK3" s="3">
        <v>0</v>
      </c>
      <c r="BL3" s="3">
        <v>0</v>
      </c>
      <c r="BM3" s="3">
        <v>0</v>
      </c>
      <c r="BN3" s="3">
        <v>0</v>
      </c>
      <c r="BO3" s="3">
        <v>0</v>
      </c>
      <c r="BP3" s="3">
        <v>0</v>
      </c>
      <c r="BQ3" s="3">
        <v>0</v>
      </c>
      <c r="BR3" s="3">
        <v>0</v>
      </c>
      <c r="BS3" s="3">
        <v>0</v>
      </c>
      <c r="BT3" s="3">
        <v>0</v>
      </c>
      <c r="BU3" s="3">
        <v>0</v>
      </c>
      <c r="BV3" s="3">
        <v>0</v>
      </c>
      <c r="BW3" s="3">
        <v>0</v>
      </c>
      <c r="BX3" s="4">
        <v>0</v>
      </c>
      <c r="BY3">
        <v>1</v>
      </c>
    </row>
    <row r="4" spans="1:82" x14ac:dyDescent="0.2">
      <c r="A4" t="str">
        <f>name!B5</f>
        <v>Mining and quarrying</v>
      </c>
      <c r="B4" s="5">
        <v>0</v>
      </c>
      <c r="C4">
        <v>1</v>
      </c>
      <c r="D4">
        <v>0</v>
      </c>
      <c r="E4" s="82">
        <v>0</v>
      </c>
      <c r="F4" s="82">
        <v>0</v>
      </c>
      <c r="G4" s="82">
        <v>0</v>
      </c>
      <c r="H4" s="82">
        <v>0</v>
      </c>
      <c r="I4" s="82">
        <v>0</v>
      </c>
      <c r="J4" s="82">
        <v>0</v>
      </c>
      <c r="K4" s="82">
        <v>0</v>
      </c>
      <c r="L4" s="82">
        <v>0</v>
      </c>
      <c r="M4" s="82">
        <v>0</v>
      </c>
      <c r="N4" s="82">
        <v>0</v>
      </c>
      <c r="O4" s="82">
        <v>0</v>
      </c>
      <c r="P4" s="82">
        <v>0</v>
      </c>
      <c r="Q4" s="82">
        <v>0</v>
      </c>
      <c r="R4" s="82">
        <v>0</v>
      </c>
      <c r="S4" s="82">
        <v>0</v>
      </c>
      <c r="T4" s="82">
        <v>0</v>
      </c>
      <c r="U4" s="82">
        <v>0</v>
      </c>
      <c r="V4" s="82">
        <v>0</v>
      </c>
      <c r="W4" s="82">
        <v>0</v>
      </c>
      <c r="X4" s="82">
        <v>0</v>
      </c>
      <c r="Y4" s="82">
        <v>0</v>
      </c>
      <c r="Z4" s="82">
        <v>0</v>
      </c>
      <c r="AA4" s="82">
        <v>0</v>
      </c>
      <c r="AB4" s="82">
        <v>0</v>
      </c>
      <c r="AC4" s="82">
        <v>0</v>
      </c>
      <c r="AD4" s="82">
        <v>0</v>
      </c>
      <c r="AE4" s="82">
        <v>0</v>
      </c>
      <c r="AF4" s="82">
        <v>0</v>
      </c>
      <c r="AG4" s="82">
        <v>0</v>
      </c>
      <c r="AH4" s="82">
        <v>0</v>
      </c>
      <c r="AI4" s="82">
        <v>0</v>
      </c>
      <c r="AJ4" s="82">
        <v>0</v>
      </c>
      <c r="AK4" s="82">
        <v>0</v>
      </c>
      <c r="AL4" s="82">
        <v>0</v>
      </c>
      <c r="AM4" s="82">
        <v>0</v>
      </c>
      <c r="AN4" s="82">
        <v>0</v>
      </c>
      <c r="AO4" s="82">
        <v>0</v>
      </c>
      <c r="AP4" s="82">
        <v>0</v>
      </c>
      <c r="AQ4" s="82">
        <v>0</v>
      </c>
      <c r="AR4" s="82">
        <v>0</v>
      </c>
      <c r="AS4" s="82">
        <v>0</v>
      </c>
      <c r="AT4" s="82">
        <v>0</v>
      </c>
      <c r="AU4" s="82">
        <v>0</v>
      </c>
      <c r="AV4" s="82">
        <v>0</v>
      </c>
      <c r="AW4" s="82">
        <v>0</v>
      </c>
      <c r="AX4" s="82">
        <v>0</v>
      </c>
      <c r="AY4" s="82">
        <v>0</v>
      </c>
      <c r="AZ4" s="82">
        <v>0</v>
      </c>
      <c r="BA4" s="82">
        <v>0</v>
      </c>
      <c r="BB4" s="82">
        <v>0</v>
      </c>
      <c r="BC4" s="82">
        <v>0</v>
      </c>
      <c r="BD4" s="82">
        <v>0</v>
      </c>
      <c r="BE4" s="82">
        <v>0</v>
      </c>
      <c r="BF4" s="82">
        <v>0</v>
      </c>
      <c r="BG4" s="82">
        <v>0</v>
      </c>
      <c r="BH4" s="82">
        <v>0</v>
      </c>
      <c r="BI4" s="82">
        <v>0</v>
      </c>
      <c r="BJ4" s="82">
        <v>0</v>
      </c>
      <c r="BK4" s="82">
        <v>0</v>
      </c>
      <c r="BL4" s="82">
        <v>0</v>
      </c>
      <c r="BM4" s="82">
        <v>0</v>
      </c>
      <c r="BN4" s="82">
        <v>0</v>
      </c>
      <c r="BO4">
        <v>0</v>
      </c>
      <c r="BP4">
        <v>0</v>
      </c>
      <c r="BQ4">
        <v>0</v>
      </c>
      <c r="BR4">
        <v>0</v>
      </c>
      <c r="BS4">
        <v>0</v>
      </c>
      <c r="BT4">
        <v>0</v>
      </c>
      <c r="BU4">
        <v>0</v>
      </c>
      <c r="BV4">
        <v>0</v>
      </c>
      <c r="BW4">
        <v>0</v>
      </c>
      <c r="BX4" s="6">
        <v>0</v>
      </c>
      <c r="BY4">
        <v>2</v>
      </c>
    </row>
    <row r="5" spans="1:82" x14ac:dyDescent="0.2">
      <c r="A5" t="str">
        <f>name!B6</f>
        <v>Food drink and tobacco</v>
      </c>
      <c r="B5" s="5">
        <v>0</v>
      </c>
      <c r="C5">
        <v>0</v>
      </c>
      <c r="D5">
        <v>1</v>
      </c>
      <c r="E5">
        <v>1</v>
      </c>
      <c r="F5">
        <v>0</v>
      </c>
      <c r="G5">
        <v>0</v>
      </c>
      <c r="H5" s="82">
        <v>0</v>
      </c>
      <c r="I5" s="82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  <c r="BO5">
        <v>0</v>
      </c>
      <c r="BP5">
        <v>0</v>
      </c>
      <c r="BQ5">
        <v>0</v>
      </c>
      <c r="BR5">
        <v>0</v>
      </c>
      <c r="BS5">
        <v>0</v>
      </c>
      <c r="BT5">
        <v>0</v>
      </c>
      <c r="BU5">
        <v>0</v>
      </c>
      <c r="BV5">
        <v>0</v>
      </c>
      <c r="BW5">
        <v>0</v>
      </c>
      <c r="BX5" s="6">
        <v>0</v>
      </c>
      <c r="BY5">
        <v>3</v>
      </c>
    </row>
    <row r="6" spans="1:82" x14ac:dyDescent="0.2">
      <c r="A6" t="str">
        <f>name!B7</f>
        <v>Engineering</v>
      </c>
      <c r="B6" s="5">
        <v>0</v>
      </c>
      <c r="C6">
        <v>0</v>
      </c>
      <c r="D6">
        <v>0</v>
      </c>
      <c r="E6">
        <v>0</v>
      </c>
      <c r="F6">
        <v>0</v>
      </c>
      <c r="G6">
        <v>0</v>
      </c>
      <c r="H6" s="82">
        <v>0</v>
      </c>
      <c r="I6" s="82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1</v>
      </c>
      <c r="R6">
        <v>1</v>
      </c>
      <c r="S6">
        <v>1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</v>
      </c>
      <c r="BG6">
        <v>0</v>
      </c>
      <c r="BH6">
        <v>0</v>
      </c>
      <c r="BI6">
        <v>0</v>
      </c>
      <c r="BJ6">
        <v>0</v>
      </c>
      <c r="BK6">
        <v>0</v>
      </c>
      <c r="BL6">
        <v>0</v>
      </c>
      <c r="BM6">
        <v>0</v>
      </c>
      <c r="BN6">
        <v>0</v>
      </c>
      <c r="BO6">
        <v>0</v>
      </c>
      <c r="BP6">
        <v>0</v>
      </c>
      <c r="BQ6">
        <v>0</v>
      </c>
      <c r="BR6">
        <v>0</v>
      </c>
      <c r="BS6">
        <v>0</v>
      </c>
      <c r="BT6">
        <v>0</v>
      </c>
      <c r="BU6">
        <v>0</v>
      </c>
      <c r="BV6">
        <v>0</v>
      </c>
      <c r="BW6">
        <v>0</v>
      </c>
      <c r="BX6" s="6">
        <v>0</v>
      </c>
      <c r="BY6">
        <v>4</v>
      </c>
    </row>
    <row r="7" spans="1:82" x14ac:dyDescent="0.2">
      <c r="A7" t="str">
        <f>name!B8</f>
        <v>Rest of manufacturing</v>
      </c>
      <c r="B7" s="5">
        <v>0</v>
      </c>
      <c r="C7">
        <v>0</v>
      </c>
      <c r="D7">
        <v>0</v>
      </c>
      <c r="E7">
        <v>0</v>
      </c>
      <c r="F7">
        <v>1</v>
      </c>
      <c r="G7">
        <v>1</v>
      </c>
      <c r="H7">
        <v>1</v>
      </c>
      <c r="I7">
        <v>1</v>
      </c>
      <c r="J7" s="1">
        <v>1</v>
      </c>
      <c r="K7" s="1">
        <v>1</v>
      </c>
      <c r="L7" s="1">
        <v>1</v>
      </c>
      <c r="M7" s="82">
        <v>1</v>
      </c>
      <c r="N7" s="82">
        <v>1</v>
      </c>
      <c r="O7" s="82">
        <v>1</v>
      </c>
      <c r="P7" s="82">
        <v>1</v>
      </c>
      <c r="Q7">
        <v>0</v>
      </c>
      <c r="R7">
        <v>0</v>
      </c>
      <c r="S7">
        <v>0</v>
      </c>
      <c r="T7">
        <v>1</v>
      </c>
      <c r="U7">
        <v>1</v>
      </c>
      <c r="V7">
        <v>1</v>
      </c>
      <c r="W7">
        <v>1</v>
      </c>
      <c r="X7">
        <v>1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0</v>
      </c>
      <c r="AX7">
        <v>0</v>
      </c>
      <c r="AY7">
        <v>0</v>
      </c>
      <c r="AZ7">
        <v>0</v>
      </c>
      <c r="BA7">
        <v>0</v>
      </c>
      <c r="BB7">
        <v>0</v>
      </c>
      <c r="BC7">
        <v>0</v>
      </c>
      <c r="BD7">
        <v>0</v>
      </c>
      <c r="BE7">
        <v>0</v>
      </c>
      <c r="BF7">
        <v>0</v>
      </c>
      <c r="BG7">
        <v>0</v>
      </c>
      <c r="BH7">
        <v>0</v>
      </c>
      <c r="BI7">
        <v>0</v>
      </c>
      <c r="BJ7">
        <v>0</v>
      </c>
      <c r="BK7">
        <v>0</v>
      </c>
      <c r="BL7">
        <v>0</v>
      </c>
      <c r="BM7">
        <v>0</v>
      </c>
      <c r="BN7">
        <v>0</v>
      </c>
      <c r="BO7">
        <v>0</v>
      </c>
      <c r="BP7">
        <v>0</v>
      </c>
      <c r="BQ7">
        <v>0</v>
      </c>
      <c r="BR7">
        <v>0</v>
      </c>
      <c r="BS7">
        <v>0</v>
      </c>
      <c r="BT7">
        <v>0</v>
      </c>
      <c r="BU7">
        <v>0</v>
      </c>
      <c r="BV7">
        <v>0</v>
      </c>
      <c r="BW7">
        <v>0</v>
      </c>
      <c r="BX7" s="6">
        <v>0</v>
      </c>
      <c r="BY7">
        <v>5</v>
      </c>
    </row>
    <row r="8" spans="1:82" x14ac:dyDescent="0.2">
      <c r="A8" t="str">
        <f>name!B9</f>
        <v>Electricity and gas</v>
      </c>
      <c r="B8" s="5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 s="82">
        <v>0</v>
      </c>
      <c r="M8" s="82">
        <v>0</v>
      </c>
      <c r="N8" s="82">
        <v>0</v>
      </c>
      <c r="O8" s="82">
        <v>0</v>
      </c>
      <c r="P8" s="82">
        <v>0</v>
      </c>
      <c r="Q8" s="82">
        <v>0</v>
      </c>
      <c r="R8" s="82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1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0</v>
      </c>
      <c r="AV8">
        <v>0</v>
      </c>
      <c r="AW8">
        <v>0</v>
      </c>
      <c r="AX8">
        <v>0</v>
      </c>
      <c r="AY8">
        <v>0</v>
      </c>
      <c r="AZ8">
        <v>0</v>
      </c>
      <c r="BA8">
        <v>0</v>
      </c>
      <c r="BB8">
        <v>0</v>
      </c>
      <c r="BC8">
        <v>0</v>
      </c>
      <c r="BD8">
        <v>0</v>
      </c>
      <c r="BE8">
        <v>0</v>
      </c>
      <c r="BF8">
        <v>0</v>
      </c>
      <c r="BG8">
        <v>0</v>
      </c>
      <c r="BH8">
        <v>0</v>
      </c>
      <c r="BI8">
        <v>0</v>
      </c>
      <c r="BJ8">
        <v>0</v>
      </c>
      <c r="BK8">
        <v>0</v>
      </c>
      <c r="BL8">
        <v>0</v>
      </c>
      <c r="BM8">
        <v>0</v>
      </c>
      <c r="BN8">
        <v>0</v>
      </c>
      <c r="BO8">
        <v>0</v>
      </c>
      <c r="BP8">
        <v>0</v>
      </c>
      <c r="BQ8">
        <v>0</v>
      </c>
      <c r="BR8">
        <v>0</v>
      </c>
      <c r="BS8">
        <v>0</v>
      </c>
      <c r="BT8">
        <v>0</v>
      </c>
      <c r="BU8">
        <v>0</v>
      </c>
      <c r="BV8">
        <v>0</v>
      </c>
      <c r="BW8">
        <v>0</v>
      </c>
      <c r="BX8" s="6">
        <v>0</v>
      </c>
      <c r="BY8">
        <v>6</v>
      </c>
    </row>
    <row r="9" spans="1:82" x14ac:dyDescent="0.2">
      <c r="A9" t="str">
        <f>name!B10</f>
        <v>Water and sewerage</v>
      </c>
      <c r="B9" s="5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 s="82">
        <v>0</v>
      </c>
      <c r="M9" s="82">
        <v>0</v>
      </c>
      <c r="N9" s="82">
        <v>0</v>
      </c>
      <c r="O9" s="82">
        <v>0</v>
      </c>
      <c r="P9" s="82">
        <v>0</v>
      </c>
      <c r="Q9" s="82">
        <v>0</v>
      </c>
      <c r="R9" s="82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1</v>
      </c>
      <c r="AA9">
        <v>1</v>
      </c>
      <c r="AB9">
        <v>1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</v>
      </c>
      <c r="BG9">
        <v>0</v>
      </c>
      <c r="BH9">
        <v>0</v>
      </c>
      <c r="BI9">
        <v>0</v>
      </c>
      <c r="BJ9">
        <v>0</v>
      </c>
      <c r="BK9">
        <v>0</v>
      </c>
      <c r="BL9">
        <v>0</v>
      </c>
      <c r="BM9">
        <v>0</v>
      </c>
      <c r="BN9">
        <v>0</v>
      </c>
      <c r="BO9">
        <v>0</v>
      </c>
      <c r="BP9">
        <v>0</v>
      </c>
      <c r="BQ9">
        <v>0</v>
      </c>
      <c r="BR9">
        <v>0</v>
      </c>
      <c r="BS9">
        <v>0</v>
      </c>
      <c r="BT9">
        <v>0</v>
      </c>
      <c r="BU9">
        <v>0</v>
      </c>
      <c r="BV9">
        <v>0</v>
      </c>
      <c r="BW9">
        <v>0</v>
      </c>
      <c r="BX9" s="6">
        <v>0</v>
      </c>
      <c r="BY9">
        <v>7</v>
      </c>
    </row>
    <row r="10" spans="1:82" x14ac:dyDescent="0.2">
      <c r="A10" t="str">
        <f>name!B11</f>
        <v>Construction</v>
      </c>
      <c r="B10" s="5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 s="82">
        <v>0</v>
      </c>
      <c r="M10" s="82">
        <v>0</v>
      </c>
      <c r="N10" s="82">
        <v>0</v>
      </c>
      <c r="O10" s="82">
        <v>0</v>
      </c>
      <c r="P10" s="82">
        <v>0</v>
      </c>
      <c r="Q10" s="82">
        <v>0</v>
      </c>
      <c r="R10" s="82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1</v>
      </c>
      <c r="AD10">
        <v>1</v>
      </c>
      <c r="AE10">
        <v>1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0</v>
      </c>
      <c r="BM10">
        <v>0</v>
      </c>
      <c r="BN10">
        <v>0</v>
      </c>
      <c r="BO10">
        <v>0</v>
      </c>
      <c r="BP10">
        <v>0</v>
      </c>
      <c r="BQ10">
        <v>0</v>
      </c>
      <c r="BR10">
        <v>0</v>
      </c>
      <c r="BS10">
        <v>0</v>
      </c>
      <c r="BT10">
        <v>0</v>
      </c>
      <c r="BU10">
        <v>0</v>
      </c>
      <c r="BV10">
        <v>0</v>
      </c>
      <c r="BW10">
        <v>0</v>
      </c>
      <c r="BX10" s="6">
        <v>0</v>
      </c>
      <c r="BY10">
        <v>8</v>
      </c>
    </row>
    <row r="11" spans="1:82" x14ac:dyDescent="0.2">
      <c r="A11" t="str">
        <f>name!B12</f>
        <v>Wholesale and retail trade</v>
      </c>
      <c r="B11" s="5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 s="82">
        <v>0</v>
      </c>
      <c r="M11" s="82">
        <v>0</v>
      </c>
      <c r="N11" s="82">
        <v>0</v>
      </c>
      <c r="O11" s="82">
        <v>0</v>
      </c>
      <c r="P11" s="82">
        <v>0</v>
      </c>
      <c r="Q11" s="82">
        <v>0</v>
      </c>
      <c r="R11" s="82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1</v>
      </c>
      <c r="AG11">
        <v>1</v>
      </c>
      <c r="AH11">
        <v>1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>
        <v>0</v>
      </c>
      <c r="AW11">
        <v>0</v>
      </c>
      <c r="AX11">
        <v>0</v>
      </c>
      <c r="AY11">
        <v>0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0</v>
      </c>
      <c r="BG11">
        <v>0</v>
      </c>
      <c r="BH11">
        <v>0</v>
      </c>
      <c r="BI11">
        <v>0</v>
      </c>
      <c r="BJ11">
        <v>0</v>
      </c>
      <c r="BK11">
        <v>0</v>
      </c>
      <c r="BL11">
        <v>0</v>
      </c>
      <c r="BM11">
        <v>0</v>
      </c>
      <c r="BN11">
        <v>0</v>
      </c>
      <c r="BO11">
        <v>0</v>
      </c>
      <c r="BP11">
        <v>0</v>
      </c>
      <c r="BQ11">
        <v>0</v>
      </c>
      <c r="BR11">
        <v>0</v>
      </c>
      <c r="BS11">
        <v>0</v>
      </c>
      <c r="BT11">
        <v>0</v>
      </c>
      <c r="BU11">
        <v>0</v>
      </c>
      <c r="BV11">
        <v>0</v>
      </c>
      <c r="BW11">
        <v>0</v>
      </c>
      <c r="BX11" s="6">
        <v>0</v>
      </c>
      <c r="BY11">
        <v>9</v>
      </c>
    </row>
    <row r="12" spans="1:82" x14ac:dyDescent="0.2">
      <c r="A12" t="str">
        <f>name!B13</f>
        <v>Transport and storage</v>
      </c>
      <c r="B12" s="5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 s="82">
        <v>0</v>
      </c>
      <c r="M12" s="82">
        <v>0</v>
      </c>
      <c r="N12" s="82">
        <v>0</v>
      </c>
      <c r="O12" s="82">
        <v>0</v>
      </c>
      <c r="P12" s="82">
        <v>0</v>
      </c>
      <c r="Q12" s="82">
        <v>0</v>
      </c>
      <c r="R12" s="8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1</v>
      </c>
      <c r="AJ12">
        <v>1</v>
      </c>
      <c r="AK12">
        <v>1</v>
      </c>
      <c r="AL12">
        <v>1</v>
      </c>
      <c r="AM12">
        <v>1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>
        <v>0</v>
      </c>
      <c r="AW12">
        <v>0</v>
      </c>
      <c r="AX12">
        <v>0</v>
      </c>
      <c r="AY12">
        <v>0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0</v>
      </c>
      <c r="BK12">
        <v>0</v>
      </c>
      <c r="BL12">
        <v>0</v>
      </c>
      <c r="BM12">
        <v>0</v>
      </c>
      <c r="BN12">
        <v>0</v>
      </c>
      <c r="BO12">
        <v>0</v>
      </c>
      <c r="BP12">
        <v>0</v>
      </c>
      <c r="BQ12">
        <v>0</v>
      </c>
      <c r="BR12">
        <v>0</v>
      </c>
      <c r="BS12">
        <v>0</v>
      </c>
      <c r="BT12">
        <v>0</v>
      </c>
      <c r="BU12">
        <v>0</v>
      </c>
      <c r="BV12">
        <v>0</v>
      </c>
      <c r="BW12">
        <v>0</v>
      </c>
      <c r="BX12" s="6">
        <v>0</v>
      </c>
      <c r="BY12">
        <v>10</v>
      </c>
    </row>
    <row r="13" spans="1:82" x14ac:dyDescent="0.2">
      <c r="A13" t="str">
        <f>name!B14</f>
        <v>Accommodation and food</v>
      </c>
      <c r="B13" s="5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 s="82">
        <v>0</v>
      </c>
      <c r="M13" s="82">
        <v>0</v>
      </c>
      <c r="N13" s="82">
        <v>0</v>
      </c>
      <c r="O13" s="82">
        <v>0</v>
      </c>
      <c r="P13" s="82">
        <v>0</v>
      </c>
      <c r="Q13" s="82">
        <v>0</v>
      </c>
      <c r="R13" s="82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1</v>
      </c>
      <c r="AO13">
        <v>1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>
        <v>0</v>
      </c>
      <c r="AW13">
        <v>0</v>
      </c>
      <c r="AX13">
        <v>0</v>
      </c>
      <c r="AY13">
        <v>0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0</v>
      </c>
      <c r="BK13">
        <v>0</v>
      </c>
      <c r="BL13">
        <v>0</v>
      </c>
      <c r="BM13">
        <v>0</v>
      </c>
      <c r="BN13">
        <v>0</v>
      </c>
      <c r="BO13">
        <v>0</v>
      </c>
      <c r="BP13">
        <v>0</v>
      </c>
      <c r="BQ13">
        <v>0</v>
      </c>
      <c r="BR13">
        <v>0</v>
      </c>
      <c r="BS13">
        <v>0</v>
      </c>
      <c r="BT13">
        <v>0</v>
      </c>
      <c r="BU13">
        <v>0</v>
      </c>
      <c r="BV13">
        <v>0</v>
      </c>
      <c r="BW13">
        <v>0</v>
      </c>
      <c r="BX13" s="6">
        <v>0</v>
      </c>
      <c r="BY13">
        <v>11</v>
      </c>
    </row>
    <row r="14" spans="1:82" x14ac:dyDescent="0.2">
      <c r="A14" t="str">
        <f>name!B15</f>
        <v>Media</v>
      </c>
      <c r="B14" s="5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 s="82">
        <v>0</v>
      </c>
      <c r="M14" s="82">
        <v>0</v>
      </c>
      <c r="N14" s="82">
        <v>0</v>
      </c>
      <c r="O14" s="82">
        <v>0</v>
      </c>
      <c r="P14" s="82">
        <v>0</v>
      </c>
      <c r="Q14" s="82">
        <v>0</v>
      </c>
      <c r="R14" s="82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1</v>
      </c>
      <c r="AQ14">
        <v>1</v>
      </c>
      <c r="AR14">
        <v>1</v>
      </c>
      <c r="AS14">
        <v>0</v>
      </c>
      <c r="AT14">
        <v>0</v>
      </c>
      <c r="AU14">
        <v>0</v>
      </c>
      <c r="AV14">
        <v>0</v>
      </c>
      <c r="AW14">
        <v>0</v>
      </c>
      <c r="AX14">
        <v>0</v>
      </c>
      <c r="AY14">
        <v>0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</v>
      </c>
      <c r="BG14">
        <v>0</v>
      </c>
      <c r="BH14">
        <v>0</v>
      </c>
      <c r="BI14">
        <v>0</v>
      </c>
      <c r="BJ14">
        <v>0</v>
      </c>
      <c r="BK14">
        <v>0</v>
      </c>
      <c r="BL14">
        <v>0</v>
      </c>
      <c r="BM14">
        <v>0</v>
      </c>
      <c r="BN14">
        <v>0</v>
      </c>
      <c r="BO14">
        <v>0</v>
      </c>
      <c r="BP14">
        <v>0</v>
      </c>
      <c r="BQ14">
        <v>0</v>
      </c>
      <c r="BR14">
        <v>0</v>
      </c>
      <c r="BS14">
        <v>0</v>
      </c>
      <c r="BT14">
        <v>0</v>
      </c>
      <c r="BU14">
        <v>0</v>
      </c>
      <c r="BV14">
        <v>0</v>
      </c>
      <c r="BW14">
        <v>0</v>
      </c>
      <c r="BX14" s="6">
        <v>0</v>
      </c>
      <c r="BY14">
        <v>12</v>
      </c>
    </row>
    <row r="15" spans="1:82" x14ac:dyDescent="0.2">
      <c r="A15" t="str">
        <f>name!B16</f>
        <v>Information technology</v>
      </c>
      <c r="B15" s="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 s="82">
        <v>0</v>
      </c>
      <c r="M15" s="82">
        <v>0</v>
      </c>
      <c r="N15" s="82">
        <v>0</v>
      </c>
      <c r="O15" s="82">
        <v>0</v>
      </c>
      <c r="P15" s="82">
        <v>0</v>
      </c>
      <c r="Q15" s="82">
        <v>0</v>
      </c>
      <c r="R15" s="82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1</v>
      </c>
      <c r="AT15">
        <v>1</v>
      </c>
      <c r="AU15">
        <v>1</v>
      </c>
      <c r="AV15">
        <v>0</v>
      </c>
      <c r="AW15">
        <v>0</v>
      </c>
      <c r="AX15">
        <v>0</v>
      </c>
      <c r="AY15">
        <v>0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0</v>
      </c>
      <c r="BI15">
        <v>0</v>
      </c>
      <c r="BJ15">
        <v>0</v>
      </c>
      <c r="BK15">
        <v>0</v>
      </c>
      <c r="BL15">
        <v>0</v>
      </c>
      <c r="BM15">
        <v>0</v>
      </c>
      <c r="BN15">
        <v>0</v>
      </c>
      <c r="BO15">
        <v>0</v>
      </c>
      <c r="BP15">
        <v>0</v>
      </c>
      <c r="BQ15">
        <v>0</v>
      </c>
      <c r="BR15">
        <v>0</v>
      </c>
      <c r="BS15">
        <v>0</v>
      </c>
      <c r="BT15">
        <v>0</v>
      </c>
      <c r="BU15">
        <v>0</v>
      </c>
      <c r="BV15">
        <v>0</v>
      </c>
      <c r="BW15">
        <v>0</v>
      </c>
      <c r="BX15" s="6">
        <v>0</v>
      </c>
      <c r="BY15">
        <v>13</v>
      </c>
    </row>
    <row r="16" spans="1:82" x14ac:dyDescent="0.2">
      <c r="A16" t="str">
        <f>name!B17</f>
        <v>Finance and insurance</v>
      </c>
      <c r="B16" s="5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 s="82">
        <v>0</v>
      </c>
      <c r="M16" s="82">
        <v>0</v>
      </c>
      <c r="N16" s="82">
        <v>0</v>
      </c>
      <c r="O16" s="82">
        <v>0</v>
      </c>
      <c r="P16" s="82">
        <v>0</v>
      </c>
      <c r="Q16" s="82">
        <v>0</v>
      </c>
      <c r="R16" s="82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>
        <v>1</v>
      </c>
      <c r="AW16">
        <v>1</v>
      </c>
      <c r="AX16">
        <v>1</v>
      </c>
      <c r="AY16">
        <v>0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0</v>
      </c>
      <c r="BK16">
        <v>0</v>
      </c>
      <c r="BL16">
        <v>0</v>
      </c>
      <c r="BM16">
        <v>0</v>
      </c>
      <c r="BN16">
        <v>0</v>
      </c>
      <c r="BO16">
        <v>0</v>
      </c>
      <c r="BP16">
        <v>0</v>
      </c>
      <c r="BQ16">
        <v>0</v>
      </c>
      <c r="BR16">
        <v>0</v>
      </c>
      <c r="BS16">
        <v>0</v>
      </c>
      <c r="BT16">
        <v>0</v>
      </c>
      <c r="BU16">
        <v>0</v>
      </c>
      <c r="BV16">
        <v>0</v>
      </c>
      <c r="BW16">
        <v>0</v>
      </c>
      <c r="BX16" s="6">
        <v>0</v>
      </c>
      <c r="BY16">
        <v>14</v>
      </c>
    </row>
    <row r="17" spans="1:77" x14ac:dyDescent="0.2">
      <c r="A17" t="str">
        <f>name!B18</f>
        <v>Real estate</v>
      </c>
      <c r="B17" s="5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 s="82">
        <v>0</v>
      </c>
      <c r="M17" s="82">
        <v>0</v>
      </c>
      <c r="N17" s="82">
        <v>0</v>
      </c>
      <c r="O17" s="82">
        <v>0</v>
      </c>
      <c r="P17" s="82">
        <v>0</v>
      </c>
      <c r="Q17" s="82">
        <v>0</v>
      </c>
      <c r="R17" s="82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>
        <v>0</v>
      </c>
      <c r="AW17">
        <v>0</v>
      </c>
      <c r="AX17">
        <v>0</v>
      </c>
      <c r="AY17">
        <v>1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0</v>
      </c>
      <c r="BG17">
        <v>0</v>
      </c>
      <c r="BH17">
        <v>0</v>
      </c>
      <c r="BI17">
        <v>0</v>
      </c>
      <c r="BJ17">
        <v>0</v>
      </c>
      <c r="BK17">
        <v>0</v>
      </c>
      <c r="BL17">
        <v>0</v>
      </c>
      <c r="BM17">
        <v>0</v>
      </c>
      <c r="BN17">
        <v>0</v>
      </c>
      <c r="BO17">
        <v>0</v>
      </c>
      <c r="BP17">
        <v>0</v>
      </c>
      <c r="BQ17">
        <v>0</v>
      </c>
      <c r="BR17">
        <v>0</v>
      </c>
      <c r="BS17">
        <v>0</v>
      </c>
      <c r="BT17">
        <v>0</v>
      </c>
      <c r="BU17">
        <v>0</v>
      </c>
      <c r="BV17">
        <v>0</v>
      </c>
      <c r="BW17">
        <v>0</v>
      </c>
      <c r="BX17" s="6">
        <v>0</v>
      </c>
      <c r="BY17">
        <v>15</v>
      </c>
    </row>
    <row r="18" spans="1:77" x14ac:dyDescent="0.2">
      <c r="A18" t="str">
        <f>name!B19</f>
        <v>Professional services</v>
      </c>
      <c r="B18" s="5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 s="82">
        <v>0</v>
      </c>
      <c r="M18" s="82">
        <v>0</v>
      </c>
      <c r="N18" s="82">
        <v>0</v>
      </c>
      <c r="O18" s="82">
        <v>0</v>
      </c>
      <c r="P18" s="82">
        <v>0</v>
      </c>
      <c r="Q18" s="82">
        <v>0</v>
      </c>
      <c r="R18" s="82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>
        <v>0</v>
      </c>
      <c r="AW18">
        <v>0</v>
      </c>
      <c r="AX18">
        <v>0</v>
      </c>
      <c r="AY18">
        <v>0</v>
      </c>
      <c r="AZ18">
        <v>1</v>
      </c>
      <c r="BA18">
        <v>1</v>
      </c>
      <c r="BB18">
        <v>1</v>
      </c>
      <c r="BC18">
        <v>1</v>
      </c>
      <c r="BD18">
        <v>1</v>
      </c>
      <c r="BE18">
        <v>1</v>
      </c>
      <c r="BF18">
        <v>1</v>
      </c>
      <c r="BG18">
        <v>0</v>
      </c>
      <c r="BH18">
        <v>0</v>
      </c>
      <c r="BI18">
        <v>0</v>
      </c>
      <c r="BJ18">
        <v>0</v>
      </c>
      <c r="BK18">
        <v>0</v>
      </c>
      <c r="BL18">
        <v>0</v>
      </c>
      <c r="BM18">
        <v>0</v>
      </c>
      <c r="BN18">
        <v>0</v>
      </c>
      <c r="BO18">
        <v>0</v>
      </c>
      <c r="BP18">
        <v>0</v>
      </c>
      <c r="BQ18">
        <v>0</v>
      </c>
      <c r="BR18">
        <v>0</v>
      </c>
      <c r="BS18">
        <v>0</v>
      </c>
      <c r="BT18">
        <v>0</v>
      </c>
      <c r="BU18">
        <v>0</v>
      </c>
      <c r="BV18">
        <v>0</v>
      </c>
      <c r="BW18">
        <v>0</v>
      </c>
      <c r="BX18" s="6">
        <v>0</v>
      </c>
      <c r="BY18">
        <v>16</v>
      </c>
    </row>
    <row r="19" spans="1:77" x14ac:dyDescent="0.2">
      <c r="A19" t="str">
        <f>name!B20</f>
        <v>Support services</v>
      </c>
      <c r="B19" s="5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 s="82">
        <v>0</v>
      </c>
      <c r="M19" s="82">
        <v>0</v>
      </c>
      <c r="N19" s="82">
        <v>0</v>
      </c>
      <c r="O19" s="82">
        <v>0</v>
      </c>
      <c r="P19" s="82">
        <v>0</v>
      </c>
      <c r="Q19" s="82">
        <v>0</v>
      </c>
      <c r="R19" s="82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0</v>
      </c>
      <c r="AY19">
        <v>0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</v>
      </c>
      <c r="BG19">
        <v>1</v>
      </c>
      <c r="BH19">
        <v>1</v>
      </c>
      <c r="BI19">
        <v>1</v>
      </c>
      <c r="BJ19">
        <v>1</v>
      </c>
      <c r="BK19">
        <v>1</v>
      </c>
      <c r="BL19">
        <v>1</v>
      </c>
      <c r="BM19">
        <v>0</v>
      </c>
      <c r="BN19">
        <v>0</v>
      </c>
      <c r="BO19">
        <v>0</v>
      </c>
      <c r="BP19">
        <v>0</v>
      </c>
      <c r="BQ19">
        <v>0</v>
      </c>
      <c r="BR19">
        <v>0</v>
      </c>
      <c r="BS19">
        <v>0</v>
      </c>
      <c r="BT19">
        <v>0</v>
      </c>
      <c r="BU19">
        <v>0</v>
      </c>
      <c r="BV19">
        <v>0</v>
      </c>
      <c r="BW19">
        <v>0</v>
      </c>
      <c r="BX19" s="6">
        <v>0</v>
      </c>
      <c r="BY19">
        <v>17</v>
      </c>
    </row>
    <row r="20" spans="1:77" x14ac:dyDescent="0.2">
      <c r="A20" t="str">
        <f>name!B21</f>
        <v>Public admin. and defence</v>
      </c>
      <c r="B20" s="5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 s="82">
        <v>0</v>
      </c>
      <c r="M20" s="82">
        <v>0</v>
      </c>
      <c r="N20" s="82">
        <v>0</v>
      </c>
      <c r="O20" s="82">
        <v>0</v>
      </c>
      <c r="P20" s="82">
        <v>0</v>
      </c>
      <c r="Q20" s="82">
        <v>0</v>
      </c>
      <c r="R20" s="82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0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0</v>
      </c>
      <c r="BK20">
        <v>0</v>
      </c>
      <c r="BL20">
        <v>0</v>
      </c>
      <c r="BM20">
        <v>1</v>
      </c>
      <c r="BN20">
        <v>0</v>
      </c>
      <c r="BO20">
        <v>0</v>
      </c>
      <c r="BP20">
        <v>0</v>
      </c>
      <c r="BQ20">
        <v>0</v>
      </c>
      <c r="BR20">
        <v>0</v>
      </c>
      <c r="BS20">
        <v>0</v>
      </c>
      <c r="BT20">
        <v>0</v>
      </c>
      <c r="BU20">
        <v>0</v>
      </c>
      <c r="BV20">
        <v>0</v>
      </c>
      <c r="BW20">
        <v>0</v>
      </c>
      <c r="BX20" s="6">
        <v>0</v>
      </c>
      <c r="BY20">
        <v>18</v>
      </c>
    </row>
    <row r="21" spans="1:77" x14ac:dyDescent="0.2">
      <c r="A21" t="str">
        <f>name!B22</f>
        <v>Education</v>
      </c>
      <c r="B21" s="5">
        <v>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 s="82">
        <v>0</v>
      </c>
      <c r="M21" s="82">
        <v>0</v>
      </c>
      <c r="N21" s="82">
        <v>0</v>
      </c>
      <c r="O21" s="82">
        <v>0</v>
      </c>
      <c r="P21" s="82">
        <v>0</v>
      </c>
      <c r="Q21" s="82">
        <v>0</v>
      </c>
      <c r="R21" s="82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0</v>
      </c>
      <c r="AF21">
        <v>0</v>
      </c>
      <c r="AG21">
        <v>0</v>
      </c>
      <c r="AH21">
        <v>0</v>
      </c>
      <c r="AI21">
        <v>0</v>
      </c>
      <c r="AJ21">
        <v>0</v>
      </c>
      <c r="AK21">
        <v>0</v>
      </c>
      <c r="AL21">
        <v>0</v>
      </c>
      <c r="AM21">
        <v>0</v>
      </c>
      <c r="AN21">
        <v>0</v>
      </c>
      <c r="AO21">
        <v>0</v>
      </c>
      <c r="AP21">
        <v>0</v>
      </c>
      <c r="AQ21">
        <v>0</v>
      </c>
      <c r="AR21">
        <v>0</v>
      </c>
      <c r="AS21">
        <v>0</v>
      </c>
      <c r="AT21">
        <v>0</v>
      </c>
      <c r="AU21">
        <v>0</v>
      </c>
      <c r="AV21">
        <v>0</v>
      </c>
      <c r="AW21">
        <v>0</v>
      </c>
      <c r="AX21">
        <v>0</v>
      </c>
      <c r="AY21">
        <v>0</v>
      </c>
      <c r="AZ21">
        <v>0</v>
      </c>
      <c r="BA21">
        <v>0</v>
      </c>
      <c r="BB21">
        <v>0</v>
      </c>
      <c r="BC21">
        <v>0</v>
      </c>
      <c r="BD21">
        <v>0</v>
      </c>
      <c r="BE21">
        <v>0</v>
      </c>
      <c r="BF21">
        <v>0</v>
      </c>
      <c r="BG21">
        <v>0</v>
      </c>
      <c r="BH21">
        <v>0</v>
      </c>
      <c r="BI21">
        <v>0</v>
      </c>
      <c r="BJ21">
        <v>0</v>
      </c>
      <c r="BK21">
        <v>0</v>
      </c>
      <c r="BL21">
        <v>0</v>
      </c>
      <c r="BM21">
        <v>0</v>
      </c>
      <c r="BN21">
        <v>1</v>
      </c>
      <c r="BO21">
        <v>0</v>
      </c>
      <c r="BP21">
        <v>0</v>
      </c>
      <c r="BQ21">
        <v>0</v>
      </c>
      <c r="BR21">
        <v>0</v>
      </c>
      <c r="BS21">
        <v>0</v>
      </c>
      <c r="BT21">
        <v>0</v>
      </c>
      <c r="BU21">
        <v>0</v>
      </c>
      <c r="BV21">
        <v>0</v>
      </c>
      <c r="BW21">
        <v>0</v>
      </c>
      <c r="BX21" s="6">
        <v>0</v>
      </c>
      <c r="BY21">
        <v>19</v>
      </c>
    </row>
    <row r="22" spans="1:77" x14ac:dyDescent="0.2">
      <c r="A22" t="str">
        <f>name!B23</f>
        <v>Health and social work</v>
      </c>
      <c r="B22" s="5">
        <v>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 s="82">
        <v>0</v>
      </c>
      <c r="M22" s="82">
        <v>0</v>
      </c>
      <c r="N22" s="82">
        <v>0</v>
      </c>
      <c r="O22" s="82">
        <v>0</v>
      </c>
      <c r="P22" s="82">
        <v>0</v>
      </c>
      <c r="Q22" s="82">
        <v>0</v>
      </c>
      <c r="R22" s="8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0</v>
      </c>
      <c r="AF22">
        <v>0</v>
      </c>
      <c r="AG22">
        <v>0</v>
      </c>
      <c r="AH22">
        <v>0</v>
      </c>
      <c r="AI22">
        <v>0</v>
      </c>
      <c r="AJ22">
        <v>0</v>
      </c>
      <c r="AK22">
        <v>0</v>
      </c>
      <c r="AL22">
        <v>0</v>
      </c>
      <c r="AM22">
        <v>0</v>
      </c>
      <c r="AN22">
        <v>0</v>
      </c>
      <c r="AO22">
        <v>0</v>
      </c>
      <c r="AP22">
        <v>0</v>
      </c>
      <c r="AQ22">
        <v>0</v>
      </c>
      <c r="AR22">
        <v>0</v>
      </c>
      <c r="AS22">
        <v>0</v>
      </c>
      <c r="AT22">
        <v>0</v>
      </c>
      <c r="AU22">
        <v>0</v>
      </c>
      <c r="AV22">
        <v>0</v>
      </c>
      <c r="AW22">
        <v>0</v>
      </c>
      <c r="AX22">
        <v>0</v>
      </c>
      <c r="AY22">
        <v>0</v>
      </c>
      <c r="AZ22">
        <v>0</v>
      </c>
      <c r="BA22">
        <v>0</v>
      </c>
      <c r="BB22">
        <v>0</v>
      </c>
      <c r="BC22">
        <v>0</v>
      </c>
      <c r="BD22">
        <v>0</v>
      </c>
      <c r="BE22">
        <v>0</v>
      </c>
      <c r="BF22">
        <v>0</v>
      </c>
      <c r="BG22">
        <v>0</v>
      </c>
      <c r="BH22">
        <v>0</v>
      </c>
      <c r="BI22">
        <v>0</v>
      </c>
      <c r="BJ22">
        <v>0</v>
      </c>
      <c r="BK22">
        <v>0</v>
      </c>
      <c r="BL22">
        <v>0</v>
      </c>
      <c r="BM22">
        <v>0</v>
      </c>
      <c r="BN22">
        <v>0</v>
      </c>
      <c r="BO22">
        <v>1</v>
      </c>
      <c r="BP22">
        <v>1</v>
      </c>
      <c r="BQ22">
        <v>1</v>
      </c>
      <c r="BR22">
        <v>0</v>
      </c>
      <c r="BS22">
        <v>0</v>
      </c>
      <c r="BT22">
        <v>0</v>
      </c>
      <c r="BU22">
        <v>0</v>
      </c>
      <c r="BV22">
        <v>0</v>
      </c>
      <c r="BW22">
        <v>0</v>
      </c>
      <c r="BX22" s="6">
        <v>0</v>
      </c>
      <c r="BY22">
        <v>20</v>
      </c>
    </row>
    <row r="23" spans="1:77" x14ac:dyDescent="0.2">
      <c r="A23" t="str">
        <f>name!B24</f>
        <v>Arts and entertainment</v>
      </c>
      <c r="B23" s="5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 s="82">
        <v>0</v>
      </c>
      <c r="M23" s="82">
        <v>0</v>
      </c>
      <c r="N23" s="82">
        <v>0</v>
      </c>
      <c r="O23" s="82">
        <v>0</v>
      </c>
      <c r="P23" s="82">
        <v>0</v>
      </c>
      <c r="Q23" s="82">
        <v>0</v>
      </c>
      <c r="R23" s="82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0</v>
      </c>
      <c r="AF23">
        <v>0</v>
      </c>
      <c r="AG23">
        <v>0</v>
      </c>
      <c r="AH23">
        <v>0</v>
      </c>
      <c r="AI23">
        <v>0</v>
      </c>
      <c r="AJ23">
        <v>0</v>
      </c>
      <c r="AK23">
        <v>0</v>
      </c>
      <c r="AL23">
        <v>0</v>
      </c>
      <c r="AM23">
        <v>0</v>
      </c>
      <c r="AN23">
        <v>0</v>
      </c>
      <c r="AO23">
        <v>0</v>
      </c>
      <c r="AP23">
        <v>0</v>
      </c>
      <c r="AQ23">
        <v>0</v>
      </c>
      <c r="AR23">
        <v>0</v>
      </c>
      <c r="AS23">
        <v>0</v>
      </c>
      <c r="AT23">
        <v>0</v>
      </c>
      <c r="AU23">
        <v>0</v>
      </c>
      <c r="AV23">
        <v>0</v>
      </c>
      <c r="AW23">
        <v>0</v>
      </c>
      <c r="AX23">
        <v>0</v>
      </c>
      <c r="AY23">
        <v>0</v>
      </c>
      <c r="AZ23">
        <v>0</v>
      </c>
      <c r="BA23">
        <v>0</v>
      </c>
      <c r="BB23">
        <v>0</v>
      </c>
      <c r="BC23">
        <v>0</v>
      </c>
      <c r="BD23">
        <v>0</v>
      </c>
      <c r="BE23">
        <v>0</v>
      </c>
      <c r="BF23">
        <v>0</v>
      </c>
      <c r="BG23">
        <v>0</v>
      </c>
      <c r="BH23">
        <v>0</v>
      </c>
      <c r="BI23">
        <v>0</v>
      </c>
      <c r="BJ23">
        <v>0</v>
      </c>
      <c r="BK23">
        <v>0</v>
      </c>
      <c r="BL23">
        <v>0</v>
      </c>
      <c r="BM23">
        <v>0</v>
      </c>
      <c r="BN23">
        <v>0</v>
      </c>
      <c r="BO23">
        <v>0</v>
      </c>
      <c r="BP23">
        <v>0</v>
      </c>
      <c r="BQ23">
        <v>0</v>
      </c>
      <c r="BR23">
        <v>1</v>
      </c>
      <c r="BS23">
        <v>1</v>
      </c>
      <c r="BT23">
        <v>1</v>
      </c>
      <c r="BU23">
        <v>1</v>
      </c>
      <c r="BV23">
        <v>0</v>
      </c>
      <c r="BW23">
        <v>0</v>
      </c>
      <c r="BX23" s="6">
        <v>0</v>
      </c>
      <c r="BY23">
        <v>21</v>
      </c>
    </row>
    <row r="24" spans="1:77" ht="13.5" thickBot="1" x14ac:dyDescent="0.25">
      <c r="A24" t="str">
        <f>name!B25</f>
        <v>Other services</v>
      </c>
      <c r="B24" s="7">
        <v>0</v>
      </c>
      <c r="C24" s="8">
        <v>0</v>
      </c>
      <c r="D24" s="8">
        <v>0</v>
      </c>
      <c r="E24" s="8">
        <v>0</v>
      </c>
      <c r="F24" s="8">
        <v>0</v>
      </c>
      <c r="G24" s="8">
        <v>0</v>
      </c>
      <c r="H24" s="8">
        <v>0</v>
      </c>
      <c r="I24" s="8">
        <v>0</v>
      </c>
      <c r="J24" s="8">
        <v>0</v>
      </c>
      <c r="K24" s="8">
        <v>0</v>
      </c>
      <c r="L24" s="229">
        <v>0</v>
      </c>
      <c r="M24" s="229">
        <v>0</v>
      </c>
      <c r="N24" s="229">
        <v>0</v>
      </c>
      <c r="O24" s="229">
        <v>0</v>
      </c>
      <c r="P24" s="229">
        <v>0</v>
      </c>
      <c r="Q24" s="229">
        <v>0</v>
      </c>
      <c r="R24" s="229">
        <v>0</v>
      </c>
      <c r="S24" s="8">
        <v>0</v>
      </c>
      <c r="T24" s="8">
        <v>0</v>
      </c>
      <c r="U24" s="8">
        <v>0</v>
      </c>
      <c r="V24" s="8">
        <v>0</v>
      </c>
      <c r="W24" s="8">
        <v>0</v>
      </c>
      <c r="X24" s="8">
        <v>0</v>
      </c>
      <c r="Y24" s="8">
        <v>0</v>
      </c>
      <c r="Z24" s="8">
        <v>0</v>
      </c>
      <c r="AA24" s="8">
        <v>0</v>
      </c>
      <c r="AB24" s="8">
        <v>0</v>
      </c>
      <c r="AC24" s="8">
        <v>0</v>
      </c>
      <c r="AD24" s="8">
        <v>0</v>
      </c>
      <c r="AE24" s="8">
        <v>0</v>
      </c>
      <c r="AF24" s="8">
        <v>0</v>
      </c>
      <c r="AG24" s="8">
        <v>0</v>
      </c>
      <c r="AH24" s="8">
        <v>0</v>
      </c>
      <c r="AI24" s="8">
        <v>0</v>
      </c>
      <c r="AJ24" s="8">
        <v>0</v>
      </c>
      <c r="AK24" s="8">
        <v>0</v>
      </c>
      <c r="AL24" s="8">
        <v>0</v>
      </c>
      <c r="AM24" s="8">
        <v>0</v>
      </c>
      <c r="AN24" s="8">
        <v>0</v>
      </c>
      <c r="AO24" s="8">
        <v>0</v>
      </c>
      <c r="AP24" s="8">
        <v>0</v>
      </c>
      <c r="AQ24" s="8">
        <v>0</v>
      </c>
      <c r="AR24" s="8">
        <v>0</v>
      </c>
      <c r="AS24" s="8">
        <v>0</v>
      </c>
      <c r="AT24" s="8">
        <v>0</v>
      </c>
      <c r="AU24" s="8">
        <v>0</v>
      </c>
      <c r="AV24" s="8">
        <v>0</v>
      </c>
      <c r="AW24" s="8">
        <v>0</v>
      </c>
      <c r="AX24" s="8">
        <v>0</v>
      </c>
      <c r="AY24" s="8">
        <v>0</v>
      </c>
      <c r="AZ24" s="8">
        <v>0</v>
      </c>
      <c r="BA24" s="8">
        <v>0</v>
      </c>
      <c r="BB24" s="8">
        <v>0</v>
      </c>
      <c r="BC24" s="8">
        <v>0</v>
      </c>
      <c r="BD24" s="8">
        <v>0</v>
      </c>
      <c r="BE24" s="8">
        <v>0</v>
      </c>
      <c r="BF24" s="8">
        <v>0</v>
      </c>
      <c r="BG24" s="8">
        <v>0</v>
      </c>
      <c r="BH24" s="8">
        <v>0</v>
      </c>
      <c r="BI24" s="8">
        <v>0</v>
      </c>
      <c r="BJ24" s="8">
        <v>0</v>
      </c>
      <c r="BK24" s="8">
        <v>0</v>
      </c>
      <c r="BL24" s="8">
        <v>0</v>
      </c>
      <c r="BM24" s="8">
        <v>0</v>
      </c>
      <c r="BN24" s="8">
        <v>0</v>
      </c>
      <c r="BO24" s="8">
        <v>0</v>
      </c>
      <c r="BP24" s="8">
        <v>0</v>
      </c>
      <c r="BQ24" s="8">
        <v>0</v>
      </c>
      <c r="BR24" s="8">
        <v>0</v>
      </c>
      <c r="BS24" s="8">
        <v>0</v>
      </c>
      <c r="BT24" s="8">
        <v>0</v>
      </c>
      <c r="BU24" s="8">
        <v>0</v>
      </c>
      <c r="BV24" s="8">
        <v>1</v>
      </c>
      <c r="BW24" s="8">
        <v>1</v>
      </c>
      <c r="BX24" s="9">
        <v>1</v>
      </c>
      <c r="BY24">
        <v>22</v>
      </c>
    </row>
    <row r="25" spans="1:77" x14ac:dyDescent="0.2">
      <c r="B25">
        <v>1</v>
      </c>
      <c r="C25">
        <v>2</v>
      </c>
      <c r="D25">
        <v>3</v>
      </c>
      <c r="E25">
        <v>4</v>
      </c>
      <c r="F25">
        <v>5</v>
      </c>
      <c r="G25">
        <v>6</v>
      </c>
      <c r="H25">
        <v>7</v>
      </c>
      <c r="I25">
        <v>8</v>
      </c>
      <c r="J25">
        <v>9</v>
      </c>
      <c r="K25">
        <v>10</v>
      </c>
      <c r="L25">
        <v>11</v>
      </c>
      <c r="M25">
        <v>12</v>
      </c>
      <c r="N25">
        <v>13</v>
      </c>
      <c r="O25">
        <v>14</v>
      </c>
      <c r="P25">
        <v>15</v>
      </c>
      <c r="Q25">
        <v>16</v>
      </c>
      <c r="R25">
        <v>17</v>
      </c>
      <c r="S25">
        <v>18</v>
      </c>
      <c r="T25">
        <v>19</v>
      </c>
      <c r="U25">
        <v>20</v>
      </c>
      <c r="V25">
        <v>21</v>
      </c>
      <c r="W25">
        <v>22</v>
      </c>
      <c r="X25">
        <v>23</v>
      </c>
      <c r="Y25">
        <v>24</v>
      </c>
      <c r="Z25">
        <v>25</v>
      </c>
      <c r="AA25">
        <v>26</v>
      </c>
      <c r="AB25">
        <v>27</v>
      </c>
      <c r="AC25">
        <v>28</v>
      </c>
      <c r="AD25">
        <v>29</v>
      </c>
      <c r="AE25">
        <v>30</v>
      </c>
      <c r="AF25">
        <v>31</v>
      </c>
      <c r="AG25">
        <v>32</v>
      </c>
      <c r="AH25">
        <v>33</v>
      </c>
      <c r="AI25">
        <v>34</v>
      </c>
      <c r="AJ25">
        <v>35</v>
      </c>
      <c r="AK25">
        <v>36</v>
      </c>
      <c r="AL25">
        <v>37</v>
      </c>
      <c r="AM25">
        <v>38</v>
      </c>
      <c r="AN25">
        <v>39</v>
      </c>
      <c r="AO25">
        <v>40</v>
      </c>
      <c r="AP25">
        <v>41</v>
      </c>
      <c r="AQ25">
        <v>42</v>
      </c>
      <c r="AR25">
        <v>43</v>
      </c>
      <c r="AS25">
        <v>44</v>
      </c>
      <c r="AT25">
        <v>45</v>
      </c>
      <c r="AU25">
        <v>46</v>
      </c>
      <c r="AV25">
        <v>47</v>
      </c>
      <c r="AW25">
        <v>48</v>
      </c>
      <c r="AX25">
        <v>49</v>
      </c>
      <c r="AY25">
        <v>50</v>
      </c>
      <c r="AZ25">
        <v>51</v>
      </c>
      <c r="BA25">
        <v>52</v>
      </c>
      <c r="BB25">
        <v>53</v>
      </c>
      <c r="BC25">
        <v>54</v>
      </c>
      <c r="BD25">
        <v>55</v>
      </c>
      <c r="BE25">
        <v>56</v>
      </c>
      <c r="BF25">
        <v>57</v>
      </c>
      <c r="BG25">
        <v>58</v>
      </c>
      <c r="BH25">
        <v>59</v>
      </c>
      <c r="BI25">
        <v>60</v>
      </c>
      <c r="BJ25">
        <v>61</v>
      </c>
      <c r="BK25">
        <v>62</v>
      </c>
      <c r="BL25">
        <v>63</v>
      </c>
      <c r="BM25">
        <v>64</v>
      </c>
      <c r="BN25">
        <v>65</v>
      </c>
      <c r="BO25">
        <v>66</v>
      </c>
      <c r="BP25">
        <v>67</v>
      </c>
      <c r="BQ25">
        <v>68</v>
      </c>
      <c r="BR25">
        <v>69</v>
      </c>
      <c r="BS25">
        <v>70</v>
      </c>
      <c r="BT25">
        <v>71</v>
      </c>
      <c r="BU25">
        <v>72</v>
      </c>
      <c r="BV25">
        <v>73</v>
      </c>
      <c r="BW25">
        <v>74</v>
      </c>
      <c r="BX25">
        <v>75</v>
      </c>
    </row>
    <row r="27" spans="1:77" ht="13.5" thickBot="1" x14ac:dyDescent="0.25">
      <c r="A27" s="1" t="str">
        <f>CONCATENATE("Aggregation 75 industries to 6 ",name!C2)</f>
        <v>Aggregation 75 industries to 6 Industry sectors</v>
      </c>
    </row>
    <row r="28" spans="1:77" x14ac:dyDescent="0.2">
      <c r="A28" s="10" t="str">
        <f>name!C4</f>
        <v>Primary sector and utilities</v>
      </c>
      <c r="B28" s="2">
        <v>1</v>
      </c>
      <c r="C28" s="3">
        <v>1</v>
      </c>
      <c r="D28" s="3">
        <v>0</v>
      </c>
      <c r="E28" s="3">
        <v>0</v>
      </c>
      <c r="F28" s="3">
        <v>0</v>
      </c>
      <c r="G28" s="3">
        <v>0</v>
      </c>
      <c r="H28" s="3">
        <v>0</v>
      </c>
      <c r="I28" s="3">
        <v>0</v>
      </c>
      <c r="J28" s="3">
        <v>0</v>
      </c>
      <c r="K28" s="3">
        <v>0</v>
      </c>
      <c r="L28" s="3">
        <v>0</v>
      </c>
      <c r="M28" s="3">
        <v>0</v>
      </c>
      <c r="N28" s="3">
        <v>0</v>
      </c>
      <c r="O28" s="3">
        <v>0</v>
      </c>
      <c r="P28" s="3">
        <v>0</v>
      </c>
      <c r="Q28" s="3">
        <v>0</v>
      </c>
      <c r="R28" s="3">
        <v>0</v>
      </c>
      <c r="S28" s="3">
        <v>0</v>
      </c>
      <c r="T28" s="3">
        <v>0</v>
      </c>
      <c r="U28" s="3">
        <v>0</v>
      </c>
      <c r="V28" s="3">
        <v>0</v>
      </c>
      <c r="W28" s="3">
        <v>0</v>
      </c>
      <c r="X28" s="3">
        <v>0</v>
      </c>
      <c r="Y28" s="3">
        <v>1</v>
      </c>
      <c r="Z28" s="3">
        <v>1</v>
      </c>
      <c r="AA28" s="3">
        <v>1</v>
      </c>
      <c r="AB28" s="3">
        <v>1</v>
      </c>
      <c r="AC28" s="3">
        <v>0</v>
      </c>
      <c r="AD28" s="3">
        <v>0</v>
      </c>
      <c r="AE28" s="3">
        <v>0</v>
      </c>
      <c r="AF28" s="3">
        <v>0</v>
      </c>
      <c r="AG28" s="3">
        <v>0</v>
      </c>
      <c r="AH28" s="3">
        <v>0</v>
      </c>
      <c r="AI28" s="3">
        <v>0</v>
      </c>
      <c r="AJ28" s="3">
        <v>0</v>
      </c>
      <c r="AK28" s="3">
        <v>0</v>
      </c>
      <c r="AL28" s="3">
        <v>0</v>
      </c>
      <c r="AM28" s="3">
        <v>0</v>
      </c>
      <c r="AN28" s="3">
        <v>0</v>
      </c>
      <c r="AO28" s="3">
        <v>0</v>
      </c>
      <c r="AP28" s="3">
        <v>0</v>
      </c>
      <c r="AQ28" s="3">
        <v>0</v>
      </c>
      <c r="AR28" s="3">
        <v>0</v>
      </c>
      <c r="AS28" s="3">
        <v>0</v>
      </c>
      <c r="AT28" s="3">
        <v>0</v>
      </c>
      <c r="AU28" s="3">
        <v>0</v>
      </c>
      <c r="AV28" s="3">
        <v>0</v>
      </c>
      <c r="AW28" s="3">
        <v>0</v>
      </c>
      <c r="AX28" s="3">
        <v>0</v>
      </c>
      <c r="AY28" s="3">
        <v>0</v>
      </c>
      <c r="AZ28" s="3">
        <v>0</v>
      </c>
      <c r="BA28" s="3">
        <v>0</v>
      </c>
      <c r="BB28" s="3">
        <v>0</v>
      </c>
      <c r="BC28" s="3">
        <v>0</v>
      </c>
      <c r="BD28" s="3">
        <v>0</v>
      </c>
      <c r="BE28" s="3">
        <v>0</v>
      </c>
      <c r="BF28" s="3">
        <v>0</v>
      </c>
      <c r="BG28" s="3">
        <v>0</v>
      </c>
      <c r="BH28" s="3">
        <v>0</v>
      </c>
      <c r="BI28" s="3">
        <v>0</v>
      </c>
      <c r="BJ28" s="3">
        <v>0</v>
      </c>
      <c r="BK28" s="3">
        <v>0</v>
      </c>
      <c r="BL28" s="3">
        <v>0</v>
      </c>
      <c r="BM28" s="3">
        <v>0</v>
      </c>
      <c r="BN28" s="3">
        <v>0</v>
      </c>
      <c r="BO28" s="3">
        <v>0</v>
      </c>
      <c r="BP28" s="3">
        <v>0</v>
      </c>
      <c r="BQ28" s="3">
        <v>0</v>
      </c>
      <c r="BR28" s="3">
        <v>0</v>
      </c>
      <c r="BS28" s="3">
        <v>0</v>
      </c>
      <c r="BT28" s="3">
        <v>0</v>
      </c>
      <c r="BU28" s="3">
        <v>0</v>
      </c>
      <c r="BV28" s="3">
        <v>0</v>
      </c>
      <c r="BW28" s="3">
        <v>0</v>
      </c>
      <c r="BX28" s="4">
        <v>0</v>
      </c>
      <c r="BY28">
        <v>1</v>
      </c>
    </row>
    <row r="29" spans="1:77" x14ac:dyDescent="0.2">
      <c r="A29" s="10" t="str">
        <f>name!C5</f>
        <v>Manufacturing</v>
      </c>
      <c r="B29" s="5">
        <v>0</v>
      </c>
      <c r="C29">
        <v>0</v>
      </c>
      <c r="D29">
        <v>1</v>
      </c>
      <c r="E29">
        <v>1</v>
      </c>
      <c r="F29">
        <v>1</v>
      </c>
      <c r="G29">
        <v>1</v>
      </c>
      <c r="H29">
        <v>1</v>
      </c>
      <c r="I29">
        <v>1</v>
      </c>
      <c r="J29">
        <v>1</v>
      </c>
      <c r="K29">
        <v>1</v>
      </c>
      <c r="L29">
        <v>1</v>
      </c>
      <c r="M29">
        <v>1</v>
      </c>
      <c r="N29">
        <v>1</v>
      </c>
      <c r="O29">
        <v>1</v>
      </c>
      <c r="P29">
        <v>1</v>
      </c>
      <c r="Q29">
        <v>1</v>
      </c>
      <c r="R29">
        <v>1</v>
      </c>
      <c r="S29">
        <v>1</v>
      </c>
      <c r="T29">
        <v>1</v>
      </c>
      <c r="U29">
        <v>1</v>
      </c>
      <c r="V29">
        <v>1</v>
      </c>
      <c r="W29">
        <v>1</v>
      </c>
      <c r="X29">
        <v>1</v>
      </c>
      <c r="Y29">
        <v>0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0</v>
      </c>
      <c r="AM29">
        <v>0</v>
      </c>
      <c r="AN29">
        <v>0</v>
      </c>
      <c r="AO29">
        <v>0</v>
      </c>
      <c r="AP29">
        <v>0</v>
      </c>
      <c r="AQ29">
        <v>0</v>
      </c>
      <c r="AR29">
        <v>0</v>
      </c>
      <c r="AS29">
        <v>0</v>
      </c>
      <c r="AT29">
        <v>0</v>
      </c>
      <c r="AU29">
        <v>0</v>
      </c>
      <c r="AV29">
        <v>0</v>
      </c>
      <c r="AW29">
        <v>0</v>
      </c>
      <c r="AX29">
        <v>0</v>
      </c>
      <c r="AY29">
        <v>0</v>
      </c>
      <c r="AZ29">
        <v>0</v>
      </c>
      <c r="BA29">
        <v>0</v>
      </c>
      <c r="BB29">
        <v>0</v>
      </c>
      <c r="BC29">
        <v>0</v>
      </c>
      <c r="BD29">
        <v>0</v>
      </c>
      <c r="BE29">
        <v>0</v>
      </c>
      <c r="BF29">
        <v>0</v>
      </c>
      <c r="BG29">
        <v>0</v>
      </c>
      <c r="BH29">
        <v>0</v>
      </c>
      <c r="BI29">
        <v>0</v>
      </c>
      <c r="BJ29">
        <v>0</v>
      </c>
      <c r="BK29">
        <v>0</v>
      </c>
      <c r="BL29">
        <v>0</v>
      </c>
      <c r="BM29">
        <v>0</v>
      </c>
      <c r="BN29">
        <v>0</v>
      </c>
      <c r="BO29">
        <v>0</v>
      </c>
      <c r="BP29">
        <v>0</v>
      </c>
      <c r="BQ29">
        <v>0</v>
      </c>
      <c r="BR29">
        <v>0</v>
      </c>
      <c r="BS29">
        <v>0</v>
      </c>
      <c r="BT29">
        <v>0</v>
      </c>
      <c r="BU29">
        <v>0</v>
      </c>
      <c r="BV29">
        <v>0</v>
      </c>
      <c r="BW29">
        <v>0</v>
      </c>
      <c r="BX29" s="6">
        <v>0</v>
      </c>
      <c r="BY29">
        <v>2</v>
      </c>
    </row>
    <row r="30" spans="1:77" x14ac:dyDescent="0.2">
      <c r="A30" s="10" t="str">
        <f>name!C6</f>
        <v>Construction</v>
      </c>
      <c r="B30" s="5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1</v>
      </c>
      <c r="AD30">
        <v>1</v>
      </c>
      <c r="AE30">
        <v>1</v>
      </c>
      <c r="AF30">
        <v>0</v>
      </c>
      <c r="AG30">
        <v>0</v>
      </c>
      <c r="AH30">
        <v>0</v>
      </c>
      <c r="AI30">
        <v>0</v>
      </c>
      <c r="AJ30">
        <v>0</v>
      </c>
      <c r="AK30">
        <v>0</v>
      </c>
      <c r="AL30">
        <v>0</v>
      </c>
      <c r="AM30">
        <v>0</v>
      </c>
      <c r="AN30">
        <v>0</v>
      </c>
      <c r="AO30">
        <v>0</v>
      </c>
      <c r="AP30">
        <v>0</v>
      </c>
      <c r="AQ30">
        <v>0</v>
      </c>
      <c r="AR30">
        <v>0</v>
      </c>
      <c r="AS30">
        <v>0</v>
      </c>
      <c r="AT30">
        <v>0</v>
      </c>
      <c r="AU30">
        <v>0</v>
      </c>
      <c r="AV30">
        <v>0</v>
      </c>
      <c r="AW30">
        <v>0</v>
      </c>
      <c r="AX30">
        <v>0</v>
      </c>
      <c r="AY30">
        <v>0</v>
      </c>
      <c r="AZ30">
        <v>0</v>
      </c>
      <c r="BA30">
        <v>0</v>
      </c>
      <c r="BB30">
        <v>0</v>
      </c>
      <c r="BC30">
        <v>0</v>
      </c>
      <c r="BD30">
        <v>0</v>
      </c>
      <c r="BE30">
        <v>0</v>
      </c>
      <c r="BF30">
        <v>0</v>
      </c>
      <c r="BG30">
        <v>0</v>
      </c>
      <c r="BH30">
        <v>0</v>
      </c>
      <c r="BI30">
        <v>0</v>
      </c>
      <c r="BJ30">
        <v>0</v>
      </c>
      <c r="BK30">
        <v>0</v>
      </c>
      <c r="BL30">
        <v>0</v>
      </c>
      <c r="BM30">
        <v>0</v>
      </c>
      <c r="BN30">
        <v>0</v>
      </c>
      <c r="BO30">
        <v>0</v>
      </c>
      <c r="BP30">
        <v>0</v>
      </c>
      <c r="BQ30">
        <v>0</v>
      </c>
      <c r="BR30">
        <v>0</v>
      </c>
      <c r="BS30">
        <v>0</v>
      </c>
      <c r="BT30">
        <v>0</v>
      </c>
      <c r="BU30">
        <v>0</v>
      </c>
      <c r="BV30">
        <v>0</v>
      </c>
      <c r="BW30">
        <v>0</v>
      </c>
      <c r="BX30" s="6">
        <v>0</v>
      </c>
      <c r="BY30">
        <v>3</v>
      </c>
    </row>
    <row r="31" spans="1:77" x14ac:dyDescent="0.2">
      <c r="A31" s="10" t="str">
        <f>name!C7</f>
        <v>Trade, accomod. and transport</v>
      </c>
      <c r="B31" s="5">
        <v>0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  <c r="AC31">
        <v>0</v>
      </c>
      <c r="AD31">
        <v>0</v>
      </c>
      <c r="AE31">
        <v>0</v>
      </c>
      <c r="AF31">
        <v>1</v>
      </c>
      <c r="AG31">
        <v>1</v>
      </c>
      <c r="AH31">
        <v>1</v>
      </c>
      <c r="AI31">
        <v>1</v>
      </c>
      <c r="AJ31">
        <v>1</v>
      </c>
      <c r="AK31">
        <v>1</v>
      </c>
      <c r="AL31">
        <v>1</v>
      </c>
      <c r="AM31">
        <v>1</v>
      </c>
      <c r="AN31">
        <v>1</v>
      </c>
      <c r="AO31">
        <v>1</v>
      </c>
      <c r="AP31">
        <v>0</v>
      </c>
      <c r="AQ31">
        <v>0</v>
      </c>
      <c r="AR31">
        <v>0</v>
      </c>
      <c r="AS31">
        <v>0</v>
      </c>
      <c r="AT31">
        <v>0</v>
      </c>
      <c r="AU31">
        <v>0</v>
      </c>
      <c r="AV31">
        <v>0</v>
      </c>
      <c r="AW31">
        <v>0</v>
      </c>
      <c r="AX31">
        <v>0</v>
      </c>
      <c r="AY31">
        <v>0</v>
      </c>
      <c r="AZ31">
        <v>0</v>
      </c>
      <c r="BA31">
        <v>0</v>
      </c>
      <c r="BB31">
        <v>0</v>
      </c>
      <c r="BC31">
        <v>0</v>
      </c>
      <c r="BD31">
        <v>0</v>
      </c>
      <c r="BE31">
        <v>0</v>
      </c>
      <c r="BF31">
        <v>0</v>
      </c>
      <c r="BG31">
        <v>0</v>
      </c>
      <c r="BH31">
        <v>0</v>
      </c>
      <c r="BI31">
        <v>0</v>
      </c>
      <c r="BJ31">
        <v>0</v>
      </c>
      <c r="BK31">
        <v>0</v>
      </c>
      <c r="BL31">
        <v>0</v>
      </c>
      <c r="BM31">
        <v>0</v>
      </c>
      <c r="BN31">
        <v>0</v>
      </c>
      <c r="BO31">
        <v>0</v>
      </c>
      <c r="BP31">
        <v>0</v>
      </c>
      <c r="BQ31">
        <v>0</v>
      </c>
      <c r="BR31">
        <v>0</v>
      </c>
      <c r="BS31">
        <v>0</v>
      </c>
      <c r="BT31">
        <v>0</v>
      </c>
      <c r="BU31">
        <v>0</v>
      </c>
      <c r="BV31">
        <v>0</v>
      </c>
      <c r="BW31">
        <v>0</v>
      </c>
      <c r="BX31" s="6">
        <v>0</v>
      </c>
      <c r="BY31">
        <v>4</v>
      </c>
    </row>
    <row r="32" spans="1:77" x14ac:dyDescent="0.2">
      <c r="A32" s="10" t="str">
        <f>name!C8</f>
        <v>Business and other services</v>
      </c>
      <c r="B32" s="5">
        <v>0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  <c r="AD32">
        <v>0</v>
      </c>
      <c r="AE32">
        <v>0</v>
      </c>
      <c r="AF32">
        <v>0</v>
      </c>
      <c r="AG32">
        <v>0</v>
      </c>
      <c r="AH32">
        <v>0</v>
      </c>
      <c r="AI32">
        <v>0</v>
      </c>
      <c r="AJ32">
        <v>0</v>
      </c>
      <c r="AK32">
        <v>0</v>
      </c>
      <c r="AL32">
        <v>0</v>
      </c>
      <c r="AM32">
        <v>0</v>
      </c>
      <c r="AN32">
        <v>0</v>
      </c>
      <c r="AO32">
        <v>0</v>
      </c>
      <c r="AP32">
        <v>1</v>
      </c>
      <c r="AQ32">
        <v>1</v>
      </c>
      <c r="AR32">
        <v>1</v>
      </c>
      <c r="AS32">
        <v>1</v>
      </c>
      <c r="AT32">
        <v>1</v>
      </c>
      <c r="AU32">
        <v>1</v>
      </c>
      <c r="AV32">
        <v>1</v>
      </c>
      <c r="AW32">
        <v>1</v>
      </c>
      <c r="AX32">
        <v>1</v>
      </c>
      <c r="AY32">
        <v>1</v>
      </c>
      <c r="AZ32">
        <v>1</v>
      </c>
      <c r="BA32">
        <v>1</v>
      </c>
      <c r="BB32">
        <v>1</v>
      </c>
      <c r="BC32">
        <v>1</v>
      </c>
      <c r="BD32">
        <v>1</v>
      </c>
      <c r="BE32">
        <v>1</v>
      </c>
      <c r="BF32">
        <v>1</v>
      </c>
      <c r="BG32">
        <v>1</v>
      </c>
      <c r="BH32">
        <v>1</v>
      </c>
      <c r="BI32">
        <v>1</v>
      </c>
      <c r="BJ32">
        <v>1</v>
      </c>
      <c r="BK32">
        <v>1</v>
      </c>
      <c r="BL32">
        <v>1</v>
      </c>
      <c r="BM32">
        <v>0</v>
      </c>
      <c r="BN32">
        <v>0</v>
      </c>
      <c r="BO32">
        <v>0</v>
      </c>
      <c r="BP32">
        <v>0</v>
      </c>
      <c r="BQ32">
        <v>0</v>
      </c>
      <c r="BR32">
        <v>1</v>
      </c>
      <c r="BS32">
        <v>1</v>
      </c>
      <c r="BT32">
        <v>1</v>
      </c>
      <c r="BU32">
        <v>1</v>
      </c>
      <c r="BV32">
        <v>1</v>
      </c>
      <c r="BW32">
        <v>1</v>
      </c>
      <c r="BX32" s="6">
        <v>1</v>
      </c>
      <c r="BY32">
        <v>5</v>
      </c>
    </row>
    <row r="33" spans="1:77" ht="13.5" thickBot="1" x14ac:dyDescent="0.25">
      <c r="A33" s="10" t="str">
        <f>name!C9</f>
        <v>Non-marketed services</v>
      </c>
      <c r="B33" s="7">
        <v>0</v>
      </c>
      <c r="C33" s="8">
        <v>0</v>
      </c>
      <c r="D33" s="8">
        <v>0</v>
      </c>
      <c r="E33" s="8">
        <v>0</v>
      </c>
      <c r="F33" s="8">
        <v>0</v>
      </c>
      <c r="G33" s="8">
        <v>0</v>
      </c>
      <c r="H33" s="8">
        <v>0</v>
      </c>
      <c r="I33" s="8">
        <v>0</v>
      </c>
      <c r="J33" s="8">
        <v>0</v>
      </c>
      <c r="K33" s="8">
        <v>0</v>
      </c>
      <c r="L33" s="8">
        <v>0</v>
      </c>
      <c r="M33" s="8">
        <v>0</v>
      </c>
      <c r="N33" s="8">
        <v>0</v>
      </c>
      <c r="O33" s="8">
        <v>0</v>
      </c>
      <c r="P33" s="8">
        <v>0</v>
      </c>
      <c r="Q33" s="8">
        <v>0</v>
      </c>
      <c r="R33" s="8">
        <v>0</v>
      </c>
      <c r="S33" s="8">
        <v>0</v>
      </c>
      <c r="T33" s="8">
        <v>0</v>
      </c>
      <c r="U33" s="8">
        <v>0</v>
      </c>
      <c r="V33" s="8">
        <v>0</v>
      </c>
      <c r="W33" s="8">
        <v>0</v>
      </c>
      <c r="X33" s="8">
        <v>0</v>
      </c>
      <c r="Y33" s="8">
        <v>0</v>
      </c>
      <c r="Z33" s="8">
        <v>0</v>
      </c>
      <c r="AA33" s="8">
        <v>0</v>
      </c>
      <c r="AB33" s="8">
        <v>0</v>
      </c>
      <c r="AC33" s="8">
        <v>0</v>
      </c>
      <c r="AD33" s="8">
        <v>0</v>
      </c>
      <c r="AE33" s="8">
        <v>0</v>
      </c>
      <c r="AF33" s="8">
        <v>0</v>
      </c>
      <c r="AG33" s="8">
        <v>0</v>
      </c>
      <c r="AH33" s="8">
        <v>0</v>
      </c>
      <c r="AI33" s="8">
        <v>0</v>
      </c>
      <c r="AJ33" s="8">
        <v>0</v>
      </c>
      <c r="AK33" s="8">
        <v>0</v>
      </c>
      <c r="AL33" s="8">
        <v>0</v>
      </c>
      <c r="AM33" s="8">
        <v>0</v>
      </c>
      <c r="AN33" s="8">
        <v>0</v>
      </c>
      <c r="AO33" s="8">
        <v>0</v>
      </c>
      <c r="AP33" s="8">
        <v>0</v>
      </c>
      <c r="AQ33" s="8">
        <v>0</v>
      </c>
      <c r="AR33" s="8">
        <v>0</v>
      </c>
      <c r="AS33" s="8">
        <v>0</v>
      </c>
      <c r="AT33" s="8">
        <v>0</v>
      </c>
      <c r="AU33" s="8">
        <v>0</v>
      </c>
      <c r="AV33" s="8">
        <v>0</v>
      </c>
      <c r="AW33" s="8">
        <v>0</v>
      </c>
      <c r="AX33" s="8">
        <v>0</v>
      </c>
      <c r="AY33" s="8">
        <v>0</v>
      </c>
      <c r="AZ33" s="8">
        <v>0</v>
      </c>
      <c r="BA33" s="8">
        <v>0</v>
      </c>
      <c r="BB33" s="8">
        <v>0</v>
      </c>
      <c r="BC33" s="8">
        <v>0</v>
      </c>
      <c r="BD33" s="8">
        <v>0</v>
      </c>
      <c r="BE33" s="8">
        <v>0</v>
      </c>
      <c r="BF33" s="8">
        <v>0</v>
      </c>
      <c r="BG33" s="8">
        <v>0</v>
      </c>
      <c r="BH33" s="8">
        <v>0</v>
      </c>
      <c r="BI33" s="8">
        <v>0</v>
      </c>
      <c r="BJ33" s="8">
        <v>0</v>
      </c>
      <c r="BK33" s="8">
        <v>0</v>
      </c>
      <c r="BL33" s="8">
        <v>0</v>
      </c>
      <c r="BM33" s="8">
        <v>1</v>
      </c>
      <c r="BN33" s="8">
        <v>1</v>
      </c>
      <c r="BO33" s="8">
        <v>1</v>
      </c>
      <c r="BP33" s="8">
        <v>1</v>
      </c>
      <c r="BQ33" s="8">
        <v>1</v>
      </c>
      <c r="BR33" s="8">
        <v>0</v>
      </c>
      <c r="BS33" s="8">
        <v>0</v>
      </c>
      <c r="BT33" s="8">
        <v>0</v>
      </c>
      <c r="BU33" s="8">
        <v>0</v>
      </c>
      <c r="BV33" s="8">
        <v>0</v>
      </c>
      <c r="BW33" s="8">
        <v>0</v>
      </c>
      <c r="BX33" s="9">
        <v>0</v>
      </c>
      <c r="BY33">
        <v>6</v>
      </c>
    </row>
    <row r="34" spans="1:77" x14ac:dyDescent="0.2">
      <c r="B34">
        <v>1</v>
      </c>
      <c r="C34">
        <v>2</v>
      </c>
      <c r="D34">
        <v>3</v>
      </c>
      <c r="E34">
        <v>4</v>
      </c>
      <c r="F34">
        <v>5</v>
      </c>
      <c r="G34">
        <v>6</v>
      </c>
      <c r="H34">
        <v>7</v>
      </c>
      <c r="I34">
        <v>8</v>
      </c>
      <c r="J34">
        <v>9</v>
      </c>
      <c r="K34">
        <v>10</v>
      </c>
      <c r="L34">
        <v>11</v>
      </c>
      <c r="M34">
        <v>12</v>
      </c>
      <c r="N34">
        <v>13</v>
      </c>
      <c r="O34">
        <v>14</v>
      </c>
      <c r="P34">
        <v>15</v>
      </c>
      <c r="Q34">
        <v>16</v>
      </c>
      <c r="R34">
        <v>17</v>
      </c>
      <c r="S34">
        <v>18</v>
      </c>
      <c r="T34">
        <v>19</v>
      </c>
      <c r="U34">
        <v>20</v>
      </c>
      <c r="V34">
        <v>21</v>
      </c>
      <c r="W34">
        <v>22</v>
      </c>
      <c r="X34">
        <v>23</v>
      </c>
      <c r="Y34">
        <v>24</v>
      </c>
      <c r="Z34">
        <v>25</v>
      </c>
      <c r="AA34">
        <v>26</v>
      </c>
      <c r="AB34">
        <v>27</v>
      </c>
      <c r="AC34">
        <v>28</v>
      </c>
      <c r="AD34">
        <v>29</v>
      </c>
      <c r="AE34">
        <v>30</v>
      </c>
      <c r="AF34">
        <v>31</v>
      </c>
      <c r="AG34">
        <v>32</v>
      </c>
      <c r="AH34">
        <v>33</v>
      </c>
      <c r="AI34">
        <v>34</v>
      </c>
      <c r="AJ34">
        <v>35</v>
      </c>
      <c r="AK34">
        <v>36</v>
      </c>
      <c r="AL34">
        <v>37</v>
      </c>
      <c r="AM34">
        <v>38</v>
      </c>
      <c r="AN34">
        <v>39</v>
      </c>
      <c r="AO34">
        <v>40</v>
      </c>
      <c r="AP34">
        <v>41</v>
      </c>
      <c r="AQ34">
        <v>42</v>
      </c>
      <c r="AR34">
        <v>43</v>
      </c>
      <c r="AS34">
        <v>44</v>
      </c>
      <c r="AT34">
        <v>45</v>
      </c>
      <c r="AU34">
        <v>46</v>
      </c>
      <c r="AV34">
        <v>47</v>
      </c>
      <c r="AW34">
        <v>48</v>
      </c>
      <c r="AX34">
        <v>49</v>
      </c>
      <c r="AY34">
        <v>50</v>
      </c>
      <c r="AZ34">
        <v>51</v>
      </c>
      <c r="BA34">
        <v>52</v>
      </c>
      <c r="BB34">
        <v>53</v>
      </c>
      <c r="BC34">
        <v>54</v>
      </c>
      <c r="BD34">
        <v>55</v>
      </c>
      <c r="BE34">
        <v>56</v>
      </c>
      <c r="BF34">
        <v>57</v>
      </c>
      <c r="BG34">
        <v>58</v>
      </c>
      <c r="BH34">
        <v>59</v>
      </c>
      <c r="BI34">
        <v>60</v>
      </c>
      <c r="BJ34">
        <v>61</v>
      </c>
      <c r="BK34">
        <v>62</v>
      </c>
      <c r="BL34">
        <v>63</v>
      </c>
      <c r="BM34">
        <v>64</v>
      </c>
      <c r="BN34">
        <v>65</v>
      </c>
      <c r="BO34">
        <v>66</v>
      </c>
      <c r="BP34">
        <v>67</v>
      </c>
      <c r="BQ34">
        <v>68</v>
      </c>
      <c r="BR34">
        <v>69</v>
      </c>
      <c r="BS34">
        <v>70</v>
      </c>
      <c r="BT34">
        <v>71</v>
      </c>
      <c r="BU34">
        <v>72</v>
      </c>
      <c r="BV34">
        <v>73</v>
      </c>
      <c r="BW34">
        <v>74</v>
      </c>
      <c r="BX34">
        <v>75</v>
      </c>
    </row>
    <row r="36" spans="1:77" x14ac:dyDescent="0.2">
      <c r="A36" s="1" t="s">
        <v>508</v>
      </c>
    </row>
    <row r="37" spans="1:77" ht="120" customHeight="1" thickBot="1" x14ac:dyDescent="0.25">
      <c r="B37" s="352" t="s">
        <v>475</v>
      </c>
      <c r="C37" s="352" t="s">
        <v>476</v>
      </c>
      <c r="D37" s="352" t="s">
        <v>477</v>
      </c>
      <c r="E37" s="352" t="s">
        <v>479</v>
      </c>
      <c r="F37" s="352" t="s">
        <v>481</v>
      </c>
      <c r="G37" s="352" t="s">
        <v>482</v>
      </c>
      <c r="H37" s="352" t="s">
        <v>484</v>
      </c>
      <c r="I37" s="352" t="s">
        <v>486</v>
      </c>
      <c r="J37" s="352" t="s">
        <v>487</v>
      </c>
      <c r="K37" s="352" t="s">
        <v>488</v>
      </c>
      <c r="L37" s="352" t="s">
        <v>489</v>
      </c>
      <c r="M37" s="352" t="s">
        <v>490</v>
      </c>
      <c r="N37" s="352" t="s">
        <v>491</v>
      </c>
      <c r="O37" s="352" t="s">
        <v>492</v>
      </c>
      <c r="P37" s="352" t="s">
        <v>493</v>
      </c>
      <c r="Q37" s="352" t="s">
        <v>494</v>
      </c>
      <c r="R37" s="352" t="s">
        <v>495</v>
      </c>
      <c r="S37" s="352" t="s">
        <v>496</v>
      </c>
      <c r="T37" s="352" t="s">
        <v>497</v>
      </c>
      <c r="U37" s="352" t="s">
        <v>498</v>
      </c>
      <c r="V37" s="352" t="s">
        <v>499</v>
      </c>
      <c r="W37" s="352" t="s">
        <v>500</v>
      </c>
      <c r="X37" s="352" t="s">
        <v>501</v>
      </c>
      <c r="Y37" s="352" t="s">
        <v>502</v>
      </c>
      <c r="Z37" s="352" t="s">
        <v>503</v>
      </c>
      <c r="AA37" s="124" t="s">
        <v>504</v>
      </c>
      <c r="AB37" s="12"/>
    </row>
    <row r="38" spans="1:77" x14ac:dyDescent="0.2">
      <c r="A38" t="s">
        <v>322</v>
      </c>
      <c r="B38" s="2">
        <v>1</v>
      </c>
      <c r="C38" s="3">
        <v>1</v>
      </c>
      <c r="D38" s="3">
        <v>0</v>
      </c>
      <c r="E38" s="3">
        <v>0</v>
      </c>
      <c r="F38" s="3">
        <v>0</v>
      </c>
      <c r="G38" s="3">
        <v>0</v>
      </c>
      <c r="H38" s="3">
        <v>0</v>
      </c>
      <c r="I38" s="3">
        <v>0</v>
      </c>
      <c r="J38" s="3">
        <v>0</v>
      </c>
      <c r="K38" s="3">
        <v>0</v>
      </c>
      <c r="L38" s="3">
        <v>0</v>
      </c>
      <c r="M38" s="3">
        <v>0</v>
      </c>
      <c r="N38" s="3">
        <v>0</v>
      </c>
      <c r="O38" s="3">
        <v>0</v>
      </c>
      <c r="P38" s="3">
        <v>0</v>
      </c>
      <c r="Q38" s="3">
        <v>0</v>
      </c>
      <c r="R38" s="3">
        <v>0</v>
      </c>
      <c r="S38" s="3">
        <v>0</v>
      </c>
      <c r="T38" s="3">
        <v>0</v>
      </c>
      <c r="U38" s="3">
        <v>0</v>
      </c>
      <c r="V38" s="3">
        <v>0</v>
      </c>
      <c r="W38" s="3">
        <v>0</v>
      </c>
      <c r="X38" s="3">
        <v>0</v>
      </c>
      <c r="Y38" s="3">
        <v>0</v>
      </c>
      <c r="Z38" s="3">
        <v>0</v>
      </c>
      <c r="AA38" s="4">
        <v>0</v>
      </c>
      <c r="AB38">
        <v>1</v>
      </c>
    </row>
    <row r="39" spans="1:77" x14ac:dyDescent="0.2">
      <c r="A39" t="s">
        <v>323</v>
      </c>
      <c r="B39" s="5">
        <v>0</v>
      </c>
      <c r="C39">
        <v>0</v>
      </c>
      <c r="D39">
        <v>1</v>
      </c>
      <c r="E39">
        <v>1</v>
      </c>
      <c r="F39">
        <v>1</v>
      </c>
      <c r="G39">
        <v>1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 s="6">
        <v>0</v>
      </c>
      <c r="AB39">
        <v>2</v>
      </c>
    </row>
    <row r="40" spans="1:77" x14ac:dyDescent="0.2">
      <c r="A40" t="s">
        <v>478</v>
      </c>
      <c r="B40" s="5">
        <v>0</v>
      </c>
      <c r="C40">
        <v>0</v>
      </c>
      <c r="D40">
        <v>0</v>
      </c>
      <c r="E40">
        <v>0</v>
      </c>
      <c r="F40">
        <v>0</v>
      </c>
      <c r="G40">
        <v>0</v>
      </c>
      <c r="H40">
        <v>1</v>
      </c>
      <c r="I40">
        <v>1</v>
      </c>
      <c r="J40">
        <v>1</v>
      </c>
      <c r="K40">
        <v>1</v>
      </c>
      <c r="L40">
        <v>1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 s="6">
        <v>0</v>
      </c>
      <c r="AB40">
        <v>3</v>
      </c>
    </row>
    <row r="41" spans="1:77" x14ac:dyDescent="0.2">
      <c r="A41" t="s">
        <v>480</v>
      </c>
      <c r="B41" s="5">
        <v>0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1</v>
      </c>
      <c r="N41">
        <v>1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 s="6">
        <v>0</v>
      </c>
      <c r="AB41">
        <v>4</v>
      </c>
    </row>
    <row r="42" spans="1:77" x14ac:dyDescent="0.2">
      <c r="A42" t="s">
        <v>324</v>
      </c>
      <c r="B42" s="5">
        <v>0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1</v>
      </c>
      <c r="P42">
        <v>1</v>
      </c>
      <c r="Q42">
        <v>1</v>
      </c>
      <c r="R42">
        <v>1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 s="6">
        <v>0</v>
      </c>
      <c r="AB42">
        <v>5</v>
      </c>
    </row>
    <row r="43" spans="1:77" x14ac:dyDescent="0.2">
      <c r="A43" t="s">
        <v>483</v>
      </c>
      <c r="B43" s="5">
        <v>0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1</v>
      </c>
      <c r="T43">
        <v>1</v>
      </c>
      <c r="U43">
        <v>1</v>
      </c>
      <c r="V43">
        <v>0</v>
      </c>
      <c r="W43">
        <v>0</v>
      </c>
      <c r="X43">
        <v>0</v>
      </c>
      <c r="Y43">
        <v>0</v>
      </c>
      <c r="Z43">
        <v>0</v>
      </c>
      <c r="AA43" s="6">
        <v>0</v>
      </c>
      <c r="AB43">
        <v>6</v>
      </c>
    </row>
    <row r="44" spans="1:77" x14ac:dyDescent="0.2">
      <c r="A44" t="s">
        <v>485</v>
      </c>
      <c r="B44" s="5">
        <v>0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1</v>
      </c>
      <c r="W44">
        <v>1</v>
      </c>
      <c r="X44">
        <v>0</v>
      </c>
      <c r="Y44">
        <v>0</v>
      </c>
      <c r="Z44">
        <v>0</v>
      </c>
      <c r="AA44" s="6">
        <v>0</v>
      </c>
      <c r="AB44">
        <v>7</v>
      </c>
    </row>
    <row r="45" spans="1:77" x14ac:dyDescent="0.2">
      <c r="A45" t="s">
        <v>325</v>
      </c>
      <c r="B45" s="5">
        <v>0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1</v>
      </c>
      <c r="Y45">
        <v>1</v>
      </c>
      <c r="Z45">
        <v>0</v>
      </c>
      <c r="AA45" s="6">
        <v>0</v>
      </c>
      <c r="AB45">
        <v>8</v>
      </c>
    </row>
    <row r="46" spans="1:77" ht="13.5" thickBot="1" x14ac:dyDescent="0.25">
      <c r="A46" t="s">
        <v>9</v>
      </c>
      <c r="B46" s="7">
        <v>0</v>
      </c>
      <c r="C46" s="8">
        <v>0</v>
      </c>
      <c r="D46" s="8">
        <v>0</v>
      </c>
      <c r="E46" s="8">
        <v>0</v>
      </c>
      <c r="F46" s="8">
        <v>0</v>
      </c>
      <c r="G46" s="8">
        <v>0</v>
      </c>
      <c r="H46" s="8">
        <v>0</v>
      </c>
      <c r="I46" s="8">
        <v>0</v>
      </c>
      <c r="J46" s="8">
        <v>0</v>
      </c>
      <c r="K46" s="8">
        <v>0</v>
      </c>
      <c r="L46" s="8">
        <v>0</v>
      </c>
      <c r="M46" s="8">
        <v>0</v>
      </c>
      <c r="N46" s="8">
        <v>0</v>
      </c>
      <c r="O46" s="8">
        <v>0</v>
      </c>
      <c r="P46" s="8">
        <v>0</v>
      </c>
      <c r="Q46" s="8">
        <v>0</v>
      </c>
      <c r="R46" s="8">
        <v>0</v>
      </c>
      <c r="S46" s="8">
        <v>0</v>
      </c>
      <c r="T46" s="8">
        <v>0</v>
      </c>
      <c r="U46" s="8">
        <v>0</v>
      </c>
      <c r="V46" s="8">
        <v>0</v>
      </c>
      <c r="W46" s="8">
        <v>0</v>
      </c>
      <c r="X46" s="8">
        <v>0</v>
      </c>
      <c r="Y46" s="8">
        <v>0</v>
      </c>
      <c r="Z46" s="8">
        <v>1</v>
      </c>
      <c r="AA46" s="9">
        <v>1</v>
      </c>
      <c r="AB46">
        <v>9</v>
      </c>
    </row>
    <row r="47" spans="1:77" x14ac:dyDescent="0.2">
      <c r="B47">
        <v>1</v>
      </c>
      <c r="C47">
        <v>2</v>
      </c>
      <c r="D47">
        <v>3</v>
      </c>
      <c r="E47">
        <v>4</v>
      </c>
      <c r="F47">
        <v>5</v>
      </c>
      <c r="G47">
        <v>6</v>
      </c>
      <c r="H47">
        <v>7</v>
      </c>
      <c r="I47">
        <v>8</v>
      </c>
      <c r="J47">
        <v>9</v>
      </c>
      <c r="K47">
        <v>10</v>
      </c>
      <c r="L47">
        <v>11</v>
      </c>
      <c r="M47">
        <v>12</v>
      </c>
      <c r="N47">
        <v>13</v>
      </c>
      <c r="O47">
        <v>14</v>
      </c>
      <c r="P47">
        <v>15</v>
      </c>
      <c r="Q47">
        <v>16</v>
      </c>
      <c r="R47">
        <v>17</v>
      </c>
      <c r="S47">
        <v>18</v>
      </c>
      <c r="T47">
        <v>19</v>
      </c>
      <c r="U47">
        <v>20</v>
      </c>
      <c r="V47">
        <v>21</v>
      </c>
      <c r="W47">
        <v>22</v>
      </c>
      <c r="X47">
        <v>23</v>
      </c>
      <c r="Y47">
        <v>24</v>
      </c>
      <c r="Z47">
        <v>25</v>
      </c>
      <c r="AA47">
        <v>26</v>
      </c>
    </row>
    <row r="49" spans="1:11" x14ac:dyDescent="0.2">
      <c r="A49" s="1" t="str">
        <f>CONCATENATE("Aggregation 9 qualifications to 6 ",name!$G$2)</f>
        <v>Aggregation 9 qualifications to 6 Qualification groups</v>
      </c>
    </row>
    <row r="50" spans="1:11" ht="197.25" customHeight="1" thickBot="1" x14ac:dyDescent="0.25">
      <c r="B50" s="124" t="str">
        <f t="array" ref="B50:J50">TRANSPOSE(name!F4:F13)</f>
        <v>RQF8 Doctorate</v>
      </c>
      <c r="C50" s="124" t="str">
        <v>RQF7 Other higher degree</v>
      </c>
      <c r="D50" s="124" t="str">
        <v>RQF6 First degree</v>
      </c>
      <c r="E50" s="124" t="str">
        <v>RQF5 Foundation degree;Nursing;Teaching</v>
      </c>
      <c r="F50" s="124" t="str">
        <v>RQF4 HE below degree level</v>
      </c>
      <c r="G50" s="124" t="str">
        <v>RQF3 A level &amp; equivalent</v>
      </c>
      <c r="H50" s="124" t="str">
        <v>RQF2 GCSE(A-C) &amp; equivalent</v>
      </c>
      <c r="I50" s="124" t="str">
        <v>RQF1 GCSE(below grade C) &amp; equivalent</v>
      </c>
      <c r="J50" s="124" t="str">
        <v>No Qualification</v>
      </c>
    </row>
    <row r="51" spans="1:11" x14ac:dyDescent="0.2">
      <c r="A51" s="10" t="str">
        <f>name!G4</f>
        <v>RQF 7-8</v>
      </c>
      <c r="B51" s="2">
        <v>1</v>
      </c>
      <c r="C51" s="3">
        <v>1</v>
      </c>
      <c r="D51" s="3">
        <v>0</v>
      </c>
      <c r="E51" s="3">
        <v>0</v>
      </c>
      <c r="F51" s="3">
        <v>0</v>
      </c>
      <c r="G51" s="3">
        <v>0</v>
      </c>
      <c r="H51" s="3">
        <v>0</v>
      </c>
      <c r="I51" s="3">
        <v>0</v>
      </c>
      <c r="J51" s="4">
        <v>0</v>
      </c>
      <c r="K51">
        <v>1</v>
      </c>
    </row>
    <row r="52" spans="1:11" x14ac:dyDescent="0.2">
      <c r="A52" s="10" t="str">
        <f>name!G5</f>
        <v>RQF 4-6</v>
      </c>
      <c r="B52" s="5">
        <v>0</v>
      </c>
      <c r="C52">
        <v>0</v>
      </c>
      <c r="D52">
        <v>1</v>
      </c>
      <c r="E52">
        <v>1</v>
      </c>
      <c r="F52">
        <v>1</v>
      </c>
      <c r="G52">
        <v>0</v>
      </c>
      <c r="H52">
        <v>0</v>
      </c>
      <c r="I52">
        <v>0</v>
      </c>
      <c r="J52" s="6">
        <v>0</v>
      </c>
      <c r="K52">
        <v>2</v>
      </c>
    </row>
    <row r="53" spans="1:11" x14ac:dyDescent="0.2">
      <c r="A53" s="10" t="str">
        <f>name!G6</f>
        <v>RQF3 A level &amp; equivalent</v>
      </c>
      <c r="B53" s="5">
        <v>0</v>
      </c>
      <c r="C53">
        <v>0</v>
      </c>
      <c r="D53">
        <v>0</v>
      </c>
      <c r="E53">
        <v>0</v>
      </c>
      <c r="F53">
        <v>0</v>
      </c>
      <c r="G53">
        <v>1</v>
      </c>
      <c r="H53">
        <v>0</v>
      </c>
      <c r="I53">
        <v>0</v>
      </c>
      <c r="J53" s="6">
        <v>0</v>
      </c>
      <c r="K53">
        <v>3</v>
      </c>
    </row>
    <row r="54" spans="1:11" x14ac:dyDescent="0.2">
      <c r="A54" s="10" t="str">
        <f>name!G7</f>
        <v>RQF2 GCSE(A-C) &amp; equivalent</v>
      </c>
      <c r="B54" s="5">
        <v>0</v>
      </c>
      <c r="C54">
        <v>0</v>
      </c>
      <c r="D54">
        <v>0</v>
      </c>
      <c r="E54">
        <v>0</v>
      </c>
      <c r="F54">
        <v>0</v>
      </c>
      <c r="G54">
        <v>0</v>
      </c>
      <c r="H54">
        <v>1</v>
      </c>
      <c r="I54">
        <v>0</v>
      </c>
      <c r="J54" s="6">
        <v>0</v>
      </c>
      <c r="K54">
        <v>4</v>
      </c>
    </row>
    <row r="55" spans="1:11" x14ac:dyDescent="0.2">
      <c r="A55" s="10" t="str">
        <f>name!G8</f>
        <v>RQF1 GCSE(below grade C) &amp; equivalent</v>
      </c>
      <c r="B55" s="5">
        <v>0</v>
      </c>
      <c r="C55">
        <v>0</v>
      </c>
      <c r="D55">
        <v>0</v>
      </c>
      <c r="E55">
        <v>0</v>
      </c>
      <c r="F55">
        <v>0</v>
      </c>
      <c r="G55">
        <v>0</v>
      </c>
      <c r="H55">
        <v>0</v>
      </c>
      <c r="I55">
        <v>1</v>
      </c>
      <c r="J55" s="6">
        <v>0</v>
      </c>
      <c r="K55">
        <v>5</v>
      </c>
    </row>
    <row r="56" spans="1:11" ht="13.5" thickBot="1" x14ac:dyDescent="0.25">
      <c r="A56" s="10" t="str">
        <f>name!G9</f>
        <v>No Qualification</v>
      </c>
      <c r="B56" s="7">
        <v>0</v>
      </c>
      <c r="C56" s="8">
        <v>0</v>
      </c>
      <c r="D56" s="8">
        <v>0</v>
      </c>
      <c r="E56" s="8">
        <v>0</v>
      </c>
      <c r="F56" s="8">
        <v>0</v>
      </c>
      <c r="G56" s="8">
        <v>0</v>
      </c>
      <c r="H56" s="8">
        <v>0</v>
      </c>
      <c r="I56" s="8">
        <v>0</v>
      </c>
      <c r="J56" s="9">
        <v>1</v>
      </c>
      <c r="K56">
        <v>6</v>
      </c>
    </row>
    <row r="57" spans="1:11" x14ac:dyDescent="0.2">
      <c r="A57" s="10"/>
      <c r="B57">
        <v>1</v>
      </c>
      <c r="C57">
        <v>2</v>
      </c>
      <c r="D57">
        <v>3</v>
      </c>
      <c r="E57">
        <v>4</v>
      </c>
      <c r="F57">
        <v>5</v>
      </c>
      <c r="G57">
        <v>6</v>
      </c>
      <c r="H57">
        <v>7</v>
      </c>
      <c r="I57">
        <v>8</v>
      </c>
      <c r="J57">
        <v>9</v>
      </c>
    </row>
    <row r="58" spans="1:11" x14ac:dyDescent="0.2">
      <c r="A58" s="10"/>
    </row>
    <row r="59" spans="1:11" x14ac:dyDescent="0.2">
      <c r="A59" s="10"/>
    </row>
  </sheetData>
  <phoneticPr fontId="4" type="noConversion"/>
  <conditionalFormatting sqref="J52:J55">
    <cfRule type="cellIs" dxfId="5" priority="3" operator="equal">
      <formula>0</formula>
    </cfRule>
    <cfRule type="cellIs" dxfId="4" priority="4" stopIfTrue="1" operator="equal">
      <formula>1</formula>
    </cfRule>
  </conditionalFormatting>
  <conditionalFormatting sqref="B3:BX24 B28:BX33 B51:J56">
    <cfRule type="cellIs" dxfId="3" priority="15" operator="equal">
      <formula>0</formula>
    </cfRule>
    <cfRule type="cellIs" dxfId="2" priority="17" stopIfTrue="1" operator="equal">
      <formula>1</formula>
    </cfRule>
  </conditionalFormatting>
  <conditionalFormatting sqref="B38:AA46">
    <cfRule type="cellIs" dxfId="1" priority="1" operator="equal">
      <formula>0</formula>
    </cfRule>
    <cfRule type="cellIs" dxfId="0" priority="2" stopIfTrue="1" operator="equal">
      <formula>1</formula>
    </cfRule>
  </conditionalFormatting>
  <pageMargins left="0.55118110236220474" right="0.55118110236220474" top="0.98425196850393704" bottom="0.98425196850393704" header="0.51181102362204722" footer="0.51181102362204722"/>
  <pageSetup paperSize="9" scale="53" orientation="landscape" r:id="rId1"/>
  <headerFooter alignWithMargins="0"/>
  <rowBreaks count="1" manualBreakCount="1">
    <brk id="26" max="16383" man="1"/>
  </rowBreaks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700-000000000000}">
  <sheetPr codeName="Sheet19">
    <pageSetUpPr fitToPage="1"/>
  </sheetPr>
  <dimension ref="A1:F244"/>
  <sheetViews>
    <sheetView zoomScale="85" zoomScaleNormal="85" workbookViewId="0"/>
  </sheetViews>
  <sheetFormatPr defaultColWidth="10.28515625" defaultRowHeight="12.75" x14ac:dyDescent="0.2"/>
  <cols>
    <col min="1" max="1" width="4.140625" style="88" customWidth="1"/>
    <col min="2" max="2" width="55.7109375" style="88" customWidth="1"/>
    <col min="3" max="3" width="5.85546875" style="88" customWidth="1"/>
    <col min="4" max="4" width="65.7109375" style="88" customWidth="1"/>
    <col min="5" max="16384" width="10.28515625" style="88"/>
  </cols>
  <sheetData>
    <row r="1" spans="1:4" x14ac:dyDescent="0.2">
      <c r="A1" s="14" t="s">
        <v>160</v>
      </c>
    </row>
    <row r="3" spans="1:4" x14ac:dyDescent="0.2">
      <c r="A3" s="125"/>
      <c r="B3" s="125" t="s">
        <v>348</v>
      </c>
      <c r="C3" s="125"/>
      <c r="D3" s="125" t="s">
        <v>349</v>
      </c>
    </row>
    <row r="4" spans="1:4" x14ac:dyDescent="0.2">
      <c r="A4" s="125"/>
      <c r="B4" s="125"/>
      <c r="C4" s="125"/>
      <c r="D4" s="125"/>
    </row>
    <row r="5" spans="1:4" x14ac:dyDescent="0.2">
      <c r="A5" s="125">
        <v>1</v>
      </c>
      <c r="B5" s="125" t="s">
        <v>161</v>
      </c>
      <c r="C5" s="125">
        <v>1</v>
      </c>
      <c r="D5" s="125" t="s">
        <v>162</v>
      </c>
    </row>
    <row r="6" spans="1:4" x14ac:dyDescent="0.2">
      <c r="A6" s="125"/>
      <c r="B6" s="125"/>
      <c r="C6" s="125"/>
      <c r="D6" s="125"/>
    </row>
    <row r="7" spans="1:4" x14ac:dyDescent="0.2">
      <c r="A7" s="125">
        <v>2</v>
      </c>
      <c r="B7" s="125" t="s">
        <v>88</v>
      </c>
      <c r="C7" s="125">
        <v>2</v>
      </c>
      <c r="D7" s="125" t="s">
        <v>163</v>
      </c>
    </row>
    <row r="8" spans="1:4" x14ac:dyDescent="0.2">
      <c r="A8" s="125"/>
      <c r="B8" s="125"/>
      <c r="C8" s="125"/>
      <c r="D8" s="125"/>
    </row>
    <row r="9" spans="1:4" x14ac:dyDescent="0.2">
      <c r="A9" s="125">
        <v>3</v>
      </c>
      <c r="B9" s="125" t="s">
        <v>164</v>
      </c>
      <c r="C9" s="125">
        <v>3</v>
      </c>
      <c r="D9" s="125" t="s">
        <v>165</v>
      </c>
    </row>
    <row r="10" spans="1:4" x14ac:dyDescent="0.2">
      <c r="A10" s="125"/>
      <c r="B10" s="125"/>
      <c r="C10" s="125">
        <v>4</v>
      </c>
      <c r="D10" s="125" t="s">
        <v>166</v>
      </c>
    </row>
    <row r="11" spans="1:4" x14ac:dyDescent="0.2">
      <c r="A11" s="125"/>
      <c r="B11" s="125"/>
      <c r="C11" s="125"/>
      <c r="D11" s="125"/>
    </row>
    <row r="12" spans="1:4" x14ac:dyDescent="0.2">
      <c r="A12" s="125">
        <v>4</v>
      </c>
      <c r="B12" s="125" t="s">
        <v>63</v>
      </c>
      <c r="C12" s="125">
        <v>16</v>
      </c>
      <c r="D12" s="125" t="s">
        <v>167</v>
      </c>
    </row>
    <row r="13" spans="1:4" x14ac:dyDescent="0.2">
      <c r="A13" s="125"/>
      <c r="B13" s="125"/>
      <c r="C13" s="125">
        <v>17</v>
      </c>
      <c r="D13" s="125" t="s">
        <v>89</v>
      </c>
    </row>
    <row r="14" spans="1:4" x14ac:dyDescent="0.2">
      <c r="A14" s="125"/>
      <c r="B14" s="125"/>
      <c r="C14" s="125">
        <v>18</v>
      </c>
      <c r="D14" s="125" t="s">
        <v>168</v>
      </c>
    </row>
    <row r="15" spans="1:4" x14ac:dyDescent="0.2">
      <c r="A15" s="125"/>
      <c r="B15" s="125"/>
      <c r="C15" s="125"/>
      <c r="D15" s="125"/>
    </row>
    <row r="16" spans="1:4" x14ac:dyDescent="0.2">
      <c r="A16" s="125">
        <v>5</v>
      </c>
      <c r="B16" s="125" t="s">
        <v>90</v>
      </c>
      <c r="C16" s="125">
        <v>5</v>
      </c>
      <c r="D16" s="125" t="s">
        <v>169</v>
      </c>
    </row>
    <row r="17" spans="1:4" x14ac:dyDescent="0.2">
      <c r="A17" s="125"/>
      <c r="B17" s="125"/>
      <c r="C17" s="125">
        <v>6</v>
      </c>
      <c r="D17" s="125" t="s">
        <v>170</v>
      </c>
    </row>
    <row r="18" spans="1:4" x14ac:dyDescent="0.2">
      <c r="A18" s="125"/>
      <c r="B18" s="125"/>
      <c r="C18" s="125">
        <v>7</v>
      </c>
      <c r="D18" s="125" t="s">
        <v>171</v>
      </c>
    </row>
    <row r="19" spans="1:4" x14ac:dyDescent="0.2">
      <c r="A19" s="125"/>
      <c r="B19" s="125"/>
      <c r="C19" s="125">
        <v>8</v>
      </c>
      <c r="D19" s="125" t="s">
        <v>172</v>
      </c>
    </row>
    <row r="20" spans="1:4" x14ac:dyDescent="0.2">
      <c r="A20" s="125"/>
      <c r="B20" s="125"/>
      <c r="C20" s="125">
        <v>9</v>
      </c>
      <c r="D20" s="125" t="s">
        <v>173</v>
      </c>
    </row>
    <row r="21" spans="1:4" x14ac:dyDescent="0.2">
      <c r="A21" s="125"/>
      <c r="B21" s="125"/>
      <c r="C21" s="125">
        <v>10</v>
      </c>
      <c r="D21" s="125" t="s">
        <v>174</v>
      </c>
    </row>
    <row r="22" spans="1:4" x14ac:dyDescent="0.2">
      <c r="A22" s="125"/>
      <c r="B22" s="125"/>
      <c r="C22" s="125">
        <v>11</v>
      </c>
      <c r="D22" s="125" t="s">
        <v>64</v>
      </c>
    </row>
    <row r="23" spans="1:4" x14ac:dyDescent="0.2">
      <c r="A23" s="125"/>
      <c r="B23" s="125"/>
      <c r="C23" s="125">
        <v>12</v>
      </c>
      <c r="D23" s="125" t="s">
        <v>175</v>
      </c>
    </row>
    <row r="24" spans="1:4" x14ac:dyDescent="0.2">
      <c r="A24" s="125"/>
      <c r="B24" s="125"/>
      <c r="C24" s="125">
        <v>13</v>
      </c>
      <c r="D24" s="125" t="s">
        <v>176</v>
      </c>
    </row>
    <row r="25" spans="1:4" x14ac:dyDescent="0.2">
      <c r="A25" s="125"/>
      <c r="B25" s="125"/>
      <c r="C25" s="125">
        <v>14</v>
      </c>
      <c r="D25" s="125" t="s">
        <v>122</v>
      </c>
    </row>
    <row r="26" spans="1:4" x14ac:dyDescent="0.2">
      <c r="A26" s="125"/>
      <c r="B26" s="125"/>
      <c r="C26" s="125">
        <v>15</v>
      </c>
      <c r="D26" s="125" t="s">
        <v>123</v>
      </c>
    </row>
    <row r="27" spans="1:4" x14ac:dyDescent="0.2">
      <c r="A27" s="125"/>
      <c r="B27" s="125"/>
      <c r="C27" s="125">
        <v>19</v>
      </c>
      <c r="D27" s="125" t="s">
        <v>177</v>
      </c>
    </row>
    <row r="28" spans="1:4" x14ac:dyDescent="0.2">
      <c r="A28" s="125"/>
      <c r="B28" s="125"/>
      <c r="C28" s="125">
        <v>20</v>
      </c>
      <c r="D28" s="125" t="s">
        <v>178</v>
      </c>
    </row>
    <row r="29" spans="1:4" x14ac:dyDescent="0.2">
      <c r="A29" s="125"/>
      <c r="B29" s="125"/>
      <c r="C29" s="125">
        <v>21</v>
      </c>
      <c r="D29" s="125" t="s">
        <v>179</v>
      </c>
    </row>
    <row r="30" spans="1:4" x14ac:dyDescent="0.2">
      <c r="A30" s="125"/>
      <c r="B30" s="125"/>
      <c r="C30" s="125">
        <v>22</v>
      </c>
      <c r="D30" s="125" t="s">
        <v>180</v>
      </c>
    </row>
    <row r="31" spans="1:4" x14ac:dyDescent="0.2">
      <c r="A31" s="125"/>
      <c r="B31" s="125"/>
      <c r="C31" s="125">
        <v>23</v>
      </c>
      <c r="D31" s="125" t="s">
        <v>181</v>
      </c>
    </row>
    <row r="32" spans="1:4" x14ac:dyDescent="0.2">
      <c r="A32" s="125"/>
      <c r="B32" s="125"/>
      <c r="C32" s="125"/>
      <c r="D32" s="125"/>
    </row>
    <row r="33" spans="1:4" x14ac:dyDescent="0.2">
      <c r="A33" s="125">
        <v>6</v>
      </c>
      <c r="B33" s="125" t="s">
        <v>182</v>
      </c>
      <c r="C33" s="125">
        <v>24</v>
      </c>
      <c r="D33" s="125" t="s">
        <v>183</v>
      </c>
    </row>
    <row r="34" spans="1:4" x14ac:dyDescent="0.2">
      <c r="A34" s="125"/>
      <c r="B34" s="125"/>
      <c r="C34" s="125"/>
      <c r="D34" s="125"/>
    </row>
    <row r="35" spans="1:4" x14ac:dyDescent="0.2">
      <c r="A35" s="125">
        <v>7</v>
      </c>
      <c r="B35" s="125" t="s">
        <v>184</v>
      </c>
      <c r="C35" s="125">
        <v>25</v>
      </c>
      <c r="D35" s="125" t="s">
        <v>185</v>
      </c>
    </row>
    <row r="36" spans="1:4" x14ac:dyDescent="0.2">
      <c r="A36" s="125"/>
      <c r="B36" s="125"/>
      <c r="C36" s="125">
        <v>26</v>
      </c>
      <c r="D36" s="125" t="s">
        <v>186</v>
      </c>
    </row>
    <row r="37" spans="1:4" x14ac:dyDescent="0.2">
      <c r="A37" s="125"/>
      <c r="B37" s="125"/>
      <c r="C37" s="125">
        <v>27</v>
      </c>
      <c r="D37" s="125" t="s">
        <v>187</v>
      </c>
    </row>
    <row r="38" spans="1:4" x14ac:dyDescent="0.2">
      <c r="A38" s="125"/>
      <c r="B38" s="125"/>
      <c r="C38" s="125"/>
      <c r="D38" s="125"/>
    </row>
    <row r="39" spans="1:4" x14ac:dyDescent="0.2">
      <c r="A39" s="125">
        <v>8</v>
      </c>
      <c r="B39" s="125" t="s">
        <v>65</v>
      </c>
      <c r="C39" s="125">
        <v>28</v>
      </c>
      <c r="D39" s="125" t="s">
        <v>188</v>
      </c>
    </row>
    <row r="40" spans="1:4" x14ac:dyDescent="0.2">
      <c r="A40" s="125"/>
      <c r="B40" s="125"/>
      <c r="C40" s="125">
        <v>29</v>
      </c>
      <c r="D40" s="125" t="s">
        <v>189</v>
      </c>
    </row>
    <row r="41" spans="1:4" x14ac:dyDescent="0.2">
      <c r="A41" s="125"/>
      <c r="B41" s="125"/>
      <c r="C41" s="125">
        <v>30</v>
      </c>
      <c r="D41" s="125" t="s">
        <v>190</v>
      </c>
    </row>
    <row r="42" spans="1:4" x14ac:dyDescent="0.2">
      <c r="A42" s="125"/>
      <c r="B42" s="125"/>
      <c r="C42" s="125"/>
      <c r="D42" s="125"/>
    </row>
    <row r="43" spans="1:4" x14ac:dyDescent="0.2">
      <c r="A43" s="125">
        <v>9</v>
      </c>
      <c r="B43" s="125" t="s">
        <v>91</v>
      </c>
      <c r="C43" s="125">
        <v>31</v>
      </c>
      <c r="D43" s="125" t="s">
        <v>191</v>
      </c>
    </row>
    <row r="44" spans="1:4" x14ac:dyDescent="0.2">
      <c r="A44" s="125"/>
      <c r="B44" s="125"/>
      <c r="C44" s="125">
        <v>32</v>
      </c>
      <c r="D44" s="125" t="s">
        <v>192</v>
      </c>
    </row>
    <row r="45" spans="1:4" x14ac:dyDescent="0.2">
      <c r="A45" s="125"/>
      <c r="B45" s="125"/>
      <c r="C45" s="125">
        <v>33</v>
      </c>
      <c r="D45" s="125" t="s">
        <v>193</v>
      </c>
    </row>
    <row r="46" spans="1:4" x14ac:dyDescent="0.2">
      <c r="A46" s="125"/>
      <c r="B46" s="125"/>
      <c r="C46" s="125"/>
      <c r="D46" s="125"/>
    </row>
    <row r="47" spans="1:4" x14ac:dyDescent="0.2">
      <c r="A47" s="125">
        <v>10</v>
      </c>
      <c r="B47" s="125" t="s">
        <v>194</v>
      </c>
      <c r="C47" s="125">
        <v>34</v>
      </c>
      <c r="D47" s="125" t="s">
        <v>195</v>
      </c>
    </row>
    <row r="48" spans="1:4" x14ac:dyDescent="0.2">
      <c r="A48" s="125"/>
      <c r="B48" s="125"/>
      <c r="C48" s="125">
        <v>35</v>
      </c>
      <c r="D48" s="125" t="s">
        <v>196</v>
      </c>
    </row>
    <row r="49" spans="1:4" x14ac:dyDescent="0.2">
      <c r="A49" s="125"/>
      <c r="B49" s="125"/>
      <c r="C49" s="125">
        <v>36</v>
      </c>
      <c r="D49" s="125" t="s">
        <v>197</v>
      </c>
    </row>
    <row r="50" spans="1:4" x14ac:dyDescent="0.2">
      <c r="A50" s="125"/>
      <c r="B50" s="125"/>
      <c r="C50" s="125">
        <v>37</v>
      </c>
      <c r="D50" s="125" t="s">
        <v>198</v>
      </c>
    </row>
    <row r="51" spans="1:4" x14ac:dyDescent="0.2">
      <c r="A51" s="125"/>
      <c r="B51" s="125"/>
      <c r="C51" s="125">
        <v>38</v>
      </c>
      <c r="D51" s="125" t="s">
        <v>199</v>
      </c>
    </row>
    <row r="52" spans="1:4" x14ac:dyDescent="0.2">
      <c r="A52" s="125"/>
      <c r="B52" s="125"/>
      <c r="C52" s="125"/>
      <c r="D52" s="125"/>
    </row>
    <row r="53" spans="1:4" x14ac:dyDescent="0.2">
      <c r="A53" s="125">
        <v>11</v>
      </c>
      <c r="B53" s="125" t="s">
        <v>200</v>
      </c>
      <c r="C53" s="125">
        <v>39</v>
      </c>
      <c r="D53" s="125" t="s">
        <v>201</v>
      </c>
    </row>
    <row r="54" spans="1:4" x14ac:dyDescent="0.2">
      <c r="A54" s="125"/>
      <c r="B54" s="125"/>
      <c r="C54" s="125">
        <v>40</v>
      </c>
      <c r="D54" s="125" t="s">
        <v>202</v>
      </c>
    </row>
    <row r="55" spans="1:4" x14ac:dyDescent="0.2">
      <c r="A55" s="125"/>
      <c r="B55" s="125"/>
      <c r="C55" s="125"/>
      <c r="D55" s="125"/>
    </row>
    <row r="56" spans="1:4" x14ac:dyDescent="0.2">
      <c r="A56" s="125">
        <v>12</v>
      </c>
      <c r="B56" s="125" t="s">
        <v>94</v>
      </c>
      <c r="C56" s="125">
        <v>41</v>
      </c>
      <c r="D56" s="125" t="s">
        <v>124</v>
      </c>
    </row>
    <row r="57" spans="1:4" x14ac:dyDescent="0.2">
      <c r="A57" s="125"/>
      <c r="B57" s="125"/>
      <c r="C57" s="125">
        <v>42</v>
      </c>
      <c r="D57" s="125" t="s">
        <v>203</v>
      </c>
    </row>
    <row r="58" spans="1:4" x14ac:dyDescent="0.2">
      <c r="A58" s="125"/>
      <c r="B58" s="125"/>
      <c r="C58" s="125">
        <v>43</v>
      </c>
      <c r="D58" s="125" t="s">
        <v>204</v>
      </c>
    </row>
    <row r="59" spans="1:4" x14ac:dyDescent="0.2">
      <c r="A59" s="125"/>
      <c r="B59" s="125"/>
      <c r="C59" s="125"/>
      <c r="D59" s="125"/>
    </row>
    <row r="60" spans="1:4" x14ac:dyDescent="0.2">
      <c r="A60" s="125">
        <v>13</v>
      </c>
      <c r="B60" s="125" t="s">
        <v>205</v>
      </c>
      <c r="C60" s="125">
        <v>44</v>
      </c>
      <c r="D60" s="125" t="s">
        <v>92</v>
      </c>
    </row>
    <row r="61" spans="1:4" x14ac:dyDescent="0.2">
      <c r="A61" s="125"/>
      <c r="B61" s="125"/>
      <c r="C61" s="125">
        <v>45</v>
      </c>
      <c r="D61" s="125" t="s">
        <v>206</v>
      </c>
    </row>
    <row r="62" spans="1:4" x14ac:dyDescent="0.2">
      <c r="A62" s="125"/>
      <c r="B62" s="125"/>
      <c r="C62" s="125">
        <v>46</v>
      </c>
      <c r="D62" s="125" t="s">
        <v>207</v>
      </c>
    </row>
    <row r="63" spans="1:4" x14ac:dyDescent="0.2">
      <c r="A63" s="125"/>
      <c r="B63" s="125"/>
      <c r="C63" s="125"/>
      <c r="D63" s="125"/>
    </row>
    <row r="64" spans="1:4" x14ac:dyDescent="0.2">
      <c r="A64" s="125">
        <v>14</v>
      </c>
      <c r="B64" s="125" t="s">
        <v>208</v>
      </c>
      <c r="C64" s="125">
        <v>47</v>
      </c>
      <c r="D64" s="125" t="s">
        <v>125</v>
      </c>
    </row>
    <row r="65" spans="1:4" x14ac:dyDescent="0.2">
      <c r="A65" s="125"/>
      <c r="B65" s="125"/>
      <c r="C65" s="125">
        <v>48</v>
      </c>
      <c r="D65" s="125" t="s">
        <v>209</v>
      </c>
    </row>
    <row r="66" spans="1:4" x14ac:dyDescent="0.2">
      <c r="A66" s="125"/>
      <c r="B66" s="125"/>
      <c r="C66" s="125">
        <v>49</v>
      </c>
      <c r="D66" s="125" t="s">
        <v>210</v>
      </c>
    </row>
    <row r="67" spans="1:4" x14ac:dyDescent="0.2">
      <c r="A67" s="125"/>
      <c r="B67" s="125"/>
      <c r="C67" s="125"/>
      <c r="D67" s="125"/>
    </row>
    <row r="68" spans="1:4" x14ac:dyDescent="0.2">
      <c r="A68" s="125">
        <v>15</v>
      </c>
      <c r="B68" s="125" t="s">
        <v>211</v>
      </c>
      <c r="C68" s="125">
        <v>50</v>
      </c>
      <c r="D68" s="125" t="s">
        <v>211</v>
      </c>
    </row>
    <row r="69" spans="1:4" x14ac:dyDescent="0.2">
      <c r="A69" s="125"/>
      <c r="B69" s="125"/>
      <c r="C69" s="125"/>
      <c r="D69" s="125"/>
    </row>
    <row r="70" spans="1:4" x14ac:dyDescent="0.2">
      <c r="A70" s="125">
        <v>16</v>
      </c>
      <c r="B70" s="125" t="s">
        <v>212</v>
      </c>
      <c r="C70" s="125">
        <v>51</v>
      </c>
      <c r="D70" s="125" t="s">
        <v>213</v>
      </c>
    </row>
    <row r="71" spans="1:4" x14ac:dyDescent="0.2">
      <c r="A71" s="125"/>
      <c r="B71" s="125"/>
      <c r="C71" s="125">
        <v>52</v>
      </c>
      <c r="D71" s="125" t="s">
        <v>214</v>
      </c>
    </row>
    <row r="72" spans="1:4" x14ac:dyDescent="0.2">
      <c r="A72" s="125"/>
      <c r="B72" s="125"/>
      <c r="C72" s="125">
        <v>53</v>
      </c>
      <c r="D72" s="125" t="s">
        <v>215</v>
      </c>
    </row>
    <row r="73" spans="1:4" x14ac:dyDescent="0.2">
      <c r="A73" s="125"/>
      <c r="B73" s="125"/>
      <c r="C73" s="125">
        <v>54</v>
      </c>
      <c r="D73" s="125" t="s">
        <v>216</v>
      </c>
    </row>
    <row r="74" spans="1:4" x14ac:dyDescent="0.2">
      <c r="A74" s="125"/>
      <c r="B74" s="125"/>
      <c r="C74" s="125">
        <v>55</v>
      </c>
      <c r="D74" s="125" t="s">
        <v>217</v>
      </c>
    </row>
    <row r="75" spans="1:4" x14ac:dyDescent="0.2">
      <c r="A75" s="125"/>
      <c r="B75" s="125"/>
      <c r="C75" s="125">
        <v>56</v>
      </c>
      <c r="D75" s="125" t="s">
        <v>218</v>
      </c>
    </row>
    <row r="76" spans="1:4" x14ac:dyDescent="0.2">
      <c r="A76" s="125"/>
      <c r="B76" s="125"/>
      <c r="C76" s="125">
        <v>57</v>
      </c>
      <c r="D76" s="125" t="s">
        <v>219</v>
      </c>
    </row>
    <row r="77" spans="1:4" x14ac:dyDescent="0.2">
      <c r="A77" s="125"/>
      <c r="B77" s="125"/>
      <c r="C77" s="125"/>
      <c r="D77" s="125"/>
    </row>
    <row r="78" spans="1:4" x14ac:dyDescent="0.2">
      <c r="A78" s="125">
        <v>17</v>
      </c>
      <c r="B78" s="125" t="s">
        <v>220</v>
      </c>
      <c r="C78" s="125">
        <v>58</v>
      </c>
      <c r="D78" s="125" t="s">
        <v>221</v>
      </c>
    </row>
    <row r="79" spans="1:4" x14ac:dyDescent="0.2">
      <c r="A79" s="125"/>
      <c r="B79" s="125"/>
      <c r="C79" s="125">
        <v>59</v>
      </c>
      <c r="D79" s="125" t="s">
        <v>126</v>
      </c>
    </row>
    <row r="80" spans="1:4" x14ac:dyDescent="0.2">
      <c r="A80" s="125"/>
      <c r="B80" s="125"/>
      <c r="C80" s="125">
        <v>60</v>
      </c>
      <c r="D80" s="125" t="s">
        <v>222</v>
      </c>
    </row>
    <row r="81" spans="1:4" x14ac:dyDescent="0.2">
      <c r="A81" s="125"/>
      <c r="B81" s="125"/>
      <c r="C81" s="125">
        <v>61</v>
      </c>
      <c r="D81" s="125" t="s">
        <v>223</v>
      </c>
    </row>
    <row r="82" spans="1:4" x14ac:dyDescent="0.2">
      <c r="A82" s="125"/>
      <c r="B82" s="125"/>
      <c r="C82" s="125">
        <v>62</v>
      </c>
      <c r="D82" s="125" t="s">
        <v>224</v>
      </c>
    </row>
    <row r="83" spans="1:4" x14ac:dyDescent="0.2">
      <c r="A83" s="125"/>
      <c r="B83" s="125"/>
      <c r="C83" s="125">
        <v>63</v>
      </c>
      <c r="D83" s="125" t="s">
        <v>225</v>
      </c>
    </row>
    <row r="84" spans="1:4" x14ac:dyDescent="0.2">
      <c r="A84" s="125"/>
      <c r="B84" s="125"/>
      <c r="C84" s="125"/>
      <c r="D84" s="125"/>
    </row>
    <row r="85" spans="1:4" x14ac:dyDescent="0.2">
      <c r="A85" s="125">
        <v>18</v>
      </c>
      <c r="B85" s="125" t="s">
        <v>226</v>
      </c>
      <c r="C85" s="125">
        <v>64</v>
      </c>
      <c r="D85" s="125" t="s">
        <v>227</v>
      </c>
    </row>
    <row r="86" spans="1:4" x14ac:dyDescent="0.2">
      <c r="A86" s="125"/>
      <c r="B86" s="125"/>
      <c r="C86" s="125"/>
      <c r="D86" s="125"/>
    </row>
    <row r="87" spans="1:4" x14ac:dyDescent="0.2">
      <c r="A87" s="125">
        <v>19</v>
      </c>
      <c r="B87" s="125" t="s">
        <v>66</v>
      </c>
      <c r="C87" s="125">
        <v>65</v>
      </c>
      <c r="D87" s="125" t="s">
        <v>66</v>
      </c>
    </row>
    <row r="88" spans="1:4" x14ac:dyDescent="0.2">
      <c r="A88" s="125"/>
      <c r="B88" s="125"/>
      <c r="C88" s="125"/>
      <c r="D88" s="125"/>
    </row>
    <row r="89" spans="1:4" x14ac:dyDescent="0.2">
      <c r="A89" s="125">
        <v>20</v>
      </c>
      <c r="B89" s="125" t="s">
        <v>67</v>
      </c>
      <c r="C89" s="125">
        <v>66</v>
      </c>
      <c r="D89" s="125" t="s">
        <v>228</v>
      </c>
    </row>
    <row r="90" spans="1:4" x14ac:dyDescent="0.2">
      <c r="A90" s="125"/>
      <c r="B90" s="125"/>
      <c r="C90" s="125">
        <v>67</v>
      </c>
      <c r="D90" s="125" t="s">
        <v>229</v>
      </c>
    </row>
    <row r="91" spans="1:4" x14ac:dyDescent="0.2">
      <c r="A91" s="125"/>
      <c r="B91" s="125"/>
      <c r="C91" s="125">
        <v>68</v>
      </c>
      <c r="D91" s="125" t="s">
        <v>230</v>
      </c>
    </row>
    <row r="92" spans="1:4" x14ac:dyDescent="0.2">
      <c r="A92" s="125"/>
      <c r="B92" s="125"/>
      <c r="C92" s="125"/>
      <c r="D92" s="125"/>
    </row>
    <row r="93" spans="1:4" x14ac:dyDescent="0.2">
      <c r="A93" s="125">
        <v>21</v>
      </c>
      <c r="B93" s="125" t="s">
        <v>93</v>
      </c>
      <c r="C93" s="125">
        <v>69</v>
      </c>
      <c r="D93" s="125" t="s">
        <v>231</v>
      </c>
    </row>
    <row r="94" spans="1:4" x14ac:dyDescent="0.2">
      <c r="A94" s="125"/>
      <c r="B94" s="125"/>
      <c r="C94" s="125">
        <v>70</v>
      </c>
      <c r="D94" s="125" t="s">
        <v>232</v>
      </c>
    </row>
    <row r="95" spans="1:4" x14ac:dyDescent="0.2">
      <c r="A95" s="125"/>
      <c r="B95" s="125"/>
      <c r="C95" s="125">
        <v>71</v>
      </c>
      <c r="D95" s="125" t="s">
        <v>233</v>
      </c>
    </row>
    <row r="96" spans="1:4" x14ac:dyDescent="0.2">
      <c r="A96" s="125"/>
      <c r="B96" s="125"/>
      <c r="C96" s="125">
        <v>72</v>
      </c>
      <c r="D96" s="125" t="s">
        <v>234</v>
      </c>
    </row>
    <row r="97" spans="1:4" x14ac:dyDescent="0.2">
      <c r="A97" s="125"/>
      <c r="B97" s="125"/>
      <c r="C97" s="125"/>
      <c r="D97" s="125"/>
    </row>
    <row r="98" spans="1:4" x14ac:dyDescent="0.2">
      <c r="A98" s="125">
        <v>22</v>
      </c>
      <c r="B98" s="125" t="s">
        <v>235</v>
      </c>
      <c r="C98" s="125">
        <v>73</v>
      </c>
      <c r="D98" s="125" t="s">
        <v>127</v>
      </c>
    </row>
    <row r="99" spans="1:4" x14ac:dyDescent="0.2">
      <c r="A99" s="125"/>
      <c r="B99" s="125"/>
      <c r="C99" s="125">
        <v>74</v>
      </c>
      <c r="D99" s="125" t="s">
        <v>236</v>
      </c>
    </row>
    <row r="100" spans="1:4" x14ac:dyDescent="0.2">
      <c r="A100" s="125"/>
      <c r="B100" s="125"/>
      <c r="C100" s="125">
        <v>75</v>
      </c>
      <c r="D100" s="125" t="s">
        <v>237</v>
      </c>
    </row>
    <row r="101" spans="1:4" x14ac:dyDescent="0.2">
      <c r="A101"/>
      <c r="B101"/>
      <c r="D101"/>
    </row>
    <row r="102" spans="1:4" x14ac:dyDescent="0.2">
      <c r="A102" s="16" t="s">
        <v>238</v>
      </c>
      <c r="D102"/>
    </row>
    <row r="103" spans="1:4" x14ac:dyDescent="0.2">
      <c r="D103"/>
    </row>
    <row r="104" spans="1:4" x14ac:dyDescent="0.2">
      <c r="A104" s="10"/>
      <c r="B104" s="125" t="s">
        <v>350</v>
      </c>
      <c r="C104" s="10"/>
      <c r="D104" s="125" t="s">
        <v>349</v>
      </c>
    </row>
    <row r="105" spans="1:4" x14ac:dyDescent="0.2">
      <c r="A105" s="10"/>
      <c r="B105" s="10"/>
      <c r="C105" s="10"/>
      <c r="D105" s="10"/>
    </row>
    <row r="106" spans="1:4" x14ac:dyDescent="0.2">
      <c r="A106" s="10">
        <v>1</v>
      </c>
      <c r="B106" s="10" t="s">
        <v>239</v>
      </c>
      <c r="C106" s="10">
        <v>1</v>
      </c>
      <c r="D106" s="10" t="s">
        <v>162</v>
      </c>
    </row>
    <row r="107" spans="1:4" x14ac:dyDescent="0.2">
      <c r="A107" s="10"/>
      <c r="B107" s="10"/>
      <c r="C107" s="10">
        <v>2</v>
      </c>
      <c r="D107" s="10" t="s">
        <v>163</v>
      </c>
    </row>
    <row r="108" spans="1:4" x14ac:dyDescent="0.2">
      <c r="A108" s="10"/>
      <c r="B108" s="10"/>
      <c r="C108" s="10">
        <v>24</v>
      </c>
      <c r="D108" s="10" t="s">
        <v>183</v>
      </c>
    </row>
    <row r="109" spans="1:4" x14ac:dyDescent="0.2">
      <c r="A109" s="10"/>
      <c r="B109" s="10"/>
      <c r="C109" s="10">
        <v>25</v>
      </c>
      <c r="D109" s="10" t="s">
        <v>185</v>
      </c>
    </row>
    <row r="110" spans="1:4" x14ac:dyDescent="0.2">
      <c r="A110" s="10"/>
      <c r="B110" s="10"/>
      <c r="C110" s="10">
        <v>26</v>
      </c>
      <c r="D110" s="10" t="s">
        <v>186</v>
      </c>
    </row>
    <row r="111" spans="1:4" x14ac:dyDescent="0.2">
      <c r="A111" s="10"/>
      <c r="B111" s="10"/>
      <c r="C111" s="10">
        <v>27</v>
      </c>
      <c r="D111" s="10" t="s">
        <v>187</v>
      </c>
    </row>
    <row r="112" spans="1:4" x14ac:dyDescent="0.2">
      <c r="A112" s="10"/>
      <c r="B112" s="10"/>
      <c r="C112" s="10"/>
      <c r="D112" s="10"/>
    </row>
    <row r="113" spans="1:4" x14ac:dyDescent="0.2">
      <c r="A113" s="10">
        <v>2</v>
      </c>
      <c r="B113" s="10" t="s">
        <v>95</v>
      </c>
      <c r="C113" s="10">
        <v>3</v>
      </c>
      <c r="D113" s="10" t="s">
        <v>165</v>
      </c>
    </row>
    <row r="114" spans="1:4" x14ac:dyDescent="0.2">
      <c r="A114" s="10"/>
      <c r="B114" s="10"/>
      <c r="C114" s="10">
        <v>4</v>
      </c>
      <c r="D114" s="10" t="s">
        <v>166</v>
      </c>
    </row>
    <row r="115" spans="1:4" x14ac:dyDescent="0.2">
      <c r="A115" s="10"/>
      <c r="B115" s="10"/>
      <c r="C115" s="10">
        <v>5</v>
      </c>
      <c r="D115" s="10" t="s">
        <v>169</v>
      </c>
    </row>
    <row r="116" spans="1:4" x14ac:dyDescent="0.2">
      <c r="A116" s="10"/>
      <c r="B116" s="10"/>
      <c r="C116" s="10">
        <v>6</v>
      </c>
      <c r="D116" s="10" t="s">
        <v>170</v>
      </c>
    </row>
    <row r="117" spans="1:4" x14ac:dyDescent="0.2">
      <c r="A117" s="10"/>
      <c r="B117" s="10"/>
      <c r="C117" s="10">
        <v>7</v>
      </c>
      <c r="D117" s="10" t="s">
        <v>171</v>
      </c>
    </row>
    <row r="118" spans="1:4" x14ac:dyDescent="0.2">
      <c r="A118" s="10"/>
      <c r="B118" s="10"/>
      <c r="C118" s="10">
        <v>8</v>
      </c>
      <c r="D118" s="10" t="s">
        <v>172</v>
      </c>
    </row>
    <row r="119" spans="1:4" x14ac:dyDescent="0.2">
      <c r="A119" s="10"/>
      <c r="B119" s="10"/>
      <c r="C119" s="10">
        <v>9</v>
      </c>
      <c r="D119" s="10" t="s">
        <v>173</v>
      </c>
    </row>
    <row r="120" spans="1:4" x14ac:dyDescent="0.2">
      <c r="A120" s="10"/>
      <c r="B120" s="10"/>
      <c r="C120" s="10">
        <v>10</v>
      </c>
      <c r="D120" s="10" t="s">
        <v>174</v>
      </c>
    </row>
    <row r="121" spans="1:4" x14ac:dyDescent="0.2">
      <c r="A121" s="10"/>
      <c r="B121" s="10"/>
      <c r="C121" s="10">
        <v>11</v>
      </c>
      <c r="D121" s="10" t="s">
        <v>64</v>
      </c>
    </row>
    <row r="122" spans="1:4" x14ac:dyDescent="0.2">
      <c r="A122" s="10"/>
      <c r="B122" s="10"/>
      <c r="C122" s="10">
        <v>12</v>
      </c>
      <c r="D122" s="10" t="s">
        <v>175</v>
      </c>
    </row>
    <row r="123" spans="1:4" x14ac:dyDescent="0.2">
      <c r="A123" s="10"/>
      <c r="B123" s="10"/>
      <c r="C123" s="10">
        <v>13</v>
      </c>
      <c r="D123" s="10" t="s">
        <v>176</v>
      </c>
    </row>
    <row r="124" spans="1:4" x14ac:dyDescent="0.2">
      <c r="A124" s="10"/>
      <c r="B124" s="10"/>
      <c r="C124" s="10">
        <v>14</v>
      </c>
      <c r="D124" s="10" t="s">
        <v>122</v>
      </c>
    </row>
    <row r="125" spans="1:4" x14ac:dyDescent="0.2">
      <c r="A125" s="10"/>
      <c r="B125" s="10"/>
      <c r="C125" s="10">
        <v>15</v>
      </c>
      <c r="D125" s="10" t="s">
        <v>123</v>
      </c>
    </row>
    <row r="126" spans="1:4" x14ac:dyDescent="0.2">
      <c r="A126" s="10"/>
      <c r="B126" s="10"/>
      <c r="C126" s="10">
        <v>16</v>
      </c>
      <c r="D126" s="10" t="s">
        <v>167</v>
      </c>
    </row>
    <row r="127" spans="1:4" x14ac:dyDescent="0.2">
      <c r="A127" s="10"/>
      <c r="B127" s="10"/>
      <c r="C127" s="10">
        <v>17</v>
      </c>
      <c r="D127" s="10" t="s">
        <v>89</v>
      </c>
    </row>
    <row r="128" spans="1:4" x14ac:dyDescent="0.2">
      <c r="A128" s="10"/>
      <c r="B128" s="10"/>
      <c r="C128" s="10">
        <v>18</v>
      </c>
      <c r="D128" s="10" t="s">
        <v>168</v>
      </c>
    </row>
    <row r="129" spans="1:4" x14ac:dyDescent="0.2">
      <c r="A129" s="10"/>
      <c r="B129" s="10"/>
      <c r="C129" s="10">
        <v>19</v>
      </c>
      <c r="D129" s="10" t="s">
        <v>177</v>
      </c>
    </row>
    <row r="130" spans="1:4" x14ac:dyDescent="0.2">
      <c r="A130" s="10"/>
      <c r="B130" s="10"/>
      <c r="C130" s="10">
        <v>20</v>
      </c>
      <c r="D130" s="10" t="s">
        <v>178</v>
      </c>
    </row>
    <row r="131" spans="1:4" x14ac:dyDescent="0.2">
      <c r="A131" s="10"/>
      <c r="B131" s="10"/>
      <c r="C131" s="10">
        <v>21</v>
      </c>
      <c r="D131" s="10" t="s">
        <v>179</v>
      </c>
    </row>
    <row r="132" spans="1:4" x14ac:dyDescent="0.2">
      <c r="A132" s="10"/>
      <c r="B132" s="10"/>
      <c r="C132" s="10">
        <v>22</v>
      </c>
      <c r="D132" s="10" t="s">
        <v>180</v>
      </c>
    </row>
    <row r="133" spans="1:4" x14ac:dyDescent="0.2">
      <c r="A133" s="10"/>
      <c r="B133" s="10"/>
      <c r="C133" s="10">
        <v>23</v>
      </c>
      <c r="D133" s="10" t="s">
        <v>181</v>
      </c>
    </row>
    <row r="134" spans="1:4" x14ac:dyDescent="0.2">
      <c r="A134" s="10"/>
      <c r="B134" s="10"/>
      <c r="C134" s="10"/>
      <c r="D134" s="10"/>
    </row>
    <row r="135" spans="1:4" x14ac:dyDescent="0.2">
      <c r="A135" s="10">
        <v>3</v>
      </c>
      <c r="B135" s="10" t="s">
        <v>65</v>
      </c>
      <c r="C135" s="10">
        <v>28</v>
      </c>
      <c r="D135" s="10" t="s">
        <v>188</v>
      </c>
    </row>
    <row r="136" spans="1:4" x14ac:dyDescent="0.2">
      <c r="A136" s="10"/>
      <c r="B136" s="10"/>
      <c r="C136" s="10">
        <v>29</v>
      </c>
      <c r="D136" s="10" t="s">
        <v>189</v>
      </c>
    </row>
    <row r="137" spans="1:4" x14ac:dyDescent="0.2">
      <c r="A137" s="10"/>
      <c r="B137" s="10"/>
      <c r="C137" s="10">
        <v>30</v>
      </c>
      <c r="D137" s="10" t="s">
        <v>190</v>
      </c>
    </row>
    <row r="138" spans="1:4" x14ac:dyDescent="0.2">
      <c r="A138" s="10"/>
      <c r="B138" s="10"/>
      <c r="C138" s="10"/>
      <c r="D138" s="10"/>
    </row>
    <row r="139" spans="1:4" x14ac:dyDescent="0.2">
      <c r="A139" s="10">
        <v>4</v>
      </c>
      <c r="B139" s="10" t="s">
        <v>240</v>
      </c>
      <c r="C139" s="10">
        <v>31</v>
      </c>
      <c r="D139" s="10" t="s">
        <v>191</v>
      </c>
    </row>
    <row r="140" spans="1:4" x14ac:dyDescent="0.2">
      <c r="A140" s="10"/>
      <c r="B140" s="10"/>
      <c r="C140" s="10">
        <v>32</v>
      </c>
      <c r="D140" s="10" t="s">
        <v>192</v>
      </c>
    </row>
    <row r="141" spans="1:4" x14ac:dyDescent="0.2">
      <c r="A141" s="10"/>
      <c r="B141" s="10"/>
      <c r="C141" s="10">
        <v>33</v>
      </c>
      <c r="D141" s="10" t="s">
        <v>193</v>
      </c>
    </row>
    <row r="142" spans="1:4" x14ac:dyDescent="0.2">
      <c r="A142" s="10"/>
      <c r="B142" s="10"/>
      <c r="C142" s="10">
        <v>34</v>
      </c>
      <c r="D142" s="10" t="s">
        <v>195</v>
      </c>
    </row>
    <row r="143" spans="1:4" x14ac:dyDescent="0.2">
      <c r="A143" s="10"/>
      <c r="B143" s="10"/>
      <c r="C143" s="10">
        <v>35</v>
      </c>
      <c r="D143" s="10" t="s">
        <v>196</v>
      </c>
    </row>
    <row r="144" spans="1:4" x14ac:dyDescent="0.2">
      <c r="A144" s="10"/>
      <c r="B144" s="10"/>
      <c r="C144" s="10">
        <v>36</v>
      </c>
      <c r="D144" s="10" t="s">
        <v>197</v>
      </c>
    </row>
    <row r="145" spans="1:4" x14ac:dyDescent="0.2">
      <c r="A145" s="10"/>
      <c r="B145" s="10"/>
      <c r="C145" s="10">
        <v>37</v>
      </c>
      <c r="D145" s="10" t="s">
        <v>198</v>
      </c>
    </row>
    <row r="146" spans="1:4" x14ac:dyDescent="0.2">
      <c r="A146" s="10"/>
      <c r="B146" s="10"/>
      <c r="C146" s="10">
        <v>38</v>
      </c>
      <c r="D146" s="10" t="s">
        <v>199</v>
      </c>
    </row>
    <row r="147" spans="1:4" x14ac:dyDescent="0.2">
      <c r="A147" s="10"/>
      <c r="B147" s="10"/>
      <c r="C147" s="10">
        <v>39</v>
      </c>
      <c r="D147" s="10" t="s">
        <v>201</v>
      </c>
    </row>
    <row r="148" spans="1:4" x14ac:dyDescent="0.2">
      <c r="A148" s="10"/>
      <c r="B148" s="10"/>
      <c r="C148" s="10">
        <v>40</v>
      </c>
      <c r="D148" s="10" t="s">
        <v>202</v>
      </c>
    </row>
    <row r="149" spans="1:4" x14ac:dyDescent="0.2">
      <c r="A149" s="10"/>
      <c r="B149" s="10"/>
      <c r="C149" s="10"/>
      <c r="D149" s="10"/>
    </row>
    <row r="150" spans="1:4" x14ac:dyDescent="0.2">
      <c r="A150" s="10">
        <v>5</v>
      </c>
      <c r="B150" s="10" t="s">
        <v>241</v>
      </c>
      <c r="C150" s="10">
        <v>41</v>
      </c>
      <c r="D150" s="10" t="s">
        <v>124</v>
      </c>
    </row>
    <row r="151" spans="1:4" x14ac:dyDescent="0.2">
      <c r="A151" s="10"/>
      <c r="B151" s="10"/>
      <c r="C151" s="10">
        <v>42</v>
      </c>
      <c r="D151" s="10" t="s">
        <v>203</v>
      </c>
    </row>
    <row r="152" spans="1:4" x14ac:dyDescent="0.2">
      <c r="A152" s="10"/>
      <c r="B152" s="10"/>
      <c r="C152" s="10">
        <v>43</v>
      </c>
      <c r="D152" s="10" t="s">
        <v>204</v>
      </c>
    </row>
    <row r="153" spans="1:4" x14ac:dyDescent="0.2">
      <c r="A153" s="10"/>
      <c r="B153" s="10"/>
      <c r="C153" s="10">
        <v>44</v>
      </c>
      <c r="D153" s="10" t="s">
        <v>92</v>
      </c>
    </row>
    <row r="154" spans="1:4" x14ac:dyDescent="0.2">
      <c r="A154" s="10"/>
      <c r="B154" s="10"/>
      <c r="C154" s="10">
        <v>45</v>
      </c>
      <c r="D154" s="10" t="s">
        <v>206</v>
      </c>
    </row>
    <row r="155" spans="1:4" x14ac:dyDescent="0.2">
      <c r="A155" s="10"/>
      <c r="B155" s="10"/>
      <c r="C155" s="10">
        <v>46</v>
      </c>
      <c r="D155" s="10" t="s">
        <v>207</v>
      </c>
    </row>
    <row r="156" spans="1:4" x14ac:dyDescent="0.2">
      <c r="A156" s="10"/>
      <c r="B156" s="10"/>
      <c r="C156" s="10">
        <v>47</v>
      </c>
      <c r="D156" s="10" t="s">
        <v>125</v>
      </c>
    </row>
    <row r="157" spans="1:4" x14ac:dyDescent="0.2">
      <c r="A157" s="10"/>
      <c r="B157" s="10"/>
      <c r="C157" s="10">
        <v>48</v>
      </c>
      <c r="D157" s="10" t="s">
        <v>209</v>
      </c>
    </row>
    <row r="158" spans="1:4" x14ac:dyDescent="0.2">
      <c r="A158" s="10"/>
      <c r="B158" s="10"/>
      <c r="C158" s="10">
        <v>49</v>
      </c>
      <c r="D158" s="10" t="s">
        <v>210</v>
      </c>
    </row>
    <row r="159" spans="1:4" x14ac:dyDescent="0.2">
      <c r="A159" s="10"/>
      <c r="B159" s="10"/>
      <c r="C159" s="10">
        <v>50</v>
      </c>
      <c r="D159" s="10" t="s">
        <v>211</v>
      </c>
    </row>
    <row r="160" spans="1:4" x14ac:dyDescent="0.2">
      <c r="A160" s="10"/>
      <c r="B160" s="10"/>
      <c r="C160" s="10">
        <v>51</v>
      </c>
      <c r="D160" s="10" t="s">
        <v>213</v>
      </c>
    </row>
    <row r="161" spans="1:4" x14ac:dyDescent="0.2">
      <c r="A161" s="10"/>
      <c r="B161" s="10"/>
      <c r="C161" s="10">
        <v>52</v>
      </c>
      <c r="D161" s="10" t="s">
        <v>214</v>
      </c>
    </row>
    <row r="162" spans="1:4" x14ac:dyDescent="0.2">
      <c r="A162" s="10"/>
      <c r="B162" s="10"/>
      <c r="C162" s="10">
        <v>53</v>
      </c>
      <c r="D162" s="10" t="s">
        <v>215</v>
      </c>
    </row>
    <row r="163" spans="1:4" x14ac:dyDescent="0.2">
      <c r="A163" s="10"/>
      <c r="B163" s="10"/>
      <c r="C163" s="10">
        <v>54</v>
      </c>
      <c r="D163" s="10" t="s">
        <v>216</v>
      </c>
    </row>
    <row r="164" spans="1:4" x14ac:dyDescent="0.2">
      <c r="A164" s="10"/>
      <c r="B164" s="10"/>
      <c r="C164" s="10">
        <v>55</v>
      </c>
      <c r="D164" s="10" t="s">
        <v>217</v>
      </c>
    </row>
    <row r="165" spans="1:4" x14ac:dyDescent="0.2">
      <c r="A165" s="10"/>
      <c r="B165" s="10"/>
      <c r="C165" s="10">
        <v>56</v>
      </c>
      <c r="D165" s="10" t="s">
        <v>218</v>
      </c>
    </row>
    <row r="166" spans="1:4" x14ac:dyDescent="0.2">
      <c r="A166" s="10"/>
      <c r="B166" s="10"/>
      <c r="C166" s="10">
        <v>57</v>
      </c>
      <c r="D166" s="10" t="s">
        <v>219</v>
      </c>
    </row>
    <row r="167" spans="1:4" x14ac:dyDescent="0.2">
      <c r="A167" s="10"/>
      <c r="B167" s="10"/>
      <c r="C167" s="10">
        <v>58</v>
      </c>
      <c r="D167" s="10" t="s">
        <v>221</v>
      </c>
    </row>
    <row r="168" spans="1:4" x14ac:dyDescent="0.2">
      <c r="A168" s="10"/>
      <c r="B168" s="10"/>
      <c r="C168" s="10">
        <v>59</v>
      </c>
      <c r="D168" s="10" t="s">
        <v>126</v>
      </c>
    </row>
    <row r="169" spans="1:4" x14ac:dyDescent="0.2">
      <c r="A169" s="10"/>
      <c r="B169" s="10"/>
      <c r="C169" s="10">
        <v>60</v>
      </c>
      <c r="D169" s="10" t="s">
        <v>222</v>
      </c>
    </row>
    <row r="170" spans="1:4" x14ac:dyDescent="0.2">
      <c r="A170" s="10"/>
      <c r="B170" s="10"/>
      <c r="C170" s="10">
        <v>61</v>
      </c>
      <c r="D170" s="10" t="s">
        <v>223</v>
      </c>
    </row>
    <row r="171" spans="1:4" x14ac:dyDescent="0.2">
      <c r="A171" s="10"/>
      <c r="B171" s="10"/>
      <c r="C171" s="10">
        <v>62</v>
      </c>
      <c r="D171" s="10" t="s">
        <v>224</v>
      </c>
    </row>
    <row r="172" spans="1:4" x14ac:dyDescent="0.2">
      <c r="A172" s="10"/>
      <c r="B172" s="10"/>
      <c r="C172" s="10">
        <v>63</v>
      </c>
      <c r="D172" s="10" t="s">
        <v>225</v>
      </c>
    </row>
    <row r="173" spans="1:4" x14ac:dyDescent="0.2">
      <c r="A173" s="10"/>
      <c r="B173" s="10"/>
      <c r="C173" s="10">
        <v>69</v>
      </c>
      <c r="D173" s="10" t="s">
        <v>231</v>
      </c>
    </row>
    <row r="174" spans="1:4" x14ac:dyDescent="0.2">
      <c r="A174" s="10"/>
      <c r="B174" s="10"/>
      <c r="C174" s="10">
        <v>70</v>
      </c>
      <c r="D174" s="10" t="s">
        <v>232</v>
      </c>
    </row>
    <row r="175" spans="1:4" x14ac:dyDescent="0.2">
      <c r="A175" s="10"/>
      <c r="B175" s="10"/>
      <c r="C175" s="10">
        <v>71</v>
      </c>
      <c r="D175" s="10" t="s">
        <v>233</v>
      </c>
    </row>
    <row r="176" spans="1:4" x14ac:dyDescent="0.2">
      <c r="A176" s="10"/>
      <c r="B176" s="10"/>
      <c r="C176" s="10">
        <v>72</v>
      </c>
      <c r="D176" s="10" t="s">
        <v>234</v>
      </c>
    </row>
    <row r="177" spans="1:6" x14ac:dyDescent="0.2">
      <c r="A177" s="10"/>
      <c r="B177" s="10"/>
      <c r="C177" s="10">
        <v>73</v>
      </c>
      <c r="D177" s="10" t="s">
        <v>127</v>
      </c>
    </row>
    <row r="178" spans="1:6" x14ac:dyDescent="0.2">
      <c r="A178" s="10"/>
      <c r="B178" s="10"/>
      <c r="C178" s="10">
        <v>74</v>
      </c>
      <c r="D178" s="10" t="s">
        <v>236</v>
      </c>
    </row>
    <row r="179" spans="1:6" x14ac:dyDescent="0.2">
      <c r="A179" s="10"/>
      <c r="B179" s="10"/>
      <c r="C179" s="10">
        <v>75</v>
      </c>
      <c r="D179" s="10" t="s">
        <v>237</v>
      </c>
    </row>
    <row r="180" spans="1:6" x14ac:dyDescent="0.2">
      <c r="A180" s="10"/>
      <c r="B180" s="10"/>
      <c r="C180" s="10"/>
      <c r="D180" s="10"/>
    </row>
    <row r="181" spans="1:6" x14ac:dyDescent="0.2">
      <c r="A181" s="10">
        <v>6</v>
      </c>
      <c r="B181" s="10" t="s">
        <v>242</v>
      </c>
      <c r="C181" s="10">
        <v>64</v>
      </c>
      <c r="D181" s="10" t="s">
        <v>227</v>
      </c>
    </row>
    <row r="182" spans="1:6" x14ac:dyDescent="0.2">
      <c r="A182" s="10"/>
      <c r="B182" s="10"/>
      <c r="C182" s="10">
        <v>65</v>
      </c>
      <c r="D182" s="10" t="s">
        <v>66</v>
      </c>
    </row>
    <row r="183" spans="1:6" x14ac:dyDescent="0.2">
      <c r="A183" s="10"/>
      <c r="B183" s="10"/>
      <c r="C183" s="10">
        <v>66</v>
      </c>
      <c r="D183" s="10" t="s">
        <v>228</v>
      </c>
    </row>
    <row r="184" spans="1:6" x14ac:dyDescent="0.2">
      <c r="A184" s="10"/>
      <c r="B184" s="10"/>
      <c r="C184" s="10">
        <v>67</v>
      </c>
      <c r="D184" s="10" t="s">
        <v>229</v>
      </c>
    </row>
    <row r="185" spans="1:6" x14ac:dyDescent="0.2">
      <c r="A185" s="10"/>
      <c r="B185" s="10"/>
      <c r="C185" s="10">
        <v>68</v>
      </c>
      <c r="D185" s="10" t="s">
        <v>230</v>
      </c>
    </row>
    <row r="186" spans="1:6" x14ac:dyDescent="0.2">
      <c r="A186"/>
      <c r="B186"/>
      <c r="D186"/>
    </row>
    <row r="187" spans="1:6" x14ac:dyDescent="0.2">
      <c r="A187" s="14" t="s">
        <v>505</v>
      </c>
      <c r="C187" s="125"/>
      <c r="D187" s="125"/>
    </row>
    <row r="188" spans="1:6" x14ac:dyDescent="0.2">
      <c r="A188" s="88" t="s">
        <v>11</v>
      </c>
      <c r="C188" s="125"/>
      <c r="D188" s="125"/>
    </row>
    <row r="189" spans="1:6" x14ac:dyDescent="0.2">
      <c r="A189" s="88" t="s">
        <v>11</v>
      </c>
      <c r="C189" s="125"/>
      <c r="D189" s="125"/>
    </row>
    <row r="190" spans="1:6" x14ac:dyDescent="0.2">
      <c r="B190" s="88" t="s">
        <v>506</v>
      </c>
      <c r="D190" s="88" t="s">
        <v>521</v>
      </c>
    </row>
    <row r="191" spans="1:6" x14ac:dyDescent="0.2">
      <c r="A191" s="88" t="s">
        <v>11</v>
      </c>
    </row>
    <row r="192" spans="1:6" x14ac:dyDescent="0.2">
      <c r="A192" s="88">
        <v>1</v>
      </c>
      <c r="B192" s="125" t="s">
        <v>322</v>
      </c>
      <c r="C192" s="88">
        <v>1</v>
      </c>
      <c r="D192" s="125" t="s">
        <v>475</v>
      </c>
      <c r="F192" s="125"/>
    </row>
    <row r="193" spans="1:6" x14ac:dyDescent="0.2">
      <c r="C193" s="88">
        <v>2</v>
      </c>
      <c r="D193" s="125" t="s">
        <v>476</v>
      </c>
      <c r="F193" s="125"/>
    </row>
    <row r="194" spans="1:6" x14ac:dyDescent="0.2">
      <c r="D194" s="125"/>
      <c r="F194" s="125"/>
    </row>
    <row r="195" spans="1:6" x14ac:dyDescent="0.2">
      <c r="A195" s="88">
        <v>2</v>
      </c>
      <c r="B195" s="125" t="s">
        <v>323</v>
      </c>
      <c r="C195" s="88">
        <v>3</v>
      </c>
      <c r="D195" s="125" t="s">
        <v>477</v>
      </c>
      <c r="F195" s="125"/>
    </row>
    <row r="196" spans="1:6" x14ac:dyDescent="0.2">
      <c r="C196" s="88">
        <v>4</v>
      </c>
      <c r="D196" s="125" t="s">
        <v>479</v>
      </c>
      <c r="F196" s="125"/>
    </row>
    <row r="197" spans="1:6" x14ac:dyDescent="0.2">
      <c r="C197" s="88">
        <v>5</v>
      </c>
      <c r="D197" s="125" t="s">
        <v>481</v>
      </c>
      <c r="F197" s="125"/>
    </row>
    <row r="198" spans="1:6" x14ac:dyDescent="0.2">
      <c r="C198" s="88">
        <v>6</v>
      </c>
      <c r="D198" s="125" t="s">
        <v>482</v>
      </c>
      <c r="F198" s="125"/>
    </row>
    <row r="199" spans="1:6" x14ac:dyDescent="0.2">
      <c r="B199" s="125"/>
      <c r="D199" s="125"/>
      <c r="F199" s="125"/>
    </row>
    <row r="200" spans="1:6" x14ac:dyDescent="0.2">
      <c r="A200" s="88">
        <v>3</v>
      </c>
      <c r="B200" s="125" t="s">
        <v>478</v>
      </c>
      <c r="C200" s="88">
        <v>7</v>
      </c>
      <c r="D200" s="125" t="s">
        <v>484</v>
      </c>
      <c r="F200" s="125"/>
    </row>
    <row r="201" spans="1:6" x14ac:dyDescent="0.2">
      <c r="C201" s="88">
        <v>8</v>
      </c>
      <c r="D201" s="125" t="s">
        <v>486</v>
      </c>
      <c r="F201" s="125"/>
    </row>
    <row r="202" spans="1:6" x14ac:dyDescent="0.2">
      <c r="C202" s="88">
        <v>9</v>
      </c>
      <c r="D202" s="125" t="s">
        <v>487</v>
      </c>
      <c r="F202" s="125"/>
    </row>
    <row r="203" spans="1:6" x14ac:dyDescent="0.2">
      <c r="C203" s="88">
        <v>10</v>
      </c>
      <c r="D203" s="125" t="s">
        <v>488</v>
      </c>
      <c r="F203" s="125"/>
    </row>
    <row r="204" spans="1:6" x14ac:dyDescent="0.2">
      <c r="C204" s="88">
        <v>11</v>
      </c>
      <c r="D204" s="125" t="s">
        <v>489</v>
      </c>
      <c r="F204" s="125"/>
    </row>
    <row r="205" spans="1:6" x14ac:dyDescent="0.2">
      <c r="D205" s="125"/>
      <c r="F205" s="125"/>
    </row>
    <row r="206" spans="1:6" x14ac:dyDescent="0.2">
      <c r="A206" s="88">
        <v>4</v>
      </c>
      <c r="B206" s="125" t="s">
        <v>480</v>
      </c>
      <c r="C206" s="88">
        <v>12</v>
      </c>
      <c r="D206" s="125" t="s">
        <v>490</v>
      </c>
      <c r="F206" s="125"/>
    </row>
    <row r="207" spans="1:6" x14ac:dyDescent="0.2">
      <c r="C207" s="88">
        <v>13</v>
      </c>
      <c r="D207" s="125" t="s">
        <v>491</v>
      </c>
      <c r="F207" s="125"/>
    </row>
    <row r="208" spans="1:6" x14ac:dyDescent="0.2">
      <c r="D208"/>
      <c r="F208" s="125"/>
    </row>
    <row r="209" spans="1:6" x14ac:dyDescent="0.2">
      <c r="A209" s="88">
        <v>5</v>
      </c>
      <c r="B209" s="125" t="s">
        <v>324</v>
      </c>
      <c r="C209" s="88">
        <v>14</v>
      </c>
      <c r="D209" s="125" t="s">
        <v>492</v>
      </c>
      <c r="F209" s="125"/>
    </row>
    <row r="210" spans="1:6" x14ac:dyDescent="0.2">
      <c r="C210" s="88">
        <v>15</v>
      </c>
      <c r="D210" s="125" t="s">
        <v>493</v>
      </c>
      <c r="F210" s="125"/>
    </row>
    <row r="211" spans="1:6" x14ac:dyDescent="0.2">
      <c r="C211" s="88">
        <v>16</v>
      </c>
      <c r="D211" s="125" t="s">
        <v>494</v>
      </c>
      <c r="F211" s="125"/>
    </row>
    <row r="212" spans="1:6" x14ac:dyDescent="0.2">
      <c r="C212" s="88">
        <v>17</v>
      </c>
      <c r="D212" s="125" t="s">
        <v>495</v>
      </c>
      <c r="F212" s="125"/>
    </row>
    <row r="213" spans="1:6" x14ac:dyDescent="0.2">
      <c r="D213"/>
      <c r="F213" s="125"/>
    </row>
    <row r="214" spans="1:6" x14ac:dyDescent="0.2">
      <c r="A214" s="88">
        <v>6</v>
      </c>
      <c r="B214" s="125" t="s">
        <v>483</v>
      </c>
      <c r="C214" s="88">
        <v>18</v>
      </c>
      <c r="D214" s="125" t="s">
        <v>496</v>
      </c>
      <c r="F214" s="125"/>
    </row>
    <row r="215" spans="1:6" x14ac:dyDescent="0.2">
      <c r="C215" s="88">
        <v>19</v>
      </c>
      <c r="D215" s="125" t="s">
        <v>497</v>
      </c>
      <c r="F215" s="125"/>
    </row>
    <row r="216" spans="1:6" x14ac:dyDescent="0.2">
      <c r="C216" s="88">
        <v>20</v>
      </c>
      <c r="D216" s="125" t="s">
        <v>498</v>
      </c>
      <c r="F216" s="125"/>
    </row>
    <row r="217" spans="1:6" x14ac:dyDescent="0.2">
      <c r="F217" s="125"/>
    </row>
    <row r="218" spans="1:6" x14ac:dyDescent="0.2">
      <c r="A218" s="88">
        <v>7</v>
      </c>
      <c r="B218" s="125" t="s">
        <v>485</v>
      </c>
      <c r="C218" s="88">
        <v>21</v>
      </c>
      <c r="D218" s="125" t="s">
        <v>499</v>
      </c>
      <c r="F218"/>
    </row>
    <row r="219" spans="1:6" x14ac:dyDescent="0.2">
      <c r="C219" s="88">
        <v>22</v>
      </c>
      <c r="D219" s="125" t="s">
        <v>500</v>
      </c>
    </row>
    <row r="220" spans="1:6" x14ac:dyDescent="0.2">
      <c r="D220" s="125"/>
    </row>
    <row r="221" spans="1:6" x14ac:dyDescent="0.2">
      <c r="A221" s="88">
        <v>8</v>
      </c>
      <c r="B221" s="125" t="s">
        <v>325</v>
      </c>
      <c r="C221" s="88">
        <v>23</v>
      </c>
      <c r="D221" s="125" t="s">
        <v>501</v>
      </c>
    </row>
    <row r="222" spans="1:6" x14ac:dyDescent="0.2">
      <c r="C222" s="88">
        <v>24</v>
      </c>
      <c r="D222" s="125" t="s">
        <v>502</v>
      </c>
    </row>
    <row r="223" spans="1:6" ht="12" customHeight="1" x14ac:dyDescent="0.2"/>
    <row r="224" spans="1:6" x14ac:dyDescent="0.2">
      <c r="A224" s="88">
        <v>9</v>
      </c>
      <c r="B224" s="125" t="s">
        <v>9</v>
      </c>
      <c r="C224" s="88">
        <v>25</v>
      </c>
      <c r="D224" s="125" t="s">
        <v>503</v>
      </c>
    </row>
    <row r="225" spans="1:4" x14ac:dyDescent="0.2">
      <c r="C225" s="88">
        <v>26</v>
      </c>
      <c r="D225" t="s">
        <v>504</v>
      </c>
    </row>
    <row r="226" spans="1:4" x14ac:dyDescent="0.2">
      <c r="B226"/>
      <c r="D226"/>
    </row>
    <row r="227" spans="1:4" x14ac:dyDescent="0.2">
      <c r="A227" s="14" t="s">
        <v>351</v>
      </c>
      <c r="D227"/>
    </row>
    <row r="228" spans="1:4" x14ac:dyDescent="0.2">
      <c r="D228"/>
    </row>
    <row r="229" spans="1:4" x14ac:dyDescent="0.2">
      <c r="B229" s="88" t="s">
        <v>460</v>
      </c>
      <c r="D229" s="88" t="s">
        <v>461</v>
      </c>
    </row>
    <row r="231" spans="1:4" x14ac:dyDescent="0.2">
      <c r="A231" s="88">
        <v>1</v>
      </c>
      <c r="B231" s="125" t="s">
        <v>458</v>
      </c>
      <c r="C231" s="88">
        <v>1</v>
      </c>
      <c r="D231" s="125" t="s">
        <v>450</v>
      </c>
    </row>
    <row r="232" spans="1:4" x14ac:dyDescent="0.2">
      <c r="C232" s="88">
        <v>2</v>
      </c>
      <c r="D232" s="125" t="s">
        <v>451</v>
      </c>
    </row>
    <row r="234" spans="1:4" x14ac:dyDescent="0.2">
      <c r="A234" s="88">
        <v>2</v>
      </c>
      <c r="B234" s="125" t="s">
        <v>459</v>
      </c>
      <c r="C234" s="88">
        <v>3</v>
      </c>
      <c r="D234" s="125" t="s">
        <v>452</v>
      </c>
    </row>
    <row r="235" spans="1:4" x14ac:dyDescent="0.2">
      <c r="C235" s="88">
        <v>4</v>
      </c>
      <c r="D235" s="125" t="s">
        <v>453</v>
      </c>
    </row>
    <row r="236" spans="1:4" x14ac:dyDescent="0.2">
      <c r="C236" s="88">
        <v>5</v>
      </c>
      <c r="D236" s="125" t="s">
        <v>454</v>
      </c>
    </row>
    <row r="238" spans="1:4" x14ac:dyDescent="0.2">
      <c r="A238" s="88">
        <v>3</v>
      </c>
      <c r="B238" s="125" t="s">
        <v>455</v>
      </c>
      <c r="C238" s="88">
        <v>6</v>
      </c>
      <c r="D238" s="125" t="s">
        <v>455</v>
      </c>
    </row>
    <row r="240" spans="1:4" x14ac:dyDescent="0.2">
      <c r="A240" s="88">
        <v>4</v>
      </c>
      <c r="B240" s="125" t="s">
        <v>456</v>
      </c>
      <c r="C240" s="88">
        <v>7</v>
      </c>
      <c r="D240" s="125" t="s">
        <v>456</v>
      </c>
    </row>
    <row r="242" spans="1:4" x14ac:dyDescent="0.2">
      <c r="A242" s="88">
        <v>5</v>
      </c>
      <c r="B242" s="125" t="s">
        <v>457</v>
      </c>
      <c r="C242" s="88">
        <v>8</v>
      </c>
      <c r="D242" s="125" t="s">
        <v>457</v>
      </c>
    </row>
    <row r="244" spans="1:4" x14ac:dyDescent="0.2">
      <c r="A244" s="88">
        <v>6</v>
      </c>
      <c r="B244" s="125" t="s">
        <v>327</v>
      </c>
      <c r="C244" s="88">
        <v>9</v>
      </c>
      <c r="D244" s="125" t="s">
        <v>327</v>
      </c>
    </row>
  </sheetData>
  <phoneticPr fontId="4" type="noConversion"/>
  <pageMargins left="0.35433070866141736" right="0.35433070866141736" top="0.78740157480314965" bottom="0.59055118110236227" header="0.51181102362204722" footer="0.51181102362204722"/>
  <pageSetup paperSize="9" scale="74" fitToHeight="0" orientation="portrait" r:id="rId1"/>
  <headerFooter alignWithMargins="0"/>
  <rowBreaks count="4" manualBreakCount="4">
    <brk id="45" max="16383" man="1"/>
    <brk id="101" max="16383" man="1"/>
    <brk id="138" max="16383" man="1"/>
    <brk id="186" max="16383" man="1"/>
  </rowBreak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61ED900E45533240984673D798A9AA08" ma:contentTypeVersion="18" ma:contentTypeDescription="Create a new document." ma:contentTypeScope="" ma:versionID="15f0d26db7c1564040d7f5be0145604e">
  <xsd:schema xmlns:xsd="http://www.w3.org/2001/XMLSchema" xmlns:xs="http://www.w3.org/2001/XMLSchema" xmlns:p="http://schemas.microsoft.com/office/2006/metadata/properties" xmlns:ns2="591b7eeb-5105-4999-94f6-a746eb4c6310" xmlns:ns3="22f0be0a-36a8-4d1a-945f-e8a2e9519595" xmlns:ns4="8c566321-f672-4e06-a901-b5e72b4c4357" targetNamespace="http://schemas.microsoft.com/office/2006/metadata/properties" ma:root="true" ma:fieldsID="b17cfbfa745902b07c223910e92a04e6" ns2:_="" ns3:_="" ns4:_="">
    <xsd:import namespace="591b7eeb-5105-4999-94f6-a746eb4c6310"/>
    <xsd:import namespace="22f0be0a-36a8-4d1a-945f-e8a2e9519595"/>
    <xsd:import namespace="8c566321-f672-4e06-a901-b5e72b4c435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AutoKeyPoints" minOccurs="0"/>
                <xsd:element ref="ns2:MediaServiceKeyPoints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lcf76f155ced4ddcb4097134ff3c332f" minOccurs="0"/>
                <xsd:element ref="ns4:TaxCatchAll" minOccurs="0"/>
                <xsd:element ref="ns2:MediaServiceDateTaken" minOccurs="0"/>
                <xsd:element ref="ns2:MediaLengthInSeconds" minOccurs="0"/>
                <xsd:element ref="ns2:MediaServiceLocation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91b7eeb-5105-4999-94f6-a746eb4c631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2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3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9" nillable="true" ma:taxonomy="true" ma:internalName="lcf76f155ced4ddcb4097134ff3c332f" ma:taxonomyFieldName="MediaServiceImageTags" ma:displayName="Image Tags" ma:readOnly="false" ma:fieldId="{5cf76f15-5ced-4ddc-b409-7134ff3c332f}" ma:taxonomyMulti="true" ma:sspId="ec07c698-60f5-424f-b9af-f4c59398b511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21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22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23" nillable="true" ma:displayName="Location" ma:indexed="true" ma:internalName="MediaServiceLocation" ma:readOnly="true">
      <xsd:simpleType>
        <xsd:restriction base="dms:Text"/>
      </xsd:simple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2f0be0a-36a8-4d1a-945f-e8a2e9519595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c566321-f672-4e06-a901-b5e72b4c4357" elementFormDefault="qualified">
    <xsd:import namespace="http://schemas.microsoft.com/office/2006/documentManagement/types"/>
    <xsd:import namespace="http://schemas.microsoft.com/office/infopath/2007/PartnerControls"/>
    <xsd:element name="TaxCatchAll" ma:index="20" nillable="true" ma:displayName="Taxonomy Catch All Column" ma:hidden="true" ma:list="{a6fc1f59-704c-443d-8adf-ed44e3904037}" ma:internalName="TaxCatchAll" ma:showField="CatchAllData" ma:web="22f0be0a-36a8-4d1a-945f-e8a2e951959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C3258681-BB33-47E4-BD48-5D5C98E18A2D}"/>
</file>

<file path=customXml/itemProps2.xml><?xml version="1.0" encoding="utf-8"?>
<ds:datastoreItem xmlns:ds="http://schemas.openxmlformats.org/officeDocument/2006/customXml" ds:itemID="{666593FD-BF1F-4EDF-98BD-2D39CD159735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36</vt:i4>
      </vt:variant>
      <vt:variant>
        <vt:lpstr>Named Ranges</vt:lpstr>
      </vt:variant>
      <vt:variant>
        <vt:i4>32</vt:i4>
      </vt:variant>
    </vt:vector>
  </HeadingPairs>
  <TitlesOfParts>
    <vt:vector size="68" baseType="lpstr">
      <vt:lpstr>Stored</vt:lpstr>
      <vt:lpstr>Warning</vt:lpstr>
      <vt:lpstr>Info</vt:lpstr>
      <vt:lpstr>Manager</vt:lpstr>
      <vt:lpstr>Contents</vt:lpstr>
      <vt:lpstr>Ind T1</vt:lpstr>
      <vt:lpstr>Ind T2</vt:lpstr>
      <vt:lpstr>Ind T3</vt:lpstr>
      <vt:lpstr>Ind T4</vt:lpstr>
      <vt:lpstr>Ind T5</vt:lpstr>
      <vt:lpstr>Ind T6</vt:lpstr>
      <vt:lpstr>Ind F1</vt:lpstr>
      <vt:lpstr>Ind F2</vt:lpstr>
      <vt:lpstr>Ind Occ T1</vt:lpstr>
      <vt:lpstr>Ind Occ T2</vt:lpstr>
      <vt:lpstr>Occ T1</vt:lpstr>
      <vt:lpstr>Occ T2</vt:lpstr>
      <vt:lpstr>Occ T3</vt:lpstr>
      <vt:lpstr>Occ T4</vt:lpstr>
      <vt:lpstr>Occ T5</vt:lpstr>
      <vt:lpstr>Occ F1</vt:lpstr>
      <vt:lpstr>Occ F2</vt:lpstr>
      <vt:lpstr>Occ F3</vt:lpstr>
      <vt:lpstr>Occ F4</vt:lpstr>
      <vt:lpstr>Occ F5</vt:lpstr>
      <vt:lpstr>Qual T1</vt:lpstr>
      <vt:lpstr>Qual F1</vt:lpstr>
      <vt:lpstr>ShiftShare T1</vt:lpstr>
      <vt:lpstr>RD T1</vt:lpstr>
      <vt:lpstr>RD F1</vt:lpstr>
      <vt:lpstr>Basic T1</vt:lpstr>
      <vt:lpstr>Basic T2</vt:lpstr>
      <vt:lpstr>Basic T3</vt:lpstr>
      <vt:lpstr>name</vt:lpstr>
      <vt:lpstr>aggregation</vt:lpstr>
      <vt:lpstr>AggregationTables</vt:lpstr>
      <vt:lpstr>'Basic T1'!Print_Area</vt:lpstr>
      <vt:lpstr>'Basic T2'!Print_Area</vt:lpstr>
      <vt:lpstr>'Basic T3'!Print_Area</vt:lpstr>
      <vt:lpstr>BasicTable5!Print_Area</vt:lpstr>
      <vt:lpstr>'Ind F1'!Print_Area</vt:lpstr>
      <vt:lpstr>'Ind F2'!Print_Area</vt:lpstr>
      <vt:lpstr>'Ind Occ T1'!Print_Area</vt:lpstr>
      <vt:lpstr>'Ind Occ T2'!Print_Area</vt:lpstr>
      <vt:lpstr>'Ind T1'!Print_Area</vt:lpstr>
      <vt:lpstr>'Ind T2'!Print_Area</vt:lpstr>
      <vt:lpstr>'Ind T3'!Print_Area</vt:lpstr>
      <vt:lpstr>'Ind T4'!Print_Area</vt:lpstr>
      <vt:lpstr>'Ind T5'!Print_Area</vt:lpstr>
      <vt:lpstr>'Ind T6'!Print_Area</vt:lpstr>
      <vt:lpstr>Manager!Print_Area</vt:lpstr>
      <vt:lpstr>'Occ F1'!Print_Area</vt:lpstr>
      <vt:lpstr>'Occ F2'!Print_Area</vt:lpstr>
      <vt:lpstr>'Occ F3'!Print_Area</vt:lpstr>
      <vt:lpstr>'Occ F4'!Print_Area</vt:lpstr>
      <vt:lpstr>'Occ F5'!Print_Area</vt:lpstr>
      <vt:lpstr>'Occ T1'!Print_Area</vt:lpstr>
      <vt:lpstr>'Occ T2'!Print_Area</vt:lpstr>
      <vt:lpstr>'Occ T3'!Print_Area</vt:lpstr>
      <vt:lpstr>'Occ T4'!Print_Area</vt:lpstr>
      <vt:lpstr>'Occ T5'!Print_Area</vt:lpstr>
      <vt:lpstr>'Qual F1'!Print_Area</vt:lpstr>
      <vt:lpstr>'Qual T1'!Print_Area</vt:lpstr>
      <vt:lpstr>'RD F1'!Print_Area</vt:lpstr>
      <vt:lpstr>'RD T1'!Print_Area</vt:lpstr>
      <vt:lpstr>'ShiftShare T1'!Print_Area</vt:lpstr>
      <vt:lpstr>'Basic T3'!Print_Titles</vt:lpstr>
      <vt:lpstr>SummaryTable12!Print_Titles</vt:lpstr>
    </vt:vector>
  </TitlesOfParts>
  <Company>University of Warwick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IT Services</dc:creator>
  <cp:lastModifiedBy>Day, Rosie</cp:lastModifiedBy>
  <cp:lastPrinted>2019-03-05T13:17:01Z</cp:lastPrinted>
  <dcterms:created xsi:type="dcterms:W3CDTF">2006-08-30T09:48:05Z</dcterms:created>
  <dcterms:modified xsi:type="dcterms:W3CDTF">2023-10-02T16:01:03Z</dcterms:modified>
</cp:coreProperties>
</file>